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CTS\ACRP-03-28 Econ Impact Airports-447\Task 11 - Final Report\Appendices\"/>
    </mc:Choice>
  </mc:AlternateContent>
  <bookViews>
    <workbookView xWindow="0" yWindow="0" windowWidth="28800" windowHeight="11535"/>
  </bookViews>
  <sheets>
    <sheet name="Summary" sheetId="5" r:id="rId1"/>
    <sheet name="Domestic" sheetId="1" r:id="rId2"/>
    <sheet name="International" sheetId="7" r:id="rId3"/>
  </sheets>
  <calcPr calcId="152511"/>
</workbook>
</file>

<file path=xl/calcChain.xml><?xml version="1.0" encoding="utf-8"?>
<calcChain xmlns="http://schemas.openxmlformats.org/spreadsheetml/2006/main">
  <c r="AZ56" i="1" l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CM22" i="7"/>
  <c r="CM21" i="7"/>
  <c r="CM20" i="7"/>
  <c r="CM19" i="7"/>
  <c r="CM18" i="7"/>
  <c r="CM17" i="7"/>
  <c r="CM16" i="7"/>
  <c r="CM15" i="7"/>
  <c r="CM14" i="7"/>
  <c r="CM13" i="7"/>
  <c r="CM12" i="7"/>
  <c r="CM11" i="7"/>
  <c r="CM10" i="7"/>
  <c r="CM9" i="7"/>
  <c r="CM8" i="7"/>
  <c r="CI21" i="7" l="1"/>
  <c r="CH21" i="7"/>
  <c r="CE21" i="7"/>
  <c r="CD21" i="7"/>
  <c r="CI20" i="7"/>
  <c r="CH20" i="7"/>
  <c r="CE20" i="7"/>
  <c r="CD20" i="7"/>
  <c r="CI19" i="7"/>
  <c r="CH19" i="7"/>
  <c r="CE19" i="7"/>
  <c r="CD19" i="7"/>
  <c r="CI18" i="7"/>
  <c r="CH18" i="7"/>
  <c r="CE18" i="7"/>
  <c r="CD18" i="7"/>
  <c r="CE17" i="7"/>
  <c r="CD17" i="7"/>
  <c r="CI16" i="7"/>
  <c r="CH16" i="7"/>
  <c r="CE16" i="7"/>
  <c r="CD16" i="7"/>
  <c r="CI15" i="7"/>
  <c r="CH15" i="7"/>
  <c r="CE15" i="7"/>
  <c r="CD15" i="7"/>
  <c r="CI14" i="7"/>
  <c r="CH14" i="7"/>
  <c r="CE14" i="7"/>
  <c r="CD14" i="7"/>
  <c r="CI13" i="7"/>
  <c r="CH13" i="7"/>
  <c r="CE13" i="7"/>
  <c r="CD13" i="7"/>
  <c r="CI12" i="7"/>
  <c r="CH12" i="7"/>
  <c r="CE12" i="7"/>
  <c r="CD12" i="7"/>
  <c r="CI11" i="7"/>
  <c r="CH11" i="7"/>
  <c r="CE11" i="7"/>
  <c r="CD11" i="7"/>
  <c r="CI10" i="7"/>
  <c r="CH10" i="7"/>
  <c r="CE10" i="7"/>
  <c r="CD10" i="7"/>
  <c r="CI9" i="7"/>
  <c r="CH9" i="7"/>
  <c r="CE9" i="7"/>
  <c r="CD9" i="7"/>
  <c r="CI8" i="7"/>
  <c r="CH8" i="7"/>
  <c r="CE8" i="7"/>
  <c r="CD8" i="7"/>
  <c r="AX35" i="7" l="1"/>
  <c r="AX34" i="7"/>
  <c r="BA33" i="7"/>
  <c r="BA30" i="7"/>
  <c r="AX17" i="7"/>
  <c r="BA28" i="7"/>
  <c r="Y37" i="7"/>
  <c r="Y36" i="7"/>
  <c r="V35" i="7"/>
  <c r="V34" i="7"/>
  <c r="V17" i="7"/>
  <c r="Y30" i="7"/>
  <c r="Y28" i="7"/>
  <c r="X37" i="7"/>
  <c r="X36" i="7"/>
  <c r="X30" i="7"/>
  <c r="X28" i="7"/>
  <c r="U35" i="7"/>
  <c r="U34" i="7"/>
  <c r="U17" i="7"/>
  <c r="AZ37" i="7"/>
  <c r="AZ36" i="7"/>
  <c r="AZ33" i="7"/>
  <c r="AZ30" i="7"/>
  <c r="AZ28" i="7"/>
  <c r="AW35" i="7"/>
  <c r="AW34" i="7"/>
  <c r="AW17" i="7"/>
  <c r="CB7" i="7"/>
  <c r="CA7" i="7"/>
  <c r="BZ7" i="7"/>
  <c r="BY7" i="7"/>
  <c r="BX7" i="7"/>
  <c r="BW7" i="7"/>
  <c r="BU7" i="7"/>
  <c r="BT7" i="7"/>
  <c r="BS7" i="7"/>
  <c r="BR7" i="7"/>
  <c r="BQ7" i="7"/>
  <c r="BP7" i="7"/>
  <c r="BA37" i="7"/>
  <c r="AY37" i="7"/>
  <c r="BA36" i="7"/>
  <c r="AY36" i="7"/>
  <c r="AY33" i="7"/>
  <c r="AY30" i="7"/>
  <c r="AY28" i="7"/>
  <c r="AV35" i="7"/>
  <c r="AV34" i="7"/>
  <c r="BB37" i="7"/>
  <c r="BB36" i="7"/>
  <c r="BB35" i="7"/>
  <c r="BB34" i="7"/>
  <c r="BB33" i="7"/>
  <c r="BB32" i="7"/>
  <c r="BB31" i="7"/>
  <c r="BB30" i="7"/>
  <c r="BB29" i="7"/>
  <c r="BB28" i="7"/>
  <c r="BB27" i="7"/>
  <c r="BB26" i="7"/>
  <c r="BB25" i="7"/>
  <c r="BB24" i="7"/>
  <c r="BB23" i="7"/>
  <c r="BB22" i="7"/>
  <c r="BB21" i="7"/>
  <c r="BB20" i="7"/>
  <c r="BB19" i="7"/>
  <c r="BB18" i="7"/>
  <c r="BB17" i="7"/>
  <c r="BB16" i="7"/>
  <c r="BB15" i="7"/>
  <c r="BB14" i="7"/>
  <c r="BB13" i="7"/>
  <c r="BB12" i="7"/>
  <c r="BB11" i="7"/>
  <c r="BB10" i="7"/>
  <c r="BB9" i="7"/>
  <c r="BB8" i="7"/>
  <c r="BN7" i="7"/>
  <c r="BM7" i="7"/>
  <c r="BL7" i="7"/>
  <c r="BK7" i="7"/>
  <c r="BJ7" i="7"/>
  <c r="BI7" i="7"/>
  <c r="BH7" i="7"/>
  <c r="BG7" i="7"/>
  <c r="BF7" i="7"/>
  <c r="BE7" i="7"/>
  <c r="BD7" i="7"/>
  <c r="BC7" i="7"/>
  <c r="T35" i="7"/>
  <c r="T34" i="7"/>
  <c r="T17" i="7"/>
  <c r="CH17" i="7" s="1"/>
  <c r="W33" i="7"/>
  <c r="W28" i="7"/>
  <c r="W30" i="7"/>
  <c r="W37" i="7"/>
  <c r="W36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CI17" i="7" l="1"/>
  <c r="AI7" i="7"/>
  <c r="AH7" i="7"/>
  <c r="AG7" i="7"/>
  <c r="AF7" i="7"/>
  <c r="AE7" i="7"/>
  <c r="AD7" i="7"/>
  <c r="O38" i="7" l="1"/>
  <c r="N38" i="7"/>
  <c r="AQ38" i="7"/>
  <c r="AP38" i="7"/>
  <c r="AO35" i="7"/>
  <c r="AO34" i="7"/>
  <c r="AO32" i="7"/>
  <c r="AO30" i="7"/>
  <c r="AO29" i="7"/>
  <c r="AO27" i="7"/>
  <c r="AO26" i="7"/>
  <c r="AO25" i="7"/>
  <c r="AO24" i="7"/>
  <c r="AO23" i="7"/>
  <c r="AO22" i="7"/>
  <c r="AO21" i="7"/>
  <c r="AO20" i="7"/>
  <c r="AO19" i="7"/>
  <c r="AO18" i="7"/>
  <c r="AO17" i="7"/>
  <c r="AO16" i="7"/>
  <c r="AO15" i="7"/>
  <c r="AO14" i="7"/>
  <c r="AO13" i="7"/>
  <c r="AO12" i="7"/>
  <c r="AO11" i="7"/>
  <c r="AO10" i="7"/>
  <c r="AO9" i="7"/>
  <c r="AO8" i="7"/>
  <c r="M35" i="7"/>
  <c r="M34" i="7"/>
  <c r="M32" i="7"/>
  <c r="M31" i="7"/>
  <c r="M29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CK15" i="7" l="1"/>
  <c r="CG15" i="7"/>
  <c r="CJ15" i="7"/>
  <c r="CF15" i="7"/>
  <c r="CK10" i="7"/>
  <c r="CG10" i="7"/>
  <c r="CJ10" i="7"/>
  <c r="CF10" i="7"/>
  <c r="CK14" i="7"/>
  <c r="CG14" i="7"/>
  <c r="CJ14" i="7"/>
  <c r="CF14" i="7"/>
  <c r="CK18" i="7"/>
  <c r="CG18" i="7"/>
  <c r="CJ18" i="7"/>
  <c r="CF18" i="7"/>
  <c r="CK19" i="7"/>
  <c r="CG19" i="7"/>
  <c r="CJ19" i="7"/>
  <c r="CF19" i="7"/>
  <c r="CK8" i="7"/>
  <c r="CG8" i="7"/>
  <c r="CJ8" i="7"/>
  <c r="CF8" i="7"/>
  <c r="CK12" i="7"/>
  <c r="CG12" i="7"/>
  <c r="CJ12" i="7"/>
  <c r="CF12" i="7"/>
  <c r="CK16" i="7"/>
  <c r="CG16" i="7"/>
  <c r="CJ16" i="7"/>
  <c r="CF16" i="7"/>
  <c r="CK20" i="7"/>
  <c r="CG20" i="7"/>
  <c r="CJ20" i="7"/>
  <c r="CF20" i="7"/>
  <c r="CK11" i="7"/>
  <c r="CG11" i="7"/>
  <c r="CJ11" i="7"/>
  <c r="CF11" i="7"/>
  <c r="CK9" i="7"/>
  <c r="CG9" i="7"/>
  <c r="CJ9" i="7"/>
  <c r="CF9" i="7"/>
  <c r="CK13" i="7"/>
  <c r="CG13" i="7"/>
  <c r="CJ13" i="7"/>
  <c r="CF13" i="7"/>
  <c r="CK17" i="7"/>
  <c r="CG17" i="7"/>
  <c r="CJ17" i="7"/>
  <c r="CF17" i="7"/>
  <c r="CK21" i="7"/>
  <c r="CG21" i="7"/>
  <c r="CJ21" i="7"/>
  <c r="CF21" i="7"/>
  <c r="BT10" i="7"/>
  <c r="CA10" i="7" s="1"/>
  <c r="AA10" i="7"/>
  <c r="AC10" i="7"/>
  <c r="BT18" i="7"/>
  <c r="CA18" i="7" s="1"/>
  <c r="AC18" i="7"/>
  <c r="AA18" i="7"/>
  <c r="BE9" i="7"/>
  <c r="BC9" i="7"/>
  <c r="BC17" i="7"/>
  <c r="BE17" i="7"/>
  <c r="BT11" i="7"/>
  <c r="CA11" i="7" s="1"/>
  <c r="AA11" i="7"/>
  <c r="AC11" i="7"/>
  <c r="BT15" i="7"/>
  <c r="CA15" i="7" s="1"/>
  <c r="AA15" i="7"/>
  <c r="AC15" i="7"/>
  <c r="BT19" i="7"/>
  <c r="CA19" i="7" s="1"/>
  <c r="AA19" i="7"/>
  <c r="AC19" i="7"/>
  <c r="BC10" i="7"/>
  <c r="BE10" i="7"/>
  <c r="BC14" i="7"/>
  <c r="BE14" i="7"/>
  <c r="BC18" i="7"/>
  <c r="BE18" i="7"/>
  <c r="AA8" i="7"/>
  <c r="AC8" i="7"/>
  <c r="BT8" i="7"/>
  <c r="AC12" i="7"/>
  <c r="BT12" i="7"/>
  <c r="CA12" i="7" s="1"/>
  <c r="AA12" i="7"/>
  <c r="AA16" i="7"/>
  <c r="AC16" i="7"/>
  <c r="BT16" i="7"/>
  <c r="CA16" i="7" s="1"/>
  <c r="AC20" i="7"/>
  <c r="BT20" i="7"/>
  <c r="CA20" i="7" s="1"/>
  <c r="AA20" i="7"/>
  <c r="BC11" i="7"/>
  <c r="BE11" i="7"/>
  <c r="BC15" i="7"/>
  <c r="BE15" i="7"/>
  <c r="BE19" i="7"/>
  <c r="BC19" i="7"/>
  <c r="BT14" i="7"/>
  <c r="CA14" i="7" s="1"/>
  <c r="AC14" i="7"/>
  <c r="AA14" i="7"/>
  <c r="BE13" i="7"/>
  <c r="BC13" i="7"/>
  <c r="BE21" i="7"/>
  <c r="BC21" i="7"/>
  <c r="AA9" i="7"/>
  <c r="AC9" i="7"/>
  <c r="BT9" i="7"/>
  <c r="CA9" i="7" s="1"/>
  <c r="AC13" i="7"/>
  <c r="BT13" i="7"/>
  <c r="CA13" i="7" s="1"/>
  <c r="AA13" i="7"/>
  <c r="AA17" i="7"/>
  <c r="AC17" i="7"/>
  <c r="BT17" i="7"/>
  <c r="CA17" i="7" s="1"/>
  <c r="AC21" i="7"/>
  <c r="AA21" i="7"/>
  <c r="BT21" i="7"/>
  <c r="CA21" i="7" s="1"/>
  <c r="BE8" i="7"/>
  <c r="BC8" i="7"/>
  <c r="BE12" i="7"/>
  <c r="BC12" i="7"/>
  <c r="BE16" i="7"/>
  <c r="BC16" i="7"/>
  <c r="BE20" i="7"/>
  <c r="BC20" i="7"/>
  <c r="AB9" i="7"/>
  <c r="AB17" i="7"/>
  <c r="BD8" i="7"/>
  <c r="BD20" i="7"/>
  <c r="AB10" i="7"/>
  <c r="AB18" i="7"/>
  <c r="BD9" i="7"/>
  <c r="BD17" i="7"/>
  <c r="AB11" i="7"/>
  <c r="AB15" i="7"/>
  <c r="AB19" i="7"/>
  <c r="BD10" i="7"/>
  <c r="BD14" i="7"/>
  <c r="BD18" i="7"/>
  <c r="AB13" i="7"/>
  <c r="AB21" i="7"/>
  <c r="BD12" i="7"/>
  <c r="BD16" i="7"/>
  <c r="AB14" i="7"/>
  <c r="BD13" i="7"/>
  <c r="BD21" i="7"/>
  <c r="AB8" i="7"/>
  <c r="AB12" i="7"/>
  <c r="AB16" i="7"/>
  <c r="AB20" i="7"/>
  <c r="BD11" i="7"/>
  <c r="BD15" i="7"/>
  <c r="BD19" i="7"/>
  <c r="M38" i="7"/>
  <c r="AO38" i="7"/>
  <c r="CA8" i="7" l="1"/>
  <c r="BF19" i="7"/>
  <c r="BL19" i="7" s="1"/>
  <c r="BI19" i="7"/>
  <c r="BG15" i="7"/>
  <c r="BM15" i="7" s="1"/>
  <c r="BJ15" i="7"/>
  <c r="AF16" i="7"/>
  <c r="AL16" i="7" s="1"/>
  <c r="AI16" i="7"/>
  <c r="BH13" i="7"/>
  <c r="BN13" i="7" s="1"/>
  <c r="BK13" i="7"/>
  <c r="BH14" i="7"/>
  <c r="BN14" i="7" s="1"/>
  <c r="BK14" i="7"/>
  <c r="AF15" i="7"/>
  <c r="AL15" i="7" s="1"/>
  <c r="AI15" i="7"/>
  <c r="BG17" i="7"/>
  <c r="BM17" i="7" s="1"/>
  <c r="BJ17" i="7"/>
  <c r="AI18" i="7"/>
  <c r="AF18" i="7"/>
  <c r="AL18" i="7" s="1"/>
  <c r="BH8" i="7"/>
  <c r="BK8" i="7"/>
  <c r="AE17" i="7"/>
  <c r="AK17" i="7" s="1"/>
  <c r="AH17" i="7"/>
  <c r="BG19" i="7"/>
  <c r="BM19" i="7" s="1"/>
  <c r="BJ19" i="7"/>
  <c r="AF20" i="7"/>
  <c r="AL20" i="7" s="1"/>
  <c r="AI20" i="7"/>
  <c r="AE12" i="7"/>
  <c r="AK12" i="7" s="1"/>
  <c r="AH12" i="7"/>
  <c r="BI13" i="7"/>
  <c r="BF13" i="7"/>
  <c r="BL13" i="7" s="1"/>
  <c r="AF14" i="7"/>
  <c r="AL14" i="7" s="1"/>
  <c r="AI14" i="7"/>
  <c r="BI12" i="7"/>
  <c r="BF12" i="7"/>
  <c r="BL12" i="7" s="1"/>
  <c r="BF18" i="7"/>
  <c r="BL18" i="7" s="1"/>
  <c r="BI18" i="7"/>
  <c r="BG10" i="7"/>
  <c r="BM10" i="7" s="1"/>
  <c r="BJ10" i="7"/>
  <c r="AG11" i="7"/>
  <c r="AD11" i="7"/>
  <c r="AJ11" i="7" s="1"/>
  <c r="BH9" i="7"/>
  <c r="BN9" i="7" s="1"/>
  <c r="BK9" i="7"/>
  <c r="BH20" i="7"/>
  <c r="BN20" i="7" s="1"/>
  <c r="BK20" i="7"/>
  <c r="BG8" i="7"/>
  <c r="BJ8" i="7"/>
  <c r="AG9" i="7"/>
  <c r="AD9" i="7"/>
  <c r="AJ9" i="7" s="1"/>
  <c r="BH15" i="7"/>
  <c r="BN15" i="7" s="1"/>
  <c r="BK15" i="7"/>
  <c r="BH11" i="7"/>
  <c r="BN11" i="7" s="1"/>
  <c r="BK11" i="7"/>
  <c r="AD20" i="7"/>
  <c r="AJ20" i="7" s="1"/>
  <c r="AG20" i="7"/>
  <c r="AE16" i="7"/>
  <c r="AK16" i="7" s="1"/>
  <c r="AH16" i="7"/>
  <c r="AD8" i="7"/>
  <c r="AG8" i="7"/>
  <c r="BF21" i="7"/>
  <c r="BL21" i="7" s="1"/>
  <c r="BI21" i="7"/>
  <c r="BG13" i="7"/>
  <c r="BM13" i="7" s="1"/>
  <c r="BJ13" i="7"/>
  <c r="AE14" i="7"/>
  <c r="AK14" i="7" s="1"/>
  <c r="AH14" i="7"/>
  <c r="BG16" i="7"/>
  <c r="BM16" i="7" s="1"/>
  <c r="BJ16" i="7"/>
  <c r="BG12" i="7"/>
  <c r="BM12" i="7" s="1"/>
  <c r="BX12" i="7" s="1"/>
  <c r="BJ12" i="7"/>
  <c r="AF21" i="7"/>
  <c r="AL21" i="7" s="1"/>
  <c r="AI21" i="7"/>
  <c r="AF13" i="7"/>
  <c r="AL13" i="7" s="1"/>
  <c r="AI13" i="7"/>
  <c r="BH18" i="7"/>
  <c r="BN18" i="7" s="1"/>
  <c r="BK18" i="7"/>
  <c r="BG14" i="7"/>
  <c r="BM14" i="7" s="1"/>
  <c r="BJ14" i="7"/>
  <c r="AE15" i="7"/>
  <c r="AK15" i="7" s="1"/>
  <c r="AH15" i="7"/>
  <c r="BQ15" i="7" s="1"/>
  <c r="AF11" i="7"/>
  <c r="AL11" i="7" s="1"/>
  <c r="AI11" i="7"/>
  <c r="BK17" i="7"/>
  <c r="BH17" i="7"/>
  <c r="BN17" i="7" s="1"/>
  <c r="BF9" i="7"/>
  <c r="BL9" i="7" s="1"/>
  <c r="BI9" i="7"/>
  <c r="AE10" i="7"/>
  <c r="AK10" i="7" s="1"/>
  <c r="AH10" i="7"/>
  <c r="BQ10" i="7" s="1"/>
  <c r="BF20" i="7"/>
  <c r="BL20" i="7" s="1"/>
  <c r="BI20" i="7"/>
  <c r="BF8" i="7"/>
  <c r="BI8" i="7"/>
  <c r="AD17" i="7"/>
  <c r="AJ17" i="7" s="1"/>
  <c r="AG17" i="7"/>
  <c r="AH9" i="7"/>
  <c r="AE9" i="7"/>
  <c r="AK9" i="7" s="1"/>
  <c r="AF12" i="7"/>
  <c r="AL12" i="7" s="1"/>
  <c r="AI12" i="7"/>
  <c r="AE8" i="7"/>
  <c r="AH8" i="7"/>
  <c r="BH12" i="7"/>
  <c r="BN12" i="7" s="1"/>
  <c r="BK12" i="7"/>
  <c r="AE21" i="7"/>
  <c r="AK21" i="7" s="1"/>
  <c r="AH21" i="7"/>
  <c r="BH10" i="7"/>
  <c r="BN10" i="7" s="1"/>
  <c r="BK10" i="7"/>
  <c r="AF19" i="7"/>
  <c r="AL19" i="7" s="1"/>
  <c r="AI19" i="7"/>
  <c r="AD10" i="7"/>
  <c r="AJ10" i="7" s="1"/>
  <c r="AG10" i="7"/>
  <c r="BF11" i="7"/>
  <c r="BL11" i="7" s="1"/>
  <c r="BI11" i="7"/>
  <c r="AD16" i="7"/>
  <c r="AJ16" i="7" s="1"/>
  <c r="AG16" i="7"/>
  <c r="BH21" i="7"/>
  <c r="BN21" i="7" s="1"/>
  <c r="BK21" i="7"/>
  <c r="BK16" i="7"/>
  <c r="BH16" i="7"/>
  <c r="BN16" i="7" s="1"/>
  <c r="AE13" i="7"/>
  <c r="AK13" i="7" s="1"/>
  <c r="AH13" i="7"/>
  <c r="BQ13" i="7" s="1"/>
  <c r="BF14" i="7"/>
  <c r="BL14" i="7" s="1"/>
  <c r="BI14" i="7"/>
  <c r="AG19" i="7"/>
  <c r="AD19" i="7"/>
  <c r="AJ19" i="7" s="1"/>
  <c r="AD18" i="7"/>
  <c r="AJ18" i="7" s="1"/>
  <c r="AG18" i="7"/>
  <c r="BH19" i="7"/>
  <c r="BN19" i="7" s="1"/>
  <c r="BK19" i="7"/>
  <c r="BF15" i="7"/>
  <c r="BL15" i="7" s="1"/>
  <c r="BI15" i="7"/>
  <c r="BG11" i="7"/>
  <c r="BM11" i="7" s="1"/>
  <c r="BJ11" i="7"/>
  <c r="AE20" i="7"/>
  <c r="AK20" i="7" s="1"/>
  <c r="AH20" i="7"/>
  <c r="AD12" i="7"/>
  <c r="AJ12" i="7" s="1"/>
  <c r="AG12" i="7"/>
  <c r="AF8" i="7"/>
  <c r="AI8" i="7"/>
  <c r="BG21" i="7"/>
  <c r="BM21" i="7" s="1"/>
  <c r="BX21" i="7" s="1"/>
  <c r="BJ21" i="7"/>
  <c r="AD14" i="7"/>
  <c r="AJ14" i="7" s="1"/>
  <c r="AG14" i="7"/>
  <c r="BF16" i="7"/>
  <c r="BL16" i="7" s="1"/>
  <c r="BI16" i="7"/>
  <c r="AD21" i="7"/>
  <c r="AJ21" i="7" s="1"/>
  <c r="AG21" i="7"/>
  <c r="AD13" i="7"/>
  <c r="AJ13" i="7" s="1"/>
  <c r="AG13" i="7"/>
  <c r="BG18" i="7"/>
  <c r="BM18" i="7" s="1"/>
  <c r="BJ18" i="7"/>
  <c r="BF10" i="7"/>
  <c r="BL10" i="7" s="1"/>
  <c r="BI10" i="7"/>
  <c r="AH19" i="7"/>
  <c r="AE19" i="7"/>
  <c r="AK19" i="7" s="1"/>
  <c r="AG15" i="7"/>
  <c r="AD15" i="7"/>
  <c r="AJ15" i="7" s="1"/>
  <c r="AE11" i="7"/>
  <c r="AK11" i="7" s="1"/>
  <c r="AH11" i="7"/>
  <c r="BF17" i="7"/>
  <c r="BL17" i="7" s="1"/>
  <c r="BI17" i="7"/>
  <c r="BG9" i="7"/>
  <c r="BM9" i="7" s="1"/>
  <c r="BJ9" i="7"/>
  <c r="AE18" i="7"/>
  <c r="AK18" i="7" s="1"/>
  <c r="AH18" i="7"/>
  <c r="AF10" i="7"/>
  <c r="AL10" i="7" s="1"/>
  <c r="AI10" i="7"/>
  <c r="BG20" i="7"/>
  <c r="BM20" i="7" s="1"/>
  <c r="BJ20" i="7"/>
  <c r="AF17" i="7"/>
  <c r="AL17" i="7" s="1"/>
  <c r="AI17" i="7"/>
  <c r="AF9" i="7"/>
  <c r="AL9" i="7" s="1"/>
  <c r="AI9" i="7"/>
  <c r="E43" i="7"/>
  <c r="E42" i="7"/>
  <c r="AN38" i="7"/>
  <c r="AP39" i="7" s="1"/>
  <c r="AM38" i="7"/>
  <c r="L38" i="7"/>
  <c r="N39" i="7" s="1"/>
  <c r="K38" i="7"/>
  <c r="E38" i="7"/>
  <c r="D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AL7" i="7"/>
  <c r="AK7" i="7"/>
  <c r="AJ7" i="7"/>
  <c r="AC7" i="7"/>
  <c r="AB7" i="7"/>
  <c r="AA7" i="7"/>
  <c r="BX14" i="7" l="1"/>
  <c r="BQ8" i="7"/>
  <c r="BQ19" i="7"/>
  <c r="CM26" i="7"/>
  <c r="CH26" i="7"/>
  <c r="CD26" i="7"/>
  <c r="CI26" i="7"/>
  <c r="CE26" i="7"/>
  <c r="CF26" i="7"/>
  <c r="CK26" i="7"/>
  <c r="CG26" i="7"/>
  <c r="CJ26" i="7"/>
  <c r="CM30" i="7"/>
  <c r="CH30" i="7"/>
  <c r="CD30" i="7"/>
  <c r="CI30" i="7"/>
  <c r="CE30" i="7"/>
  <c r="CF30" i="7"/>
  <c r="CG30" i="7"/>
  <c r="CJ30" i="7"/>
  <c r="CK30" i="7"/>
  <c r="CM24" i="7"/>
  <c r="CH24" i="7"/>
  <c r="CD24" i="7"/>
  <c r="CI24" i="7"/>
  <c r="CE24" i="7"/>
  <c r="CJ24" i="7"/>
  <c r="CF24" i="7"/>
  <c r="CK24" i="7"/>
  <c r="CG24" i="7"/>
  <c r="CM28" i="7"/>
  <c r="CH28" i="7"/>
  <c r="CD28" i="7"/>
  <c r="CF28" i="7"/>
  <c r="CG28" i="7"/>
  <c r="CI28" i="7"/>
  <c r="CE28" i="7"/>
  <c r="CK28" i="7"/>
  <c r="CJ28" i="7"/>
  <c r="CM32" i="7"/>
  <c r="CH32" i="7"/>
  <c r="CD32" i="7"/>
  <c r="CI32" i="7"/>
  <c r="CE32" i="7"/>
  <c r="CJ32" i="7"/>
  <c r="CF32" i="7"/>
  <c r="CK32" i="7"/>
  <c r="CG32" i="7"/>
  <c r="CM36" i="7"/>
  <c r="CH36" i="7"/>
  <c r="CD36" i="7"/>
  <c r="CG36" i="7"/>
  <c r="CF36" i="7"/>
  <c r="CI36" i="7"/>
  <c r="CE36" i="7"/>
  <c r="CK36" i="7"/>
  <c r="CJ36" i="7"/>
  <c r="CM25" i="7"/>
  <c r="CH25" i="7"/>
  <c r="CD25" i="7"/>
  <c r="CI25" i="7"/>
  <c r="CE25" i="7"/>
  <c r="CG25" i="7"/>
  <c r="CJ25" i="7"/>
  <c r="CF25" i="7"/>
  <c r="CK25" i="7"/>
  <c r="CM29" i="7"/>
  <c r="CH29" i="7"/>
  <c r="CD29" i="7"/>
  <c r="CI29" i="7"/>
  <c r="CE29" i="7"/>
  <c r="CJ29" i="7"/>
  <c r="CF29" i="7"/>
  <c r="CK29" i="7"/>
  <c r="CG29" i="7"/>
  <c r="CM33" i="7"/>
  <c r="CH33" i="7"/>
  <c r="CD33" i="7"/>
  <c r="CG33" i="7"/>
  <c r="CF33" i="7"/>
  <c r="CI33" i="7"/>
  <c r="CE33" i="7"/>
  <c r="CK33" i="7"/>
  <c r="CJ33" i="7"/>
  <c r="CM37" i="7"/>
  <c r="CH37" i="7"/>
  <c r="CD37" i="7"/>
  <c r="CF37" i="7"/>
  <c r="CG37" i="7"/>
  <c r="CI37" i="7"/>
  <c r="CE37" i="7"/>
  <c r="CJ37" i="7"/>
  <c r="CK37" i="7"/>
  <c r="CH22" i="7"/>
  <c r="CD22" i="7"/>
  <c r="CI22" i="7"/>
  <c r="CL41" i="7" s="1"/>
  <c r="CE22" i="7"/>
  <c r="CF22" i="7"/>
  <c r="CK22" i="7"/>
  <c r="CG22" i="7"/>
  <c r="CJ22" i="7"/>
  <c r="CM34" i="7"/>
  <c r="CD34" i="7"/>
  <c r="CE34" i="7"/>
  <c r="CH34" i="7"/>
  <c r="CI34" i="7"/>
  <c r="CF34" i="7"/>
  <c r="CJ34" i="7"/>
  <c r="CK34" i="7"/>
  <c r="CG34" i="7"/>
  <c r="CM23" i="7"/>
  <c r="CH23" i="7"/>
  <c r="CD23" i="7"/>
  <c r="CI23" i="7"/>
  <c r="CE23" i="7"/>
  <c r="CG23" i="7"/>
  <c r="CJ23" i="7"/>
  <c r="CF23" i="7"/>
  <c r="CK23" i="7"/>
  <c r="CM27" i="7"/>
  <c r="CH27" i="7"/>
  <c r="CD27" i="7"/>
  <c r="CI27" i="7"/>
  <c r="CE27" i="7"/>
  <c r="CF27" i="7"/>
  <c r="CK27" i="7"/>
  <c r="CG27" i="7"/>
  <c r="CJ27" i="7"/>
  <c r="CM31" i="7"/>
  <c r="CH31" i="7"/>
  <c r="CD31" i="7"/>
  <c r="CI31" i="7"/>
  <c r="CE31" i="7"/>
  <c r="CG31" i="7"/>
  <c r="CJ31" i="7"/>
  <c r="CF31" i="7"/>
  <c r="CK31" i="7"/>
  <c r="CM35" i="7"/>
  <c r="CD35" i="7"/>
  <c r="CE35" i="7"/>
  <c r="CI35" i="7"/>
  <c r="CH35" i="7"/>
  <c r="CF35" i="7"/>
  <c r="CJ35" i="7"/>
  <c r="CK35" i="7"/>
  <c r="CG35" i="7"/>
  <c r="BQ9" i="7"/>
  <c r="BQ18" i="7"/>
  <c r="BQ17" i="7"/>
  <c r="BQ11" i="7"/>
  <c r="BQ20" i="7"/>
  <c r="BQ14" i="7"/>
  <c r="BQ16" i="7"/>
  <c r="BQ12" i="7"/>
  <c r="BQ21" i="7"/>
  <c r="A36" i="5"/>
  <c r="A56" i="5"/>
  <c r="A55" i="5"/>
  <c r="A35" i="5"/>
  <c r="A34" i="5"/>
  <c r="A54" i="5"/>
  <c r="BT25" i="7"/>
  <c r="CA25" i="7" s="1"/>
  <c r="BC25" i="7"/>
  <c r="AA25" i="7"/>
  <c r="BE25" i="7"/>
  <c r="AC25" i="7"/>
  <c r="BT33" i="7"/>
  <c r="CA33" i="7" s="1"/>
  <c r="BC33" i="7"/>
  <c r="BE33" i="7"/>
  <c r="AA33" i="7"/>
  <c r="AC33" i="7"/>
  <c r="AC37" i="7"/>
  <c r="BE37" i="7"/>
  <c r="BC37" i="7"/>
  <c r="AA37" i="7"/>
  <c r="BT37" i="7"/>
  <c r="CA37" i="7" s="1"/>
  <c r="BE22" i="7"/>
  <c r="AC22" i="7"/>
  <c r="BC22" i="7"/>
  <c r="BT22" i="7"/>
  <c r="AA22" i="7"/>
  <c r="AC30" i="7"/>
  <c r="AA30" i="7"/>
  <c r="BT30" i="7"/>
  <c r="CA30" i="7" s="1"/>
  <c r="BC30" i="7"/>
  <c r="BE30" i="7"/>
  <c r="BT23" i="7"/>
  <c r="CA23" i="7" s="1"/>
  <c r="BC23" i="7"/>
  <c r="AA23" i="7"/>
  <c r="AC23" i="7"/>
  <c r="BE23" i="7"/>
  <c r="AC27" i="7"/>
  <c r="BE27" i="7"/>
  <c r="AA27" i="7"/>
  <c r="BT27" i="7"/>
  <c r="CA27" i="7" s="1"/>
  <c r="BC27" i="7"/>
  <c r="BE31" i="7"/>
  <c r="BC31" i="7"/>
  <c r="AA31" i="7"/>
  <c r="BT31" i="7"/>
  <c r="CA31" i="7" s="1"/>
  <c r="AC31" i="7"/>
  <c r="AC35" i="7"/>
  <c r="BE35" i="7"/>
  <c r="BT35" i="7"/>
  <c r="CA35" i="7" s="1"/>
  <c r="AA35" i="7"/>
  <c r="BC35" i="7"/>
  <c r="AC29" i="7"/>
  <c r="BE29" i="7"/>
  <c r="BT29" i="7"/>
  <c r="CA29" i="7" s="1"/>
  <c r="AA29" i="7"/>
  <c r="BC29" i="7"/>
  <c r="AC26" i="7"/>
  <c r="BE26" i="7"/>
  <c r="BC26" i="7"/>
  <c r="BT26" i="7"/>
  <c r="CA26" i="7" s="1"/>
  <c r="AA26" i="7"/>
  <c r="AC34" i="7"/>
  <c r="BE34" i="7"/>
  <c r="BT34" i="7"/>
  <c r="CA34" i="7" s="1"/>
  <c r="BC34" i="7"/>
  <c r="AA34" i="7"/>
  <c r="BE24" i="7"/>
  <c r="AC24" i="7"/>
  <c r="AA24" i="7"/>
  <c r="BC24" i="7"/>
  <c r="BT24" i="7"/>
  <c r="CA24" i="7" s="1"/>
  <c r="AC28" i="7"/>
  <c r="AA28" i="7"/>
  <c r="BE28" i="7"/>
  <c r="BT28" i="7"/>
  <c r="CA28" i="7" s="1"/>
  <c r="BC28" i="7"/>
  <c r="BE32" i="7"/>
  <c r="BT32" i="7"/>
  <c r="CA32" i="7" s="1"/>
  <c r="AA32" i="7"/>
  <c r="AC32" i="7"/>
  <c r="BC32" i="7"/>
  <c r="BE36" i="7"/>
  <c r="BT36" i="7"/>
  <c r="CA36" i="7" s="1"/>
  <c r="AC36" i="7"/>
  <c r="AA36" i="7"/>
  <c r="BC36" i="7"/>
  <c r="BX20" i="7"/>
  <c r="BX11" i="7"/>
  <c r="BX16" i="7"/>
  <c r="BX13" i="7"/>
  <c r="BX10" i="7"/>
  <c r="BX15" i="7"/>
  <c r="BX9" i="7"/>
  <c r="BX18" i="7"/>
  <c r="BX19" i="7"/>
  <c r="BX17" i="7"/>
  <c r="AB29" i="7"/>
  <c r="BD29" i="7"/>
  <c r="BD37" i="7"/>
  <c r="AB37" i="7"/>
  <c r="AK8" i="7"/>
  <c r="BD26" i="7"/>
  <c r="AB26" i="7"/>
  <c r="AB34" i="7"/>
  <c r="BD34" i="7"/>
  <c r="BL8" i="7"/>
  <c r="AB24" i="7"/>
  <c r="BD24" i="7"/>
  <c r="AB28" i="7"/>
  <c r="BD28" i="7"/>
  <c r="AB32" i="7"/>
  <c r="BD32" i="7"/>
  <c r="BD36" i="7"/>
  <c r="AB36" i="7"/>
  <c r="BM8" i="7"/>
  <c r="BD25" i="7"/>
  <c r="AB25" i="7"/>
  <c r="AB33" i="7"/>
  <c r="BD33" i="7"/>
  <c r="BD22" i="7"/>
  <c r="AB22" i="7"/>
  <c r="AB30" i="7"/>
  <c r="BD30" i="7"/>
  <c r="AL8" i="7"/>
  <c r="BN8" i="7"/>
  <c r="AB23" i="7"/>
  <c r="BD23" i="7"/>
  <c r="AB27" i="7"/>
  <c r="BD27" i="7"/>
  <c r="BD31" i="7"/>
  <c r="AB31" i="7"/>
  <c r="BD35" i="7"/>
  <c r="AB35" i="7"/>
  <c r="AJ8" i="7"/>
  <c r="AW7" i="1"/>
  <c r="AV7" i="1"/>
  <c r="AU7" i="1"/>
  <c r="AT7" i="1"/>
  <c r="AS7" i="1"/>
  <c r="AR7" i="1"/>
  <c r="CF38" i="7" l="1"/>
  <c r="CH38" i="7"/>
  <c r="CH41" i="7"/>
  <c r="CH42" i="7"/>
  <c r="CL42" i="7"/>
  <c r="CJ38" i="7"/>
  <c r="CJ40" i="7" s="1"/>
  <c r="CJ41" i="7"/>
  <c r="CJ42" i="7"/>
  <c r="CE38" i="7"/>
  <c r="CG38" i="7"/>
  <c r="CI38" i="7"/>
  <c r="CI40" i="7" s="1"/>
  <c r="CI41" i="7"/>
  <c r="CI42" i="7"/>
  <c r="CM38" i="7"/>
  <c r="CM40" i="7" s="1"/>
  <c r="CK41" i="7"/>
  <c r="CK42" i="7"/>
  <c r="CK38" i="7"/>
  <c r="CD38" i="7"/>
  <c r="CC44" i="7" s="1"/>
  <c r="BX8" i="7"/>
  <c r="CA22" i="7"/>
  <c r="CA38" i="7" s="1"/>
  <c r="BT38" i="7"/>
  <c r="BH35" i="7"/>
  <c r="BN35" i="7" s="1"/>
  <c r="BK35" i="7"/>
  <c r="AH31" i="7"/>
  <c r="AE31" i="7"/>
  <c r="AK31" i="7" s="1"/>
  <c r="BG31" i="7"/>
  <c r="BM31" i="7" s="1"/>
  <c r="BJ31" i="7"/>
  <c r="AF27" i="7"/>
  <c r="AL27" i="7" s="1"/>
  <c r="AI27" i="7"/>
  <c r="BH23" i="7"/>
  <c r="BN23" i="7" s="1"/>
  <c r="BK23" i="7"/>
  <c r="BF23" i="7"/>
  <c r="BL23" i="7" s="1"/>
  <c r="BI23" i="7"/>
  <c r="BF30" i="7"/>
  <c r="BL30" i="7" s="1"/>
  <c r="BI30" i="7"/>
  <c r="AI22" i="7"/>
  <c r="AF22" i="7"/>
  <c r="AC38" i="7"/>
  <c r="AD22" i="7"/>
  <c r="AG22" i="7"/>
  <c r="AA38" i="7"/>
  <c r="BK33" i="7"/>
  <c r="BH33" i="7"/>
  <c r="BN33" i="7" s="1"/>
  <c r="AE25" i="7"/>
  <c r="AK25" i="7" s="1"/>
  <c r="AH25" i="7"/>
  <c r="BQ25" i="7" s="1"/>
  <c r="AD25" i="7"/>
  <c r="AJ25" i="7" s="1"/>
  <c r="AG25" i="7"/>
  <c r="AF36" i="7"/>
  <c r="AL36" i="7" s="1"/>
  <c r="AI36" i="7"/>
  <c r="BG36" i="7"/>
  <c r="BM36" i="7" s="1"/>
  <c r="BJ36" i="7"/>
  <c r="AE32" i="7"/>
  <c r="AK32" i="7" s="1"/>
  <c r="AH32" i="7"/>
  <c r="BG28" i="7"/>
  <c r="BM28" i="7" s="1"/>
  <c r="BJ28" i="7"/>
  <c r="BH28" i="7"/>
  <c r="BN28" i="7" s="1"/>
  <c r="BK28" i="7"/>
  <c r="AF24" i="7"/>
  <c r="AL24" i="7" s="1"/>
  <c r="AI24" i="7"/>
  <c r="AF34" i="7"/>
  <c r="AL34" i="7" s="1"/>
  <c r="AI34" i="7"/>
  <c r="AF26" i="7"/>
  <c r="AL26" i="7" s="1"/>
  <c r="AI26" i="7"/>
  <c r="BG26" i="7"/>
  <c r="BM26" i="7" s="1"/>
  <c r="BJ26" i="7"/>
  <c r="AE37" i="7"/>
  <c r="AK37" i="7" s="1"/>
  <c r="AH37" i="7"/>
  <c r="AF37" i="7"/>
  <c r="AL37" i="7" s="1"/>
  <c r="AI37" i="7"/>
  <c r="BI29" i="7"/>
  <c r="BF29" i="7"/>
  <c r="BL29" i="7" s="1"/>
  <c r="BF35" i="7"/>
  <c r="BL35" i="7" s="1"/>
  <c r="BI35" i="7"/>
  <c r="AF35" i="7"/>
  <c r="AL35" i="7" s="1"/>
  <c r="AI35" i="7"/>
  <c r="AF31" i="7"/>
  <c r="AL31" i="7" s="1"/>
  <c r="AI31" i="7"/>
  <c r="BF27" i="7"/>
  <c r="BL27" i="7" s="1"/>
  <c r="BI27" i="7"/>
  <c r="BG27" i="7"/>
  <c r="BM27" i="7" s="1"/>
  <c r="BJ27" i="7"/>
  <c r="AF23" i="7"/>
  <c r="AL23" i="7" s="1"/>
  <c r="AI23" i="7"/>
  <c r="AE30" i="7"/>
  <c r="AK30" i="7" s="1"/>
  <c r="AH30" i="7"/>
  <c r="BH22" i="7"/>
  <c r="BK22" i="7"/>
  <c r="BE38" i="7"/>
  <c r="BF22" i="7"/>
  <c r="BI22" i="7"/>
  <c r="BC38" i="7"/>
  <c r="BG33" i="7"/>
  <c r="BM33" i="7" s="1"/>
  <c r="BJ33" i="7"/>
  <c r="BF33" i="7"/>
  <c r="BL33" i="7" s="1"/>
  <c r="BI33" i="7"/>
  <c r="AF25" i="7"/>
  <c r="AL25" i="7" s="1"/>
  <c r="AI25" i="7"/>
  <c r="AD36" i="7"/>
  <c r="AJ36" i="7" s="1"/>
  <c r="AG36" i="7"/>
  <c r="BK32" i="7"/>
  <c r="BH32" i="7"/>
  <c r="BN32" i="7" s="1"/>
  <c r="AF32" i="7"/>
  <c r="AL32" i="7" s="1"/>
  <c r="AI32" i="7"/>
  <c r="AD28" i="7"/>
  <c r="AJ28" i="7" s="1"/>
  <c r="AG28" i="7"/>
  <c r="BF24" i="7"/>
  <c r="BL24" i="7" s="1"/>
  <c r="BI24" i="7"/>
  <c r="AE24" i="7"/>
  <c r="AK24" i="7" s="1"/>
  <c r="AH24" i="7"/>
  <c r="AE34" i="7"/>
  <c r="AK34" i="7" s="1"/>
  <c r="AH34" i="7"/>
  <c r="AE26" i="7"/>
  <c r="AK26" i="7" s="1"/>
  <c r="BX26" i="7" s="1"/>
  <c r="AH26" i="7"/>
  <c r="BQ26" i="7" s="1"/>
  <c r="BF26" i="7"/>
  <c r="BL26" i="7" s="1"/>
  <c r="BI26" i="7"/>
  <c r="BH37" i="7"/>
  <c r="BN37" i="7" s="1"/>
  <c r="BK37" i="7"/>
  <c r="BG37" i="7"/>
  <c r="BM37" i="7" s="1"/>
  <c r="BJ37" i="7"/>
  <c r="AE29" i="7"/>
  <c r="AK29" i="7" s="1"/>
  <c r="AH29" i="7"/>
  <c r="AH35" i="7"/>
  <c r="AE35" i="7"/>
  <c r="AK35" i="7" s="1"/>
  <c r="BG35" i="7"/>
  <c r="BM35" i="7" s="1"/>
  <c r="BJ35" i="7"/>
  <c r="BH31" i="7"/>
  <c r="BN31" i="7" s="1"/>
  <c r="BK31" i="7"/>
  <c r="AG27" i="7"/>
  <c r="AD27" i="7"/>
  <c r="AJ27" i="7" s="1"/>
  <c r="AE27" i="7"/>
  <c r="AK27" i="7" s="1"/>
  <c r="AH27" i="7"/>
  <c r="BG23" i="7"/>
  <c r="BM23" i="7" s="1"/>
  <c r="BJ23" i="7"/>
  <c r="BG30" i="7"/>
  <c r="BM30" i="7" s="1"/>
  <c r="BJ30" i="7"/>
  <c r="AF30" i="7"/>
  <c r="AL30" i="7" s="1"/>
  <c r="AI30" i="7"/>
  <c r="AE22" i="7"/>
  <c r="AH22" i="7"/>
  <c r="AB38" i="7"/>
  <c r="AD33" i="7"/>
  <c r="AJ33" i="7" s="1"/>
  <c r="AG33" i="7"/>
  <c r="AF33" i="7"/>
  <c r="AL33" i="7" s="1"/>
  <c r="AI33" i="7"/>
  <c r="BG25" i="7"/>
  <c r="BM25" i="7" s="1"/>
  <c r="BJ25" i="7"/>
  <c r="BH36" i="7"/>
  <c r="BN36" i="7" s="1"/>
  <c r="BK36" i="7"/>
  <c r="BG32" i="7"/>
  <c r="BM32" i="7" s="1"/>
  <c r="BJ32" i="7"/>
  <c r="AD32" i="7"/>
  <c r="AJ32" i="7" s="1"/>
  <c r="AG32" i="7"/>
  <c r="AE28" i="7"/>
  <c r="AK28" i="7" s="1"/>
  <c r="AH28" i="7"/>
  <c r="AD24" i="7"/>
  <c r="AJ24" i="7" s="1"/>
  <c r="AG24" i="7"/>
  <c r="BH24" i="7"/>
  <c r="BN24" i="7" s="1"/>
  <c r="BK24" i="7"/>
  <c r="BG34" i="7"/>
  <c r="BM34" i="7" s="1"/>
  <c r="BJ34" i="7"/>
  <c r="BH34" i="7"/>
  <c r="BN34" i="7" s="1"/>
  <c r="BK34" i="7"/>
  <c r="BH26" i="7"/>
  <c r="BN26" i="7" s="1"/>
  <c r="BK26" i="7"/>
  <c r="BF37" i="7"/>
  <c r="BL37" i="7" s="1"/>
  <c r="BI37" i="7"/>
  <c r="AF29" i="7"/>
  <c r="AL29" i="7" s="1"/>
  <c r="AI29" i="7"/>
  <c r="AD29" i="7"/>
  <c r="AJ29" i="7" s="1"/>
  <c r="AG29" i="7"/>
  <c r="AG35" i="7"/>
  <c r="AD35" i="7"/>
  <c r="AJ35" i="7" s="1"/>
  <c r="AG31" i="7"/>
  <c r="AD31" i="7"/>
  <c r="AJ31" i="7" s="1"/>
  <c r="BF31" i="7"/>
  <c r="BL31" i="7" s="1"/>
  <c r="BI31" i="7"/>
  <c r="BH27" i="7"/>
  <c r="BN27" i="7" s="1"/>
  <c r="BK27" i="7"/>
  <c r="AD23" i="7"/>
  <c r="AJ23" i="7" s="1"/>
  <c r="AG23" i="7"/>
  <c r="AE23" i="7"/>
  <c r="AK23" i="7" s="1"/>
  <c r="AH23" i="7"/>
  <c r="BH30" i="7"/>
  <c r="BN30" i="7" s="1"/>
  <c r="BK30" i="7"/>
  <c r="AD30" i="7"/>
  <c r="AJ30" i="7" s="1"/>
  <c r="AG30" i="7"/>
  <c r="BG22" i="7"/>
  <c r="BJ22" i="7"/>
  <c r="BD38" i="7"/>
  <c r="AE33" i="7"/>
  <c r="AK33" i="7" s="1"/>
  <c r="AH33" i="7"/>
  <c r="BH25" i="7"/>
  <c r="BN25" i="7" s="1"/>
  <c r="BK25" i="7"/>
  <c r="BF25" i="7"/>
  <c r="BL25" i="7" s="1"/>
  <c r="BI25" i="7"/>
  <c r="AE36" i="7"/>
  <c r="AK36" i="7" s="1"/>
  <c r="AH36" i="7"/>
  <c r="BQ36" i="7" s="1"/>
  <c r="BF36" i="7"/>
  <c r="BL36" i="7" s="1"/>
  <c r="BI36" i="7"/>
  <c r="BF32" i="7"/>
  <c r="BL32" i="7" s="1"/>
  <c r="BI32" i="7"/>
  <c r="BI28" i="7"/>
  <c r="BF28" i="7"/>
  <c r="BL28" i="7" s="1"/>
  <c r="AF28" i="7"/>
  <c r="AL28" i="7" s="1"/>
  <c r="AI28" i="7"/>
  <c r="BG24" i="7"/>
  <c r="BM24" i="7" s="1"/>
  <c r="BJ24" i="7"/>
  <c r="BF34" i="7"/>
  <c r="BL34" i="7" s="1"/>
  <c r="BI34" i="7"/>
  <c r="AD34" i="7"/>
  <c r="AJ34" i="7" s="1"/>
  <c r="AG34" i="7"/>
  <c r="AD26" i="7"/>
  <c r="AJ26" i="7" s="1"/>
  <c r="AG26" i="7"/>
  <c r="AD37" i="7"/>
  <c r="AJ37" i="7" s="1"/>
  <c r="AG37" i="7"/>
  <c r="BG29" i="7"/>
  <c r="BM29" i="7" s="1"/>
  <c r="BJ29" i="7"/>
  <c r="BH29" i="7"/>
  <c r="BN29" i="7" s="1"/>
  <c r="BK29" i="7"/>
  <c r="BQ32" i="7" l="1"/>
  <c r="BQ24" i="7"/>
  <c r="BQ30" i="7"/>
  <c r="B36" i="5"/>
  <c r="CH40" i="7"/>
  <c r="CL40" i="7"/>
  <c r="CK40" i="7"/>
  <c r="BQ31" i="7"/>
  <c r="BQ28" i="7"/>
  <c r="BQ29" i="7"/>
  <c r="BQ33" i="7"/>
  <c r="BQ22" i="7"/>
  <c r="BQ27" i="7"/>
  <c r="BQ34" i="7"/>
  <c r="BQ37" i="7"/>
  <c r="BQ23" i="7"/>
  <c r="BQ35" i="7"/>
  <c r="B34" i="5"/>
  <c r="B35" i="5"/>
  <c r="BX36" i="7"/>
  <c r="BX24" i="7"/>
  <c r="BX30" i="7"/>
  <c r="BX32" i="7"/>
  <c r="BX25" i="7"/>
  <c r="BX33" i="7"/>
  <c r="BX27" i="7"/>
  <c r="BX23" i="7"/>
  <c r="BX28" i="7"/>
  <c r="BX31" i="7"/>
  <c r="BX29" i="7"/>
  <c r="BX35" i="7"/>
  <c r="BX34" i="7"/>
  <c r="BX37" i="7"/>
  <c r="BI38" i="7"/>
  <c r="BN22" i="7"/>
  <c r="BN38" i="7" s="1"/>
  <c r="BH38" i="7"/>
  <c r="AG38" i="7"/>
  <c r="AI38" i="7"/>
  <c r="BJ38" i="7"/>
  <c r="BL22" i="7"/>
  <c r="BL38" i="7" s="1"/>
  <c r="BF38" i="7"/>
  <c r="AJ22" i="7"/>
  <c r="AJ38" i="7" s="1"/>
  <c r="AD38" i="7"/>
  <c r="BM22" i="7"/>
  <c r="BM38" i="7" s="1"/>
  <c r="BG38" i="7"/>
  <c r="AH38" i="7"/>
  <c r="AK22" i="7"/>
  <c r="AE38" i="7"/>
  <c r="BK38" i="7"/>
  <c r="AL22" i="7"/>
  <c r="AL38" i="7" s="1"/>
  <c r="AF38" i="7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BQ38" i="7" l="1"/>
  <c r="D35" i="5" s="1"/>
  <c r="B55" i="5"/>
  <c r="C56" i="5"/>
  <c r="C34" i="5"/>
  <c r="B56" i="5"/>
  <c r="C36" i="5"/>
  <c r="BQ39" i="7"/>
  <c r="C35" i="5"/>
  <c r="C54" i="5"/>
  <c r="B54" i="5"/>
  <c r="AK38" i="7"/>
  <c r="C55" i="5" s="1"/>
  <c r="BX22" i="7"/>
  <c r="BX38" i="7" s="1"/>
  <c r="AP7" i="1"/>
  <c r="AO7" i="1"/>
  <c r="AN7" i="1"/>
  <c r="AM7" i="1"/>
  <c r="AL7" i="1"/>
  <c r="AK7" i="1"/>
  <c r="Y7" i="1"/>
  <c r="X7" i="1"/>
  <c r="W7" i="1"/>
  <c r="V7" i="1"/>
  <c r="A14" i="5" s="1"/>
  <c r="U7" i="1"/>
  <c r="A13" i="5" s="1"/>
  <c r="T7" i="1"/>
  <c r="A12" i="5" s="1"/>
  <c r="BX39" i="7" l="1"/>
  <c r="D55" i="5"/>
  <c r="AD107" i="1"/>
  <c r="AD106" i="1"/>
  <c r="AG106" i="1" s="1"/>
  <c r="AD105" i="1"/>
  <c r="AD104" i="1"/>
  <c r="AG104" i="1" s="1"/>
  <c r="AD103" i="1"/>
  <c r="AD102" i="1"/>
  <c r="AG102" i="1" s="1"/>
  <c r="AD101" i="1"/>
  <c r="AD100" i="1"/>
  <c r="AG100" i="1" s="1"/>
  <c r="AD99" i="1"/>
  <c r="AD98" i="1"/>
  <c r="AG98" i="1" s="1"/>
  <c r="AD97" i="1"/>
  <c r="AD96" i="1"/>
  <c r="AG96" i="1" s="1"/>
  <c r="AD95" i="1"/>
  <c r="AD94" i="1"/>
  <c r="AG94" i="1" s="1"/>
  <c r="AD93" i="1"/>
  <c r="AD92" i="1"/>
  <c r="AG92" i="1" s="1"/>
  <c r="AD91" i="1"/>
  <c r="AD90" i="1"/>
  <c r="AG90" i="1" s="1"/>
  <c r="AD89" i="1"/>
  <c r="AD88" i="1"/>
  <c r="AG88" i="1" s="1"/>
  <c r="AD87" i="1"/>
  <c r="AD86" i="1"/>
  <c r="AG86" i="1" s="1"/>
  <c r="AD85" i="1"/>
  <c r="AD84" i="1"/>
  <c r="AG84" i="1" s="1"/>
  <c r="AD83" i="1"/>
  <c r="AD82" i="1"/>
  <c r="AG82" i="1" s="1"/>
  <c r="AD81" i="1"/>
  <c r="AD80" i="1"/>
  <c r="AG80" i="1" s="1"/>
  <c r="AD79" i="1"/>
  <c r="AD78" i="1"/>
  <c r="AG78" i="1" s="1"/>
  <c r="AD77" i="1"/>
  <c r="AD76" i="1"/>
  <c r="AG76" i="1" s="1"/>
  <c r="AD75" i="1"/>
  <c r="AD74" i="1"/>
  <c r="AG74" i="1" s="1"/>
  <c r="AD73" i="1"/>
  <c r="AD72" i="1"/>
  <c r="AG72" i="1" s="1"/>
  <c r="AD71" i="1"/>
  <c r="AD70" i="1"/>
  <c r="AG70" i="1" s="1"/>
  <c r="AD69" i="1"/>
  <c r="AD68" i="1"/>
  <c r="AG68" i="1" s="1"/>
  <c r="AD67" i="1"/>
  <c r="AD66" i="1"/>
  <c r="AG66" i="1" s="1"/>
  <c r="AD65" i="1"/>
  <c r="AD64" i="1"/>
  <c r="AG64" i="1" s="1"/>
  <c r="AD63" i="1"/>
  <c r="AD62" i="1"/>
  <c r="AG62" i="1" s="1"/>
  <c r="AD61" i="1"/>
  <c r="AD60" i="1"/>
  <c r="AG60" i="1" s="1"/>
  <c r="AD59" i="1"/>
  <c r="AD58" i="1"/>
  <c r="AG58" i="1" s="1"/>
  <c r="AD57" i="1"/>
  <c r="AD56" i="1"/>
  <c r="AG56" i="1" s="1"/>
  <c r="AD55" i="1"/>
  <c r="AD54" i="1"/>
  <c r="AG54" i="1" s="1"/>
  <c r="AD53" i="1"/>
  <c r="AD52" i="1"/>
  <c r="AG52" i="1" s="1"/>
  <c r="AD51" i="1"/>
  <c r="AD50" i="1"/>
  <c r="AG50" i="1" s="1"/>
  <c r="AD49" i="1"/>
  <c r="AD48" i="1"/>
  <c r="AG48" i="1" s="1"/>
  <c r="AD47" i="1"/>
  <c r="AD46" i="1"/>
  <c r="AG46" i="1" s="1"/>
  <c r="AD45" i="1"/>
  <c r="AD44" i="1"/>
  <c r="AG44" i="1" s="1"/>
  <c r="AD43" i="1"/>
  <c r="AD42" i="1"/>
  <c r="AG42" i="1" s="1"/>
  <c r="AD41" i="1"/>
  <c r="AD40" i="1"/>
  <c r="AG40" i="1" s="1"/>
  <c r="AD39" i="1"/>
  <c r="AD38" i="1"/>
  <c r="AG38" i="1" s="1"/>
  <c r="AD37" i="1"/>
  <c r="AD36" i="1"/>
  <c r="AG36" i="1" s="1"/>
  <c r="AD35" i="1"/>
  <c r="AD34" i="1"/>
  <c r="AG34" i="1" s="1"/>
  <c r="AD33" i="1"/>
  <c r="AD32" i="1"/>
  <c r="AG32" i="1" s="1"/>
  <c r="AD31" i="1"/>
  <c r="AD30" i="1"/>
  <c r="AG30" i="1" s="1"/>
  <c r="AD29" i="1"/>
  <c r="AD28" i="1"/>
  <c r="AG28" i="1" s="1"/>
  <c r="AD27" i="1"/>
  <c r="AD26" i="1"/>
  <c r="AG26" i="1" s="1"/>
  <c r="AD25" i="1"/>
  <c r="AD24" i="1"/>
  <c r="AG24" i="1" s="1"/>
  <c r="AD23" i="1"/>
  <c r="AD22" i="1"/>
  <c r="AG22" i="1" s="1"/>
  <c r="AD21" i="1"/>
  <c r="AD20" i="1"/>
  <c r="AG20" i="1" s="1"/>
  <c r="AD19" i="1"/>
  <c r="AD18" i="1"/>
  <c r="AG18" i="1" s="1"/>
  <c r="AD17" i="1"/>
  <c r="AD16" i="1"/>
  <c r="AG16" i="1" s="1"/>
  <c r="AD15" i="1"/>
  <c r="AD14" i="1"/>
  <c r="AG14" i="1" s="1"/>
  <c r="AD13" i="1"/>
  <c r="AD12" i="1"/>
  <c r="AG12" i="1" s="1"/>
  <c r="AD11" i="1"/>
  <c r="AD10" i="1"/>
  <c r="AG10" i="1" s="1"/>
  <c r="AD9" i="1"/>
  <c r="M107" i="1"/>
  <c r="M106" i="1"/>
  <c r="M105" i="1"/>
  <c r="P105" i="1" s="1"/>
  <c r="M104" i="1"/>
  <c r="M103" i="1"/>
  <c r="M102" i="1"/>
  <c r="M101" i="1"/>
  <c r="P101" i="1" s="1"/>
  <c r="M100" i="1"/>
  <c r="M99" i="1"/>
  <c r="M98" i="1"/>
  <c r="M97" i="1"/>
  <c r="P97" i="1" s="1"/>
  <c r="M96" i="1"/>
  <c r="M95" i="1"/>
  <c r="M94" i="1"/>
  <c r="M93" i="1"/>
  <c r="P93" i="1" s="1"/>
  <c r="M92" i="1"/>
  <c r="M91" i="1"/>
  <c r="M90" i="1"/>
  <c r="M89" i="1"/>
  <c r="P89" i="1" s="1"/>
  <c r="M88" i="1"/>
  <c r="M87" i="1"/>
  <c r="M86" i="1"/>
  <c r="M85" i="1"/>
  <c r="P85" i="1" s="1"/>
  <c r="M84" i="1"/>
  <c r="M83" i="1"/>
  <c r="M82" i="1"/>
  <c r="M81" i="1"/>
  <c r="P81" i="1" s="1"/>
  <c r="M80" i="1"/>
  <c r="M79" i="1"/>
  <c r="M78" i="1"/>
  <c r="M77" i="1"/>
  <c r="P77" i="1" s="1"/>
  <c r="M76" i="1"/>
  <c r="M75" i="1"/>
  <c r="M74" i="1"/>
  <c r="M73" i="1"/>
  <c r="P73" i="1" s="1"/>
  <c r="M72" i="1"/>
  <c r="M71" i="1"/>
  <c r="M70" i="1"/>
  <c r="M69" i="1"/>
  <c r="P69" i="1" s="1"/>
  <c r="M68" i="1"/>
  <c r="M67" i="1"/>
  <c r="M66" i="1"/>
  <c r="M65" i="1"/>
  <c r="P65" i="1" s="1"/>
  <c r="M64" i="1"/>
  <c r="M63" i="1"/>
  <c r="M62" i="1"/>
  <c r="M61" i="1"/>
  <c r="P61" i="1" s="1"/>
  <c r="M60" i="1"/>
  <c r="M59" i="1"/>
  <c r="M58" i="1"/>
  <c r="M57" i="1"/>
  <c r="P57" i="1" s="1"/>
  <c r="M56" i="1"/>
  <c r="M55" i="1"/>
  <c r="M54" i="1"/>
  <c r="M53" i="1"/>
  <c r="P53" i="1" s="1"/>
  <c r="M52" i="1"/>
  <c r="M51" i="1"/>
  <c r="M50" i="1"/>
  <c r="M49" i="1"/>
  <c r="P49" i="1" s="1"/>
  <c r="M48" i="1"/>
  <c r="M47" i="1"/>
  <c r="M46" i="1"/>
  <c r="M45" i="1"/>
  <c r="P45" i="1" s="1"/>
  <c r="M44" i="1"/>
  <c r="M43" i="1"/>
  <c r="M42" i="1"/>
  <c r="M41" i="1"/>
  <c r="P41" i="1" s="1"/>
  <c r="M40" i="1"/>
  <c r="M39" i="1"/>
  <c r="M38" i="1"/>
  <c r="M37" i="1"/>
  <c r="P37" i="1" s="1"/>
  <c r="M36" i="1"/>
  <c r="M35" i="1"/>
  <c r="M34" i="1"/>
  <c r="M33" i="1"/>
  <c r="P33" i="1" s="1"/>
  <c r="M32" i="1"/>
  <c r="M31" i="1"/>
  <c r="M30" i="1"/>
  <c r="M29" i="1"/>
  <c r="P29" i="1" s="1"/>
  <c r="M28" i="1"/>
  <c r="M27" i="1"/>
  <c r="M26" i="1"/>
  <c r="M25" i="1"/>
  <c r="P25" i="1" s="1"/>
  <c r="M24" i="1"/>
  <c r="M23" i="1"/>
  <c r="M22" i="1"/>
  <c r="M21" i="1"/>
  <c r="P21" i="1" s="1"/>
  <c r="M20" i="1"/>
  <c r="M19" i="1"/>
  <c r="M18" i="1"/>
  <c r="M17" i="1"/>
  <c r="P17" i="1" s="1"/>
  <c r="M16" i="1"/>
  <c r="M15" i="1"/>
  <c r="M14" i="1"/>
  <c r="M13" i="1"/>
  <c r="P13" i="1" s="1"/>
  <c r="M12" i="1"/>
  <c r="M11" i="1"/>
  <c r="M10" i="1"/>
  <c r="M9" i="1"/>
  <c r="P9" i="1" s="1"/>
  <c r="AD8" i="1"/>
  <c r="M8" i="1"/>
  <c r="P14" i="1" l="1"/>
  <c r="AV14" i="1"/>
  <c r="AS14" i="1"/>
  <c r="P22" i="1"/>
  <c r="AV22" i="1" s="1"/>
  <c r="P30" i="1"/>
  <c r="AS30" i="1" s="1"/>
  <c r="P38" i="1"/>
  <c r="AV38" i="1" s="1"/>
  <c r="AS38" i="1"/>
  <c r="P50" i="1"/>
  <c r="AS50" i="1" s="1"/>
  <c r="P58" i="1"/>
  <c r="AV58" i="1" s="1"/>
  <c r="P66" i="1"/>
  <c r="P74" i="1"/>
  <c r="AV74" i="1" s="1"/>
  <c r="P82" i="1"/>
  <c r="AS82" i="1" s="1"/>
  <c r="P94" i="1"/>
  <c r="AV94" i="1" s="1"/>
  <c r="P102" i="1"/>
  <c r="AS102" i="1" s="1"/>
  <c r="P15" i="1"/>
  <c r="AV15" i="1" s="1"/>
  <c r="P23" i="1"/>
  <c r="AV23" i="1" s="1"/>
  <c r="P31" i="1"/>
  <c r="P39" i="1"/>
  <c r="AV39" i="1" s="1"/>
  <c r="P47" i="1"/>
  <c r="AV47" i="1" s="1"/>
  <c r="P55" i="1"/>
  <c r="AV55" i="1" s="1"/>
  <c r="P63" i="1"/>
  <c r="P71" i="1"/>
  <c r="P79" i="1"/>
  <c r="P87" i="1"/>
  <c r="P95" i="1"/>
  <c r="P103" i="1"/>
  <c r="P11" i="1"/>
  <c r="AV11" i="1" s="1"/>
  <c r="P19" i="1"/>
  <c r="AV19" i="1" s="1"/>
  <c r="P27" i="1"/>
  <c r="AV27" i="1" s="1"/>
  <c r="P35" i="1"/>
  <c r="AV35" i="1" s="1"/>
  <c r="P43" i="1"/>
  <c r="AV43" i="1" s="1"/>
  <c r="P51" i="1"/>
  <c r="AV51" i="1" s="1"/>
  <c r="P59" i="1"/>
  <c r="P67" i="1"/>
  <c r="P75" i="1"/>
  <c r="P83" i="1"/>
  <c r="P91" i="1"/>
  <c r="P99" i="1"/>
  <c r="P107" i="1"/>
  <c r="AG8" i="1"/>
  <c r="AL8" i="1" s="1"/>
  <c r="U9" i="1"/>
  <c r="X9" i="1" s="1"/>
  <c r="V9" i="1"/>
  <c r="Y9" i="1" s="1"/>
  <c r="T9" i="1"/>
  <c r="W9" i="1" s="1"/>
  <c r="U13" i="1"/>
  <c r="X13" i="1" s="1"/>
  <c r="V13" i="1"/>
  <c r="Y13" i="1" s="1"/>
  <c r="T13" i="1"/>
  <c r="W13" i="1" s="1"/>
  <c r="U17" i="1"/>
  <c r="X17" i="1" s="1"/>
  <c r="V17" i="1"/>
  <c r="Y17" i="1" s="1"/>
  <c r="T17" i="1"/>
  <c r="W17" i="1" s="1"/>
  <c r="U21" i="1"/>
  <c r="X21" i="1" s="1"/>
  <c r="V21" i="1"/>
  <c r="Y21" i="1" s="1"/>
  <c r="T21" i="1"/>
  <c r="W21" i="1" s="1"/>
  <c r="U25" i="1"/>
  <c r="X25" i="1" s="1"/>
  <c r="V25" i="1"/>
  <c r="Y25" i="1" s="1"/>
  <c r="T25" i="1"/>
  <c r="W25" i="1" s="1"/>
  <c r="U29" i="1"/>
  <c r="X29" i="1" s="1"/>
  <c r="V29" i="1"/>
  <c r="Y29" i="1" s="1"/>
  <c r="T29" i="1"/>
  <c r="W29" i="1" s="1"/>
  <c r="U33" i="1"/>
  <c r="X33" i="1" s="1"/>
  <c r="V33" i="1"/>
  <c r="Y33" i="1" s="1"/>
  <c r="T33" i="1"/>
  <c r="W33" i="1" s="1"/>
  <c r="U37" i="1"/>
  <c r="X37" i="1" s="1"/>
  <c r="V37" i="1"/>
  <c r="Y37" i="1" s="1"/>
  <c r="T37" i="1"/>
  <c r="W37" i="1" s="1"/>
  <c r="V41" i="1"/>
  <c r="Y41" i="1" s="1"/>
  <c r="U41" i="1"/>
  <c r="X41" i="1" s="1"/>
  <c r="T41" i="1"/>
  <c r="W41" i="1" s="1"/>
  <c r="V45" i="1"/>
  <c r="Y45" i="1" s="1"/>
  <c r="U45" i="1"/>
  <c r="X45" i="1" s="1"/>
  <c r="T45" i="1"/>
  <c r="W45" i="1" s="1"/>
  <c r="V49" i="1"/>
  <c r="Y49" i="1" s="1"/>
  <c r="U49" i="1"/>
  <c r="X49" i="1" s="1"/>
  <c r="T49" i="1"/>
  <c r="W49" i="1" s="1"/>
  <c r="V53" i="1"/>
  <c r="Y53" i="1" s="1"/>
  <c r="U53" i="1"/>
  <c r="X53" i="1" s="1"/>
  <c r="T53" i="1"/>
  <c r="W53" i="1" s="1"/>
  <c r="AK10" i="1"/>
  <c r="AN10" i="1" s="1"/>
  <c r="AL10" i="1"/>
  <c r="AO10" i="1" s="1"/>
  <c r="AM10" i="1"/>
  <c r="AP10" i="1" s="1"/>
  <c r="AK14" i="1"/>
  <c r="AN14" i="1" s="1"/>
  <c r="AL14" i="1"/>
  <c r="AO14" i="1" s="1"/>
  <c r="AM14" i="1"/>
  <c r="AP14" i="1" s="1"/>
  <c r="AK18" i="1"/>
  <c r="AN18" i="1" s="1"/>
  <c r="AM18" i="1"/>
  <c r="AP18" i="1" s="1"/>
  <c r="AL18" i="1"/>
  <c r="AO18" i="1" s="1"/>
  <c r="AL22" i="1"/>
  <c r="AO22" i="1" s="1"/>
  <c r="AK22" i="1"/>
  <c r="AN22" i="1" s="1"/>
  <c r="AM22" i="1"/>
  <c r="AP22" i="1" s="1"/>
  <c r="AM26" i="1"/>
  <c r="AP26" i="1" s="1"/>
  <c r="AK26" i="1"/>
  <c r="AN26" i="1" s="1"/>
  <c r="AL26" i="1"/>
  <c r="AO26" i="1" s="1"/>
  <c r="AK30" i="1"/>
  <c r="AN30" i="1" s="1"/>
  <c r="AM30" i="1"/>
  <c r="AP30" i="1" s="1"/>
  <c r="AL30" i="1"/>
  <c r="AO30" i="1" s="1"/>
  <c r="AK34" i="1"/>
  <c r="AN34" i="1" s="1"/>
  <c r="AM34" i="1"/>
  <c r="AP34" i="1" s="1"/>
  <c r="AL34" i="1"/>
  <c r="AO34" i="1" s="1"/>
  <c r="AL38" i="1"/>
  <c r="AO38" i="1" s="1"/>
  <c r="AK38" i="1"/>
  <c r="AN38" i="1" s="1"/>
  <c r="AM38" i="1"/>
  <c r="AP38" i="1" s="1"/>
  <c r="AK42" i="1"/>
  <c r="AN42" i="1" s="1"/>
  <c r="AM42" i="1"/>
  <c r="AP42" i="1" s="1"/>
  <c r="AL42" i="1"/>
  <c r="AO42" i="1" s="1"/>
  <c r="AL46" i="1"/>
  <c r="AO46" i="1" s="1"/>
  <c r="AK46" i="1"/>
  <c r="AN46" i="1" s="1"/>
  <c r="AM46" i="1"/>
  <c r="AP46" i="1" s="1"/>
  <c r="AK50" i="1"/>
  <c r="AN50" i="1" s="1"/>
  <c r="AM50" i="1"/>
  <c r="AP50" i="1" s="1"/>
  <c r="AL50" i="1"/>
  <c r="AO50" i="1" s="1"/>
  <c r="AL54" i="1"/>
  <c r="AO54" i="1" s="1"/>
  <c r="AM54" i="1"/>
  <c r="AP54" i="1" s="1"/>
  <c r="AK54" i="1"/>
  <c r="AN54" i="1" s="1"/>
  <c r="AG9" i="1"/>
  <c r="AM9" i="1" s="1"/>
  <c r="AP9" i="1" s="1"/>
  <c r="AG13" i="1"/>
  <c r="AL13" i="1" s="1"/>
  <c r="AO13" i="1" s="1"/>
  <c r="AG17" i="1"/>
  <c r="AL17" i="1" s="1"/>
  <c r="AO17" i="1" s="1"/>
  <c r="AG21" i="1"/>
  <c r="AM21" i="1" s="1"/>
  <c r="AP21" i="1" s="1"/>
  <c r="AG25" i="1"/>
  <c r="AK25" i="1" s="1"/>
  <c r="AN25" i="1" s="1"/>
  <c r="AG29" i="1"/>
  <c r="AK29" i="1" s="1"/>
  <c r="AN29" i="1" s="1"/>
  <c r="AG33" i="1"/>
  <c r="AL33" i="1" s="1"/>
  <c r="AO33" i="1" s="1"/>
  <c r="AG37" i="1"/>
  <c r="AK37" i="1" s="1"/>
  <c r="AN37" i="1" s="1"/>
  <c r="AG41" i="1"/>
  <c r="AM41" i="1" s="1"/>
  <c r="AP41" i="1" s="1"/>
  <c r="AG45" i="1"/>
  <c r="AK45" i="1" s="1"/>
  <c r="AN45" i="1" s="1"/>
  <c r="AG49" i="1"/>
  <c r="AL49" i="1" s="1"/>
  <c r="AO49" i="1" s="1"/>
  <c r="AG53" i="1"/>
  <c r="AL53" i="1" s="1"/>
  <c r="AO53" i="1" s="1"/>
  <c r="AG57" i="1"/>
  <c r="AG61" i="1"/>
  <c r="AG65" i="1"/>
  <c r="AV65" i="1" s="1"/>
  <c r="AG69" i="1"/>
  <c r="AG73" i="1"/>
  <c r="AG77" i="1"/>
  <c r="AS77" i="1" s="1"/>
  <c r="AG81" i="1"/>
  <c r="AV81" i="1" s="1"/>
  <c r="AG85" i="1"/>
  <c r="AG89" i="1"/>
  <c r="AG93" i="1"/>
  <c r="AS93" i="1" s="1"/>
  <c r="AG97" i="1"/>
  <c r="AV97" i="1" s="1"/>
  <c r="AG101" i="1"/>
  <c r="AG105" i="1"/>
  <c r="P10" i="1"/>
  <c r="V10" i="1" s="1"/>
  <c r="Y10" i="1" s="1"/>
  <c r="P18" i="1"/>
  <c r="U18" i="1" s="1"/>
  <c r="X18" i="1" s="1"/>
  <c r="P26" i="1"/>
  <c r="T26" i="1" s="1"/>
  <c r="W26" i="1" s="1"/>
  <c r="P34" i="1"/>
  <c r="U34" i="1" s="1"/>
  <c r="X34" i="1" s="1"/>
  <c r="P42" i="1"/>
  <c r="V42" i="1" s="1"/>
  <c r="Y42" i="1" s="1"/>
  <c r="P46" i="1"/>
  <c r="U46" i="1" s="1"/>
  <c r="X46" i="1" s="1"/>
  <c r="P54" i="1"/>
  <c r="U54" i="1" s="1"/>
  <c r="X54" i="1" s="1"/>
  <c r="P62" i="1"/>
  <c r="AV62" i="1" s="1"/>
  <c r="P70" i="1"/>
  <c r="AV70" i="1" s="1"/>
  <c r="P78" i="1"/>
  <c r="AV78" i="1" s="1"/>
  <c r="P86" i="1"/>
  <c r="P90" i="1"/>
  <c r="AS90" i="1" s="1"/>
  <c r="P98" i="1"/>
  <c r="AS98" i="1" s="1"/>
  <c r="P106" i="1"/>
  <c r="AV106" i="1" s="1"/>
  <c r="V14" i="1"/>
  <c r="Y14" i="1" s="1"/>
  <c r="U14" i="1"/>
  <c r="X14" i="1" s="1"/>
  <c r="T14" i="1"/>
  <c r="W14" i="1" s="1"/>
  <c r="V22" i="1"/>
  <c r="Y22" i="1" s="1"/>
  <c r="U22" i="1"/>
  <c r="X22" i="1" s="1"/>
  <c r="T22" i="1"/>
  <c r="W22" i="1" s="1"/>
  <c r="V30" i="1"/>
  <c r="Y30" i="1" s="1"/>
  <c r="U30" i="1"/>
  <c r="X30" i="1" s="1"/>
  <c r="T30" i="1"/>
  <c r="W30" i="1" s="1"/>
  <c r="V38" i="1"/>
  <c r="Y38" i="1" s="1"/>
  <c r="U38" i="1"/>
  <c r="X38" i="1" s="1"/>
  <c r="T38" i="1"/>
  <c r="W38" i="1" s="1"/>
  <c r="V50" i="1"/>
  <c r="Y50" i="1" s="1"/>
  <c r="U50" i="1"/>
  <c r="X50" i="1" s="1"/>
  <c r="T50" i="1"/>
  <c r="W50" i="1" s="1"/>
  <c r="V11" i="1"/>
  <c r="Y11" i="1" s="1"/>
  <c r="U11" i="1"/>
  <c r="X11" i="1" s="1"/>
  <c r="T11" i="1"/>
  <c r="W11" i="1" s="1"/>
  <c r="V15" i="1"/>
  <c r="Y15" i="1" s="1"/>
  <c r="T15" i="1"/>
  <c r="W15" i="1" s="1"/>
  <c r="U15" i="1"/>
  <c r="X15" i="1" s="1"/>
  <c r="V19" i="1"/>
  <c r="Y19" i="1" s="1"/>
  <c r="U19" i="1"/>
  <c r="X19" i="1" s="1"/>
  <c r="T19" i="1"/>
  <c r="W19" i="1" s="1"/>
  <c r="V23" i="1"/>
  <c r="Y23" i="1" s="1"/>
  <c r="T23" i="1"/>
  <c r="W23" i="1" s="1"/>
  <c r="U23" i="1"/>
  <c r="X23" i="1" s="1"/>
  <c r="V27" i="1"/>
  <c r="Y27" i="1" s="1"/>
  <c r="U27" i="1"/>
  <c r="X27" i="1" s="1"/>
  <c r="T27" i="1"/>
  <c r="W27" i="1" s="1"/>
  <c r="V31" i="1"/>
  <c r="Y31" i="1" s="1"/>
  <c r="T31" i="1"/>
  <c r="W31" i="1" s="1"/>
  <c r="U31" i="1"/>
  <c r="X31" i="1" s="1"/>
  <c r="V35" i="1"/>
  <c r="Y35" i="1" s="1"/>
  <c r="T35" i="1"/>
  <c r="W35" i="1" s="1"/>
  <c r="U35" i="1"/>
  <c r="X35" i="1" s="1"/>
  <c r="V39" i="1"/>
  <c r="Y39" i="1" s="1"/>
  <c r="T39" i="1"/>
  <c r="W39" i="1" s="1"/>
  <c r="U39" i="1"/>
  <c r="X39" i="1" s="1"/>
  <c r="V43" i="1"/>
  <c r="Y43" i="1" s="1"/>
  <c r="U43" i="1"/>
  <c r="X43" i="1" s="1"/>
  <c r="T43" i="1"/>
  <c r="W43" i="1" s="1"/>
  <c r="V47" i="1"/>
  <c r="Y47" i="1" s="1"/>
  <c r="U47" i="1"/>
  <c r="X47" i="1" s="1"/>
  <c r="T47" i="1"/>
  <c r="W47" i="1" s="1"/>
  <c r="U51" i="1"/>
  <c r="X51" i="1" s="1"/>
  <c r="V51" i="1"/>
  <c r="Y51" i="1" s="1"/>
  <c r="T51" i="1"/>
  <c r="W51" i="1" s="1"/>
  <c r="V55" i="1"/>
  <c r="Y55" i="1" s="1"/>
  <c r="U55" i="1"/>
  <c r="X55" i="1" s="1"/>
  <c r="T55" i="1"/>
  <c r="W55" i="1" s="1"/>
  <c r="AL12" i="1"/>
  <c r="AO12" i="1" s="1"/>
  <c r="AK12" i="1"/>
  <c r="AN12" i="1" s="1"/>
  <c r="AM12" i="1"/>
  <c r="AP12" i="1" s="1"/>
  <c r="AK16" i="1"/>
  <c r="AN16" i="1" s="1"/>
  <c r="AM16" i="1"/>
  <c r="AP16" i="1" s="1"/>
  <c r="AL16" i="1"/>
  <c r="AO16" i="1" s="1"/>
  <c r="AK20" i="1"/>
  <c r="AN20" i="1" s="1"/>
  <c r="AL20" i="1"/>
  <c r="AO20" i="1" s="1"/>
  <c r="AM20" i="1"/>
  <c r="AP20" i="1" s="1"/>
  <c r="AM24" i="1"/>
  <c r="AP24" i="1" s="1"/>
  <c r="AK24" i="1"/>
  <c r="AN24" i="1" s="1"/>
  <c r="AL24" i="1"/>
  <c r="AO24" i="1" s="1"/>
  <c r="AL28" i="1"/>
  <c r="AO28" i="1" s="1"/>
  <c r="AK28" i="1"/>
  <c r="AN28" i="1" s="1"/>
  <c r="AM28" i="1"/>
  <c r="AP28" i="1" s="1"/>
  <c r="AK32" i="1"/>
  <c r="AN32" i="1" s="1"/>
  <c r="AL32" i="1"/>
  <c r="AO32" i="1" s="1"/>
  <c r="AM32" i="1"/>
  <c r="AP32" i="1" s="1"/>
  <c r="AM36" i="1"/>
  <c r="AP36" i="1" s="1"/>
  <c r="AK36" i="1"/>
  <c r="AN36" i="1" s="1"/>
  <c r="AL36" i="1"/>
  <c r="AO36" i="1" s="1"/>
  <c r="AM40" i="1"/>
  <c r="AP40" i="1" s="1"/>
  <c r="AL40" i="1"/>
  <c r="AO40" i="1" s="1"/>
  <c r="AK40" i="1"/>
  <c r="AN40" i="1" s="1"/>
  <c r="AM44" i="1"/>
  <c r="AP44" i="1" s="1"/>
  <c r="AK44" i="1"/>
  <c r="AN44" i="1" s="1"/>
  <c r="AL44" i="1"/>
  <c r="AO44" i="1" s="1"/>
  <c r="AK48" i="1"/>
  <c r="AN48" i="1" s="1"/>
  <c r="AM48" i="1"/>
  <c r="AP48" i="1" s="1"/>
  <c r="AL48" i="1"/>
  <c r="AO48" i="1" s="1"/>
  <c r="AM52" i="1"/>
  <c r="AP52" i="1" s="1"/>
  <c r="AK52" i="1"/>
  <c r="AN52" i="1" s="1"/>
  <c r="AL52" i="1"/>
  <c r="AO52" i="1" s="1"/>
  <c r="AM56" i="1"/>
  <c r="AP56" i="1" s="1"/>
  <c r="AL56" i="1"/>
  <c r="AO56" i="1" s="1"/>
  <c r="AK56" i="1"/>
  <c r="AN56" i="1" s="1"/>
  <c r="P8" i="1"/>
  <c r="V8" i="1" s="1"/>
  <c r="AG11" i="1"/>
  <c r="AS11" i="1" s="1"/>
  <c r="AG15" i="1"/>
  <c r="AM15" i="1" s="1"/>
  <c r="AP15" i="1" s="1"/>
  <c r="AG19" i="1"/>
  <c r="AG23" i="1"/>
  <c r="AL23" i="1" s="1"/>
  <c r="AO23" i="1" s="1"/>
  <c r="AG27" i="1"/>
  <c r="AS27" i="1" s="1"/>
  <c r="AG31" i="1"/>
  <c r="AM31" i="1" s="1"/>
  <c r="AP31" i="1" s="1"/>
  <c r="AG35" i="1"/>
  <c r="AS35" i="1" s="1"/>
  <c r="AG39" i="1"/>
  <c r="AK39" i="1" s="1"/>
  <c r="AN39" i="1" s="1"/>
  <c r="AG43" i="1"/>
  <c r="AS43" i="1" s="1"/>
  <c r="AG47" i="1"/>
  <c r="AL47" i="1" s="1"/>
  <c r="AO47" i="1" s="1"/>
  <c r="AG51" i="1"/>
  <c r="AG55" i="1"/>
  <c r="AM55" i="1" s="1"/>
  <c r="AP55" i="1" s="1"/>
  <c r="AG59" i="1"/>
  <c r="AG63" i="1"/>
  <c r="AG67" i="1"/>
  <c r="AG71" i="1"/>
  <c r="AG75" i="1"/>
  <c r="AG79" i="1"/>
  <c r="AG83" i="1"/>
  <c r="AG87" i="1"/>
  <c r="AG91" i="1"/>
  <c r="AS91" i="1" s="1"/>
  <c r="AG95" i="1"/>
  <c r="AG99" i="1"/>
  <c r="AS99" i="1" s="1"/>
  <c r="AG103" i="1"/>
  <c r="AM103" i="1" s="1"/>
  <c r="AP103" i="1" s="1"/>
  <c r="AG107" i="1"/>
  <c r="AS107" i="1" s="1"/>
  <c r="P12" i="1"/>
  <c r="U12" i="1" s="1"/>
  <c r="X12" i="1" s="1"/>
  <c r="P16" i="1"/>
  <c r="AV16" i="1" s="1"/>
  <c r="P20" i="1"/>
  <c r="T20" i="1" s="1"/>
  <c r="W20" i="1" s="1"/>
  <c r="P24" i="1"/>
  <c r="AV24" i="1" s="1"/>
  <c r="P28" i="1"/>
  <c r="U28" i="1" s="1"/>
  <c r="X28" i="1" s="1"/>
  <c r="P32" i="1"/>
  <c r="AV32" i="1" s="1"/>
  <c r="P36" i="1"/>
  <c r="T36" i="1" s="1"/>
  <c r="W36" i="1" s="1"/>
  <c r="P40" i="1"/>
  <c r="P44" i="1"/>
  <c r="P48" i="1"/>
  <c r="AV48" i="1" s="1"/>
  <c r="P52" i="1"/>
  <c r="T52" i="1" s="1"/>
  <c r="W52" i="1" s="1"/>
  <c r="P56" i="1"/>
  <c r="P60" i="1"/>
  <c r="P64" i="1"/>
  <c r="P68" i="1"/>
  <c r="P72" i="1"/>
  <c r="P76" i="1"/>
  <c r="P80" i="1"/>
  <c r="P84" i="1"/>
  <c r="P88" i="1"/>
  <c r="P92" i="1"/>
  <c r="P96" i="1"/>
  <c r="P100" i="1"/>
  <c r="P104" i="1"/>
  <c r="G107" i="1"/>
  <c r="G106" i="1"/>
  <c r="G105" i="1"/>
  <c r="U105" i="1" s="1"/>
  <c r="X105" i="1" s="1"/>
  <c r="G104" i="1"/>
  <c r="G103" i="1"/>
  <c r="G102" i="1"/>
  <c r="G101" i="1"/>
  <c r="G100" i="1"/>
  <c r="G99" i="1"/>
  <c r="G98" i="1"/>
  <c r="G97" i="1"/>
  <c r="G96" i="1"/>
  <c r="G95" i="1"/>
  <c r="G94" i="1"/>
  <c r="G93" i="1"/>
  <c r="V93" i="1" s="1"/>
  <c r="Y93" i="1" s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V77" i="1" s="1"/>
  <c r="Y77" i="1" s="1"/>
  <c r="G76" i="1"/>
  <c r="G75" i="1"/>
  <c r="G74" i="1"/>
  <c r="G73" i="1"/>
  <c r="G72" i="1"/>
  <c r="G71" i="1"/>
  <c r="G70" i="1"/>
  <c r="G69" i="1"/>
  <c r="G68" i="1"/>
  <c r="G67" i="1"/>
  <c r="G66" i="1"/>
  <c r="G65" i="1"/>
  <c r="T65" i="1" s="1"/>
  <c r="W65" i="1" s="1"/>
  <c r="G64" i="1"/>
  <c r="G63" i="1"/>
  <c r="G62" i="1"/>
  <c r="G61" i="1"/>
  <c r="G60" i="1"/>
  <c r="G59" i="1"/>
  <c r="G58" i="1"/>
  <c r="G57" i="1"/>
  <c r="AZ60" i="1" l="1"/>
  <c r="AY60" i="1"/>
  <c r="AK60" i="1"/>
  <c r="AN60" i="1" s="1"/>
  <c r="AM72" i="1"/>
  <c r="AP72" i="1" s="1"/>
  <c r="AZ72" i="1"/>
  <c r="AY72" i="1"/>
  <c r="AL72" i="1"/>
  <c r="AO72" i="1" s="1"/>
  <c r="AK88" i="1"/>
  <c r="AN88" i="1" s="1"/>
  <c r="AY88" i="1"/>
  <c r="AZ88" i="1"/>
  <c r="AL88" i="1"/>
  <c r="AO88" i="1" s="1"/>
  <c r="AM96" i="1"/>
  <c r="AP96" i="1" s="1"/>
  <c r="AZ96" i="1"/>
  <c r="AY96" i="1"/>
  <c r="AL96" i="1"/>
  <c r="AO96" i="1" s="1"/>
  <c r="AZ100" i="1"/>
  <c r="AY100" i="1"/>
  <c r="AK104" i="1"/>
  <c r="AN104" i="1" s="1"/>
  <c r="AY104" i="1"/>
  <c r="AZ104" i="1"/>
  <c r="AL104" i="1"/>
  <c r="AO104" i="1" s="1"/>
  <c r="AV104" i="1"/>
  <c r="AS104" i="1"/>
  <c r="AV88" i="1"/>
  <c r="AS88" i="1"/>
  <c r="AV72" i="1"/>
  <c r="AS72" i="1"/>
  <c r="AV56" i="1"/>
  <c r="AS56" i="1"/>
  <c r="AV40" i="1"/>
  <c r="AS40" i="1"/>
  <c r="AS75" i="1"/>
  <c r="AS59" i="1"/>
  <c r="AV83" i="1"/>
  <c r="AS87" i="1"/>
  <c r="AM64" i="1"/>
  <c r="AP64" i="1" s="1"/>
  <c r="AY64" i="1"/>
  <c r="AZ64" i="1"/>
  <c r="AL64" i="1"/>
  <c r="AO64" i="1" s="1"/>
  <c r="AZ84" i="1"/>
  <c r="AY84" i="1"/>
  <c r="AS84" i="1"/>
  <c r="AV87" i="1"/>
  <c r="AM71" i="1"/>
  <c r="AP71" i="1" s="1"/>
  <c r="AV107" i="1"/>
  <c r="AV75" i="1"/>
  <c r="AV79" i="1"/>
  <c r="AZ76" i="1"/>
  <c r="AY76" i="1"/>
  <c r="AK76" i="1"/>
  <c r="AN76" i="1" s="1"/>
  <c r="V57" i="1"/>
  <c r="Y57" i="1" s="1"/>
  <c r="AZ57" i="1"/>
  <c r="AY57" i="1"/>
  <c r="T57" i="1"/>
  <c r="W57" i="1" s="1"/>
  <c r="U61" i="1"/>
  <c r="X61" i="1" s="1"/>
  <c r="AZ61" i="1"/>
  <c r="AY61" i="1"/>
  <c r="V61" i="1"/>
  <c r="Y61" i="1" s="1"/>
  <c r="T61" i="1"/>
  <c r="W61" i="1" s="1"/>
  <c r="AV96" i="1"/>
  <c r="AS67" i="1"/>
  <c r="AS61" i="1"/>
  <c r="AV99" i="1"/>
  <c r="AV67" i="1"/>
  <c r="AV103" i="1"/>
  <c r="AV71" i="1"/>
  <c r="AZ68" i="1"/>
  <c r="AY68" i="1"/>
  <c r="AL80" i="1"/>
  <c r="AO80" i="1" s="1"/>
  <c r="AY80" i="1"/>
  <c r="AZ80" i="1"/>
  <c r="AM80" i="1"/>
  <c r="AP80" i="1" s="1"/>
  <c r="AZ92" i="1"/>
  <c r="AY92" i="1"/>
  <c r="AM92" i="1"/>
  <c r="AP92" i="1" s="1"/>
  <c r="AV80" i="1"/>
  <c r="AV64" i="1"/>
  <c r="T59" i="1"/>
  <c r="W59" i="1" s="1"/>
  <c r="AZ59" i="1"/>
  <c r="AY59" i="1"/>
  <c r="U59" i="1"/>
  <c r="X59" i="1" s="1"/>
  <c r="V59" i="1"/>
  <c r="Y59" i="1" s="1"/>
  <c r="T63" i="1"/>
  <c r="W63" i="1" s="1"/>
  <c r="AY63" i="1"/>
  <c r="AZ63" i="1"/>
  <c r="V63" i="1"/>
  <c r="Y63" i="1" s="1"/>
  <c r="T67" i="1"/>
  <c r="W67" i="1" s="1"/>
  <c r="AZ67" i="1"/>
  <c r="AY67" i="1"/>
  <c r="V67" i="1"/>
  <c r="Y67" i="1" s="1"/>
  <c r="U67" i="1"/>
  <c r="X67" i="1" s="1"/>
  <c r="T71" i="1"/>
  <c r="W71" i="1" s="1"/>
  <c r="AZ71" i="1"/>
  <c r="AY71" i="1"/>
  <c r="V71" i="1"/>
  <c r="Y71" i="1" s="1"/>
  <c r="U75" i="1"/>
  <c r="X75" i="1" s="1"/>
  <c r="AZ75" i="1"/>
  <c r="AY75" i="1"/>
  <c r="V75" i="1"/>
  <c r="Y75" i="1" s="1"/>
  <c r="T75" i="1"/>
  <c r="W75" i="1" s="1"/>
  <c r="T79" i="1"/>
  <c r="W79" i="1" s="1"/>
  <c r="AY79" i="1"/>
  <c r="AZ79" i="1"/>
  <c r="U79" i="1"/>
  <c r="X79" i="1" s="1"/>
  <c r="V83" i="1"/>
  <c r="Y83" i="1" s="1"/>
  <c r="AZ83" i="1"/>
  <c r="AY83" i="1"/>
  <c r="T83" i="1"/>
  <c r="W83" i="1" s="1"/>
  <c r="U83" i="1"/>
  <c r="X83" i="1" s="1"/>
  <c r="V87" i="1"/>
  <c r="Y87" i="1" s="1"/>
  <c r="AY87" i="1"/>
  <c r="AZ87" i="1"/>
  <c r="U87" i="1"/>
  <c r="X87" i="1" s="1"/>
  <c r="T91" i="1"/>
  <c r="W91" i="1" s="1"/>
  <c r="AZ91" i="1"/>
  <c r="AY91" i="1"/>
  <c r="U91" i="1"/>
  <c r="X91" i="1" s="1"/>
  <c r="V91" i="1"/>
  <c r="Y91" i="1" s="1"/>
  <c r="T95" i="1"/>
  <c r="W95" i="1" s="1"/>
  <c r="AZ95" i="1"/>
  <c r="AY95" i="1"/>
  <c r="U95" i="1"/>
  <c r="X95" i="1" s="1"/>
  <c r="U99" i="1"/>
  <c r="X99" i="1" s="1"/>
  <c r="AZ99" i="1"/>
  <c r="AY99" i="1"/>
  <c r="T99" i="1"/>
  <c r="W99" i="1" s="1"/>
  <c r="V99" i="1"/>
  <c r="Y99" i="1" s="1"/>
  <c r="U103" i="1"/>
  <c r="X103" i="1" s="1"/>
  <c r="AZ103" i="1"/>
  <c r="AY103" i="1"/>
  <c r="V103" i="1"/>
  <c r="Y103" i="1" s="1"/>
  <c r="T107" i="1"/>
  <c r="W107" i="1" s="1"/>
  <c r="AY107" i="1"/>
  <c r="AZ107" i="1"/>
  <c r="V107" i="1"/>
  <c r="Y107" i="1" s="1"/>
  <c r="U107" i="1"/>
  <c r="X107" i="1" s="1"/>
  <c r="V92" i="1"/>
  <c r="Y92" i="1" s="1"/>
  <c r="AV92" i="1"/>
  <c r="AS92" i="1"/>
  <c r="V76" i="1"/>
  <c r="Y76" i="1" s="1"/>
  <c r="AV76" i="1"/>
  <c r="AS76" i="1"/>
  <c r="T60" i="1"/>
  <c r="W60" i="1" s="1"/>
  <c r="AV60" i="1"/>
  <c r="AS60" i="1"/>
  <c r="U44" i="1"/>
  <c r="X44" i="1" s="1"/>
  <c r="AV44" i="1"/>
  <c r="V44" i="1"/>
  <c r="Y44" i="1" s="1"/>
  <c r="AS44" i="1"/>
  <c r="AS95" i="1"/>
  <c r="AS63" i="1"/>
  <c r="AV91" i="1"/>
  <c r="AV59" i="1"/>
  <c r="T69" i="1"/>
  <c r="W69" i="1" s="1"/>
  <c r="AZ69" i="1"/>
  <c r="AY69" i="1"/>
  <c r="T73" i="1"/>
  <c r="W73" i="1" s="1"/>
  <c r="AZ73" i="1"/>
  <c r="AY73" i="1"/>
  <c r="V81" i="1"/>
  <c r="Y81" i="1" s="1"/>
  <c r="AZ81" i="1"/>
  <c r="AY81" i="1"/>
  <c r="V85" i="1"/>
  <c r="Y85" i="1" s="1"/>
  <c r="AZ85" i="1"/>
  <c r="AY85" i="1"/>
  <c r="T89" i="1"/>
  <c r="W89" i="1" s="1"/>
  <c r="AZ89" i="1"/>
  <c r="AY89" i="1"/>
  <c r="V97" i="1"/>
  <c r="Y97" i="1" s="1"/>
  <c r="AZ97" i="1"/>
  <c r="AY97" i="1"/>
  <c r="T101" i="1"/>
  <c r="W101" i="1" s="1"/>
  <c r="AZ101" i="1"/>
  <c r="AY101" i="1"/>
  <c r="T100" i="1"/>
  <c r="W100" i="1" s="1"/>
  <c r="T68" i="1"/>
  <c r="W68" i="1" s="1"/>
  <c r="AY58" i="1"/>
  <c r="AZ58" i="1"/>
  <c r="AY62" i="1"/>
  <c r="AZ62" i="1"/>
  <c r="AY66" i="1"/>
  <c r="AZ66" i="1"/>
  <c r="AY70" i="1"/>
  <c r="AZ70" i="1"/>
  <c r="AY74" i="1"/>
  <c r="AZ74" i="1"/>
  <c r="AY78" i="1"/>
  <c r="AZ78" i="1"/>
  <c r="AY82" i="1"/>
  <c r="AZ82" i="1"/>
  <c r="AY86" i="1"/>
  <c r="AZ86" i="1"/>
  <c r="AY90" i="1"/>
  <c r="AZ90" i="1"/>
  <c r="AY94" i="1"/>
  <c r="AZ94" i="1"/>
  <c r="AY98" i="1"/>
  <c r="AZ98" i="1"/>
  <c r="AY102" i="1"/>
  <c r="AZ102" i="1"/>
  <c r="AY106" i="1"/>
  <c r="AZ106" i="1"/>
  <c r="AM87" i="1"/>
  <c r="AP87" i="1" s="1"/>
  <c r="AL55" i="1"/>
  <c r="AO55" i="1" s="1"/>
  <c r="AL31" i="1"/>
  <c r="AO31" i="1" s="1"/>
  <c r="AL105" i="1"/>
  <c r="AO105" i="1" s="1"/>
  <c r="AL89" i="1"/>
  <c r="AO89" i="1" s="1"/>
  <c r="AK73" i="1"/>
  <c r="AN73" i="1" s="1"/>
  <c r="AM57" i="1"/>
  <c r="AP57" i="1" s="1"/>
  <c r="U97" i="1"/>
  <c r="X97" i="1" s="1"/>
  <c r="T85" i="1"/>
  <c r="W85" i="1" s="1"/>
  <c r="AM81" i="1"/>
  <c r="AP81" i="1" s="1"/>
  <c r="AK49" i="1"/>
  <c r="AN49" i="1" s="1"/>
  <c r="AM17" i="1"/>
  <c r="AP17" i="1" s="1"/>
  <c r="V36" i="1"/>
  <c r="Y36" i="1" s="1"/>
  <c r="AK15" i="1"/>
  <c r="AN15" i="1" s="1"/>
  <c r="V34" i="1"/>
  <c r="Y34" i="1" s="1"/>
  <c r="AS105" i="1"/>
  <c r="AS97" i="1"/>
  <c r="AS89" i="1"/>
  <c r="AS81" i="1"/>
  <c r="AS73" i="1"/>
  <c r="AS65" i="1"/>
  <c r="AS57" i="1"/>
  <c r="AS49" i="1"/>
  <c r="AS41" i="1"/>
  <c r="AS33" i="1"/>
  <c r="AS25" i="1"/>
  <c r="AS17" i="1"/>
  <c r="AS9" i="1"/>
  <c r="AS96" i="1"/>
  <c r="AS80" i="1"/>
  <c r="AS64" i="1"/>
  <c r="AS48" i="1"/>
  <c r="AS32" i="1"/>
  <c r="AS16" i="1"/>
  <c r="AS103" i="1"/>
  <c r="AS79" i="1"/>
  <c r="AS71" i="1"/>
  <c r="AS55" i="1"/>
  <c r="AS47" i="1"/>
  <c r="AS39" i="1"/>
  <c r="AS31" i="1"/>
  <c r="AS23" i="1"/>
  <c r="AS15" i="1"/>
  <c r="AS8" i="1"/>
  <c r="AV12" i="1"/>
  <c r="AV102" i="1"/>
  <c r="AS94" i="1"/>
  <c r="AV90" i="1"/>
  <c r="AV82" i="1"/>
  <c r="AS74" i="1"/>
  <c r="AS62" i="1"/>
  <c r="AV50" i="1"/>
  <c r="AS42" i="1"/>
  <c r="AV30" i="1"/>
  <c r="AS22" i="1"/>
  <c r="AV18" i="1"/>
  <c r="AS10" i="1"/>
  <c r="AL95" i="1"/>
  <c r="AO95" i="1" s="1"/>
  <c r="AM79" i="1"/>
  <c r="AP79" i="1" s="1"/>
  <c r="AK63" i="1"/>
  <c r="AN63" i="1" s="1"/>
  <c r="AM107" i="1"/>
  <c r="AP107" i="1" s="1"/>
  <c r="AL79" i="1"/>
  <c r="AO79" i="1" s="1"/>
  <c r="AM47" i="1"/>
  <c r="AP47" i="1" s="1"/>
  <c r="AK31" i="1"/>
  <c r="AN31" i="1" s="1"/>
  <c r="V86" i="1"/>
  <c r="Y86" i="1" s="1"/>
  <c r="AM101" i="1"/>
  <c r="AP101" i="1" s="1"/>
  <c r="AK85" i="1"/>
  <c r="AN85" i="1" s="1"/>
  <c r="AK69" i="1"/>
  <c r="AN69" i="1" s="1"/>
  <c r="U93" i="1"/>
  <c r="X93" i="1" s="1"/>
  <c r="U85" i="1"/>
  <c r="X85" i="1" s="1"/>
  <c r="V73" i="1"/>
  <c r="Y73" i="1" s="1"/>
  <c r="AM105" i="1"/>
  <c r="AP105" i="1" s="1"/>
  <c r="AL73" i="1"/>
  <c r="AO73" i="1" s="1"/>
  <c r="AL41" i="1"/>
  <c r="AO41" i="1" s="1"/>
  <c r="AK9" i="1"/>
  <c r="AN9" i="1" s="1"/>
  <c r="V28" i="1"/>
  <c r="Y28" i="1" s="1"/>
  <c r="T46" i="1"/>
  <c r="W46" i="1" s="1"/>
  <c r="T18" i="1"/>
  <c r="W18" i="1" s="1"/>
  <c r="AV105" i="1"/>
  <c r="AV89" i="1"/>
  <c r="AV73" i="1"/>
  <c r="AV57" i="1"/>
  <c r="AV49" i="1"/>
  <c r="AV41" i="1"/>
  <c r="AV33" i="1"/>
  <c r="AV25" i="1"/>
  <c r="AV17" i="1"/>
  <c r="AV9" i="1"/>
  <c r="AV95" i="1"/>
  <c r="AV63" i="1"/>
  <c r="AV31" i="1"/>
  <c r="U8" i="1"/>
  <c r="AS106" i="1"/>
  <c r="AS86" i="1"/>
  <c r="AS66" i="1"/>
  <c r="AS54" i="1"/>
  <c r="AV42" i="1"/>
  <c r="AS34" i="1"/>
  <c r="AV10" i="1"/>
  <c r="AL39" i="1"/>
  <c r="AO39" i="1" s="1"/>
  <c r="AM23" i="1"/>
  <c r="AP23" i="1" s="1"/>
  <c r="AK97" i="1"/>
  <c r="AN97" i="1" s="1"/>
  <c r="AK81" i="1"/>
  <c r="AN81" i="1" s="1"/>
  <c r="AM65" i="1"/>
  <c r="AP65" i="1" s="1"/>
  <c r="V101" i="1"/>
  <c r="Y101" i="1" s="1"/>
  <c r="U81" i="1"/>
  <c r="X81" i="1" s="1"/>
  <c r="U69" i="1"/>
  <c r="X69" i="1" s="1"/>
  <c r="AM97" i="1"/>
  <c r="AP97" i="1" s="1"/>
  <c r="AL65" i="1"/>
  <c r="AO65" i="1" s="1"/>
  <c r="AM33" i="1"/>
  <c r="AP33" i="1" s="1"/>
  <c r="V52" i="1"/>
  <c r="Y52" i="1" s="1"/>
  <c r="V20" i="1"/>
  <c r="Y20" i="1" s="1"/>
  <c r="V46" i="1"/>
  <c r="Y46" i="1" s="1"/>
  <c r="V18" i="1"/>
  <c r="Y18" i="1" s="1"/>
  <c r="AS101" i="1"/>
  <c r="AS85" i="1"/>
  <c r="AS69" i="1"/>
  <c r="AS53" i="1"/>
  <c r="AS45" i="1"/>
  <c r="AS37" i="1"/>
  <c r="AS29" i="1"/>
  <c r="AS21" i="1"/>
  <c r="AS13" i="1"/>
  <c r="AS28" i="1"/>
  <c r="AS100" i="1"/>
  <c r="AS68" i="1"/>
  <c r="AS52" i="1"/>
  <c r="AS36" i="1"/>
  <c r="AS24" i="1"/>
  <c r="AS83" i="1"/>
  <c r="AS51" i="1"/>
  <c r="AS19" i="1"/>
  <c r="AV8" i="1"/>
  <c r="AV86" i="1"/>
  <c r="AS78" i="1"/>
  <c r="AV66" i="1"/>
  <c r="AS58" i="1"/>
  <c r="AV54" i="1"/>
  <c r="AS46" i="1"/>
  <c r="AV34" i="1"/>
  <c r="AS26" i="1"/>
  <c r="AS20" i="1"/>
  <c r="U65" i="1"/>
  <c r="X65" i="1" s="1"/>
  <c r="AZ65" i="1"/>
  <c r="AY65" i="1"/>
  <c r="T77" i="1"/>
  <c r="W77" i="1" s="1"/>
  <c r="AZ77" i="1"/>
  <c r="AY77" i="1"/>
  <c r="T93" i="1"/>
  <c r="W93" i="1" s="1"/>
  <c r="AZ93" i="1"/>
  <c r="AY93" i="1"/>
  <c r="T105" i="1"/>
  <c r="W105" i="1" s="1"/>
  <c r="AZ105" i="1"/>
  <c r="AY105" i="1"/>
  <c r="T84" i="1"/>
  <c r="W84" i="1" s="1"/>
  <c r="AK103" i="1"/>
  <c r="AN103" i="1" s="1"/>
  <c r="AK87" i="1"/>
  <c r="AN87" i="1" s="1"/>
  <c r="AK71" i="1"/>
  <c r="AN71" i="1" s="1"/>
  <c r="AM95" i="1"/>
  <c r="AP95" i="1" s="1"/>
  <c r="AL63" i="1"/>
  <c r="AO63" i="1" s="1"/>
  <c r="AM39" i="1"/>
  <c r="AP39" i="1" s="1"/>
  <c r="V98" i="1"/>
  <c r="Y98" i="1" s="1"/>
  <c r="T70" i="1"/>
  <c r="W70" i="1" s="1"/>
  <c r="AL93" i="1"/>
  <c r="AO93" i="1" s="1"/>
  <c r="AM77" i="1"/>
  <c r="AP77" i="1" s="1"/>
  <c r="AM61" i="1"/>
  <c r="AP61" i="1" s="1"/>
  <c r="U101" i="1"/>
  <c r="X101" i="1" s="1"/>
  <c r="V89" i="1"/>
  <c r="Y89" i="1" s="1"/>
  <c r="U77" i="1"/>
  <c r="X77" i="1" s="1"/>
  <c r="V69" i="1"/>
  <c r="Y69" i="1" s="1"/>
  <c r="AK89" i="1"/>
  <c r="AN89" i="1" s="1"/>
  <c r="AK57" i="1"/>
  <c r="AN57" i="1" s="1"/>
  <c r="AL25" i="1"/>
  <c r="AO25" i="1" s="1"/>
  <c r="T12" i="1"/>
  <c r="W12" i="1" s="1"/>
  <c r="T34" i="1"/>
  <c r="W34" i="1" s="1"/>
  <c r="AV101" i="1"/>
  <c r="AV93" i="1"/>
  <c r="AV85" i="1"/>
  <c r="AV77" i="1"/>
  <c r="AV69" i="1"/>
  <c r="AV61" i="1"/>
  <c r="AV53" i="1"/>
  <c r="AV45" i="1"/>
  <c r="AV37" i="1"/>
  <c r="AV29" i="1"/>
  <c r="AV21" i="1"/>
  <c r="AV13" i="1"/>
  <c r="AV28" i="1"/>
  <c r="AV100" i="1"/>
  <c r="AV84" i="1"/>
  <c r="AV68" i="1"/>
  <c r="AV52" i="1"/>
  <c r="AV36" i="1"/>
  <c r="AS12" i="1"/>
  <c r="AV98" i="1"/>
  <c r="AS70" i="1"/>
  <c r="AV46" i="1"/>
  <c r="AV26" i="1"/>
  <c r="AS18" i="1"/>
  <c r="AV20" i="1"/>
  <c r="AM60" i="1"/>
  <c r="AP60" i="1" s="1"/>
  <c r="AL60" i="1"/>
  <c r="AO60" i="1" s="1"/>
  <c r="U60" i="1"/>
  <c r="X60" i="1" s="1"/>
  <c r="AM68" i="1"/>
  <c r="AP68" i="1" s="1"/>
  <c r="U68" i="1"/>
  <c r="X68" i="1" s="1"/>
  <c r="AL68" i="1"/>
  <c r="AO68" i="1" s="1"/>
  <c r="AL76" i="1"/>
  <c r="AO76" i="1" s="1"/>
  <c r="AM76" i="1"/>
  <c r="AP76" i="1" s="1"/>
  <c r="U76" i="1"/>
  <c r="X76" i="1" s="1"/>
  <c r="AL84" i="1"/>
  <c r="AO84" i="1" s="1"/>
  <c r="U84" i="1"/>
  <c r="X84" i="1" s="1"/>
  <c r="AM84" i="1"/>
  <c r="AP84" i="1" s="1"/>
  <c r="AL92" i="1"/>
  <c r="AO92" i="1" s="1"/>
  <c r="AK92" i="1"/>
  <c r="AN92" i="1" s="1"/>
  <c r="U92" i="1"/>
  <c r="X92" i="1" s="1"/>
  <c r="AL100" i="1"/>
  <c r="AO100" i="1" s="1"/>
  <c r="U100" i="1"/>
  <c r="X100" i="1" s="1"/>
  <c r="AM100" i="1"/>
  <c r="AP100" i="1" s="1"/>
  <c r="T104" i="1"/>
  <c r="W104" i="1" s="1"/>
  <c r="U104" i="1"/>
  <c r="X104" i="1" s="1"/>
  <c r="V104" i="1"/>
  <c r="Y104" i="1" s="1"/>
  <c r="U88" i="1"/>
  <c r="X88" i="1" s="1"/>
  <c r="V88" i="1"/>
  <c r="Y88" i="1" s="1"/>
  <c r="T88" i="1"/>
  <c r="W88" i="1" s="1"/>
  <c r="U72" i="1"/>
  <c r="X72" i="1" s="1"/>
  <c r="V72" i="1"/>
  <c r="Y72" i="1" s="1"/>
  <c r="T72" i="1"/>
  <c r="W72" i="1" s="1"/>
  <c r="U56" i="1"/>
  <c r="X56" i="1" s="1"/>
  <c r="T56" i="1"/>
  <c r="W56" i="1" s="1"/>
  <c r="V56" i="1"/>
  <c r="Y56" i="1" s="1"/>
  <c r="V40" i="1"/>
  <c r="Y40" i="1" s="1"/>
  <c r="U40" i="1"/>
  <c r="X40" i="1" s="1"/>
  <c r="T40" i="1"/>
  <c r="W40" i="1" s="1"/>
  <c r="V24" i="1"/>
  <c r="Y24" i="1" s="1"/>
  <c r="U24" i="1"/>
  <c r="X24" i="1" s="1"/>
  <c r="T24" i="1"/>
  <c r="W24" i="1" s="1"/>
  <c r="AL107" i="1"/>
  <c r="AO107" i="1" s="1"/>
  <c r="AK107" i="1"/>
  <c r="AN107" i="1" s="1"/>
  <c r="AM91" i="1"/>
  <c r="AP91" i="1" s="1"/>
  <c r="AK91" i="1"/>
  <c r="AN91" i="1" s="1"/>
  <c r="AL91" i="1"/>
  <c r="AO91" i="1" s="1"/>
  <c r="AL75" i="1"/>
  <c r="AO75" i="1" s="1"/>
  <c r="AK75" i="1"/>
  <c r="AN75" i="1" s="1"/>
  <c r="AM75" i="1"/>
  <c r="AP75" i="1" s="1"/>
  <c r="AM59" i="1"/>
  <c r="AP59" i="1" s="1"/>
  <c r="AK59" i="1"/>
  <c r="AN59" i="1" s="1"/>
  <c r="AL59" i="1"/>
  <c r="AO59" i="1" s="1"/>
  <c r="AM43" i="1"/>
  <c r="AP43" i="1" s="1"/>
  <c r="AL43" i="1"/>
  <c r="AO43" i="1" s="1"/>
  <c r="AK43" i="1"/>
  <c r="AN43" i="1" s="1"/>
  <c r="AM27" i="1"/>
  <c r="AP27" i="1" s="1"/>
  <c r="AL27" i="1"/>
  <c r="AO27" i="1" s="1"/>
  <c r="AK27" i="1"/>
  <c r="AN27" i="1" s="1"/>
  <c r="AM11" i="1"/>
  <c r="AP11" i="1" s="1"/>
  <c r="AL11" i="1"/>
  <c r="AO11" i="1" s="1"/>
  <c r="AK11" i="1"/>
  <c r="AN11" i="1" s="1"/>
  <c r="AK100" i="1"/>
  <c r="AN100" i="1" s="1"/>
  <c r="AM88" i="1"/>
  <c r="AP88" i="1" s="1"/>
  <c r="AK80" i="1"/>
  <c r="AN80" i="1" s="1"/>
  <c r="AK68" i="1"/>
  <c r="AN68" i="1" s="1"/>
  <c r="X8" i="1"/>
  <c r="U90" i="1"/>
  <c r="X90" i="1" s="1"/>
  <c r="U62" i="1"/>
  <c r="X62" i="1" s="1"/>
  <c r="AO8" i="1"/>
  <c r="Y8" i="1"/>
  <c r="T58" i="1"/>
  <c r="W58" i="1" s="1"/>
  <c r="AM58" i="1"/>
  <c r="AP58" i="1" s="1"/>
  <c r="AL58" i="1"/>
  <c r="AO58" i="1" s="1"/>
  <c r="U58" i="1"/>
  <c r="X58" i="1" s="1"/>
  <c r="AK58" i="1"/>
  <c r="AN58" i="1" s="1"/>
  <c r="V58" i="1"/>
  <c r="Y58" i="1" s="1"/>
  <c r="AK62" i="1"/>
  <c r="AN62" i="1" s="1"/>
  <c r="V62" i="1"/>
  <c r="Y62" i="1" s="1"/>
  <c r="AM62" i="1"/>
  <c r="AP62" i="1" s="1"/>
  <c r="AL62" i="1"/>
  <c r="AO62" i="1" s="1"/>
  <c r="T62" i="1"/>
  <c r="W62" i="1" s="1"/>
  <c r="AM66" i="1"/>
  <c r="AP66" i="1" s="1"/>
  <c r="AL66" i="1"/>
  <c r="AO66" i="1" s="1"/>
  <c r="T66" i="1"/>
  <c r="W66" i="1" s="1"/>
  <c r="U66" i="1"/>
  <c r="X66" i="1" s="1"/>
  <c r="AK66" i="1"/>
  <c r="AN66" i="1" s="1"/>
  <c r="V66" i="1"/>
  <c r="Y66" i="1" s="1"/>
  <c r="AK70" i="1"/>
  <c r="AN70" i="1" s="1"/>
  <c r="AM70" i="1"/>
  <c r="AP70" i="1" s="1"/>
  <c r="AL70" i="1"/>
  <c r="AO70" i="1" s="1"/>
  <c r="U74" i="1"/>
  <c r="X74" i="1" s="1"/>
  <c r="AL74" i="1"/>
  <c r="AO74" i="1" s="1"/>
  <c r="T74" i="1"/>
  <c r="W74" i="1" s="1"/>
  <c r="AK74" i="1"/>
  <c r="AN74" i="1" s="1"/>
  <c r="V74" i="1"/>
  <c r="Y74" i="1" s="1"/>
  <c r="AM74" i="1"/>
  <c r="AP74" i="1" s="1"/>
  <c r="AM78" i="1"/>
  <c r="AP78" i="1" s="1"/>
  <c r="T78" i="1"/>
  <c r="W78" i="1" s="1"/>
  <c r="AL78" i="1"/>
  <c r="AO78" i="1" s="1"/>
  <c r="AK78" i="1"/>
  <c r="AN78" i="1" s="1"/>
  <c r="U78" i="1"/>
  <c r="X78" i="1" s="1"/>
  <c r="AM82" i="1"/>
  <c r="AP82" i="1" s="1"/>
  <c r="T82" i="1"/>
  <c r="W82" i="1" s="1"/>
  <c r="AK82" i="1"/>
  <c r="AN82" i="1" s="1"/>
  <c r="U82" i="1"/>
  <c r="X82" i="1" s="1"/>
  <c r="AL82" i="1"/>
  <c r="AO82" i="1" s="1"/>
  <c r="V82" i="1"/>
  <c r="Y82" i="1" s="1"/>
  <c r="AL86" i="1"/>
  <c r="AO86" i="1" s="1"/>
  <c r="AM86" i="1"/>
  <c r="AP86" i="1" s="1"/>
  <c r="AK86" i="1"/>
  <c r="AN86" i="1" s="1"/>
  <c r="V90" i="1"/>
  <c r="Y90" i="1" s="1"/>
  <c r="AL90" i="1"/>
  <c r="AO90" i="1" s="1"/>
  <c r="AK90" i="1"/>
  <c r="AN90" i="1" s="1"/>
  <c r="T90" i="1"/>
  <c r="W90" i="1" s="1"/>
  <c r="AM90" i="1"/>
  <c r="AP90" i="1" s="1"/>
  <c r="AM94" i="1"/>
  <c r="AP94" i="1" s="1"/>
  <c r="U94" i="1"/>
  <c r="X94" i="1" s="1"/>
  <c r="AK94" i="1"/>
  <c r="AN94" i="1" s="1"/>
  <c r="AL94" i="1"/>
  <c r="AO94" i="1" s="1"/>
  <c r="T94" i="1"/>
  <c r="W94" i="1" s="1"/>
  <c r="V94" i="1"/>
  <c r="Y94" i="1" s="1"/>
  <c r="AK98" i="1"/>
  <c r="AN98" i="1" s="1"/>
  <c r="AM98" i="1"/>
  <c r="AP98" i="1" s="1"/>
  <c r="AL98" i="1"/>
  <c r="AO98" i="1" s="1"/>
  <c r="AL102" i="1"/>
  <c r="AO102" i="1" s="1"/>
  <c r="T102" i="1"/>
  <c r="W102" i="1" s="1"/>
  <c r="AK102" i="1"/>
  <c r="AN102" i="1" s="1"/>
  <c r="V102" i="1"/>
  <c r="Y102" i="1" s="1"/>
  <c r="AM102" i="1"/>
  <c r="AP102" i="1" s="1"/>
  <c r="U102" i="1"/>
  <c r="X102" i="1" s="1"/>
  <c r="T106" i="1"/>
  <c r="W106" i="1" s="1"/>
  <c r="AK106" i="1"/>
  <c r="AN106" i="1" s="1"/>
  <c r="AL106" i="1"/>
  <c r="AO106" i="1" s="1"/>
  <c r="V106" i="1"/>
  <c r="Y106" i="1" s="1"/>
  <c r="AM106" i="1"/>
  <c r="AP106" i="1" s="1"/>
  <c r="U96" i="1"/>
  <c r="X96" i="1" s="1"/>
  <c r="V96" i="1"/>
  <c r="Y96" i="1" s="1"/>
  <c r="T96" i="1"/>
  <c r="W96" i="1" s="1"/>
  <c r="T80" i="1"/>
  <c r="W80" i="1" s="1"/>
  <c r="V80" i="1"/>
  <c r="Y80" i="1" s="1"/>
  <c r="U80" i="1"/>
  <c r="X80" i="1" s="1"/>
  <c r="V64" i="1"/>
  <c r="Y64" i="1" s="1"/>
  <c r="T64" i="1"/>
  <c r="W64" i="1" s="1"/>
  <c r="U64" i="1"/>
  <c r="X64" i="1" s="1"/>
  <c r="U48" i="1"/>
  <c r="X48" i="1" s="1"/>
  <c r="V48" i="1"/>
  <c r="Y48" i="1" s="1"/>
  <c r="T48" i="1"/>
  <c r="W48" i="1" s="1"/>
  <c r="U32" i="1"/>
  <c r="X32" i="1" s="1"/>
  <c r="V32" i="1"/>
  <c r="Y32" i="1" s="1"/>
  <c r="T32" i="1"/>
  <c r="W32" i="1" s="1"/>
  <c r="T16" i="1"/>
  <c r="W16" i="1" s="1"/>
  <c r="V16" i="1"/>
  <c r="Y16" i="1" s="1"/>
  <c r="U16" i="1"/>
  <c r="X16" i="1" s="1"/>
  <c r="AK99" i="1"/>
  <c r="AN99" i="1" s="1"/>
  <c r="AM99" i="1"/>
  <c r="AP99" i="1" s="1"/>
  <c r="AL99" i="1"/>
  <c r="AO99" i="1" s="1"/>
  <c r="AK83" i="1"/>
  <c r="AN83" i="1" s="1"/>
  <c r="AM83" i="1"/>
  <c r="AP83" i="1" s="1"/>
  <c r="AL83" i="1"/>
  <c r="AO83" i="1" s="1"/>
  <c r="AM67" i="1"/>
  <c r="AP67" i="1" s="1"/>
  <c r="AL67" i="1"/>
  <c r="AO67" i="1" s="1"/>
  <c r="AK67" i="1"/>
  <c r="AN67" i="1" s="1"/>
  <c r="AM51" i="1"/>
  <c r="AP51" i="1" s="1"/>
  <c r="AK51" i="1"/>
  <c r="AN51" i="1" s="1"/>
  <c r="AL51" i="1"/>
  <c r="AO51" i="1" s="1"/>
  <c r="AK35" i="1"/>
  <c r="AN35" i="1" s="1"/>
  <c r="AM35" i="1"/>
  <c r="AP35" i="1" s="1"/>
  <c r="AL35" i="1"/>
  <c r="AO35" i="1" s="1"/>
  <c r="AK19" i="1"/>
  <c r="AN19" i="1" s="1"/>
  <c r="AL19" i="1"/>
  <c r="AO19" i="1" s="1"/>
  <c r="AM19" i="1"/>
  <c r="AP19" i="1" s="1"/>
  <c r="AM104" i="1"/>
  <c r="AP104" i="1" s="1"/>
  <c r="AK96" i="1"/>
  <c r="AN96" i="1" s="1"/>
  <c r="AK84" i="1"/>
  <c r="AN84" i="1" s="1"/>
  <c r="AK72" i="1"/>
  <c r="AN72" i="1" s="1"/>
  <c r="AK64" i="1"/>
  <c r="AN64" i="1" s="1"/>
  <c r="U106" i="1"/>
  <c r="X106" i="1" s="1"/>
  <c r="V78" i="1"/>
  <c r="Y78" i="1" s="1"/>
  <c r="AL101" i="1"/>
  <c r="AO101" i="1" s="1"/>
  <c r="AM93" i="1"/>
  <c r="AP93" i="1" s="1"/>
  <c r="AL85" i="1"/>
  <c r="AO85" i="1" s="1"/>
  <c r="AK77" i="1"/>
  <c r="AN77" i="1" s="1"/>
  <c r="AL69" i="1"/>
  <c r="AO69" i="1" s="1"/>
  <c r="AL61" i="1"/>
  <c r="AO61" i="1" s="1"/>
  <c r="AM53" i="1"/>
  <c r="AP53" i="1" s="1"/>
  <c r="AM45" i="1"/>
  <c r="AP45" i="1" s="1"/>
  <c r="AL37" i="1"/>
  <c r="AO37" i="1" s="1"/>
  <c r="AL29" i="1"/>
  <c r="AO29" i="1" s="1"/>
  <c r="AL21" i="1"/>
  <c r="AO21" i="1" s="1"/>
  <c r="AK13" i="1"/>
  <c r="AN13" i="1" s="1"/>
  <c r="AM8" i="1"/>
  <c r="T86" i="1"/>
  <c r="W86" i="1" s="1"/>
  <c r="T54" i="1"/>
  <c r="W54" i="1" s="1"/>
  <c r="U26" i="1"/>
  <c r="X26" i="1" s="1"/>
  <c r="T103" i="1"/>
  <c r="W103" i="1" s="1"/>
  <c r="V95" i="1"/>
  <c r="Y95" i="1" s="1"/>
  <c r="T87" i="1"/>
  <c r="W87" i="1" s="1"/>
  <c r="V79" i="1"/>
  <c r="Y79" i="1" s="1"/>
  <c r="U71" i="1"/>
  <c r="X71" i="1" s="1"/>
  <c r="U63" i="1"/>
  <c r="X63" i="1" s="1"/>
  <c r="T8" i="1"/>
  <c r="AL103" i="1"/>
  <c r="AO103" i="1" s="1"/>
  <c r="AK95" i="1"/>
  <c r="AN95" i="1" s="1"/>
  <c r="AL87" i="1"/>
  <c r="AO87" i="1" s="1"/>
  <c r="AK79" i="1"/>
  <c r="AN79" i="1" s="1"/>
  <c r="AL71" i="1"/>
  <c r="AO71" i="1" s="1"/>
  <c r="AM63" i="1"/>
  <c r="AP63" i="1" s="1"/>
  <c r="AK55" i="1"/>
  <c r="AN55" i="1" s="1"/>
  <c r="AK47" i="1"/>
  <c r="AN47" i="1" s="1"/>
  <c r="AK23" i="1"/>
  <c r="AN23" i="1" s="1"/>
  <c r="V105" i="1"/>
  <c r="Y105" i="1" s="1"/>
  <c r="T97" i="1"/>
  <c r="W97" i="1" s="1"/>
  <c r="U89" i="1"/>
  <c r="X89" i="1" s="1"/>
  <c r="T81" i="1"/>
  <c r="W81" i="1" s="1"/>
  <c r="U73" i="1"/>
  <c r="X73" i="1" s="1"/>
  <c r="V65" i="1"/>
  <c r="Y65" i="1" s="1"/>
  <c r="U57" i="1"/>
  <c r="X57" i="1" s="1"/>
  <c r="AK105" i="1"/>
  <c r="AN105" i="1" s="1"/>
  <c r="AL97" i="1"/>
  <c r="AO97" i="1" s="1"/>
  <c r="AK93" i="1"/>
  <c r="AN93" i="1" s="1"/>
  <c r="AM89" i="1"/>
  <c r="AP89" i="1" s="1"/>
  <c r="AL81" i="1"/>
  <c r="AO81" i="1" s="1"/>
  <c r="AL77" i="1"/>
  <c r="AO77" i="1" s="1"/>
  <c r="AM73" i="1"/>
  <c r="AP73" i="1" s="1"/>
  <c r="AK65" i="1"/>
  <c r="AN65" i="1" s="1"/>
  <c r="AK61" i="1"/>
  <c r="AN61" i="1" s="1"/>
  <c r="AL57" i="1"/>
  <c r="AO57" i="1" s="1"/>
  <c r="AM49" i="1"/>
  <c r="AP49" i="1" s="1"/>
  <c r="AL45" i="1"/>
  <c r="AO45" i="1" s="1"/>
  <c r="AK41" i="1"/>
  <c r="AN41" i="1" s="1"/>
  <c r="AK33" i="1"/>
  <c r="AN33" i="1" s="1"/>
  <c r="AM29" i="1"/>
  <c r="AP29" i="1" s="1"/>
  <c r="AM25" i="1"/>
  <c r="AP25" i="1" s="1"/>
  <c r="AK17" i="1"/>
  <c r="AN17" i="1" s="1"/>
  <c r="AM13" i="1"/>
  <c r="AP13" i="1" s="1"/>
  <c r="AL9" i="1"/>
  <c r="AO9" i="1" s="1"/>
  <c r="V100" i="1"/>
  <c r="Y100" i="1" s="1"/>
  <c r="T92" i="1"/>
  <c r="W92" i="1" s="1"/>
  <c r="V84" i="1"/>
  <c r="Y84" i="1" s="1"/>
  <c r="T76" i="1"/>
  <c r="W76" i="1" s="1"/>
  <c r="V68" i="1"/>
  <c r="Y68" i="1" s="1"/>
  <c r="V60" i="1"/>
  <c r="Y60" i="1" s="1"/>
  <c r="U52" i="1"/>
  <c r="X52" i="1" s="1"/>
  <c r="T44" i="1"/>
  <c r="W44" i="1" s="1"/>
  <c r="U36" i="1"/>
  <c r="X36" i="1" s="1"/>
  <c r="T28" i="1"/>
  <c r="W28" i="1" s="1"/>
  <c r="U20" i="1"/>
  <c r="X20" i="1" s="1"/>
  <c r="V12" i="1"/>
  <c r="Y12" i="1" s="1"/>
  <c r="AL15" i="1"/>
  <c r="AO15" i="1" s="1"/>
  <c r="U98" i="1"/>
  <c r="X98" i="1" s="1"/>
  <c r="U86" i="1"/>
  <c r="X86" i="1" s="1"/>
  <c r="U70" i="1"/>
  <c r="X70" i="1" s="1"/>
  <c r="V54" i="1"/>
  <c r="Y54" i="1" s="1"/>
  <c r="T42" i="1"/>
  <c r="W42" i="1" s="1"/>
  <c r="V26" i="1"/>
  <c r="Y26" i="1" s="1"/>
  <c r="T10" i="1"/>
  <c r="W10" i="1" s="1"/>
  <c r="AK101" i="1"/>
  <c r="AN101" i="1" s="1"/>
  <c r="AM85" i="1"/>
  <c r="AP85" i="1" s="1"/>
  <c r="AM69" i="1"/>
  <c r="AP69" i="1" s="1"/>
  <c r="AK53" i="1"/>
  <c r="AN53" i="1" s="1"/>
  <c r="AM37" i="1"/>
  <c r="AP37" i="1" s="1"/>
  <c r="AK21" i="1"/>
  <c r="AN21" i="1" s="1"/>
  <c r="AK8" i="1"/>
  <c r="T98" i="1"/>
  <c r="W98" i="1" s="1"/>
  <c r="V70" i="1"/>
  <c r="Y70" i="1" s="1"/>
  <c r="U42" i="1"/>
  <c r="X42" i="1" s="1"/>
  <c r="U10" i="1"/>
  <c r="X10" i="1" s="1"/>
  <c r="AZ108" i="1" l="1"/>
  <c r="AV108" i="1"/>
  <c r="AS108" i="1"/>
  <c r="AY108" i="1"/>
  <c r="AY109" i="1" s="1"/>
  <c r="Y108" i="1"/>
  <c r="W8" i="1"/>
  <c r="W108" i="1" s="1"/>
  <c r="T108" i="1"/>
  <c r="V108" i="1"/>
  <c r="AL108" i="1"/>
  <c r="U108" i="1"/>
  <c r="AN8" i="1"/>
  <c r="AN108" i="1" s="1"/>
  <c r="AK108" i="1"/>
  <c r="AP8" i="1"/>
  <c r="AP108" i="1" s="1"/>
  <c r="AM108" i="1"/>
  <c r="AO108" i="1"/>
  <c r="X108" i="1"/>
  <c r="C13" i="5" l="1"/>
  <c r="AS109" i="1"/>
  <c r="D13" i="5"/>
  <c r="B13" i="5"/>
  <c r="C12" i="5"/>
  <c r="B14" i="5"/>
  <c r="B12" i="5"/>
  <c r="C14" i="5"/>
  <c r="E111" i="1"/>
  <c r="E110" i="1"/>
  <c r="E108" i="1"/>
</calcChain>
</file>

<file path=xl/sharedStrings.xml><?xml version="1.0" encoding="utf-8"?>
<sst xmlns="http://schemas.openxmlformats.org/spreadsheetml/2006/main" count="396" uniqueCount="230">
  <si>
    <r>
      <rPr>
        <b/>
        <sz val="10"/>
        <color theme="1"/>
        <rFont val="Arial"/>
        <family val="2"/>
      </rPr>
      <t>Consumer Surplus Analysis</t>
    </r>
    <r>
      <rPr>
        <sz val="10"/>
        <color theme="1"/>
        <rFont val="Arial"/>
        <family val="2"/>
      </rPr>
      <t xml:space="preserve"> - Domestic Markets</t>
    </r>
  </si>
  <si>
    <t>Mkt No</t>
  </si>
  <si>
    <t>Rank</t>
  </si>
  <si>
    <t>Market</t>
  </si>
  <si>
    <t>Pct Total</t>
  </si>
  <si>
    <t>JFK-LAX</t>
  </si>
  <si>
    <t>LAX-SFO</t>
  </si>
  <si>
    <t>LGA-ORD</t>
  </si>
  <si>
    <t>JFK-SFO</t>
  </si>
  <si>
    <t>ATL-LGA</t>
  </si>
  <si>
    <t>FLL-LGA</t>
  </si>
  <si>
    <t>HNL-OGG</t>
  </si>
  <si>
    <t>LAS-SFO</t>
  </si>
  <si>
    <t>SAN-SFO</t>
  </si>
  <si>
    <t>MCO-PHL</t>
  </si>
  <si>
    <t>EWR-MCO</t>
  </si>
  <si>
    <t>HNL-LAX</t>
  </si>
  <si>
    <t>DEN-PHX</t>
  </si>
  <si>
    <t>LAX-ORD</t>
  </si>
  <si>
    <t>DEN-LAX</t>
  </si>
  <si>
    <t>BOS-SFO</t>
  </si>
  <si>
    <t>HNL-ITO</t>
  </si>
  <si>
    <t>LAX-SEA</t>
  </si>
  <si>
    <t>LAS-LAX</t>
  </si>
  <si>
    <t>JFK-MCO</t>
  </si>
  <si>
    <t>BOS-LAX</t>
  </si>
  <si>
    <t>BOS-BWI</t>
  </si>
  <si>
    <t>DEN-LAS</t>
  </si>
  <si>
    <t>DAL-HOU</t>
  </si>
  <si>
    <t>BOS-ORD</t>
  </si>
  <si>
    <t>BOS-MCO</t>
  </si>
  <si>
    <t>MCO-SJU</t>
  </si>
  <si>
    <t>HNL-LIH</t>
  </si>
  <si>
    <t>IAD-LAX</t>
  </si>
  <si>
    <t>DFW-ORD</t>
  </si>
  <si>
    <t>ATL-DFW</t>
  </si>
  <si>
    <t>SEA-SFO</t>
  </si>
  <si>
    <t>ORD-SFO</t>
  </si>
  <si>
    <t>HNL-KOA</t>
  </si>
  <si>
    <t>JFK-LAS</t>
  </si>
  <si>
    <t>DCA-ORD</t>
  </si>
  <si>
    <t>JFK-SJU</t>
  </si>
  <si>
    <t>IAD-SFO</t>
  </si>
  <si>
    <t>DTW-MCO</t>
  </si>
  <si>
    <t>DFW-LGA</t>
  </si>
  <si>
    <t>EWR-FLL</t>
  </si>
  <si>
    <t>BWI-MCO</t>
  </si>
  <si>
    <t>LAS-SEA</t>
  </si>
  <si>
    <t>LGA-MIA</t>
  </si>
  <si>
    <t>BUR-OAK</t>
  </si>
  <si>
    <t>FLL-JFK</t>
  </si>
  <si>
    <t>EWR-ORD</t>
  </si>
  <si>
    <t>ATL-FLL</t>
  </si>
  <si>
    <t>ATL-LAX</t>
  </si>
  <si>
    <t>BOS-LGA</t>
  </si>
  <si>
    <t>EWR-SFO</t>
  </si>
  <si>
    <t>LAX-PHX</t>
  </si>
  <si>
    <t>DEN-DFW</t>
  </si>
  <si>
    <t>DEN-ORD</t>
  </si>
  <si>
    <t>BOS-DEN</t>
  </si>
  <si>
    <t>LAS-PHL</t>
  </si>
  <si>
    <t>DEN-IAH</t>
  </si>
  <si>
    <t>JFK-TPA</t>
  </si>
  <si>
    <t>EWR-IAH</t>
  </si>
  <si>
    <t>LGA-PBI</t>
  </si>
  <si>
    <t>BWI-LAX</t>
  </si>
  <si>
    <t>MCO-STL</t>
  </si>
  <si>
    <t>EWR-RSW</t>
  </si>
  <si>
    <t>PDX-SJC</t>
  </si>
  <si>
    <t>LAX-STL</t>
  </si>
  <si>
    <t>MIA-SJU</t>
  </si>
  <si>
    <t>MCO-SEA</t>
  </si>
  <si>
    <t>PDX-SFO</t>
  </si>
  <si>
    <t>AUS-ORD</t>
  </si>
  <si>
    <t>ATL-JAX</t>
  </si>
  <si>
    <t>MCO-SFO</t>
  </si>
  <si>
    <t>BNA-TPA</t>
  </si>
  <si>
    <t>MCO-SAT</t>
  </si>
  <si>
    <t>HNL-PHX</t>
  </si>
  <si>
    <t>MSY-TPA</t>
  </si>
  <si>
    <t>ATL-RSW</t>
  </si>
  <si>
    <t>BNA-HOU</t>
  </si>
  <si>
    <t>MKE-SEA</t>
  </si>
  <si>
    <t>BNA-JAX</t>
  </si>
  <si>
    <t>MCO-SMF</t>
  </si>
  <si>
    <t>AUS-LGA</t>
  </si>
  <si>
    <t>COS-LAS</t>
  </si>
  <si>
    <t>OGG-SJC</t>
  </si>
  <si>
    <t>CLT-PDX</t>
  </si>
  <si>
    <t>IND-SNA</t>
  </si>
  <si>
    <t>BUF-SAN</t>
  </si>
  <si>
    <t>LGB-PHX</t>
  </si>
  <si>
    <t>LAS-SMX</t>
  </si>
  <si>
    <t>ITO-LIH</t>
  </si>
  <si>
    <t>IND-MHT</t>
  </si>
  <si>
    <t>BHM-EWR</t>
  </si>
  <si>
    <t>BOS-PSP</t>
  </si>
  <si>
    <t>OMA-SDF</t>
  </si>
  <si>
    <t>RIC-SYR</t>
  </si>
  <si>
    <t>JAN-MCI</t>
  </si>
  <si>
    <t>GEG-MFR</t>
  </si>
  <si>
    <t>MAF-TPA</t>
  </si>
  <si>
    <t>BHM-CRW</t>
  </si>
  <si>
    <t>AVP-COS</t>
  </si>
  <si>
    <t>HON-LAX</t>
  </si>
  <si>
    <t>Mkt Pax</t>
  </si>
  <si>
    <t>Out Pax</t>
  </si>
  <si>
    <t>Dir Pax</t>
  </si>
  <si>
    <t>Average Paid Fare</t>
  </si>
  <si>
    <t>Paid Fares (&gt;$20)</t>
  </si>
  <si>
    <t>Percent</t>
  </si>
  <si>
    <t>Personal</t>
  </si>
  <si>
    <t>Market Direction A-B</t>
  </si>
  <si>
    <t>Market Direction B-A</t>
  </si>
  <si>
    <t>Top 50</t>
  </si>
  <si>
    <t>Others</t>
  </si>
  <si>
    <t>Weight</t>
  </si>
  <si>
    <t xml:space="preserve">Personal fare elasticity: </t>
  </si>
  <si>
    <r>
      <rPr>
        <b/>
        <sz val="10"/>
        <color theme="1"/>
        <rFont val="Arial"/>
        <family val="2"/>
      </rPr>
      <t>Consumer Surplus Analysis</t>
    </r>
    <r>
      <rPr>
        <sz val="10"/>
        <color theme="1"/>
        <rFont val="Arial"/>
        <family val="2"/>
      </rPr>
      <t xml:space="preserve"> - International Markets</t>
    </r>
  </si>
  <si>
    <t>Pax</t>
  </si>
  <si>
    <t>JFK-LHR</t>
  </si>
  <si>
    <t>HNL-NRT</t>
  </si>
  <si>
    <t>LAX-LHR</t>
  </si>
  <si>
    <t>LAX-NRT</t>
  </si>
  <si>
    <t>JFK-CDG</t>
  </si>
  <si>
    <t>ORD-LHR</t>
  </si>
  <si>
    <t>EWR-LHR</t>
  </si>
  <si>
    <t>LAX-SYD</t>
  </si>
  <si>
    <t>GUM-NRT</t>
  </si>
  <si>
    <t>LAX-TPE</t>
  </si>
  <si>
    <t>SFO-HKG</t>
  </si>
  <si>
    <t>IAD-LHR</t>
  </si>
  <si>
    <t>LAX-ICN</t>
  </si>
  <si>
    <t>ORD-FRA</t>
  </si>
  <si>
    <t>BOS-LHR</t>
  </si>
  <si>
    <t>IAD-FRA</t>
  </si>
  <si>
    <t>JFK-ICN</t>
  </si>
  <si>
    <t>MIA-YYZ</t>
  </si>
  <si>
    <t>MIA-MAD</t>
  </si>
  <si>
    <t>JFK-CUN</t>
  </si>
  <si>
    <t>PHL-CUN</t>
  </si>
  <si>
    <t>IAD-MUC</t>
  </si>
  <si>
    <t>BOS-AMS</t>
  </si>
  <si>
    <t>ORD-YOW</t>
  </si>
  <si>
    <t>LAS-MEX</t>
  </si>
  <si>
    <t>IAH-GIG</t>
  </si>
  <si>
    <t>TPA-LGW</t>
  </si>
  <si>
    <t>BOS-SNN</t>
  </si>
  <si>
    <t>SLC-CUN</t>
  </si>
  <si>
    <t>IAH-TGZ</t>
  </si>
  <si>
    <t>Cum Pct</t>
  </si>
  <si>
    <t>Top 15</t>
  </si>
  <si>
    <t>Total International Passengers</t>
  </si>
  <si>
    <t>US Car Pax</t>
  </si>
  <si>
    <t>Mkt OD Pax</t>
  </si>
  <si>
    <t>Short-haul</t>
  </si>
  <si>
    <t>Long-haul</t>
  </si>
  <si>
    <t>Dist</t>
  </si>
  <si>
    <t>Fare</t>
  </si>
  <si>
    <t>Fare/mi</t>
  </si>
  <si>
    <t>Avg Dist</t>
  </si>
  <si>
    <t>Flown</t>
  </si>
  <si>
    <t>Ret Pax</t>
  </si>
  <si>
    <t>Fare (drop)</t>
  </si>
  <si>
    <t xml:space="preserve">Fare drop: </t>
  </si>
  <si>
    <t>DB1B expansion factor</t>
  </si>
  <si>
    <t>Change in CS ($m)</t>
  </si>
  <si>
    <t>Change in Expenditure ($m)</t>
  </si>
  <si>
    <t>Consumer Surplus Analysis</t>
  </si>
  <si>
    <t>2010</t>
  </si>
  <si>
    <t>Summary</t>
  </si>
  <si>
    <t>Current fare assumptions:</t>
  </si>
  <si>
    <t>DOMESTIC MARKETS</t>
  </si>
  <si>
    <t>Change in</t>
  </si>
  <si>
    <t>Expenditure</t>
  </si>
  <si>
    <t>Consumer</t>
  </si>
  <si>
    <t>Surplus</t>
  </si>
  <si>
    <t>($m)</t>
  </si>
  <si>
    <t>$1 drop (fare)</t>
  </si>
  <si>
    <t>1% drop (fare)</t>
  </si>
  <si>
    <t>0.1¢ drop (fare/mile)</t>
  </si>
  <si>
    <t>5% drop (fare)</t>
  </si>
  <si>
    <t>$5 drop (fare)</t>
  </si>
  <si>
    <t>0.5¢ drop (fare/mile)</t>
  </si>
  <si>
    <t>$10 drop (fare)</t>
  </si>
  <si>
    <t>10% drop (fare)</t>
  </si>
  <si>
    <t>1¢ drop (fare/mile)</t>
  </si>
  <si>
    <t>Sensitivity analysis:</t>
  </si>
  <si>
    <t xml:space="preserve">Avg fare - personal trips: </t>
  </si>
  <si>
    <t xml:space="preserve"> average paid fare</t>
  </si>
  <si>
    <r>
      <t xml:space="preserve">1 + </t>
    </r>
    <r>
      <rPr>
        <sz val="12"/>
        <color theme="1"/>
        <rFont val="Arial"/>
        <family val="2"/>
      </rPr>
      <t>ε</t>
    </r>
  </si>
  <si>
    <t>Air Travel</t>
  </si>
  <si>
    <t>Induced Expenditure ($m)</t>
  </si>
  <si>
    <t>Induced</t>
  </si>
  <si>
    <t>Local</t>
  </si>
  <si>
    <t>Beyond</t>
  </si>
  <si>
    <t>Pct Vis</t>
  </si>
  <si>
    <t>US Car</t>
  </si>
  <si>
    <t>FF Car</t>
  </si>
  <si>
    <t>FF Carriers</t>
  </si>
  <si>
    <t>US Carriers</t>
  </si>
  <si>
    <t>Fared Pax as Percent Total Pax</t>
  </si>
  <si>
    <t/>
  </si>
  <si>
    <t>FF Car Pax</t>
  </si>
  <si>
    <t>Pct Pers</t>
  </si>
  <si>
    <t>Change in CS ($m) - Vis</t>
  </si>
  <si>
    <t>Change in Exp ($m) - Res</t>
  </si>
  <si>
    <t>Change in Exp ($m) - Vis</t>
  </si>
  <si>
    <t>Change in CS ($m) - Res</t>
  </si>
  <si>
    <t>Induced Exp ($m) - Res</t>
  </si>
  <si>
    <t>Induced Exp ($m) - Vis</t>
  </si>
  <si>
    <t>(attracted travelers)</t>
  </si>
  <si>
    <t>(existing travelers)</t>
  </si>
  <si>
    <t>Net change:</t>
  </si>
  <si>
    <t>Cnx Seg</t>
  </si>
  <si>
    <t>Domestic Trips</t>
  </si>
  <si>
    <t>International Trips</t>
  </si>
  <si>
    <t>US Residents</t>
  </si>
  <si>
    <t>US Visitors</t>
  </si>
  <si>
    <t>Average paid fare:</t>
  </si>
  <si>
    <t>Fared pax:</t>
  </si>
  <si>
    <t>Fared Pax (Personal Trips)</t>
  </si>
  <si>
    <t>Revenue (Personal Trips)</t>
  </si>
  <si>
    <t>Top 15 markets</t>
  </si>
  <si>
    <t>Weighted</t>
  </si>
  <si>
    <t>Top 27 markets</t>
  </si>
  <si>
    <t>Total</t>
  </si>
  <si>
    <t>Weighted Market Trips</t>
  </si>
  <si>
    <t>Total Weighted</t>
  </si>
  <si>
    <t>Personal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</si>
</sst>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164" formatCode="0_);\(0\)"/>
    <numFmt numFmtId="165" formatCode="0.0"/>
    <numFmt numFmtId="166" formatCode="0.0%"/>
    <numFmt numFmtId="167" formatCode="#,##0.0"/>
    <numFmt numFmtId="168" formatCode="&quot;$&quot;#,##0"/>
    <numFmt numFmtId="169" formatCode="&quot;$&quot;#,##0.00"/>
    <numFmt numFmtId="170" formatCode="&quot;$&quot;#,##0.000_);\(&quot;$&quot;#,##0.000\)"/>
    <numFmt numFmtId="171" formatCode="#,##0.000"/>
    <numFmt numFmtId="172" formatCode="#,##0.000_);\(#,##0.000\)"/>
    <numFmt numFmtId="173" formatCode="0.00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rgb="FF000000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0" fontId="0" fillId="0" borderId="0" xfId="0" applyNumberFormat="1"/>
    <xf numFmtId="10" fontId="0" fillId="0" borderId="1" xfId="0" applyNumberFormat="1" applyBorder="1"/>
    <xf numFmtId="37" fontId="0" fillId="0" borderId="0" xfId="0" applyNumberFormat="1"/>
    <xf numFmtId="0" fontId="0" fillId="0" borderId="0" xfId="0" applyAlignment="1">
      <alignment horizontal="centerContinuous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 indent="1"/>
    </xf>
    <xf numFmtId="2" fontId="0" fillId="0" borderId="0" xfId="0" applyNumberFormat="1"/>
    <xf numFmtId="165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3" fontId="0" fillId="0" borderId="2" xfId="0" applyNumberFormat="1" applyBorder="1"/>
    <xf numFmtId="0" fontId="0" fillId="0" borderId="1" xfId="0" applyBorder="1"/>
    <xf numFmtId="3" fontId="0" fillId="0" borderId="1" xfId="0" applyNumberFormat="1" applyBorder="1"/>
    <xf numFmtId="165" fontId="0" fillId="0" borderId="0" xfId="0" applyNumberFormat="1" applyBorder="1"/>
    <xf numFmtId="166" fontId="0" fillId="0" borderId="0" xfId="0" applyNumberFormat="1"/>
    <xf numFmtId="0" fontId="1" fillId="0" borderId="0" xfId="0" applyFont="1"/>
    <xf numFmtId="0" fontId="2" fillId="0" borderId="0" xfId="0" applyFont="1"/>
    <xf numFmtId="9" fontId="0" fillId="0" borderId="0" xfId="0" applyNumberFormat="1"/>
    <xf numFmtId="10" fontId="0" fillId="0" borderId="0" xfId="0" applyNumberFormat="1" applyBorder="1"/>
    <xf numFmtId="164" fontId="0" fillId="0" borderId="1" xfId="0" applyNumberFormat="1" applyBorder="1"/>
    <xf numFmtId="37" fontId="0" fillId="0" borderId="1" xfId="0" applyNumberFormat="1" applyBorder="1"/>
    <xf numFmtId="167" fontId="0" fillId="0" borderId="0" xfId="0" applyNumberFormat="1"/>
    <xf numFmtId="3" fontId="0" fillId="0" borderId="0" xfId="0" applyNumberFormat="1" applyBorder="1"/>
    <xf numFmtId="166" fontId="0" fillId="0" borderId="0" xfId="0" applyNumberFormat="1" applyFont="1" applyFill="1" applyBorder="1"/>
    <xf numFmtId="166" fontId="3" fillId="0" borderId="0" xfId="0" applyNumberFormat="1" applyFont="1" applyFill="1" applyBorder="1"/>
    <xf numFmtId="166" fontId="4" fillId="2" borderId="0" xfId="0" applyNumberFormat="1" applyFont="1" applyFill="1" applyBorder="1"/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0" fillId="3" borderId="3" xfId="0" applyFill="1" applyBorder="1"/>
    <xf numFmtId="171" fontId="0" fillId="0" borderId="0" xfId="0" applyNumberFormat="1"/>
    <xf numFmtId="171" fontId="0" fillId="0" borderId="1" xfId="0" applyNumberFormat="1" applyBorder="1"/>
    <xf numFmtId="171" fontId="0" fillId="0" borderId="4" xfId="0" applyNumberFormat="1" applyBorder="1"/>
    <xf numFmtId="172" fontId="0" fillId="0" borderId="0" xfId="0" applyNumberFormat="1"/>
    <xf numFmtId="172" fontId="0" fillId="0" borderId="1" xfId="0" applyNumberFormat="1" applyBorder="1"/>
    <xf numFmtId="0" fontId="0" fillId="0" borderId="0" xfId="0" quotePrefix="1"/>
    <xf numFmtId="0" fontId="0" fillId="0" borderId="0" xfId="0" applyFont="1"/>
    <xf numFmtId="9" fontId="0" fillId="0" borderId="0" xfId="0" applyNumberFormat="1" applyAlignment="1">
      <alignment horizontal="left" indent="1"/>
    </xf>
    <xf numFmtId="167" fontId="0" fillId="0" borderId="0" xfId="0" applyNumberFormat="1" applyAlignment="1"/>
    <xf numFmtId="173" fontId="0" fillId="0" borderId="0" xfId="0" applyNumberFormat="1"/>
    <xf numFmtId="173" fontId="0" fillId="0" borderId="1" xfId="0" applyNumberFormat="1" applyBorder="1"/>
    <xf numFmtId="3" fontId="0" fillId="0" borderId="5" xfId="0" applyNumberFormat="1" applyBorder="1"/>
    <xf numFmtId="4" fontId="0" fillId="0" borderId="0" xfId="0" applyNumberFormat="1"/>
    <xf numFmtId="4" fontId="3" fillId="0" borderId="0" xfId="0" applyNumberFormat="1" applyFont="1"/>
    <xf numFmtId="173" fontId="0" fillId="0" borderId="4" xfId="0" applyNumberFormat="1" applyBorder="1"/>
    <xf numFmtId="3" fontId="0" fillId="0" borderId="6" xfId="0" applyNumberFormat="1" applyBorder="1"/>
    <xf numFmtId="0" fontId="1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166" fontId="0" fillId="3" borderId="3" xfId="0" applyNumberFormat="1" applyFill="1" applyBorder="1" applyProtection="1">
      <protection locked="0"/>
    </xf>
    <xf numFmtId="5" fontId="0" fillId="3" borderId="3" xfId="0" applyNumberFormat="1" applyFill="1" applyBorder="1" applyProtection="1">
      <protection locked="0"/>
    </xf>
    <xf numFmtId="9" fontId="0" fillId="3" borderId="3" xfId="0" applyNumberFormat="1" applyFill="1" applyBorder="1" applyProtection="1">
      <protection locked="0"/>
    </xf>
    <xf numFmtId="170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pane ySplit="7" topLeftCell="A8" activePane="bottomLeft" state="frozen"/>
      <selection pane="bottomLeft" activeCell="O21" sqref="O21"/>
    </sheetView>
  </sheetViews>
  <sheetFormatPr defaultRowHeight="12.75" x14ac:dyDescent="0.2"/>
  <cols>
    <col min="1" max="1" width="21.7109375" customWidth="1"/>
    <col min="2" max="4" width="10.7109375" customWidth="1"/>
  </cols>
  <sheetData>
    <row r="1" spans="1:4" x14ac:dyDescent="0.2">
      <c r="A1" s="19" t="s">
        <v>168</v>
      </c>
    </row>
    <row r="2" spans="1:4" x14ac:dyDescent="0.2">
      <c r="A2" s="39" t="s">
        <v>169</v>
      </c>
    </row>
    <row r="4" spans="1:4" x14ac:dyDescent="0.2">
      <c r="A4" s="20" t="s">
        <v>170</v>
      </c>
      <c r="B4" s="1" t="s">
        <v>173</v>
      </c>
      <c r="C4" s="1" t="s">
        <v>173</v>
      </c>
      <c r="D4" s="1" t="s">
        <v>193</v>
      </c>
    </row>
    <row r="5" spans="1:4" x14ac:dyDescent="0.2">
      <c r="A5" s="20"/>
      <c r="B5" s="1" t="s">
        <v>175</v>
      </c>
      <c r="C5" s="1" t="s">
        <v>191</v>
      </c>
      <c r="D5" s="1" t="s">
        <v>191</v>
      </c>
    </row>
    <row r="6" spans="1:4" x14ac:dyDescent="0.2">
      <c r="A6" s="20"/>
      <c r="B6" s="1" t="s">
        <v>176</v>
      </c>
      <c r="C6" s="1" t="s">
        <v>174</v>
      </c>
      <c r="D6" s="1" t="s">
        <v>174</v>
      </c>
    </row>
    <row r="7" spans="1:4" x14ac:dyDescent="0.2">
      <c r="A7" s="20"/>
      <c r="B7" s="1" t="s">
        <v>177</v>
      </c>
      <c r="C7" s="1" t="s">
        <v>177</v>
      </c>
      <c r="D7" s="1" t="s">
        <v>177</v>
      </c>
    </row>
    <row r="8" spans="1:4" x14ac:dyDescent="0.2">
      <c r="A8" s="40" t="s">
        <v>172</v>
      </c>
    </row>
    <row r="10" spans="1:4" x14ac:dyDescent="0.2">
      <c r="A10" s="19" t="s">
        <v>215</v>
      </c>
    </row>
    <row r="11" spans="1:4" x14ac:dyDescent="0.2">
      <c r="A11" t="s">
        <v>171</v>
      </c>
    </row>
    <row r="12" spans="1:4" x14ac:dyDescent="0.2">
      <c r="A12" s="9" t="str">
        <f>Domestic!T7&amp;" (fare)"</f>
        <v>$1 drop (fare)</v>
      </c>
      <c r="B12" s="42">
        <f>Domestic!T$108+Domestic!AK$108</f>
        <v>277.23802833850033</v>
      </c>
      <c r="C12" s="42">
        <f>Domestic!W$108+Domestic!AN$108</f>
        <v>102.67478496657901</v>
      </c>
      <c r="D12" s="42"/>
    </row>
    <row r="13" spans="1:4" x14ac:dyDescent="0.2">
      <c r="A13" s="41" t="str">
        <f>Domestic!U7&amp;" (fare)"</f>
        <v>1% drop (fare)</v>
      </c>
      <c r="B13" s="42">
        <f>Domestic!U$108+Domestic!AL$108</f>
        <v>505.7867856888779</v>
      </c>
      <c r="C13" s="42">
        <f>Domestic!X$108+Domestic!AO$108</f>
        <v>168.12409733674696</v>
      </c>
      <c r="D13" s="42">
        <f>Domestic!AS108</f>
        <v>670.53772555798582</v>
      </c>
    </row>
    <row r="14" spans="1:4" x14ac:dyDescent="0.2">
      <c r="A14" s="9" t="str">
        <f>Domestic!V7&amp;" (fare/mile)"</f>
        <v>0.1¢ drop (fare/mile)</v>
      </c>
      <c r="B14" s="42">
        <f>Domestic!V$108+Domestic!AM$108</f>
        <v>345.50155958251963</v>
      </c>
      <c r="C14" s="42">
        <f>Domestic!Y$108+Domestic!AP$108</f>
        <v>90.330374840301261</v>
      </c>
      <c r="D14" s="42"/>
    </row>
    <row r="16" spans="1:4" x14ac:dyDescent="0.2">
      <c r="A16" t="s">
        <v>187</v>
      </c>
    </row>
    <row r="18" spans="1:4" x14ac:dyDescent="0.2">
      <c r="A18" s="9" t="s">
        <v>178</v>
      </c>
      <c r="B18" s="25">
        <v>277.23802833850033</v>
      </c>
      <c r="C18" s="25">
        <v>102.67478496657901</v>
      </c>
      <c r="D18" s="25"/>
    </row>
    <row r="19" spans="1:4" x14ac:dyDescent="0.2">
      <c r="A19" s="9" t="s">
        <v>182</v>
      </c>
      <c r="B19" s="42">
        <v>1411.0692948515739</v>
      </c>
      <c r="C19" s="42">
        <v>524.05579393823587</v>
      </c>
      <c r="D19" s="42"/>
    </row>
    <row r="20" spans="1:4" x14ac:dyDescent="0.2">
      <c r="A20" s="9" t="s">
        <v>184</v>
      </c>
      <c r="B20" s="25">
        <v>2887.9949543702987</v>
      </c>
      <c r="C20" s="25">
        <v>1076.5162992873188</v>
      </c>
      <c r="D20" s="25"/>
    </row>
    <row r="22" spans="1:4" x14ac:dyDescent="0.2">
      <c r="A22" s="41" t="s">
        <v>179</v>
      </c>
      <c r="B22" s="25">
        <v>505.7867856888779</v>
      </c>
      <c r="C22" s="25">
        <v>168.12409733674696</v>
      </c>
      <c r="D22" s="25">
        <v>670.53772555798582</v>
      </c>
    </row>
    <row r="23" spans="1:4" x14ac:dyDescent="0.2">
      <c r="A23" s="41" t="s">
        <v>181</v>
      </c>
      <c r="B23" s="25">
        <v>2599.1711149344969</v>
      </c>
      <c r="C23" s="25">
        <v>866.06007578029801</v>
      </c>
      <c r="D23" s="25">
        <v>3378.1282168864927</v>
      </c>
    </row>
    <row r="24" spans="1:4" x14ac:dyDescent="0.2">
      <c r="A24" s="41" t="s">
        <v>185</v>
      </c>
      <c r="B24" s="25">
        <v>5387.5763036171338</v>
      </c>
      <c r="C24" s="25">
        <v>1800.8785127739961</v>
      </c>
      <c r="D24" s="25">
        <v>6825.0147949863813</v>
      </c>
    </row>
    <row r="26" spans="1:4" x14ac:dyDescent="0.2">
      <c r="A26" s="9" t="s">
        <v>180</v>
      </c>
      <c r="B26" s="25">
        <v>345.50155958251963</v>
      </c>
      <c r="C26" s="25">
        <v>90.330374840301261</v>
      </c>
      <c r="D26" s="25"/>
    </row>
    <row r="27" spans="1:4" x14ac:dyDescent="0.2">
      <c r="A27" s="9" t="s">
        <v>183</v>
      </c>
      <c r="B27" s="25">
        <v>1762.5820775992772</v>
      </c>
      <c r="C27" s="25">
        <v>459.67315870270852</v>
      </c>
      <c r="D27" s="25"/>
    </row>
    <row r="28" spans="1:4" x14ac:dyDescent="0.2">
      <c r="A28" s="9" t="s">
        <v>186</v>
      </c>
      <c r="B28" s="25">
        <v>3618.4020586825536</v>
      </c>
      <c r="C28" s="25">
        <v>940.46796766035766</v>
      </c>
      <c r="D28" s="25"/>
    </row>
    <row r="31" spans="1:4" x14ac:dyDescent="0.2">
      <c r="A31" s="50" t="s">
        <v>216</v>
      </c>
    </row>
    <row r="32" spans="1:4" x14ac:dyDescent="0.2">
      <c r="A32" s="51" t="s">
        <v>217</v>
      </c>
    </row>
    <row r="33" spans="1:4" x14ac:dyDescent="0.2">
      <c r="A33" t="s">
        <v>171</v>
      </c>
    </row>
    <row r="34" spans="1:4" x14ac:dyDescent="0.2">
      <c r="A34" s="9" t="str">
        <f>International!AA7&amp;" (fare)"</f>
        <v>$1 drop (fare)</v>
      </c>
      <c r="B34" s="25">
        <f>International!AA38+International!BC38</f>
        <v>79.039881535433238</v>
      </c>
      <c r="C34" s="25">
        <f>International!AG38+International!BI38</f>
        <v>3.1615952614173324</v>
      </c>
    </row>
    <row r="35" spans="1:4" x14ac:dyDescent="0.2">
      <c r="A35" s="41" t="str">
        <f>International!AB7&amp;" (fare)"</f>
        <v>1% drop (fare)</v>
      </c>
      <c r="B35" s="25">
        <f>International!AB38+International!BD38</f>
        <v>309.51663676668778</v>
      </c>
      <c r="C35" s="25">
        <f>International!AH38+International!BJ38</f>
        <v>12.380665470667523</v>
      </c>
      <c r="D35" s="25">
        <f>International!BQ38</f>
        <v>320.28522758969467</v>
      </c>
    </row>
    <row r="36" spans="1:4" x14ac:dyDescent="0.2">
      <c r="A36" s="9" t="str">
        <f>International!AC7&amp;" (fare/mile)"</f>
        <v>0.1¢ drop (fare/mile)</v>
      </c>
      <c r="B36" s="25">
        <f>International!AC38+International!BE38</f>
        <v>347.29579373564212</v>
      </c>
      <c r="C36" s="25">
        <f>International!AI38+International!BK38</f>
        <v>13.891831749425702</v>
      </c>
    </row>
    <row r="38" spans="1:4" x14ac:dyDescent="0.2">
      <c r="A38" t="s">
        <v>187</v>
      </c>
    </row>
    <row r="40" spans="1:4" x14ac:dyDescent="0.2">
      <c r="A40" s="9" t="s">
        <v>178</v>
      </c>
      <c r="B40" s="25">
        <v>79.039881535433238</v>
      </c>
      <c r="C40" s="25">
        <v>3.1615952614173324</v>
      </c>
    </row>
    <row r="41" spans="1:4" x14ac:dyDescent="0.2">
      <c r="A41" s="9" t="s">
        <v>182</v>
      </c>
      <c r="B41" s="25">
        <v>398.37596559507074</v>
      </c>
      <c r="C41" s="25">
        <v>15.935038623802843</v>
      </c>
      <c r="D41" s="11"/>
    </row>
    <row r="42" spans="1:4" x14ac:dyDescent="0.2">
      <c r="A42" s="9" t="s">
        <v>184</v>
      </c>
      <c r="B42" s="25">
        <v>804.94964693334293</v>
      </c>
      <c r="C42" s="25">
        <v>32.197985877333743</v>
      </c>
    </row>
    <row r="44" spans="1:4" x14ac:dyDescent="0.2">
      <c r="A44" s="41" t="s">
        <v>179</v>
      </c>
      <c r="B44" s="25">
        <v>309.51663676668778</v>
      </c>
      <c r="C44" s="25">
        <v>12.380665470667523</v>
      </c>
      <c r="D44" s="25">
        <v>320.28522758969467</v>
      </c>
    </row>
    <row r="45" spans="1:4" x14ac:dyDescent="0.2">
      <c r="A45" s="41" t="s">
        <v>181</v>
      </c>
      <c r="B45" s="25">
        <v>1580.9652385091044</v>
      </c>
      <c r="C45" s="25">
        <v>63.238609540364237</v>
      </c>
      <c r="D45" s="25">
        <v>1602.7614201355</v>
      </c>
    </row>
    <row r="46" spans="1:4" x14ac:dyDescent="0.2">
      <c r="A46" s="41" t="s">
        <v>185</v>
      </c>
      <c r="B46" s="25">
        <v>3250.94395469555</v>
      </c>
      <c r="C46" s="25">
        <v>130.03775818782211</v>
      </c>
      <c r="D46" s="25">
        <v>3209.0833793780935</v>
      </c>
    </row>
    <row r="48" spans="1:4" x14ac:dyDescent="0.2">
      <c r="A48" s="9" t="s">
        <v>180</v>
      </c>
      <c r="B48" s="25">
        <v>347.29579373564212</v>
      </c>
      <c r="C48" s="25">
        <v>13.891831749425702</v>
      </c>
    </row>
    <row r="49" spans="1:4" x14ac:dyDescent="0.2">
      <c r="A49" s="9" t="s">
        <v>183</v>
      </c>
      <c r="B49" s="25">
        <v>1824.6485018287219</v>
      </c>
      <c r="C49" s="25">
        <v>72.985940073148939</v>
      </c>
    </row>
    <row r="50" spans="1:4" x14ac:dyDescent="0.2">
      <c r="A50" s="9" t="s">
        <v>186</v>
      </c>
      <c r="B50" s="25">
        <v>3922.327817938432</v>
      </c>
      <c r="C50" s="25">
        <v>156.89311271753741</v>
      </c>
    </row>
    <row r="52" spans="1:4" x14ac:dyDescent="0.2">
      <c r="A52" s="52" t="s">
        <v>218</v>
      </c>
    </row>
    <row r="53" spans="1:4" x14ac:dyDescent="0.2">
      <c r="A53" t="s">
        <v>171</v>
      </c>
    </row>
    <row r="54" spans="1:4" x14ac:dyDescent="0.2">
      <c r="A54" s="9" t="str">
        <f>International!AA7&amp;" (fare)"</f>
        <v>$1 drop (fare)</v>
      </c>
      <c r="B54" s="25">
        <f>International!AD38+International!BF38</f>
        <v>67.515010605184841</v>
      </c>
      <c r="C54" s="25">
        <f>International!AJ38+International!BL38</f>
        <v>2.7006004242073955</v>
      </c>
    </row>
    <row r="55" spans="1:4" x14ac:dyDescent="0.2">
      <c r="A55" s="41" t="str">
        <f>International!AB7&amp;" (fare)"</f>
        <v>1% drop (fare)</v>
      </c>
      <c r="B55" s="25">
        <f>International!AE38+International!BG38</f>
        <v>404.0944520044543</v>
      </c>
      <c r="C55" s="25">
        <f>International!AK38+International!BM38</f>
        <v>16.163778080178183</v>
      </c>
      <c r="D55" s="25">
        <f>International!BX38</f>
        <v>418.15355995076891</v>
      </c>
    </row>
    <row r="56" spans="1:4" x14ac:dyDescent="0.2">
      <c r="A56" s="9" t="str">
        <f>International!AC7&amp;" (fare/mile)"</f>
        <v>0.1¢ drop (fare/mile)</v>
      </c>
      <c r="B56" s="25">
        <f>International!AF38+International!BH38</f>
        <v>238.47159105608694</v>
      </c>
      <c r="C56" s="25">
        <f>International!AL38+International!BN38</f>
        <v>9.5388636422434878</v>
      </c>
    </row>
    <row r="58" spans="1:4" x14ac:dyDescent="0.2">
      <c r="A58" t="s">
        <v>187</v>
      </c>
    </row>
    <row r="60" spans="1:4" x14ac:dyDescent="0.2">
      <c r="A60" s="9" t="s">
        <v>178</v>
      </c>
      <c r="B60" s="25">
        <v>67.515010605184841</v>
      </c>
      <c r="C60" s="25">
        <v>2.7006004242073955</v>
      </c>
    </row>
    <row r="61" spans="1:4" x14ac:dyDescent="0.2">
      <c r="A61" s="9" t="s">
        <v>182</v>
      </c>
      <c r="B61" s="25">
        <v>339.64366460765382</v>
      </c>
      <c r="C61" s="25">
        <v>13.585746584306161</v>
      </c>
      <c r="D61" s="11"/>
    </row>
    <row r="62" spans="1:4" x14ac:dyDescent="0.2">
      <c r="A62" s="9" t="s">
        <v>184</v>
      </c>
      <c r="B62" s="25">
        <v>684.64307322106515</v>
      </c>
      <c r="C62" s="25">
        <v>27.385722928842632</v>
      </c>
    </row>
    <row r="64" spans="1:4" x14ac:dyDescent="0.2">
      <c r="A64" s="41" t="s">
        <v>179</v>
      </c>
      <c r="B64" s="25">
        <v>404.0944520044543</v>
      </c>
      <c r="C64" s="25">
        <v>16.163778080178183</v>
      </c>
      <c r="D64" s="25">
        <v>418.15355995076891</v>
      </c>
    </row>
    <row r="65" spans="1:4" x14ac:dyDescent="0.2">
      <c r="A65" s="41" t="s">
        <v>181</v>
      </c>
      <c r="B65" s="25">
        <v>2064.0547415065025</v>
      </c>
      <c r="C65" s="25">
        <v>82.562189660260174</v>
      </c>
      <c r="D65" s="25">
        <v>2092.5110990132139</v>
      </c>
    </row>
    <row r="66" spans="1:4" x14ac:dyDescent="0.2">
      <c r="A66" s="41" t="s">
        <v>185</v>
      </c>
      <c r="B66" s="25">
        <v>4244.322468714804</v>
      </c>
      <c r="C66" s="25">
        <v>169.7728987485923</v>
      </c>
      <c r="D66" s="25">
        <v>4189.6707174545008</v>
      </c>
    </row>
    <row r="68" spans="1:4" x14ac:dyDescent="0.2">
      <c r="A68" s="9" t="s">
        <v>180</v>
      </c>
      <c r="B68" s="25">
        <v>238.47159105608694</v>
      </c>
      <c r="C68" s="25">
        <v>9.5388636422434878</v>
      </c>
    </row>
    <row r="69" spans="1:4" x14ac:dyDescent="0.2">
      <c r="A69" s="9" t="s">
        <v>183</v>
      </c>
      <c r="B69" s="25">
        <v>1235.0972451922294</v>
      </c>
      <c r="C69" s="25">
        <v>49.403889807689225</v>
      </c>
    </row>
    <row r="70" spans="1:4" x14ac:dyDescent="0.2">
      <c r="A70" s="9" t="s">
        <v>186</v>
      </c>
      <c r="B70" s="25">
        <v>2603.1005251731794</v>
      </c>
      <c r="C70" s="25">
        <v>104.12402100692726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3"/>
  <sheetViews>
    <sheetView workbookViewId="0">
      <pane xSplit="3" ySplit="7" topLeftCell="J83" activePane="bottomRight" state="frozen"/>
      <selection pane="topRight" activeCell="D1" sqref="D1"/>
      <selection pane="bottomLeft" activeCell="A4" sqref="A4"/>
      <selection pane="bottomRight" activeCell="N3" sqref="N3"/>
    </sheetView>
  </sheetViews>
  <sheetFormatPr defaultRowHeight="12.75" x14ac:dyDescent="0.2"/>
  <cols>
    <col min="1" max="1" width="6.7109375" customWidth="1"/>
    <col min="2" max="2" width="7.7109375" customWidth="1"/>
    <col min="3" max="4" width="10.7109375" customWidth="1"/>
    <col min="20" max="20" width="9.7109375" bestFit="1" customWidth="1"/>
    <col min="23" max="23" width="9.28515625" bestFit="1" customWidth="1"/>
    <col min="24" max="25" width="9.140625" customWidth="1"/>
    <col min="43" max="43" width="12.7109375" customWidth="1"/>
    <col min="51" max="52" width="10.7109375" customWidth="1"/>
  </cols>
  <sheetData>
    <row r="1" spans="1:52" x14ac:dyDescent="0.2">
      <c r="A1" t="s">
        <v>0</v>
      </c>
    </row>
    <row r="2" spans="1:52" ht="13.5" thickBot="1" x14ac:dyDescent="0.25"/>
    <row r="3" spans="1:52" ht="13.5" thickBot="1" x14ac:dyDescent="0.25">
      <c r="D3" s="1" t="s">
        <v>155</v>
      </c>
      <c r="E3" s="1" t="s">
        <v>156</v>
      </c>
      <c r="F3" s="1"/>
      <c r="M3" s="13" t="s">
        <v>188</v>
      </c>
      <c r="N3" s="54">
        <v>0.94199999999999995</v>
      </c>
      <c r="O3" s="39" t="s">
        <v>189</v>
      </c>
      <c r="S3" s="13" t="s">
        <v>164</v>
      </c>
      <c r="T3" s="55">
        <v>1</v>
      </c>
      <c r="U3" s="56">
        <v>0.01</v>
      </c>
      <c r="V3" s="57">
        <v>1E-3</v>
      </c>
    </row>
    <row r="4" spans="1:52" ht="13.5" thickBot="1" x14ac:dyDescent="0.25">
      <c r="C4" s="13" t="s">
        <v>117</v>
      </c>
      <c r="D4" s="33">
        <v>-1.5</v>
      </c>
      <c r="E4" s="33">
        <v>-1.1000000000000001</v>
      </c>
      <c r="I4" t="s">
        <v>112</v>
      </c>
      <c r="Z4" s="7" t="s">
        <v>113</v>
      </c>
      <c r="AR4" s="6" t="s">
        <v>192</v>
      </c>
      <c r="AS4" s="6"/>
      <c r="AT4" s="6"/>
      <c r="AU4" s="6" t="s">
        <v>167</v>
      </c>
      <c r="AV4" s="6"/>
      <c r="AW4" s="6"/>
    </row>
    <row r="5" spans="1:52" x14ac:dyDescent="0.2">
      <c r="C5" s="13"/>
      <c r="T5" s="6" t="s">
        <v>166</v>
      </c>
      <c r="U5" s="6"/>
      <c r="V5" s="6"/>
      <c r="W5" s="6" t="s">
        <v>167</v>
      </c>
      <c r="X5" s="6"/>
      <c r="Y5" s="6"/>
      <c r="Z5" s="7"/>
      <c r="AK5" s="6" t="s">
        <v>166</v>
      </c>
      <c r="AL5" s="6"/>
      <c r="AM5" s="6"/>
      <c r="AN5" s="6" t="s">
        <v>167</v>
      </c>
      <c r="AO5" s="6"/>
      <c r="AP5" s="6"/>
      <c r="AR5" s="6" t="s">
        <v>211</v>
      </c>
      <c r="AS5" s="6"/>
      <c r="AT5" s="6"/>
      <c r="AU5" s="6" t="s">
        <v>212</v>
      </c>
      <c r="AV5" s="6"/>
      <c r="AW5" s="6"/>
      <c r="AY5" s="6" t="s">
        <v>227</v>
      </c>
      <c r="AZ5" s="6"/>
    </row>
    <row r="6" spans="1:52" x14ac:dyDescent="0.2">
      <c r="K6" s="6" t="s">
        <v>109</v>
      </c>
      <c r="L6" s="6"/>
      <c r="M6" s="6"/>
      <c r="N6" s="6" t="s">
        <v>108</v>
      </c>
      <c r="O6" s="6"/>
      <c r="P6" s="6"/>
      <c r="Q6" s="1" t="s">
        <v>160</v>
      </c>
      <c r="R6" s="1"/>
      <c r="S6" s="1" t="s">
        <v>110</v>
      </c>
      <c r="T6" s="6" t="s">
        <v>163</v>
      </c>
      <c r="U6" s="6"/>
      <c r="V6" s="1" t="s">
        <v>159</v>
      </c>
      <c r="W6" s="6" t="s">
        <v>158</v>
      </c>
      <c r="X6" s="6"/>
      <c r="Y6" s="1" t="s">
        <v>159</v>
      </c>
      <c r="Z6" s="7"/>
      <c r="AB6" s="6" t="s">
        <v>109</v>
      </c>
      <c r="AC6" s="6"/>
      <c r="AD6" s="6"/>
      <c r="AE6" s="6" t="s">
        <v>108</v>
      </c>
      <c r="AF6" s="6"/>
      <c r="AG6" s="6"/>
      <c r="AH6" s="1" t="s">
        <v>160</v>
      </c>
      <c r="AI6" s="1"/>
      <c r="AJ6" s="1" t="s">
        <v>110</v>
      </c>
      <c r="AK6" s="6" t="s">
        <v>158</v>
      </c>
      <c r="AL6" s="6"/>
      <c r="AM6" s="6" t="s">
        <v>159</v>
      </c>
      <c r="AN6" s="6" t="s">
        <v>158</v>
      </c>
      <c r="AO6" s="6"/>
      <c r="AP6" s="1" t="s">
        <v>159</v>
      </c>
      <c r="AR6" s="6" t="s">
        <v>158</v>
      </c>
      <c r="AS6" s="6"/>
      <c r="AT6" s="1" t="s">
        <v>159</v>
      </c>
      <c r="AU6" s="6" t="s">
        <v>158</v>
      </c>
      <c r="AV6" s="6"/>
      <c r="AW6" s="1" t="s">
        <v>159</v>
      </c>
      <c r="AY6" s="1" t="s">
        <v>111</v>
      </c>
      <c r="AZ6" s="1" t="s">
        <v>226</v>
      </c>
    </row>
    <row r="7" spans="1:52" ht="12.75" customHeight="1" x14ac:dyDescent="0.2">
      <c r="A7" s="1" t="s">
        <v>1</v>
      </c>
      <c r="B7" s="1" t="s">
        <v>2</v>
      </c>
      <c r="C7" t="s">
        <v>3</v>
      </c>
      <c r="D7" s="1" t="s">
        <v>105</v>
      </c>
      <c r="E7" s="1" t="s">
        <v>4</v>
      </c>
      <c r="F7" s="1" t="s">
        <v>150</v>
      </c>
      <c r="G7" s="1" t="s">
        <v>116</v>
      </c>
      <c r="H7" s="1" t="s">
        <v>157</v>
      </c>
      <c r="I7" s="1" t="s">
        <v>107</v>
      </c>
      <c r="J7" s="1" t="s">
        <v>106</v>
      </c>
      <c r="K7" s="1" t="s">
        <v>107</v>
      </c>
      <c r="L7" s="1" t="s">
        <v>106</v>
      </c>
      <c r="M7" s="1" t="s">
        <v>162</v>
      </c>
      <c r="N7" s="1" t="s">
        <v>107</v>
      </c>
      <c r="O7" s="1" t="s">
        <v>106</v>
      </c>
      <c r="P7" s="1" t="s">
        <v>162</v>
      </c>
      <c r="Q7" s="1" t="s">
        <v>161</v>
      </c>
      <c r="R7" s="1" t="s">
        <v>190</v>
      </c>
      <c r="S7" s="1" t="s">
        <v>111</v>
      </c>
      <c r="T7" s="30" t="str">
        <f>"$"&amp;$T3&amp;" drop"</f>
        <v>$1 drop</v>
      </c>
      <c r="U7" s="31" t="str">
        <f>100*$U3&amp;"% drop"</f>
        <v>1% drop</v>
      </c>
      <c r="V7" s="32" t="str">
        <f>100*$V3&amp;"¢ drop"</f>
        <v>0.1¢ drop</v>
      </c>
      <c r="W7" s="30" t="str">
        <f>"$"&amp;$T3&amp;" drop"</f>
        <v>$1 drop</v>
      </c>
      <c r="X7" s="31" t="str">
        <f>100*$U3&amp;"% drop"</f>
        <v>1% drop</v>
      </c>
      <c r="Y7" s="32" t="str">
        <f>100*$V3&amp;"¢ drop"</f>
        <v>0.1¢ drop</v>
      </c>
      <c r="Z7" s="8" t="s">
        <v>107</v>
      </c>
      <c r="AA7" s="1" t="s">
        <v>106</v>
      </c>
      <c r="AB7" s="1" t="s">
        <v>107</v>
      </c>
      <c r="AC7" s="1" t="s">
        <v>106</v>
      </c>
      <c r="AD7" s="1" t="s">
        <v>162</v>
      </c>
      <c r="AE7" s="1" t="s">
        <v>107</v>
      </c>
      <c r="AF7" s="1" t="s">
        <v>106</v>
      </c>
      <c r="AG7" s="1" t="s">
        <v>162</v>
      </c>
      <c r="AH7" s="1" t="s">
        <v>161</v>
      </c>
      <c r="AI7" s="1" t="s">
        <v>190</v>
      </c>
      <c r="AJ7" s="1" t="s">
        <v>111</v>
      </c>
      <c r="AK7" s="30" t="str">
        <f>"$"&amp;$T3&amp;" drop"</f>
        <v>$1 drop</v>
      </c>
      <c r="AL7" s="31" t="str">
        <f>100*$U3&amp;"% drop"</f>
        <v>1% drop</v>
      </c>
      <c r="AM7" s="32" t="str">
        <f>100*$V3&amp;"¢ drop"</f>
        <v>0.1¢ drop</v>
      </c>
      <c r="AN7" s="30" t="str">
        <f>"$"&amp;$T3&amp;" drop"</f>
        <v>$1 drop</v>
      </c>
      <c r="AO7" s="31" t="str">
        <f>100*$U3&amp;"% drop"</f>
        <v>1% drop</v>
      </c>
      <c r="AP7" s="32" t="str">
        <f>100*$V3&amp;"¢ drop"</f>
        <v>0.1¢ drop</v>
      </c>
      <c r="AR7" s="30" t="str">
        <f>"$"&amp;$T3&amp;" drop"</f>
        <v>$1 drop</v>
      </c>
      <c r="AS7" s="31" t="str">
        <f>100*$U3&amp;"% drop"</f>
        <v>1% drop</v>
      </c>
      <c r="AT7" s="32" t="str">
        <f>100*$V3&amp;"¢ drop"</f>
        <v>0.1¢ drop</v>
      </c>
      <c r="AU7" s="30" t="str">
        <f>"$"&amp;$T3&amp;" drop"</f>
        <v>$1 drop</v>
      </c>
      <c r="AV7" s="31" t="str">
        <f>100*$U3&amp;"% drop"</f>
        <v>1% drop</v>
      </c>
      <c r="AW7" s="32" t="str">
        <f>100*$V3&amp;"¢ drop"</f>
        <v>0.1¢ drop</v>
      </c>
    </row>
    <row r="8" spans="1:52" x14ac:dyDescent="0.2">
      <c r="A8" s="2">
        <v>1</v>
      </c>
      <c r="B8" s="2">
        <v>1</v>
      </c>
      <c r="C8" t="s">
        <v>5</v>
      </c>
      <c r="D8" s="5">
        <v>236414</v>
      </c>
      <c r="E8" s="3">
        <v>5.4861453330287508E-3</v>
      </c>
      <c r="F8" s="3">
        <v>5.4861453330287508E-3</v>
      </c>
      <c r="G8" s="3"/>
      <c r="H8" s="12">
        <v>2475</v>
      </c>
      <c r="I8" s="12">
        <v>117667</v>
      </c>
      <c r="J8" s="12">
        <v>71579</v>
      </c>
      <c r="K8" s="12">
        <v>103996</v>
      </c>
      <c r="L8" s="12">
        <v>63125</v>
      </c>
      <c r="M8" s="12">
        <f>AB8-AC8</f>
        <v>37616</v>
      </c>
      <c r="N8" s="10">
        <v>311.46916044847882</v>
      </c>
      <c r="O8" s="10">
        <v>324.05581782178228</v>
      </c>
      <c r="P8" s="10">
        <f>((AB8*AE8)-(AC8*AF8))/M8</f>
        <v>288.79971448319878</v>
      </c>
      <c r="Q8" s="12">
        <v>2484.1282059405939</v>
      </c>
      <c r="R8" s="25">
        <f>1 + IF(Q8&gt;1500, $E$4,$D$4)</f>
        <v>-0.10000000000000009</v>
      </c>
      <c r="S8" s="27">
        <v>0.66463351570886786</v>
      </c>
      <c r="T8" s="34">
        <f>(L8*O8*S8*$N$3*(1-(1-$T$3/(O8*$N$3))^R8)/R8+M8*P8*S8*$N$3*(1-(1-$T$3/(P8*$N$3))^R8)/R8)*$G$113/1000000</f>
        <v>0.65740639498365983</v>
      </c>
      <c r="U8" s="37">
        <f t="shared" ref="U8:U56" si="0">(L8*O8*S8*$N$3*(1-(1-$U$3)^R8)/R8+M8*P8*S8*$N$3*(1-(1-$U$3)^R8)/R8)*$G$113/1000000</f>
        <v>1.9322933440305674</v>
      </c>
      <c r="V8" s="37">
        <f>(L8*O8*S8*$N$3*(1-(1-$V$3*Q8/(O8*$N$3))^R8)/R8+M8*P8*S8*$N$3*(1-(1-$V$3*Q8/(P8*$N$3))^R8)/R8)*$G$113/1000000</f>
        <v>1.6376775759053097</v>
      </c>
      <c r="W8" s="34">
        <f>-$R8*T8</f>
        <v>6.5740639498366046E-2</v>
      </c>
      <c r="X8" s="34">
        <f t="shared" ref="X8:Y8" si="1">-$R8*U8</f>
        <v>0.19322933440305692</v>
      </c>
      <c r="Y8" s="34">
        <f t="shared" si="1"/>
        <v>0.16376775759053111</v>
      </c>
      <c r="Z8" s="14">
        <v>118747</v>
      </c>
      <c r="AA8" s="12">
        <v>76578</v>
      </c>
      <c r="AB8" s="12">
        <v>105465</v>
      </c>
      <c r="AC8" s="12">
        <v>67849</v>
      </c>
      <c r="AD8" s="12">
        <f>K8-L8</f>
        <v>40871</v>
      </c>
      <c r="AE8" s="10">
        <v>313.39385957426629</v>
      </c>
      <c r="AF8" s="10">
        <v>327.02904007428242</v>
      </c>
      <c r="AG8" s="10">
        <f>((K8*N8)-(L8*O8))/AD8</f>
        <v>292.0291480511853</v>
      </c>
      <c r="AH8" s="12">
        <v>2480.7255523294375</v>
      </c>
      <c r="AI8" s="25">
        <f>1 + IF(AH8&gt;1500, $E$4,$D$4)</f>
        <v>-0.10000000000000009</v>
      </c>
      <c r="AJ8" s="27">
        <v>0.68071054641165141</v>
      </c>
      <c r="AK8" s="34">
        <f>(AC8*AF8*AJ8*$N$3*(1-(1-$T$3/(AF8*$N$3))^AI8)/AI8+AD8*AG8*AJ8*$N$3*(1-(1-$T$3/(AG8*$N$3))^AI8)/AI8)*$G$113/1000000</f>
        <v>0.72662357018196111</v>
      </c>
      <c r="AL8" s="37">
        <f>(AC8*AF8*AJ8*$N$3*(1-(1-$U$3)^AI8)/AI8+AD8*AG8*AJ8*$N$3*(1-(1-$U$3)^AI8)/AI8)*$G$113/1000000</f>
        <v>2.1562529623960067</v>
      </c>
      <c r="AM8" s="37">
        <f>(AC8*AF8*AJ8*$N$3*(1-(1-$V$3*AH8/(AF8*$N$3))^AI8)/AI8+AD8*AG8*AJ8*$N$3*(1-(1-$V$3*AH8/(AG8*$N$3))^AI8)/AI8)*$G$113/1000000</f>
        <v>1.8075658562665808</v>
      </c>
      <c r="AN8" s="34">
        <f>-$R8*AK8</f>
        <v>7.2662357018196178E-2</v>
      </c>
      <c r="AO8" s="34">
        <f t="shared" ref="AO8:AO71" si="2">-$R8*AL8</f>
        <v>0.21562529623960086</v>
      </c>
      <c r="AP8" s="34">
        <f t="shared" ref="AP8:AP71" si="3">-$R8*AM8</f>
        <v>0.18075658562665825</v>
      </c>
      <c r="AS8" s="43">
        <f>(L8*O8*S8*$N$3*((1-$U$3)^R8-(1-$U$3))+M8*P8*S8*$N$3*((1-$U$3)^R8-(1-$U$3))+AC8*AF8*AJ8*$N$3*((1-$U$3)^AI8-(1-$U$3))+AD8*AG8*AJ8*$N$3*((1-$U$3)^AI8-(1-$U$3)))*$G$113/1000000</f>
        <v>4.4748800321487208</v>
      </c>
      <c r="AV8" s="43">
        <f>(L8*O8*S8*$N$3*((1-$U$3)-1)+M8*P8*S8*$N$3*((1-$U$3)-1)+AC8*AF8*AJ8*$N$3*((1-$U$3)-1)+AD8*AG8*AJ8*$N$3*((1-$U$3)-1))*$G$113/1000000</f>
        <v>-4.0660254015060628</v>
      </c>
      <c r="AX8" s="43"/>
      <c r="AY8" s="12">
        <f>I8*S8+Z8*AJ8</f>
        <v>159037.76714765973</v>
      </c>
      <c r="AZ8" s="5">
        <f>D8</f>
        <v>236414</v>
      </c>
    </row>
    <row r="9" spans="1:52" x14ac:dyDescent="0.2">
      <c r="A9" s="2">
        <v>2</v>
      </c>
      <c r="B9" s="2">
        <v>2</v>
      </c>
      <c r="C9" t="s">
        <v>6</v>
      </c>
      <c r="D9" s="5">
        <v>196385</v>
      </c>
      <c r="E9" s="3">
        <v>4.5572455574832763E-3</v>
      </c>
      <c r="F9" s="3">
        <v>1.0043390890512028E-2</v>
      </c>
      <c r="G9" s="3"/>
      <c r="H9" s="12">
        <v>337</v>
      </c>
      <c r="I9" s="12">
        <v>97860</v>
      </c>
      <c r="J9" s="12">
        <v>65129</v>
      </c>
      <c r="K9" s="12">
        <v>95104</v>
      </c>
      <c r="L9" s="12">
        <v>63179</v>
      </c>
      <c r="M9" s="12">
        <f t="shared" ref="M9:M72" si="4">AB9-AC9</f>
        <v>35862</v>
      </c>
      <c r="N9" s="10">
        <v>99.09356210043741</v>
      </c>
      <c r="O9" s="10">
        <v>101.41792066984283</v>
      </c>
      <c r="P9" s="10">
        <f t="shared" ref="P9:P72" si="5">((AB9*AE9)-(AC9*AF9))/M9</f>
        <v>95.236563214544617</v>
      </c>
      <c r="Q9" s="12">
        <v>339.70817835040123</v>
      </c>
      <c r="R9" s="25">
        <f t="shared" ref="R9:R72" si="6">1 + IF(Q9&gt;1500, $E$4,$D$4)</f>
        <v>-0.5</v>
      </c>
      <c r="S9" s="27">
        <v>0.65885704982090521</v>
      </c>
      <c r="T9" s="34">
        <f t="shared" ref="T9:T56" si="7">(L9*O9*S9*$N$3*(1-(1-$T$3/(O9*$N$3))^R9)/R9+M9*P9*S9*$N$3*(1-(1-$T$3/(P9*$N$3))^R9)/R9)*$G$113/1000000</f>
        <v>0.64467245496994108</v>
      </c>
      <c r="U9" s="37">
        <f t="shared" si="0"/>
        <v>0.60197465414195217</v>
      </c>
      <c r="V9" s="37">
        <f t="shared" ref="V9:V56" si="8">(L9*O9*S9*$N$3*(1-(1-$V$3*Q9/(O9*$N$3))^R9)/R9+M9*P9*S9*$N$3*(1-(1-$V$3*Q9/(P9*$N$3))^R9)/R9)*$G$113/1000000</f>
        <v>0.21783401876057507</v>
      </c>
      <c r="W9" s="34">
        <f t="shared" ref="W9:W57" si="9">-$R9*T9</f>
        <v>0.32233622748497054</v>
      </c>
      <c r="X9" s="34">
        <f t="shared" ref="X9:X57" si="10">-$R9*U9</f>
        <v>0.30098732707097609</v>
      </c>
      <c r="Y9" s="34">
        <f t="shared" ref="Y9:Y57" si="11">-$R9*V9</f>
        <v>0.10891700938028753</v>
      </c>
      <c r="Z9" s="14">
        <v>98525</v>
      </c>
      <c r="AA9" s="12">
        <v>61744</v>
      </c>
      <c r="AB9" s="12">
        <v>95895</v>
      </c>
      <c r="AC9" s="12">
        <v>60033</v>
      </c>
      <c r="AD9" s="12">
        <f t="shared" ref="AD9:AD72" si="12">K9-L9</f>
        <v>31925</v>
      </c>
      <c r="AE9" s="10">
        <v>99.834097398195937</v>
      </c>
      <c r="AF9" s="10">
        <v>102.58053304016126</v>
      </c>
      <c r="AG9" s="10">
        <f t="shared" ref="AG9:AG72" si="13">((K9*N9)-(L9*O9))/AD9</f>
        <v>94.493698355520706</v>
      </c>
      <c r="AH9" s="12">
        <v>340.78979894391421</v>
      </c>
      <c r="AI9" s="25">
        <f t="shared" ref="AI9:AI72" si="14">1 + IF(AH9&gt;1500, $E$4,$D$4)</f>
        <v>-0.5</v>
      </c>
      <c r="AJ9" s="27">
        <v>0.6339977984110271</v>
      </c>
      <c r="AK9" s="34">
        <f t="shared" ref="AK9:AK56" si="15">(AC9*AF9*AJ9*$N$3*(1-(1-$T$3/(AF9*$N$3))^AI9)/AI9+AD9*AG9*AJ9*$N$3*(1-(1-$T$3/(AG9*$N$3))^AI9)/AI9)*$G$113/1000000</f>
        <v>0.57595875422361698</v>
      </c>
      <c r="AL9" s="37">
        <f t="shared" ref="AL9:AL56" si="16">(AC9*AF9*AJ9*$N$3*(1-(1-$U$3)^AI9)/AI9+AD9*AG9*AJ9*$N$3*(1-(1-$U$3)^AI9)/AI9)*$G$113/1000000</f>
        <v>0.54105279893884783</v>
      </c>
      <c r="AM9" s="37">
        <f t="shared" ref="AM9:AM56" si="17">(AC9*AF9*AJ9*$N$3*(1-(1-$V$3*AH9/(AF9*$N$3))^AI9)/AI9+AD9*AG9*AJ9*$N$3*(1-(1-$V$3*AH9/(AG9*$N$3))^AI9)/AI9)*$G$113/1000000</f>
        <v>0.19524268134414</v>
      </c>
      <c r="AN9" s="34">
        <f t="shared" ref="AN9:AN72" si="18">-$R9*AK9</f>
        <v>0.28797937711180849</v>
      </c>
      <c r="AO9" s="34">
        <f t="shared" si="2"/>
        <v>0.27052639946942392</v>
      </c>
      <c r="AP9" s="34">
        <f t="shared" si="3"/>
        <v>9.7621340672069998E-2</v>
      </c>
      <c r="AS9" s="43">
        <f t="shared" ref="AS9:AS56" si="19">(L9*O9*S9*$N$3*((1-$U$3)^R9-(1-$U$3))+M9*P9*S9*$N$3*((1-$U$3)^R9-(1-$U$3))+AC9*AF9*AJ9*$N$3*((1-$U$3)^AI9-(1-$U$3))+AD9*AG9*AJ9*$N$3*((1-$U$3)^AI9-(1-$U$3)))*$G$113/1000000</f>
        <v>1.7059612938570785</v>
      </c>
      <c r="AV9" s="43">
        <f t="shared" ref="AV9:AV56" si="20">(L9*O9*S9*$N$3*((1-$U$3)-1)+M9*P9*S9*$N$3*((1-$U$3)-1)+AC9*AF9*AJ9*$N$3*((1-$U$3)-1)+AD9*AG9*AJ9*$N$3*((1-$U$3)-1))*$G$113/1000000</f>
        <v>-1.1344475673166783</v>
      </c>
      <c r="AY9" s="12">
        <f t="shared" ref="AY9:AY56" si="21">I9*S9+Z9*AJ9</f>
        <v>126940.38398392024</v>
      </c>
      <c r="AZ9" s="5">
        <f t="shared" ref="AZ9:AZ56" si="22">D9</f>
        <v>196385</v>
      </c>
    </row>
    <row r="10" spans="1:52" x14ac:dyDescent="0.2">
      <c r="A10" s="2">
        <v>3</v>
      </c>
      <c r="B10" s="2">
        <v>3</v>
      </c>
      <c r="C10" t="s">
        <v>7</v>
      </c>
      <c r="D10" s="5">
        <v>183842</v>
      </c>
      <c r="E10" s="3">
        <v>4.2661768351902668E-3</v>
      </c>
      <c r="F10" s="3">
        <v>1.4309567725702296E-2</v>
      </c>
      <c r="G10" s="3"/>
      <c r="H10" s="12">
        <v>733</v>
      </c>
      <c r="I10" s="12">
        <v>91669</v>
      </c>
      <c r="J10" s="12">
        <v>49696</v>
      </c>
      <c r="K10" s="12">
        <v>87711</v>
      </c>
      <c r="L10" s="12">
        <v>47573</v>
      </c>
      <c r="M10" s="12">
        <f t="shared" si="4"/>
        <v>34842</v>
      </c>
      <c r="N10" s="10">
        <v>162.64266158178575</v>
      </c>
      <c r="O10" s="10">
        <v>169.77507682929394</v>
      </c>
      <c r="P10" s="10">
        <f t="shared" si="5"/>
        <v>150.62000143504966</v>
      </c>
      <c r="Q10" s="12">
        <v>739.24930107413866</v>
      </c>
      <c r="R10" s="25">
        <f t="shared" si="6"/>
        <v>-0.5</v>
      </c>
      <c r="S10" s="27">
        <v>0.56008102749762945</v>
      </c>
      <c r="T10" s="34">
        <f t="shared" si="7"/>
        <v>0.45460679475462223</v>
      </c>
      <c r="U10" s="37">
        <f t="shared" si="0"/>
        <v>0.69415209515530496</v>
      </c>
      <c r="V10" s="37">
        <f t="shared" si="8"/>
        <v>0.33563269063634615</v>
      </c>
      <c r="W10" s="34">
        <f t="shared" si="9"/>
        <v>0.22730339737731112</v>
      </c>
      <c r="X10" s="34">
        <f t="shared" si="10"/>
        <v>0.34707604757765248</v>
      </c>
      <c r="Y10" s="34">
        <f t="shared" si="11"/>
        <v>0.16781634531817308</v>
      </c>
      <c r="Z10" s="14">
        <v>92173</v>
      </c>
      <c r="AA10" s="12">
        <v>55881</v>
      </c>
      <c r="AB10" s="12">
        <v>88070</v>
      </c>
      <c r="AC10" s="12">
        <v>53228</v>
      </c>
      <c r="AD10" s="12">
        <f t="shared" si="12"/>
        <v>40138</v>
      </c>
      <c r="AE10" s="10">
        <v>160.01500306574317</v>
      </c>
      <c r="AF10" s="10">
        <v>166.16478601487938</v>
      </c>
      <c r="AG10" s="10">
        <f t="shared" si="13"/>
        <v>154.18906671981685</v>
      </c>
      <c r="AH10" s="12">
        <v>736.06487187194705</v>
      </c>
      <c r="AI10" s="25">
        <f t="shared" si="14"/>
        <v>-0.5</v>
      </c>
      <c r="AJ10" s="27">
        <v>0.56008102749762945</v>
      </c>
      <c r="AK10" s="34">
        <f t="shared" si="15"/>
        <v>0.51501828022100082</v>
      </c>
      <c r="AL10" s="37">
        <f t="shared" si="16"/>
        <v>0.78317536679218314</v>
      </c>
      <c r="AM10" s="37">
        <f t="shared" si="17"/>
        <v>0.37858915017017519</v>
      </c>
      <c r="AN10" s="34">
        <f t="shared" si="18"/>
        <v>0.25750914011050041</v>
      </c>
      <c r="AO10" s="34">
        <f t="shared" si="2"/>
        <v>0.39158768339609157</v>
      </c>
      <c r="AP10" s="34">
        <f t="shared" si="3"/>
        <v>0.1892945750850876</v>
      </c>
      <c r="AS10" s="43">
        <f t="shared" si="19"/>
        <v>2.2049019572029249</v>
      </c>
      <c r="AV10" s="43">
        <f t="shared" si="20"/>
        <v>-1.4662382262291809</v>
      </c>
      <c r="AY10" s="12">
        <f t="shared" si="21"/>
        <v>102966.41625721919</v>
      </c>
      <c r="AZ10" s="5">
        <f t="shared" si="22"/>
        <v>183842</v>
      </c>
    </row>
    <row r="11" spans="1:52" x14ac:dyDescent="0.2">
      <c r="A11" s="2">
        <v>4</v>
      </c>
      <c r="B11" s="2">
        <v>4</v>
      </c>
      <c r="C11" t="s">
        <v>8</v>
      </c>
      <c r="D11" s="5">
        <v>169000</v>
      </c>
      <c r="E11" s="3">
        <v>3.9217582769288575E-3</v>
      </c>
      <c r="F11" s="3">
        <v>1.8231326002631151E-2</v>
      </c>
      <c r="G11" s="3"/>
      <c r="H11" s="12">
        <v>2586</v>
      </c>
      <c r="I11" s="12">
        <v>84320</v>
      </c>
      <c r="J11" s="12">
        <v>51785</v>
      </c>
      <c r="K11" s="12">
        <v>74931</v>
      </c>
      <c r="L11" s="12">
        <v>45779</v>
      </c>
      <c r="M11" s="12">
        <f t="shared" si="4"/>
        <v>28314</v>
      </c>
      <c r="N11" s="10">
        <v>322.15415342114756</v>
      </c>
      <c r="O11" s="10">
        <v>333.75622621726114</v>
      </c>
      <c r="P11" s="10">
        <f t="shared" si="5"/>
        <v>297.0740824327188</v>
      </c>
      <c r="Q11" s="12">
        <v>2596.4232726796131</v>
      </c>
      <c r="R11" s="25">
        <f t="shared" si="6"/>
        <v>-0.10000000000000009</v>
      </c>
      <c r="S11" s="27">
        <v>0.65158861822254477</v>
      </c>
      <c r="T11" s="34">
        <f t="shared" si="7"/>
        <v>0.47399468491013264</v>
      </c>
      <c r="U11" s="37">
        <f t="shared" si="0"/>
        <v>1.4329180796625272</v>
      </c>
      <c r="V11" s="37">
        <f t="shared" si="8"/>
        <v>1.2343138627534904</v>
      </c>
      <c r="W11" s="34">
        <f t="shared" si="9"/>
        <v>4.7399468491013307E-2</v>
      </c>
      <c r="X11" s="34">
        <f t="shared" si="10"/>
        <v>0.14329180796625285</v>
      </c>
      <c r="Y11" s="34">
        <f t="shared" si="11"/>
        <v>0.12343138627534915</v>
      </c>
      <c r="Z11" s="14">
        <v>84680</v>
      </c>
      <c r="AA11" s="12">
        <v>52846</v>
      </c>
      <c r="AB11" s="12">
        <v>75570</v>
      </c>
      <c r="AC11" s="12">
        <v>47256</v>
      </c>
      <c r="AD11" s="12">
        <f t="shared" si="12"/>
        <v>29152</v>
      </c>
      <c r="AE11" s="10">
        <v>320.69274579859734</v>
      </c>
      <c r="AF11" s="10">
        <v>334.84415164211953</v>
      </c>
      <c r="AG11" s="10">
        <f t="shared" si="13"/>
        <v>303.93477600164692</v>
      </c>
      <c r="AH11" s="12">
        <v>2592.2793084476048</v>
      </c>
      <c r="AI11" s="25">
        <f t="shared" si="14"/>
        <v>-0.10000000000000009</v>
      </c>
      <c r="AJ11" s="27">
        <v>0.73961224508112311</v>
      </c>
      <c r="AK11" s="34">
        <f t="shared" si="15"/>
        <v>0.55482594976537825</v>
      </c>
      <c r="AL11" s="37">
        <f t="shared" si="16"/>
        <v>1.6946897243923875</v>
      </c>
      <c r="AM11" s="37">
        <f t="shared" si="17"/>
        <v>1.4424391294492624</v>
      </c>
      <c r="AN11" s="34">
        <f t="shared" si="18"/>
        <v>5.5482594976537875E-2</v>
      </c>
      <c r="AO11" s="34">
        <f t="shared" si="2"/>
        <v>0.16946897243923889</v>
      </c>
      <c r="AP11" s="34">
        <f t="shared" si="3"/>
        <v>0.14424391294492636</v>
      </c>
      <c r="AS11" s="43">
        <f t="shared" si="19"/>
        <v>3.4231408089370974</v>
      </c>
      <c r="AV11" s="43">
        <f t="shared" si="20"/>
        <v>-3.1103800285316052</v>
      </c>
      <c r="AY11" s="12">
        <f t="shared" si="21"/>
        <v>117572.31720199448</v>
      </c>
      <c r="AZ11" s="5">
        <f t="shared" si="22"/>
        <v>169000</v>
      </c>
    </row>
    <row r="12" spans="1:52" x14ac:dyDescent="0.2">
      <c r="A12" s="2">
        <v>5</v>
      </c>
      <c r="B12" s="2">
        <v>5</v>
      </c>
      <c r="C12" t="s">
        <v>9</v>
      </c>
      <c r="D12" s="5">
        <v>145832</v>
      </c>
      <c r="E12" s="3">
        <v>3.3841293079354389E-3</v>
      </c>
      <c r="F12" s="3">
        <v>2.1615455310566592E-2</v>
      </c>
      <c r="G12" s="3"/>
      <c r="H12" s="12">
        <v>761</v>
      </c>
      <c r="I12" s="12">
        <v>73261</v>
      </c>
      <c r="J12" s="12">
        <v>46666</v>
      </c>
      <c r="K12" s="12">
        <v>69361</v>
      </c>
      <c r="L12" s="12">
        <v>44046</v>
      </c>
      <c r="M12" s="12">
        <f t="shared" si="4"/>
        <v>32062</v>
      </c>
      <c r="N12" s="10">
        <v>171.74898977811736</v>
      </c>
      <c r="O12" s="10">
        <v>173.21667642918769</v>
      </c>
      <c r="P12" s="10">
        <f t="shared" si="5"/>
        <v>171.67036242280588</v>
      </c>
      <c r="Q12" s="12">
        <v>772.76910502656312</v>
      </c>
      <c r="R12" s="25">
        <f t="shared" si="6"/>
        <v>-0.5</v>
      </c>
      <c r="S12" s="27">
        <v>0.64110490920115926</v>
      </c>
      <c r="T12" s="34">
        <f t="shared" si="7"/>
        <v>0.48039108458543156</v>
      </c>
      <c r="U12" s="37">
        <f t="shared" si="0"/>
        <v>0.78318073590652759</v>
      </c>
      <c r="V12" s="37">
        <f t="shared" si="8"/>
        <v>0.37084043452200066</v>
      </c>
      <c r="W12" s="34">
        <f t="shared" si="9"/>
        <v>0.24019554229271578</v>
      </c>
      <c r="X12" s="34">
        <f t="shared" si="10"/>
        <v>0.3915903679532638</v>
      </c>
      <c r="Y12" s="34">
        <f t="shared" si="11"/>
        <v>0.18542021726100033</v>
      </c>
      <c r="Z12" s="14">
        <v>72571</v>
      </c>
      <c r="AA12" s="12">
        <v>38077</v>
      </c>
      <c r="AB12" s="12">
        <v>68749</v>
      </c>
      <c r="AC12" s="12">
        <v>36687</v>
      </c>
      <c r="AD12" s="12">
        <f t="shared" si="12"/>
        <v>25315</v>
      </c>
      <c r="AE12" s="10">
        <v>172.76393983912496</v>
      </c>
      <c r="AF12" s="10">
        <v>173.71965382833156</v>
      </c>
      <c r="AG12" s="10">
        <f t="shared" si="13"/>
        <v>169.19533675686341</v>
      </c>
      <c r="AH12" s="12">
        <v>782.33207948319568</v>
      </c>
      <c r="AI12" s="25">
        <f t="shared" si="14"/>
        <v>-0.5</v>
      </c>
      <c r="AJ12" s="27">
        <v>0.5897811919082987</v>
      </c>
      <c r="AK12" s="34">
        <f t="shared" si="15"/>
        <v>0.36003155845940849</v>
      </c>
      <c r="AL12" s="37">
        <f t="shared" si="16"/>
        <v>0.58459081129183565</v>
      </c>
      <c r="AM12" s="37">
        <f t="shared" si="17"/>
        <v>0.2813788852871682</v>
      </c>
      <c r="AN12" s="34">
        <f t="shared" si="18"/>
        <v>0.18001577922970424</v>
      </c>
      <c r="AO12" s="34">
        <f t="shared" si="2"/>
        <v>0.29229540564591783</v>
      </c>
      <c r="AP12" s="34">
        <f t="shared" si="3"/>
        <v>0.1406894426435841</v>
      </c>
      <c r="AS12" s="43">
        <f t="shared" si="19"/>
        <v>2.0413904426094946</v>
      </c>
      <c r="AV12" s="43">
        <f t="shared" si="20"/>
        <v>-1.357504669010313</v>
      </c>
      <c r="AY12" s="12">
        <f t="shared" si="21"/>
        <v>89768.997630963277</v>
      </c>
      <c r="AZ12" s="5">
        <f t="shared" si="22"/>
        <v>145832</v>
      </c>
    </row>
    <row r="13" spans="1:52" x14ac:dyDescent="0.2">
      <c r="A13" s="2">
        <v>6</v>
      </c>
      <c r="B13" s="2">
        <v>6</v>
      </c>
      <c r="C13" t="s">
        <v>10</v>
      </c>
      <c r="D13" s="5">
        <v>141634</v>
      </c>
      <c r="E13" s="3">
        <v>3.2867119041097149E-3</v>
      </c>
      <c r="F13" s="3">
        <v>2.4902167214676307E-2</v>
      </c>
      <c r="G13" s="3"/>
      <c r="H13" s="12">
        <v>1076</v>
      </c>
      <c r="I13" s="12">
        <v>71109</v>
      </c>
      <c r="J13" s="12">
        <v>39180</v>
      </c>
      <c r="K13" s="12">
        <v>67924</v>
      </c>
      <c r="L13" s="12">
        <v>37304</v>
      </c>
      <c r="M13" s="12">
        <f t="shared" si="4"/>
        <v>19769</v>
      </c>
      <c r="N13" s="10">
        <v>133.55446116247569</v>
      </c>
      <c r="O13" s="10">
        <v>134.79839239759812</v>
      </c>
      <c r="P13" s="10">
        <f t="shared" si="5"/>
        <v>116.89661085537971</v>
      </c>
      <c r="Q13" s="12">
        <v>1083.7359264422046</v>
      </c>
      <c r="R13" s="25">
        <f t="shared" si="6"/>
        <v>-0.5</v>
      </c>
      <c r="S13" s="27">
        <v>0.89148767127106476</v>
      </c>
      <c r="T13" s="34">
        <f t="shared" si="7"/>
        <v>0.5017457856343005</v>
      </c>
      <c r="U13" s="37">
        <f t="shared" si="0"/>
        <v>0.6085944262148909</v>
      </c>
      <c r="V13" s="37">
        <f t="shared" si="8"/>
        <v>0.54404548952253973</v>
      </c>
      <c r="W13" s="34">
        <f t="shared" si="9"/>
        <v>0.25087289281715025</v>
      </c>
      <c r="X13" s="34">
        <f t="shared" si="10"/>
        <v>0.30429721310744545</v>
      </c>
      <c r="Y13" s="34">
        <f t="shared" si="11"/>
        <v>0.27202274476126986</v>
      </c>
      <c r="Z13" s="14">
        <v>70525</v>
      </c>
      <c r="AA13" s="12">
        <v>49859</v>
      </c>
      <c r="AB13" s="12">
        <v>67440</v>
      </c>
      <c r="AC13" s="12">
        <v>47671</v>
      </c>
      <c r="AD13" s="12">
        <f t="shared" si="12"/>
        <v>30620</v>
      </c>
      <c r="AE13" s="10">
        <v>132.57752105575329</v>
      </c>
      <c r="AF13" s="10">
        <v>139.08034066833085</v>
      </c>
      <c r="AG13" s="10">
        <f t="shared" si="13"/>
        <v>132.03899379490522</v>
      </c>
      <c r="AH13" s="12">
        <v>1085.8831784523086</v>
      </c>
      <c r="AI13" s="25">
        <f t="shared" si="14"/>
        <v>-0.5</v>
      </c>
      <c r="AJ13" s="27">
        <v>0.89148767127106476</v>
      </c>
      <c r="AK13" s="34">
        <f t="shared" si="15"/>
        <v>0.68801893402217429</v>
      </c>
      <c r="AL13" s="37">
        <f t="shared" si="16"/>
        <v>0.88502689946407953</v>
      </c>
      <c r="AM13" s="37">
        <f t="shared" si="17"/>
        <v>0.74748607488789742</v>
      </c>
      <c r="AN13" s="34">
        <f t="shared" si="18"/>
        <v>0.34400946701108714</v>
      </c>
      <c r="AO13" s="34">
        <f t="shared" si="2"/>
        <v>0.44251344973203977</v>
      </c>
      <c r="AP13" s="34">
        <f t="shared" si="3"/>
        <v>0.37374303744394871</v>
      </c>
      <c r="AS13" s="43">
        <f t="shared" si="19"/>
        <v>2.2292204464731258</v>
      </c>
      <c r="AV13" s="43">
        <f t="shared" si="20"/>
        <v>-1.4824097836336405</v>
      </c>
      <c r="AY13" s="12">
        <f t="shared" si="21"/>
        <v>126264.96483280598</v>
      </c>
      <c r="AZ13" s="5">
        <f t="shared" si="22"/>
        <v>141634</v>
      </c>
    </row>
    <row r="14" spans="1:52" x14ac:dyDescent="0.2">
      <c r="A14" s="2">
        <v>7</v>
      </c>
      <c r="B14" s="2">
        <v>7</v>
      </c>
      <c r="C14" t="s">
        <v>11</v>
      </c>
      <c r="D14" s="5">
        <v>133048</v>
      </c>
      <c r="E14" s="3">
        <v>3.087468019105507E-3</v>
      </c>
      <c r="F14" s="3">
        <v>2.7989635233781816E-2</v>
      </c>
      <c r="G14" s="3"/>
      <c r="H14" s="12">
        <v>100</v>
      </c>
      <c r="I14" s="12">
        <v>66905</v>
      </c>
      <c r="J14" s="12">
        <v>49828</v>
      </c>
      <c r="K14" s="12">
        <v>63746</v>
      </c>
      <c r="L14" s="12">
        <v>47332</v>
      </c>
      <c r="M14" s="12">
        <f t="shared" si="4"/>
        <v>29997</v>
      </c>
      <c r="N14" s="10">
        <v>78.440503090389981</v>
      </c>
      <c r="O14" s="10">
        <v>79.010789951829622</v>
      </c>
      <c r="P14" s="10">
        <f t="shared" si="5"/>
        <v>77.737812447911438</v>
      </c>
      <c r="Q14" s="12">
        <v>101.13977858531226</v>
      </c>
      <c r="R14" s="25">
        <f t="shared" si="6"/>
        <v>-0.5</v>
      </c>
      <c r="S14" s="28">
        <v>0.95425375870920415</v>
      </c>
      <c r="T14" s="34">
        <f t="shared" si="7"/>
        <v>0.73057363201382541</v>
      </c>
      <c r="U14" s="37">
        <f t="shared" si="0"/>
        <v>0.53891353982609835</v>
      </c>
      <c r="V14" s="37">
        <f t="shared" si="8"/>
        <v>7.3214998499031167E-2</v>
      </c>
      <c r="W14" s="34">
        <f t="shared" si="9"/>
        <v>0.36528681600691271</v>
      </c>
      <c r="X14" s="34">
        <f t="shared" si="10"/>
        <v>0.26945676991304918</v>
      </c>
      <c r="Y14" s="34">
        <f t="shared" si="11"/>
        <v>3.6607499249515583E-2</v>
      </c>
      <c r="Z14" s="14">
        <v>66143</v>
      </c>
      <c r="AA14" s="12">
        <v>35209</v>
      </c>
      <c r="AB14" s="12">
        <v>62778</v>
      </c>
      <c r="AC14" s="12">
        <v>32781</v>
      </c>
      <c r="AD14" s="12">
        <f t="shared" si="12"/>
        <v>16414</v>
      </c>
      <c r="AE14" s="10">
        <v>77.310097804963519</v>
      </c>
      <c r="AF14" s="10">
        <v>76.918707788047953</v>
      </c>
      <c r="AG14" s="10">
        <f t="shared" si="13"/>
        <v>76.796003411721713</v>
      </c>
      <c r="AH14" s="12">
        <v>100</v>
      </c>
      <c r="AI14" s="25">
        <f t="shared" si="14"/>
        <v>-0.5</v>
      </c>
      <c r="AJ14" s="28">
        <v>0.91482303317120761</v>
      </c>
      <c r="AK14" s="34">
        <f t="shared" si="15"/>
        <v>0.44566711333310388</v>
      </c>
      <c r="AL14" s="37">
        <f t="shared" si="16"/>
        <v>0.32181629375049881</v>
      </c>
      <c r="AM14" s="37">
        <f t="shared" si="17"/>
        <v>4.4150353980639413E-2</v>
      </c>
      <c r="AN14" s="34">
        <f t="shared" si="18"/>
        <v>0.22283355666655194</v>
      </c>
      <c r="AO14" s="34">
        <f t="shared" si="2"/>
        <v>0.1609081468752494</v>
      </c>
      <c r="AP14" s="34">
        <f t="shared" si="3"/>
        <v>2.2075176990319707E-2</v>
      </c>
      <c r="AS14" s="43">
        <f t="shared" si="19"/>
        <v>1.2846338699845044</v>
      </c>
      <c r="AV14" s="43">
        <f t="shared" si="20"/>
        <v>-0.85426895319620555</v>
      </c>
      <c r="AY14" s="12">
        <f t="shared" si="21"/>
        <v>124353.48760948249</v>
      </c>
      <c r="AZ14" s="5">
        <f t="shared" si="22"/>
        <v>133048</v>
      </c>
    </row>
    <row r="15" spans="1:52" x14ac:dyDescent="0.2">
      <c r="A15" s="2">
        <v>8</v>
      </c>
      <c r="B15" s="2">
        <v>8</v>
      </c>
      <c r="C15" t="s">
        <v>12</v>
      </c>
      <c r="D15" s="5">
        <v>126910</v>
      </c>
      <c r="E15" s="3">
        <v>2.9450316149410728E-3</v>
      </c>
      <c r="F15" s="3">
        <v>3.093466684872289E-2</v>
      </c>
      <c r="G15" s="3"/>
      <c r="H15" s="12">
        <v>414</v>
      </c>
      <c r="I15" s="12">
        <v>64181</v>
      </c>
      <c r="J15" s="12">
        <v>26119</v>
      </c>
      <c r="K15" s="12">
        <v>62429</v>
      </c>
      <c r="L15" s="12">
        <v>25241</v>
      </c>
      <c r="M15" s="12">
        <f t="shared" si="4"/>
        <v>7073</v>
      </c>
      <c r="N15" s="10">
        <v>111.89734049880664</v>
      </c>
      <c r="O15" s="10">
        <v>118.69970246820651</v>
      </c>
      <c r="P15" s="10">
        <f t="shared" si="5"/>
        <v>101.24746076629449</v>
      </c>
      <c r="Q15" s="12">
        <v>419.24476050869617</v>
      </c>
      <c r="R15" s="25">
        <f t="shared" si="6"/>
        <v>-0.5</v>
      </c>
      <c r="S15" s="27">
        <v>0.7931034482758621</v>
      </c>
      <c r="T15" s="34">
        <f t="shared" si="7"/>
        <v>0.25291967748113969</v>
      </c>
      <c r="U15" s="37">
        <f t="shared" si="0"/>
        <v>0.27385018972467101</v>
      </c>
      <c r="V15" s="37">
        <f t="shared" si="8"/>
        <v>0.10560486218743559</v>
      </c>
      <c r="W15" s="34">
        <f t="shared" si="9"/>
        <v>0.12645983874056985</v>
      </c>
      <c r="X15" s="34">
        <f t="shared" si="10"/>
        <v>0.13692509486233551</v>
      </c>
      <c r="Y15" s="34">
        <f t="shared" si="11"/>
        <v>5.2802431093717794E-2</v>
      </c>
      <c r="Z15" s="14">
        <v>62729</v>
      </c>
      <c r="AA15" s="12">
        <v>55342</v>
      </c>
      <c r="AB15" s="12">
        <v>60931</v>
      </c>
      <c r="AC15" s="12">
        <v>53858</v>
      </c>
      <c r="AD15" s="12">
        <f t="shared" si="12"/>
        <v>37188</v>
      </c>
      <c r="AE15" s="10">
        <v>109.52916233116149</v>
      </c>
      <c r="AF15" s="10">
        <v>110.61677188161461</v>
      </c>
      <c r="AG15" s="10">
        <f t="shared" si="13"/>
        <v>107.280302248037</v>
      </c>
      <c r="AH15" s="12">
        <v>418.72915815663413</v>
      </c>
      <c r="AI15" s="25">
        <f t="shared" si="14"/>
        <v>-0.5</v>
      </c>
      <c r="AJ15" s="27">
        <v>0.77922077922077926</v>
      </c>
      <c r="AK15" s="34">
        <f t="shared" si="15"/>
        <v>0.70036956354366864</v>
      </c>
      <c r="AL15" s="37">
        <f t="shared" si="16"/>
        <v>0.72095453682865251</v>
      </c>
      <c r="AM15" s="37">
        <f t="shared" si="17"/>
        <v>0.29201736876759626</v>
      </c>
      <c r="AN15" s="34">
        <f t="shared" si="18"/>
        <v>0.35018478177183432</v>
      </c>
      <c r="AO15" s="34">
        <f t="shared" si="2"/>
        <v>0.36047726841432626</v>
      </c>
      <c r="AP15" s="34">
        <f t="shared" si="3"/>
        <v>0.14600868438379813</v>
      </c>
      <c r="AS15" s="43">
        <f t="shared" si="19"/>
        <v>1.4847398055679752</v>
      </c>
      <c r="AV15" s="43">
        <f t="shared" si="20"/>
        <v>-0.98733744229131337</v>
      </c>
      <c r="AY15" s="12">
        <f t="shared" si="21"/>
        <v>99781.91267353337</v>
      </c>
      <c r="AZ15" s="5">
        <f t="shared" si="22"/>
        <v>126910</v>
      </c>
    </row>
    <row r="16" spans="1:52" x14ac:dyDescent="0.2">
      <c r="A16" s="2">
        <v>9</v>
      </c>
      <c r="B16" s="2">
        <v>9</v>
      </c>
      <c r="C16" t="s">
        <v>13</v>
      </c>
      <c r="D16" s="5">
        <v>115391</v>
      </c>
      <c r="E16" s="3">
        <v>2.6777254990124131E-3</v>
      </c>
      <c r="F16" s="3">
        <v>3.3612392347735304E-2</v>
      </c>
      <c r="G16" s="3"/>
      <c r="H16" s="12">
        <v>447</v>
      </c>
      <c r="I16" s="12">
        <v>57458</v>
      </c>
      <c r="J16" s="12">
        <v>35381</v>
      </c>
      <c r="K16" s="12">
        <v>55995</v>
      </c>
      <c r="L16" s="12">
        <v>34427</v>
      </c>
      <c r="M16" s="12">
        <f t="shared" si="4"/>
        <v>21673</v>
      </c>
      <c r="N16" s="10">
        <v>100.19935012054647</v>
      </c>
      <c r="O16" s="10">
        <v>101.97977895256632</v>
      </c>
      <c r="P16" s="10">
        <f t="shared" si="5"/>
        <v>96.741618603792844</v>
      </c>
      <c r="Q16" s="12">
        <v>447.93554477590266</v>
      </c>
      <c r="R16" s="25">
        <f t="shared" si="6"/>
        <v>-0.5</v>
      </c>
      <c r="S16" s="27">
        <v>0.66939099059698237</v>
      </c>
      <c r="T16" s="34">
        <f t="shared" si="7"/>
        <v>0.37097731486581287</v>
      </c>
      <c r="U16" s="37">
        <f t="shared" si="0"/>
        <v>0.34914141958748141</v>
      </c>
      <c r="V16" s="37">
        <f t="shared" si="8"/>
        <v>0.16543914534695814</v>
      </c>
      <c r="W16" s="34">
        <f t="shared" si="9"/>
        <v>0.18548865743290643</v>
      </c>
      <c r="X16" s="34">
        <f t="shared" si="10"/>
        <v>0.1745707097937407</v>
      </c>
      <c r="Y16" s="34">
        <f t="shared" si="11"/>
        <v>8.2719572673479069E-2</v>
      </c>
      <c r="Z16" s="14">
        <v>57933</v>
      </c>
      <c r="AA16" s="12">
        <v>35755</v>
      </c>
      <c r="AB16" s="12">
        <v>56431</v>
      </c>
      <c r="AC16" s="12">
        <v>34758</v>
      </c>
      <c r="AD16" s="12">
        <f t="shared" si="12"/>
        <v>21568</v>
      </c>
      <c r="AE16" s="10">
        <v>100.80375077528311</v>
      </c>
      <c r="AF16" s="10">
        <v>103.33665228148911</v>
      </c>
      <c r="AG16" s="10">
        <f t="shared" si="13"/>
        <v>97.357416543026659</v>
      </c>
      <c r="AH16" s="12">
        <v>447.92784394959432</v>
      </c>
      <c r="AI16" s="25">
        <f t="shared" si="14"/>
        <v>-0.5</v>
      </c>
      <c r="AJ16" s="27">
        <v>0.71644981412639408</v>
      </c>
      <c r="AK16" s="34">
        <f t="shared" si="15"/>
        <v>0.3986228621448315</v>
      </c>
      <c r="AL16" s="37">
        <f t="shared" si="16"/>
        <v>0.37928689711226271</v>
      </c>
      <c r="AM16" s="37">
        <f t="shared" si="17"/>
        <v>0.17777316751435315</v>
      </c>
      <c r="AN16" s="34">
        <f t="shared" si="18"/>
        <v>0.19931143107241575</v>
      </c>
      <c r="AO16" s="34">
        <f t="shared" si="2"/>
        <v>0.18964344855613136</v>
      </c>
      <c r="AP16" s="34">
        <f t="shared" si="3"/>
        <v>8.8886583757176577E-2</v>
      </c>
      <c r="AS16" s="43">
        <f t="shared" si="19"/>
        <v>1.0871746870907271</v>
      </c>
      <c r="AV16" s="43">
        <f t="shared" si="20"/>
        <v>-0.72296052874085481</v>
      </c>
      <c r="AY16" s="12">
        <f t="shared" si="21"/>
        <v>79967.954619505792</v>
      </c>
      <c r="AZ16" s="5">
        <f t="shared" si="22"/>
        <v>115391</v>
      </c>
    </row>
    <row r="17" spans="1:52" x14ac:dyDescent="0.2">
      <c r="A17" s="2">
        <v>10</v>
      </c>
      <c r="B17" s="2">
        <v>10</v>
      </c>
      <c r="C17" t="s">
        <v>14</v>
      </c>
      <c r="D17" s="5">
        <v>113025</v>
      </c>
      <c r="E17" s="3">
        <v>2.6228208831354091E-3</v>
      </c>
      <c r="F17" s="3">
        <v>3.6235213230870714E-2</v>
      </c>
      <c r="G17" s="3"/>
      <c r="H17" s="12">
        <v>861</v>
      </c>
      <c r="I17" s="12">
        <v>56809</v>
      </c>
      <c r="J17" s="12">
        <v>17211</v>
      </c>
      <c r="K17" s="12">
        <v>54802</v>
      </c>
      <c r="L17" s="12">
        <v>16614</v>
      </c>
      <c r="M17" s="12">
        <f t="shared" si="4"/>
        <v>6454</v>
      </c>
      <c r="N17" s="10">
        <v>133.62478905879345</v>
      </c>
      <c r="O17" s="10">
        <v>143.02504815216076</v>
      </c>
      <c r="P17" s="10">
        <f t="shared" si="5"/>
        <v>130.83524635884717</v>
      </c>
      <c r="Q17" s="12">
        <v>876.27837967978815</v>
      </c>
      <c r="R17" s="25">
        <f t="shared" si="6"/>
        <v>-0.5</v>
      </c>
      <c r="S17" s="28">
        <v>0.65490335292661606</v>
      </c>
      <c r="T17" s="34">
        <f t="shared" si="7"/>
        <v>0.14890269858352856</v>
      </c>
      <c r="U17" s="37">
        <f t="shared" si="0"/>
        <v>0.19618558861514862</v>
      </c>
      <c r="V17" s="37">
        <f t="shared" si="8"/>
        <v>0.13038743147361873</v>
      </c>
      <c r="W17" s="34">
        <f t="shared" si="9"/>
        <v>7.4451349291764279E-2</v>
      </c>
      <c r="X17" s="34">
        <f t="shared" si="10"/>
        <v>9.809279430757431E-2</v>
      </c>
      <c r="Y17" s="34">
        <f t="shared" si="11"/>
        <v>6.5193715736809363E-2</v>
      </c>
      <c r="Z17" s="14">
        <v>56216</v>
      </c>
      <c r="AA17" s="12">
        <v>49476</v>
      </c>
      <c r="AB17" s="12">
        <v>54205</v>
      </c>
      <c r="AC17" s="12">
        <v>47751</v>
      </c>
      <c r="AD17" s="12">
        <f t="shared" si="12"/>
        <v>38188</v>
      </c>
      <c r="AE17" s="10">
        <v>132.83650862466561</v>
      </c>
      <c r="AF17" s="10">
        <v>133.10699817804863</v>
      </c>
      <c r="AG17" s="10">
        <f t="shared" si="13"/>
        <v>129.53512988373308</v>
      </c>
      <c r="AH17" s="12">
        <v>868.78708299302627</v>
      </c>
      <c r="AI17" s="25">
        <f t="shared" si="14"/>
        <v>-0.5</v>
      </c>
      <c r="AJ17" s="28">
        <v>0.8</v>
      </c>
      <c r="AK17" s="34">
        <f t="shared" si="15"/>
        <v>0.67786888639876475</v>
      </c>
      <c r="AL17" s="37">
        <f t="shared" si="16"/>
        <v>0.84104769215940933</v>
      </c>
      <c r="AM17" s="37">
        <f t="shared" si="17"/>
        <v>0.58845278126430967</v>
      </c>
      <c r="AN17" s="34">
        <f t="shared" si="18"/>
        <v>0.33893444319938237</v>
      </c>
      <c r="AO17" s="34">
        <f t="shared" si="2"/>
        <v>0.42052384607970467</v>
      </c>
      <c r="AP17" s="34">
        <f t="shared" si="3"/>
        <v>0.29422639063215483</v>
      </c>
      <c r="AS17" s="43">
        <f t="shared" si="19"/>
        <v>1.5480641562304656</v>
      </c>
      <c r="AV17" s="43">
        <f t="shared" si="20"/>
        <v>-1.0294475158431868</v>
      </c>
      <c r="AY17" s="12">
        <f t="shared" si="21"/>
        <v>82177.204576408141</v>
      </c>
      <c r="AZ17" s="5">
        <f t="shared" si="22"/>
        <v>113025</v>
      </c>
    </row>
    <row r="18" spans="1:52" x14ac:dyDescent="0.2">
      <c r="A18" s="2">
        <v>11</v>
      </c>
      <c r="B18" s="2">
        <v>11</v>
      </c>
      <c r="C18" t="s">
        <v>15</v>
      </c>
      <c r="D18" s="5">
        <v>108302</v>
      </c>
      <c r="E18" s="3">
        <v>2.5132205024139E-3</v>
      </c>
      <c r="F18" s="3">
        <v>3.8748433733284612E-2</v>
      </c>
      <c r="G18" s="3"/>
      <c r="H18" s="12">
        <v>938</v>
      </c>
      <c r="I18" s="12">
        <v>53845</v>
      </c>
      <c r="J18" s="12">
        <v>46918</v>
      </c>
      <c r="K18" s="12">
        <v>50727</v>
      </c>
      <c r="L18" s="12">
        <v>44122</v>
      </c>
      <c r="M18" s="12">
        <f t="shared" si="4"/>
        <v>37563</v>
      </c>
      <c r="N18" s="10">
        <v>152.77798430815938</v>
      </c>
      <c r="O18" s="10">
        <v>154.33208920719821</v>
      </c>
      <c r="P18" s="10">
        <f t="shared" si="5"/>
        <v>150.07676543407075</v>
      </c>
      <c r="Q18" s="12">
        <v>944.61984950818191</v>
      </c>
      <c r="R18" s="25">
        <f t="shared" si="6"/>
        <v>-0.5</v>
      </c>
      <c r="S18" s="27">
        <v>0.82961562696912405</v>
      </c>
      <c r="T18" s="34">
        <f t="shared" si="7"/>
        <v>0.66760914354705303</v>
      </c>
      <c r="U18" s="37">
        <f t="shared" si="0"/>
        <v>0.9604680861690702</v>
      </c>
      <c r="V18" s="37">
        <f t="shared" si="8"/>
        <v>0.63045321273766664</v>
      </c>
      <c r="W18" s="34">
        <f t="shared" si="9"/>
        <v>0.33380457177352651</v>
      </c>
      <c r="X18" s="34">
        <f t="shared" si="10"/>
        <v>0.4802340430845351</v>
      </c>
      <c r="Y18" s="34">
        <f t="shared" si="11"/>
        <v>0.31522660636883332</v>
      </c>
      <c r="Z18" s="14">
        <v>54457</v>
      </c>
      <c r="AA18" s="12">
        <v>14592</v>
      </c>
      <c r="AB18" s="12">
        <v>51211</v>
      </c>
      <c r="AC18" s="12">
        <v>13648</v>
      </c>
      <c r="AD18" s="12">
        <f t="shared" si="12"/>
        <v>6605</v>
      </c>
      <c r="AE18" s="10">
        <v>155.78858917029544</v>
      </c>
      <c r="AF18" s="10">
        <v>171.50907825322392</v>
      </c>
      <c r="AG18" s="10">
        <f t="shared" si="13"/>
        <v>142.39642240726738</v>
      </c>
      <c r="AH18" s="12">
        <v>951.12661195779606</v>
      </c>
      <c r="AI18" s="25">
        <f t="shared" si="14"/>
        <v>-0.5</v>
      </c>
      <c r="AJ18" s="27">
        <v>0.82961562696912405</v>
      </c>
      <c r="AK18" s="34">
        <f t="shared" si="15"/>
        <v>0.16548151805551123</v>
      </c>
      <c r="AL18" s="37">
        <f t="shared" si="16"/>
        <v>0.2532036677172454</v>
      </c>
      <c r="AM18" s="37">
        <f t="shared" si="17"/>
        <v>0.15735556019841768</v>
      </c>
      <c r="AN18" s="34">
        <f t="shared" si="18"/>
        <v>8.2740759027755614E-2</v>
      </c>
      <c r="AO18" s="34">
        <f t="shared" si="2"/>
        <v>0.1266018338586227</v>
      </c>
      <c r="AP18" s="34">
        <f t="shared" si="3"/>
        <v>7.8677780099208838E-2</v>
      </c>
      <c r="AS18" s="43">
        <f t="shared" si="19"/>
        <v>1.8113974690609</v>
      </c>
      <c r="AV18" s="43">
        <f t="shared" si="20"/>
        <v>-1.2045615921177426</v>
      </c>
      <c r="AY18" s="12">
        <f t="shared" si="21"/>
        <v>89849.031632010068</v>
      </c>
      <c r="AZ18" s="5">
        <f t="shared" si="22"/>
        <v>108302</v>
      </c>
    </row>
    <row r="19" spans="1:52" x14ac:dyDescent="0.2">
      <c r="A19" s="2">
        <v>12</v>
      </c>
      <c r="B19" s="2">
        <v>12</v>
      </c>
      <c r="C19" t="s">
        <v>16</v>
      </c>
      <c r="D19" s="5">
        <v>103146</v>
      </c>
      <c r="E19" s="3">
        <v>2.3935720664621535E-3</v>
      </c>
      <c r="F19" s="3">
        <v>4.1142005799746764E-2</v>
      </c>
      <c r="G19" s="3"/>
      <c r="H19" s="12">
        <v>2556</v>
      </c>
      <c r="I19" s="12">
        <v>51714</v>
      </c>
      <c r="J19" s="12">
        <v>15210</v>
      </c>
      <c r="K19" s="12">
        <v>46342</v>
      </c>
      <c r="L19" s="12">
        <v>12935</v>
      </c>
      <c r="M19" s="12">
        <f t="shared" si="4"/>
        <v>8864</v>
      </c>
      <c r="N19" s="10">
        <v>265.90239976695005</v>
      </c>
      <c r="O19" s="10">
        <v>292.41837727097032</v>
      </c>
      <c r="P19" s="10">
        <f t="shared" si="5"/>
        <v>236.76686710288934</v>
      </c>
      <c r="Q19" s="12">
        <v>2582.9560108233477</v>
      </c>
      <c r="R19" s="25">
        <f t="shared" si="6"/>
        <v>-0.10000000000000009</v>
      </c>
      <c r="S19" s="27">
        <v>0.86956521739130432</v>
      </c>
      <c r="T19" s="34">
        <f t="shared" si="7"/>
        <v>0.18617290213598298</v>
      </c>
      <c r="U19" s="37">
        <f t="shared" si="0"/>
        <v>0.47472159566475414</v>
      </c>
      <c r="V19" s="37">
        <f t="shared" si="8"/>
        <v>0.48255482713372744</v>
      </c>
      <c r="W19" s="34">
        <f t="shared" si="9"/>
        <v>1.8617290213598314E-2</v>
      </c>
      <c r="X19" s="34">
        <f t="shared" si="10"/>
        <v>4.7472159566475457E-2</v>
      </c>
      <c r="Y19" s="34">
        <f t="shared" si="11"/>
        <v>4.8255482713372787E-2</v>
      </c>
      <c r="Z19" s="14">
        <v>51432</v>
      </c>
      <c r="AA19" s="12">
        <v>41713</v>
      </c>
      <c r="AB19" s="12">
        <v>46076</v>
      </c>
      <c r="AC19" s="12">
        <v>37212</v>
      </c>
      <c r="AD19" s="12">
        <f t="shared" si="12"/>
        <v>33407</v>
      </c>
      <c r="AE19" s="10">
        <v>261.13470071186759</v>
      </c>
      <c r="AF19" s="10">
        <v>266.93918520907238</v>
      </c>
      <c r="AG19" s="10">
        <f t="shared" si="13"/>
        <v>255.63556440267007</v>
      </c>
      <c r="AH19" s="12">
        <v>2565.3859507685693</v>
      </c>
      <c r="AI19" s="25">
        <f t="shared" si="14"/>
        <v>-0.10000000000000009</v>
      </c>
      <c r="AJ19" s="27">
        <v>0.84386617100371752</v>
      </c>
      <c r="AK19" s="34">
        <f t="shared" si="15"/>
        <v>0.58531907542312434</v>
      </c>
      <c r="AL19" s="37">
        <f t="shared" si="16"/>
        <v>1.4470889985944078</v>
      </c>
      <c r="AM19" s="37">
        <f t="shared" si="17"/>
        <v>1.5068599393457689</v>
      </c>
      <c r="AN19" s="34">
        <f t="shared" si="18"/>
        <v>5.8531907542312488E-2</v>
      </c>
      <c r="AO19" s="34">
        <f t="shared" si="2"/>
        <v>0.14470889985944091</v>
      </c>
      <c r="AP19" s="34">
        <f t="shared" si="3"/>
        <v>0.15068599393457702</v>
      </c>
      <c r="AS19" s="43">
        <f t="shared" si="19"/>
        <v>2.1034057606989793</v>
      </c>
      <c r="AV19" s="43">
        <f t="shared" si="20"/>
        <v>-1.9112247012730628</v>
      </c>
      <c r="AY19" s="12">
        <f t="shared" si="21"/>
        <v>88370.420559237115</v>
      </c>
      <c r="AZ19" s="5">
        <f t="shared" si="22"/>
        <v>103146</v>
      </c>
    </row>
    <row r="20" spans="1:52" x14ac:dyDescent="0.2">
      <c r="A20" s="2">
        <v>13</v>
      </c>
      <c r="B20" s="2">
        <v>13</v>
      </c>
      <c r="C20" t="s">
        <v>17</v>
      </c>
      <c r="D20" s="5">
        <v>102600</v>
      </c>
      <c r="E20" s="3">
        <v>2.3809017704905372E-3</v>
      </c>
      <c r="F20" s="3">
        <v>4.3522907570237301E-2</v>
      </c>
      <c r="G20" s="3"/>
      <c r="H20" s="12">
        <v>602</v>
      </c>
      <c r="I20" s="12">
        <v>51451</v>
      </c>
      <c r="J20" s="12">
        <v>33556</v>
      </c>
      <c r="K20" s="12">
        <v>49271</v>
      </c>
      <c r="L20" s="12">
        <v>32103</v>
      </c>
      <c r="M20" s="12">
        <f t="shared" si="4"/>
        <v>23944</v>
      </c>
      <c r="N20" s="10">
        <v>117.18982139595299</v>
      </c>
      <c r="O20" s="10">
        <v>119.80955611625079</v>
      </c>
      <c r="P20" s="10">
        <f t="shared" si="5"/>
        <v>110.44919102906782</v>
      </c>
      <c r="Q20" s="12">
        <v>607.19262997227679</v>
      </c>
      <c r="R20" s="25">
        <f t="shared" si="6"/>
        <v>-0.5</v>
      </c>
      <c r="S20" s="27">
        <v>0.72685185185185186</v>
      </c>
      <c r="T20" s="34">
        <f t="shared" si="7"/>
        <v>0.40200141458907374</v>
      </c>
      <c r="U20" s="37">
        <f t="shared" si="0"/>
        <v>0.43882981271474869</v>
      </c>
      <c r="V20" s="37">
        <f t="shared" si="8"/>
        <v>0.24342845439364488</v>
      </c>
      <c r="W20" s="34">
        <f t="shared" si="9"/>
        <v>0.20100070729453687</v>
      </c>
      <c r="X20" s="34">
        <f t="shared" si="10"/>
        <v>0.21941490635737435</v>
      </c>
      <c r="Y20" s="34">
        <f t="shared" si="11"/>
        <v>0.12171422719682244</v>
      </c>
      <c r="Z20" s="14">
        <v>51149</v>
      </c>
      <c r="AA20" s="12">
        <v>26212</v>
      </c>
      <c r="AB20" s="12">
        <v>48994</v>
      </c>
      <c r="AC20" s="12">
        <v>25050</v>
      </c>
      <c r="AD20" s="12">
        <f t="shared" si="12"/>
        <v>17168</v>
      </c>
      <c r="AE20" s="10">
        <v>116.87249214189492</v>
      </c>
      <c r="AF20" s="10">
        <v>123.01219361277445</v>
      </c>
      <c r="AG20" s="10">
        <f t="shared" si="13"/>
        <v>112.2910944780988</v>
      </c>
      <c r="AH20" s="12">
        <v>608.76167664670663</v>
      </c>
      <c r="AI20" s="25">
        <f t="shared" si="14"/>
        <v>-0.5</v>
      </c>
      <c r="AJ20" s="27">
        <v>0.66666666666666663</v>
      </c>
      <c r="AK20" s="34">
        <f t="shared" si="15"/>
        <v>0.27769280431634841</v>
      </c>
      <c r="AL20" s="37">
        <f t="shared" si="16"/>
        <v>0.3106220655215986</v>
      </c>
      <c r="AM20" s="37">
        <f t="shared" si="17"/>
        <v>0.16860166720728867</v>
      </c>
      <c r="AN20" s="34">
        <f t="shared" si="18"/>
        <v>0.1388464021581742</v>
      </c>
      <c r="AO20" s="34">
        <f t="shared" si="2"/>
        <v>0.1553110327607993</v>
      </c>
      <c r="AP20" s="34">
        <f t="shared" si="3"/>
        <v>8.4300833603644335E-2</v>
      </c>
      <c r="AS20" s="43">
        <f t="shared" si="19"/>
        <v>1.1185522206257261</v>
      </c>
      <c r="AV20" s="43">
        <f t="shared" si="20"/>
        <v>-0.74382628150755226</v>
      </c>
      <c r="AY20" s="12">
        <f t="shared" si="21"/>
        <v>71496.587962962949</v>
      </c>
      <c r="AZ20" s="5">
        <f t="shared" si="22"/>
        <v>102600</v>
      </c>
    </row>
    <row r="21" spans="1:52" x14ac:dyDescent="0.2">
      <c r="A21" s="2">
        <v>14</v>
      </c>
      <c r="B21" s="2">
        <v>14</v>
      </c>
      <c r="C21" t="s">
        <v>18</v>
      </c>
      <c r="D21" s="5">
        <v>101992</v>
      </c>
      <c r="E21" s="3">
        <v>2.3667927229617043E-3</v>
      </c>
      <c r="F21" s="3">
        <v>4.5889700293199005E-2</v>
      </c>
      <c r="G21" s="3"/>
      <c r="H21" s="12">
        <v>1745</v>
      </c>
      <c r="I21" s="12">
        <v>50958</v>
      </c>
      <c r="J21" s="12">
        <v>27615</v>
      </c>
      <c r="K21" s="12">
        <v>46167</v>
      </c>
      <c r="L21" s="12">
        <v>25057</v>
      </c>
      <c r="M21" s="12">
        <f t="shared" si="4"/>
        <v>18398</v>
      </c>
      <c r="N21" s="10">
        <v>247.21262070309959</v>
      </c>
      <c r="O21" s="10">
        <v>263.5479646406194</v>
      </c>
      <c r="P21" s="10">
        <f t="shared" si="5"/>
        <v>238.08402380693499</v>
      </c>
      <c r="Q21" s="12">
        <v>1780.761743225446</v>
      </c>
      <c r="R21" s="25">
        <f t="shared" si="6"/>
        <v>-0.10000000000000009</v>
      </c>
      <c r="S21" s="27">
        <v>0.68727272727272726</v>
      </c>
      <c r="T21" s="34">
        <f t="shared" si="7"/>
        <v>0.29336105284639558</v>
      </c>
      <c r="U21" s="37">
        <f t="shared" si="0"/>
        <v>0.70075321562670068</v>
      </c>
      <c r="V21" s="37">
        <f t="shared" si="8"/>
        <v>0.52335627147814179</v>
      </c>
      <c r="W21" s="34">
        <f t="shared" si="9"/>
        <v>2.9336105284639584E-2</v>
      </c>
      <c r="X21" s="34">
        <f t="shared" si="10"/>
        <v>7.0075321562670129E-2</v>
      </c>
      <c r="Y21" s="34">
        <f t="shared" si="11"/>
        <v>5.2335627147814222E-2</v>
      </c>
      <c r="Z21" s="14">
        <v>51034</v>
      </c>
      <c r="AA21" s="12">
        <v>30967</v>
      </c>
      <c r="AB21" s="12">
        <v>46092</v>
      </c>
      <c r="AC21" s="12">
        <v>27694</v>
      </c>
      <c r="AD21" s="12">
        <f t="shared" si="12"/>
        <v>21110</v>
      </c>
      <c r="AE21" s="10">
        <v>247.10272324915363</v>
      </c>
      <c r="AF21" s="10">
        <v>253.09413049758069</v>
      </c>
      <c r="AG21" s="10">
        <f t="shared" si="13"/>
        <v>227.82300852676448</v>
      </c>
      <c r="AH21" s="12">
        <v>1777.3550227486098</v>
      </c>
      <c r="AI21" s="25">
        <f t="shared" si="14"/>
        <v>-0.10000000000000009</v>
      </c>
      <c r="AJ21" s="27">
        <v>0.54965357967667439</v>
      </c>
      <c r="AK21" s="34">
        <f t="shared" si="15"/>
        <v>0.26352539719153961</v>
      </c>
      <c r="AL21" s="37">
        <f t="shared" si="16"/>
        <v>0.60301543498879084</v>
      </c>
      <c r="AM21" s="37">
        <f t="shared" si="17"/>
        <v>0.46926387427786631</v>
      </c>
      <c r="AN21" s="34">
        <f t="shared" si="18"/>
        <v>2.6352539719153984E-2</v>
      </c>
      <c r="AO21" s="34">
        <f t="shared" si="2"/>
        <v>6.0301543498879139E-2</v>
      </c>
      <c r="AP21" s="34">
        <f t="shared" si="3"/>
        <v>4.6926387427786674E-2</v>
      </c>
      <c r="AS21" s="43">
        <f t="shared" si="19"/>
        <v>1.4269639778838394</v>
      </c>
      <c r="AV21" s="43">
        <f t="shared" si="20"/>
        <v>-1.2965871128222908</v>
      </c>
      <c r="AY21" s="12">
        <f t="shared" si="21"/>
        <v>63073.064421583033</v>
      </c>
      <c r="AZ21" s="5">
        <f t="shared" si="22"/>
        <v>101992</v>
      </c>
    </row>
    <row r="22" spans="1:52" x14ac:dyDescent="0.2">
      <c r="A22" s="2">
        <v>15</v>
      </c>
      <c r="B22" s="2">
        <v>15</v>
      </c>
      <c r="C22" t="s">
        <v>19</v>
      </c>
      <c r="D22" s="5">
        <v>99659</v>
      </c>
      <c r="E22" s="3">
        <v>2.3126538942038642E-3</v>
      </c>
      <c r="F22" s="3">
        <v>4.8202354187402867E-2</v>
      </c>
      <c r="G22" s="3"/>
      <c r="H22" s="12">
        <v>862</v>
      </c>
      <c r="I22" s="12">
        <v>49867</v>
      </c>
      <c r="J22" s="12">
        <v>31735</v>
      </c>
      <c r="K22" s="12">
        <v>47141</v>
      </c>
      <c r="L22" s="12">
        <v>29944</v>
      </c>
      <c r="M22" s="12">
        <f t="shared" si="4"/>
        <v>21383</v>
      </c>
      <c r="N22" s="10">
        <v>133.81415519399249</v>
      </c>
      <c r="O22" s="10">
        <v>134.66197067860006</v>
      </c>
      <c r="P22" s="10">
        <f t="shared" si="5"/>
        <v>124.15731235093298</v>
      </c>
      <c r="Q22" s="12">
        <v>868.05901015228426</v>
      </c>
      <c r="R22" s="25">
        <f t="shared" si="6"/>
        <v>-0.5</v>
      </c>
      <c r="S22" s="27">
        <v>0.65016501650165015</v>
      </c>
      <c r="T22" s="34">
        <f t="shared" si="7"/>
        <v>0.3290514571458984</v>
      </c>
      <c r="U22" s="37">
        <f t="shared" si="0"/>
        <v>0.40440398260590349</v>
      </c>
      <c r="V22" s="37">
        <f t="shared" si="8"/>
        <v>0.28540387201539436</v>
      </c>
      <c r="W22" s="34">
        <f t="shared" si="9"/>
        <v>0.1645257285729492</v>
      </c>
      <c r="X22" s="34">
        <f t="shared" si="10"/>
        <v>0.20220199130295174</v>
      </c>
      <c r="Y22" s="34">
        <f t="shared" si="11"/>
        <v>0.14270193600769718</v>
      </c>
      <c r="Z22" s="14">
        <v>49792</v>
      </c>
      <c r="AA22" s="12">
        <v>27165</v>
      </c>
      <c r="AB22" s="12">
        <v>47060</v>
      </c>
      <c r="AC22" s="12">
        <v>25677</v>
      </c>
      <c r="AD22" s="12">
        <f t="shared" si="12"/>
        <v>17197</v>
      </c>
      <c r="AE22" s="10">
        <v>133.52586910327241</v>
      </c>
      <c r="AF22" s="10">
        <v>141.32770923394474</v>
      </c>
      <c r="AG22" s="10">
        <f t="shared" si="13"/>
        <v>132.33791010059892</v>
      </c>
      <c r="AH22" s="12">
        <v>871.87662110059591</v>
      </c>
      <c r="AI22" s="25">
        <f t="shared" si="14"/>
        <v>-0.5</v>
      </c>
      <c r="AJ22" s="27">
        <v>0.66666666666666663</v>
      </c>
      <c r="AK22" s="34">
        <f t="shared" si="15"/>
        <v>0.28174165308779842</v>
      </c>
      <c r="AL22" s="37">
        <f t="shared" si="16"/>
        <v>0.36614643212696796</v>
      </c>
      <c r="AM22" s="37">
        <f t="shared" si="17"/>
        <v>0.24546067783072628</v>
      </c>
      <c r="AN22" s="34">
        <f t="shared" si="18"/>
        <v>0.14087082654389921</v>
      </c>
      <c r="AO22" s="34">
        <f t="shared" si="2"/>
        <v>0.18307321606348398</v>
      </c>
      <c r="AP22" s="34">
        <f t="shared" si="3"/>
        <v>0.12273033891536314</v>
      </c>
      <c r="AS22" s="43">
        <f t="shared" si="19"/>
        <v>1.1500416538174558</v>
      </c>
      <c r="AV22" s="43">
        <f t="shared" si="20"/>
        <v>-0.7647664464510201</v>
      </c>
      <c r="AY22" s="12">
        <f t="shared" si="21"/>
        <v>65616.445544554444</v>
      </c>
      <c r="AZ22" s="5">
        <f t="shared" si="22"/>
        <v>99659</v>
      </c>
    </row>
    <row r="23" spans="1:52" x14ac:dyDescent="0.2">
      <c r="A23" s="2">
        <v>16</v>
      </c>
      <c r="B23" s="2">
        <v>16</v>
      </c>
      <c r="C23" t="s">
        <v>20</v>
      </c>
      <c r="D23" s="5">
        <v>99161</v>
      </c>
      <c r="E23" s="3">
        <v>2.3010974704055767E-3</v>
      </c>
      <c r="F23" s="3">
        <v>5.0503451657808444E-2</v>
      </c>
      <c r="G23" s="3"/>
      <c r="H23" s="12">
        <v>2704</v>
      </c>
      <c r="I23" s="12">
        <v>49578</v>
      </c>
      <c r="J23" s="12">
        <v>30975</v>
      </c>
      <c r="K23" s="12">
        <v>44372</v>
      </c>
      <c r="L23" s="12">
        <v>27918</v>
      </c>
      <c r="M23" s="12">
        <f t="shared" si="4"/>
        <v>18679</v>
      </c>
      <c r="N23" s="10">
        <v>283.44951568556746</v>
      </c>
      <c r="O23" s="10">
        <v>288.22322372662796</v>
      </c>
      <c r="P23" s="10">
        <f t="shared" si="5"/>
        <v>256.22784249692154</v>
      </c>
      <c r="Q23" s="12">
        <v>2732.0633999570168</v>
      </c>
      <c r="R23" s="25">
        <f t="shared" si="6"/>
        <v>-0.10000000000000009</v>
      </c>
      <c r="S23" s="27">
        <v>0.58349703459075208</v>
      </c>
      <c r="T23" s="34">
        <f t="shared" si="7"/>
        <v>0.26702259977927589</v>
      </c>
      <c r="U23" s="37">
        <f t="shared" si="0"/>
        <v>0.69507611585823992</v>
      </c>
      <c r="V23" s="37">
        <f t="shared" si="8"/>
        <v>0.73223219625263936</v>
      </c>
      <c r="W23" s="34">
        <f t="shared" si="9"/>
        <v>2.6702259977927613E-2</v>
      </c>
      <c r="X23" s="34">
        <f t="shared" si="10"/>
        <v>6.9507611585824053E-2</v>
      </c>
      <c r="Y23" s="34">
        <f t="shared" si="11"/>
        <v>7.3223219625263999E-2</v>
      </c>
      <c r="Z23" s="14">
        <v>49583</v>
      </c>
      <c r="AA23" s="12">
        <v>29008</v>
      </c>
      <c r="AB23" s="12">
        <v>44437</v>
      </c>
      <c r="AC23" s="12">
        <v>25758</v>
      </c>
      <c r="AD23" s="12">
        <f t="shared" si="12"/>
        <v>16454</v>
      </c>
      <c r="AE23" s="10">
        <v>282.67464747845258</v>
      </c>
      <c r="AF23" s="10">
        <v>301.85315008929263</v>
      </c>
      <c r="AG23" s="10">
        <f t="shared" si="13"/>
        <v>275.34982071228882</v>
      </c>
      <c r="AH23" s="12">
        <v>2719.5240701917851</v>
      </c>
      <c r="AI23" s="25">
        <f t="shared" si="14"/>
        <v>-0.10000000000000009</v>
      </c>
      <c r="AJ23" s="27">
        <v>0.67652078110868485</v>
      </c>
      <c r="AK23" s="34">
        <f t="shared" si="15"/>
        <v>0.28042457105685187</v>
      </c>
      <c r="AL23" s="37">
        <f t="shared" si="16"/>
        <v>0.77279564667430978</v>
      </c>
      <c r="AM23" s="37">
        <f t="shared" si="17"/>
        <v>0.76527296033664804</v>
      </c>
      <c r="AN23" s="34">
        <f t="shared" si="18"/>
        <v>2.804245710568521E-2</v>
      </c>
      <c r="AO23" s="34">
        <f t="shared" si="2"/>
        <v>7.727956466743105E-2</v>
      </c>
      <c r="AP23" s="34">
        <f t="shared" si="3"/>
        <v>7.6527296033664871E-2</v>
      </c>
      <c r="AS23" s="43">
        <f t="shared" si="19"/>
        <v>1.6065734732139616</v>
      </c>
      <c r="AV23" s="43">
        <f t="shared" si="20"/>
        <v>-1.4597862969607063</v>
      </c>
      <c r="AY23" s="12">
        <f t="shared" si="21"/>
        <v>62472.545870652233</v>
      </c>
      <c r="AZ23" s="5">
        <f t="shared" si="22"/>
        <v>99161</v>
      </c>
    </row>
    <row r="24" spans="1:52" x14ac:dyDescent="0.2">
      <c r="A24" s="2">
        <v>17</v>
      </c>
      <c r="B24" s="2">
        <v>17</v>
      </c>
      <c r="C24" t="s">
        <v>21</v>
      </c>
      <c r="D24" s="5">
        <v>96726</v>
      </c>
      <c r="E24" s="3">
        <v>2.2445916632794125E-3</v>
      </c>
      <c r="F24" s="3">
        <v>5.2748043321087859E-2</v>
      </c>
      <c r="G24" s="3"/>
      <c r="H24" s="12">
        <v>216</v>
      </c>
      <c r="I24" s="12">
        <v>49054</v>
      </c>
      <c r="J24" s="12">
        <v>35899</v>
      </c>
      <c r="K24" s="12">
        <v>46212</v>
      </c>
      <c r="L24" s="12">
        <v>33770</v>
      </c>
      <c r="M24" s="12">
        <f t="shared" si="4"/>
        <v>24437</v>
      </c>
      <c r="N24" s="10">
        <v>86.514351899939413</v>
      </c>
      <c r="O24" s="10">
        <v>87.064775836541315</v>
      </c>
      <c r="P24" s="10">
        <f t="shared" si="5"/>
        <v>85.70620002455297</v>
      </c>
      <c r="Q24" s="12">
        <v>214.68066331063073</v>
      </c>
      <c r="R24" s="25">
        <f t="shared" si="6"/>
        <v>-0.5</v>
      </c>
      <c r="S24" s="28">
        <v>0.95635893062680388</v>
      </c>
      <c r="T24" s="34">
        <f t="shared" si="7"/>
        <v>0.55060834372458956</v>
      </c>
      <c r="U24" s="37">
        <f t="shared" si="0"/>
        <v>0.44785081217882411</v>
      </c>
      <c r="V24" s="37">
        <f t="shared" si="8"/>
        <v>0.11734766439345093</v>
      </c>
      <c r="W24" s="34">
        <f t="shared" si="9"/>
        <v>0.27530417186229478</v>
      </c>
      <c r="X24" s="34">
        <f t="shared" si="10"/>
        <v>0.22392540608941205</v>
      </c>
      <c r="Y24" s="34">
        <f t="shared" si="11"/>
        <v>5.8673832196725464E-2</v>
      </c>
      <c r="Z24" s="14">
        <v>47672</v>
      </c>
      <c r="AA24" s="12">
        <v>22567</v>
      </c>
      <c r="AB24" s="12">
        <v>44989</v>
      </c>
      <c r="AC24" s="12">
        <v>20552</v>
      </c>
      <c r="AD24" s="12">
        <f t="shared" si="12"/>
        <v>12442</v>
      </c>
      <c r="AE24" s="10">
        <v>86.0745515570473</v>
      </c>
      <c r="AF24" s="10">
        <v>86.512533573374853</v>
      </c>
      <c r="AG24" s="10">
        <f t="shared" si="13"/>
        <v>85.020394631088209</v>
      </c>
      <c r="AH24" s="12">
        <v>216.72907746204748</v>
      </c>
      <c r="AI24" s="25">
        <f t="shared" si="14"/>
        <v>-0.5</v>
      </c>
      <c r="AJ24" s="28">
        <v>0.91482303317120761</v>
      </c>
      <c r="AK24" s="34">
        <f t="shared" si="15"/>
        <v>0.29856876977530972</v>
      </c>
      <c r="AL24" s="37">
        <f t="shared" si="16"/>
        <v>0.24130504051053719</v>
      </c>
      <c r="AM24" s="37">
        <f t="shared" si="17"/>
        <v>6.4237458878738302E-2</v>
      </c>
      <c r="AN24" s="34">
        <f t="shared" si="18"/>
        <v>0.14928438488765486</v>
      </c>
      <c r="AO24" s="34">
        <f t="shared" si="2"/>
        <v>0.1206525202552686</v>
      </c>
      <c r="AP24" s="34">
        <f t="shared" si="3"/>
        <v>3.2118729439369151E-2</v>
      </c>
      <c r="AS24" s="43">
        <f t="shared" si="19"/>
        <v>1.0285607812431194</v>
      </c>
      <c r="AV24" s="43">
        <f t="shared" si="20"/>
        <v>-0.68398285489843902</v>
      </c>
      <c r="AY24" s="12">
        <f t="shared" si="21"/>
        <v>90524.674620305042</v>
      </c>
      <c r="AZ24" s="5">
        <f t="shared" si="22"/>
        <v>96726</v>
      </c>
    </row>
    <row r="25" spans="1:52" x14ac:dyDescent="0.2">
      <c r="A25" s="2">
        <v>18</v>
      </c>
      <c r="B25" s="2">
        <v>18</v>
      </c>
      <c r="C25" t="s">
        <v>22</v>
      </c>
      <c r="D25" s="5">
        <v>96259</v>
      </c>
      <c r="E25" s="3">
        <v>2.233754615259733E-3</v>
      </c>
      <c r="F25" s="3">
        <v>5.4981797936347596E-2</v>
      </c>
      <c r="G25" s="3"/>
      <c r="H25" s="12">
        <v>954</v>
      </c>
      <c r="I25" s="12">
        <v>48152</v>
      </c>
      <c r="J25" s="12">
        <v>26950</v>
      </c>
      <c r="K25" s="12">
        <v>45691</v>
      </c>
      <c r="L25" s="12">
        <v>25568</v>
      </c>
      <c r="M25" s="12">
        <f t="shared" si="4"/>
        <v>15835</v>
      </c>
      <c r="N25" s="10">
        <v>155.32114552099975</v>
      </c>
      <c r="O25" s="10">
        <v>164.15757665832282</v>
      </c>
      <c r="P25" s="10">
        <f t="shared" si="5"/>
        <v>155.09654373223873</v>
      </c>
      <c r="Q25" s="12">
        <v>962.16927409261575</v>
      </c>
      <c r="R25" s="25">
        <f t="shared" si="6"/>
        <v>-0.5</v>
      </c>
      <c r="S25" s="27">
        <v>0.52631578947368418</v>
      </c>
      <c r="T25" s="34">
        <f t="shared" si="7"/>
        <v>0.21461707801420873</v>
      </c>
      <c r="U25" s="37">
        <f t="shared" si="0"/>
        <v>0.32570312566724208</v>
      </c>
      <c r="V25" s="37">
        <f t="shared" si="8"/>
        <v>0.20645899446337451</v>
      </c>
      <c r="W25" s="34">
        <f t="shared" si="9"/>
        <v>0.10730853900710437</v>
      </c>
      <c r="X25" s="34">
        <f t="shared" si="10"/>
        <v>0.16285156283362104</v>
      </c>
      <c r="Y25" s="34">
        <f t="shared" si="11"/>
        <v>0.10322949723168726</v>
      </c>
      <c r="Z25" s="14">
        <v>48107</v>
      </c>
      <c r="AA25" s="12">
        <v>31452</v>
      </c>
      <c r="AB25" s="12">
        <v>45567</v>
      </c>
      <c r="AC25" s="12">
        <v>29732</v>
      </c>
      <c r="AD25" s="12">
        <f t="shared" si="12"/>
        <v>20123</v>
      </c>
      <c r="AE25" s="10">
        <v>154.88416661180241</v>
      </c>
      <c r="AF25" s="10">
        <v>154.77105643750841</v>
      </c>
      <c r="AG25" s="10">
        <f t="shared" si="13"/>
        <v>144.09370074044634</v>
      </c>
      <c r="AH25" s="12">
        <v>960.58966769810309</v>
      </c>
      <c r="AI25" s="25">
        <f t="shared" si="14"/>
        <v>-0.5</v>
      </c>
      <c r="AJ25" s="27">
        <v>0.7142857142857143</v>
      </c>
      <c r="AK25" s="34">
        <f t="shared" si="15"/>
        <v>0.35084492051246485</v>
      </c>
      <c r="AL25" s="37">
        <f t="shared" si="16"/>
        <v>0.49837339487205423</v>
      </c>
      <c r="AM25" s="37">
        <f t="shared" si="17"/>
        <v>0.33694719313824534</v>
      </c>
      <c r="AN25" s="34">
        <f t="shared" si="18"/>
        <v>0.17542246025623243</v>
      </c>
      <c r="AO25" s="34">
        <f t="shared" si="2"/>
        <v>0.24918669743602712</v>
      </c>
      <c r="AP25" s="34">
        <f t="shared" si="3"/>
        <v>0.16847359656912267</v>
      </c>
      <c r="AS25" s="43">
        <f t="shared" si="19"/>
        <v>1.2299290305121648</v>
      </c>
      <c r="AV25" s="43">
        <f t="shared" si="20"/>
        <v>-0.81789077024251655</v>
      </c>
      <c r="AY25" s="12">
        <f t="shared" si="21"/>
        <v>59705.300751879695</v>
      </c>
      <c r="AZ25" s="5">
        <f t="shared" si="22"/>
        <v>96259</v>
      </c>
    </row>
    <row r="26" spans="1:52" x14ac:dyDescent="0.2">
      <c r="A26" s="2">
        <v>19</v>
      </c>
      <c r="B26" s="2">
        <v>19</v>
      </c>
      <c r="C26" t="s">
        <v>23</v>
      </c>
      <c r="D26" s="5">
        <v>94116</v>
      </c>
      <c r="E26" s="3">
        <v>2.1840248638546529E-3</v>
      </c>
      <c r="F26" s="3">
        <v>5.716582280020225E-2</v>
      </c>
      <c r="G26" s="3"/>
      <c r="H26" s="12">
        <v>236</v>
      </c>
      <c r="I26" s="12">
        <v>48352</v>
      </c>
      <c r="J26" s="12">
        <v>23354</v>
      </c>
      <c r="K26" s="12">
        <v>46446</v>
      </c>
      <c r="L26" s="12">
        <v>22294</v>
      </c>
      <c r="M26" s="12">
        <f t="shared" si="4"/>
        <v>4581</v>
      </c>
      <c r="N26" s="10">
        <v>118.16083042673213</v>
      </c>
      <c r="O26" s="10">
        <v>125.12138422894051</v>
      </c>
      <c r="P26" s="10">
        <f t="shared" si="5"/>
        <v>112.27792403405368</v>
      </c>
      <c r="Q26" s="12">
        <v>236.09590024221762</v>
      </c>
      <c r="R26" s="25">
        <f t="shared" si="6"/>
        <v>-0.5</v>
      </c>
      <c r="S26" s="27">
        <v>0.58461538461538465</v>
      </c>
      <c r="T26" s="34">
        <f t="shared" si="7"/>
        <v>0.15497921772724141</v>
      </c>
      <c r="U26" s="37">
        <f t="shared" si="0"/>
        <v>0.17965254449839638</v>
      </c>
      <c r="V26" s="37">
        <f t="shared" si="8"/>
        <v>3.640818574261355E-2</v>
      </c>
      <c r="W26" s="34">
        <f t="shared" si="9"/>
        <v>7.7489608863620704E-2</v>
      </c>
      <c r="X26" s="34">
        <f t="shared" si="10"/>
        <v>8.9826272249198189E-2</v>
      </c>
      <c r="Y26" s="34">
        <f t="shared" si="11"/>
        <v>1.8204092871306775E-2</v>
      </c>
      <c r="Z26" s="14">
        <v>45764</v>
      </c>
      <c r="AA26" s="12">
        <v>40968</v>
      </c>
      <c r="AB26" s="12">
        <v>43889</v>
      </c>
      <c r="AC26" s="12">
        <v>39308</v>
      </c>
      <c r="AD26" s="12">
        <f t="shared" si="12"/>
        <v>24152</v>
      </c>
      <c r="AE26" s="10">
        <v>114.89836063706169</v>
      </c>
      <c r="AF26" s="10">
        <v>115.20374936399716</v>
      </c>
      <c r="AG26" s="10">
        <f t="shared" si="13"/>
        <v>111.73574817820474</v>
      </c>
      <c r="AH26" s="12">
        <v>236.03235982497202</v>
      </c>
      <c r="AI26" s="25">
        <f t="shared" si="14"/>
        <v>-0.5</v>
      </c>
      <c r="AJ26" s="27">
        <v>0.70515970515970516</v>
      </c>
      <c r="AK26" s="34">
        <f t="shared" si="15"/>
        <v>0.44163509165705017</v>
      </c>
      <c r="AL26" s="37">
        <f t="shared" si="16"/>
        <v>0.47402255484969913</v>
      </c>
      <c r="AM26" s="37">
        <f t="shared" si="17"/>
        <v>0.10368184251870179</v>
      </c>
      <c r="AN26" s="34">
        <f t="shared" si="18"/>
        <v>0.22081754582852509</v>
      </c>
      <c r="AO26" s="34">
        <f t="shared" si="2"/>
        <v>0.23701127742484956</v>
      </c>
      <c r="AP26" s="34">
        <f t="shared" si="3"/>
        <v>5.1840921259350893E-2</v>
      </c>
      <c r="AS26" s="43">
        <f t="shared" si="19"/>
        <v>0.97560597975174101</v>
      </c>
      <c r="AV26" s="43">
        <f t="shared" si="20"/>
        <v>-0.64876843007769336</v>
      </c>
      <c r="AY26" s="12">
        <f t="shared" si="21"/>
        <v>60538.251823851824</v>
      </c>
      <c r="AZ26" s="5">
        <f t="shared" si="22"/>
        <v>94116</v>
      </c>
    </row>
    <row r="27" spans="1:52" x14ac:dyDescent="0.2">
      <c r="A27" s="2">
        <v>20</v>
      </c>
      <c r="B27" s="2">
        <v>20</v>
      </c>
      <c r="C27" t="s">
        <v>24</v>
      </c>
      <c r="D27" s="5">
        <v>93251</v>
      </c>
      <c r="E27" s="3">
        <v>2.1639519590644549E-3</v>
      </c>
      <c r="F27" s="3">
        <v>5.9329774759266707E-2</v>
      </c>
      <c r="G27" s="3"/>
      <c r="H27" s="12">
        <v>944</v>
      </c>
      <c r="I27" s="12">
        <v>46211</v>
      </c>
      <c r="J27" s="12">
        <v>38257</v>
      </c>
      <c r="K27" s="12">
        <v>43146</v>
      </c>
      <c r="L27" s="12">
        <v>35545</v>
      </c>
      <c r="M27" s="12">
        <f t="shared" si="4"/>
        <v>25517</v>
      </c>
      <c r="N27" s="10">
        <v>140.97283618411905</v>
      </c>
      <c r="O27" s="10">
        <v>144.76123477282317</v>
      </c>
      <c r="P27" s="10">
        <f t="shared" si="5"/>
        <v>139.41418897205781</v>
      </c>
      <c r="Q27" s="12">
        <v>947.68068645379094</v>
      </c>
      <c r="R27" s="25">
        <f t="shared" si="6"/>
        <v>-0.5</v>
      </c>
      <c r="S27" s="27">
        <v>0.8730381165919282</v>
      </c>
      <c r="T27" s="34">
        <f t="shared" si="7"/>
        <v>0.52537029760768539</v>
      </c>
      <c r="U27" s="37">
        <f t="shared" si="0"/>
        <v>0.70672409917280765</v>
      </c>
      <c r="V27" s="37">
        <f t="shared" si="8"/>
        <v>0.49773676657545457</v>
      </c>
      <c r="W27" s="34">
        <f t="shared" si="9"/>
        <v>0.26268514880384269</v>
      </c>
      <c r="X27" s="34">
        <f t="shared" si="10"/>
        <v>0.35336204958640383</v>
      </c>
      <c r="Y27" s="34">
        <f t="shared" si="11"/>
        <v>0.24886838328772729</v>
      </c>
      <c r="Z27" s="14">
        <v>47040</v>
      </c>
      <c r="AA27" s="12">
        <v>20048</v>
      </c>
      <c r="AB27" s="12">
        <v>43800</v>
      </c>
      <c r="AC27" s="12">
        <v>18283</v>
      </c>
      <c r="AD27" s="12">
        <f t="shared" si="12"/>
        <v>7601</v>
      </c>
      <c r="AE27" s="10">
        <v>140.99604885844747</v>
      </c>
      <c r="AF27" s="10">
        <v>143.20380025159986</v>
      </c>
      <c r="AG27" s="10">
        <f t="shared" si="13"/>
        <v>123.25692672016845</v>
      </c>
      <c r="AH27" s="12">
        <v>948.82584914948313</v>
      </c>
      <c r="AI27" s="25">
        <f t="shared" si="14"/>
        <v>-0.5</v>
      </c>
      <c r="AJ27" s="27">
        <v>0.8730381165919282</v>
      </c>
      <c r="AK27" s="34">
        <f t="shared" si="15"/>
        <v>0.22275585112712459</v>
      </c>
      <c r="AL27" s="37">
        <f t="shared" si="16"/>
        <v>0.28868930379748026</v>
      </c>
      <c r="AM27" s="37">
        <f t="shared" si="17"/>
        <v>0.21129308297019317</v>
      </c>
      <c r="AN27" s="34">
        <f t="shared" si="18"/>
        <v>0.1113779255635623</v>
      </c>
      <c r="AO27" s="34">
        <f t="shared" si="2"/>
        <v>0.14434465189874013</v>
      </c>
      <c r="AP27" s="34">
        <f t="shared" si="3"/>
        <v>0.10564654148509658</v>
      </c>
      <c r="AS27" s="43">
        <f t="shared" si="19"/>
        <v>1.4856482512969265</v>
      </c>
      <c r="AV27" s="43">
        <f t="shared" si="20"/>
        <v>-0.98794154981178217</v>
      </c>
      <c r="AY27" s="12">
        <f t="shared" si="21"/>
        <v>81411.677410313889</v>
      </c>
      <c r="AZ27" s="5">
        <f t="shared" si="22"/>
        <v>93251</v>
      </c>
    </row>
    <row r="28" spans="1:52" x14ac:dyDescent="0.2">
      <c r="A28" s="2">
        <v>21</v>
      </c>
      <c r="B28" s="2">
        <v>21</v>
      </c>
      <c r="C28" t="s">
        <v>25</v>
      </c>
      <c r="D28" s="5">
        <v>91042</v>
      </c>
      <c r="E28" s="3">
        <v>2.1126906334210478E-3</v>
      </c>
      <c r="F28" s="3">
        <v>6.1442465392687752E-2</v>
      </c>
      <c r="G28" s="3"/>
      <c r="H28" s="12">
        <v>2611</v>
      </c>
      <c r="I28" s="12">
        <v>45571</v>
      </c>
      <c r="J28" s="12">
        <v>27423</v>
      </c>
      <c r="K28" s="12">
        <v>41463</v>
      </c>
      <c r="L28" s="12">
        <v>24979</v>
      </c>
      <c r="M28" s="12">
        <f t="shared" si="4"/>
        <v>15099</v>
      </c>
      <c r="N28" s="10">
        <v>253.71976967416734</v>
      </c>
      <c r="O28" s="10">
        <v>263.49272268705715</v>
      </c>
      <c r="P28" s="10">
        <f t="shared" si="5"/>
        <v>230.38011192794215</v>
      </c>
      <c r="Q28" s="12">
        <v>2634.1088114015774</v>
      </c>
      <c r="R28" s="25">
        <f t="shared" si="6"/>
        <v>-0.10000000000000009</v>
      </c>
      <c r="S28" s="27">
        <v>0.57523315731937852</v>
      </c>
      <c r="T28" s="34">
        <f t="shared" si="7"/>
        <v>0.22646042835803112</v>
      </c>
      <c r="U28" s="37">
        <f t="shared" si="0"/>
        <v>0.53719306490130037</v>
      </c>
      <c r="V28" s="37">
        <f t="shared" si="8"/>
        <v>0.59881792061982297</v>
      </c>
      <c r="W28" s="34">
        <f t="shared" si="9"/>
        <v>2.2646042835803133E-2</v>
      </c>
      <c r="X28" s="34">
        <f t="shared" si="10"/>
        <v>5.3719306490130084E-2</v>
      </c>
      <c r="Y28" s="34">
        <f t="shared" si="11"/>
        <v>5.9881792061982353E-2</v>
      </c>
      <c r="Z28" s="14">
        <v>45471</v>
      </c>
      <c r="AA28" s="12">
        <v>28976</v>
      </c>
      <c r="AB28" s="12">
        <v>41543</v>
      </c>
      <c r="AC28" s="12">
        <v>26444</v>
      </c>
      <c r="AD28" s="12">
        <f t="shared" si="12"/>
        <v>16484</v>
      </c>
      <c r="AE28" s="10">
        <v>255.0217189418193</v>
      </c>
      <c r="AF28" s="10">
        <v>269.09158826198762</v>
      </c>
      <c r="AG28" s="10">
        <f t="shared" si="13"/>
        <v>238.91034275661247</v>
      </c>
      <c r="AH28" s="12">
        <v>2623.0546059597641</v>
      </c>
      <c r="AI28" s="25">
        <f t="shared" si="14"/>
        <v>-0.10000000000000009</v>
      </c>
      <c r="AJ28" s="27">
        <v>0.70308477282041804</v>
      </c>
      <c r="AK28" s="34">
        <f t="shared" si="15"/>
        <v>0.29645870016800913</v>
      </c>
      <c r="AL28" s="37">
        <f t="shared" si="16"/>
        <v>0.72144822044415613</v>
      </c>
      <c r="AM28" s="37">
        <f t="shared" si="17"/>
        <v>0.78052262998411825</v>
      </c>
      <c r="AN28" s="34">
        <f t="shared" si="18"/>
        <v>2.964587001680094E-2</v>
      </c>
      <c r="AO28" s="34">
        <f t="shared" si="2"/>
        <v>7.2144822044415677E-2</v>
      </c>
      <c r="AP28" s="34">
        <f t="shared" si="3"/>
        <v>7.8052262998411892E-2</v>
      </c>
      <c r="AS28" s="43">
        <f t="shared" si="19"/>
        <v>1.3775724507699258</v>
      </c>
      <c r="AV28" s="43">
        <f t="shared" si="20"/>
        <v>-1.25170832223538</v>
      </c>
      <c r="AY28" s="12">
        <f t="shared" si="21"/>
        <v>58183.917917118626</v>
      </c>
      <c r="AZ28" s="5">
        <f t="shared" si="22"/>
        <v>91042</v>
      </c>
    </row>
    <row r="29" spans="1:52" x14ac:dyDescent="0.2">
      <c r="A29" s="2">
        <v>22</v>
      </c>
      <c r="B29" s="2">
        <v>22</v>
      </c>
      <c r="C29" t="s">
        <v>26</v>
      </c>
      <c r="D29" s="5">
        <v>90464</v>
      </c>
      <c r="E29" s="3">
        <v>2.0992777560005452E-3</v>
      </c>
      <c r="F29" s="3">
        <v>6.3541743148688296E-2</v>
      </c>
      <c r="G29" s="3"/>
      <c r="H29" s="12">
        <v>370</v>
      </c>
      <c r="I29" s="12">
        <v>45272</v>
      </c>
      <c r="J29" s="12">
        <v>27441</v>
      </c>
      <c r="K29" s="12">
        <v>44445</v>
      </c>
      <c r="L29" s="12">
        <v>26896</v>
      </c>
      <c r="M29" s="12">
        <f t="shared" si="4"/>
        <v>16228</v>
      </c>
      <c r="N29" s="10">
        <v>92.642175497806278</v>
      </c>
      <c r="O29" s="10">
        <v>94.596504684711476</v>
      </c>
      <c r="P29" s="10">
        <f t="shared" si="5"/>
        <v>90.320880576780809</v>
      </c>
      <c r="Q29" s="12">
        <v>370.50881171921475</v>
      </c>
      <c r="R29" s="25">
        <f t="shared" si="6"/>
        <v>-0.5</v>
      </c>
      <c r="S29" s="27">
        <v>0.54513936121030893</v>
      </c>
      <c r="T29" s="34">
        <f t="shared" si="7"/>
        <v>0.23237675194549667</v>
      </c>
      <c r="U29" s="37">
        <f t="shared" si="0"/>
        <v>0.20332958131702245</v>
      </c>
      <c r="V29" s="37">
        <f t="shared" si="8"/>
        <v>8.563125600105255E-2</v>
      </c>
      <c r="W29" s="34">
        <f t="shared" si="9"/>
        <v>0.11618837597274834</v>
      </c>
      <c r="X29" s="34">
        <f t="shared" si="10"/>
        <v>0.10166479065851122</v>
      </c>
      <c r="Y29" s="34">
        <f t="shared" si="11"/>
        <v>4.2815628000526275E-2</v>
      </c>
      <c r="Z29" s="14">
        <v>45192</v>
      </c>
      <c r="AA29" s="12">
        <v>28733</v>
      </c>
      <c r="AB29" s="12">
        <v>44339</v>
      </c>
      <c r="AC29" s="12">
        <v>28111</v>
      </c>
      <c r="AD29" s="12">
        <f t="shared" si="12"/>
        <v>17549</v>
      </c>
      <c r="AE29" s="10">
        <v>92.285505085816084</v>
      </c>
      <c r="AF29" s="10">
        <v>93.4196492476255</v>
      </c>
      <c r="AG29" s="10">
        <f t="shared" si="13"/>
        <v>89.646925750755045</v>
      </c>
      <c r="AH29" s="12">
        <v>370.05524527764931</v>
      </c>
      <c r="AI29" s="25">
        <f t="shared" si="14"/>
        <v>-0.5</v>
      </c>
      <c r="AJ29" s="27">
        <v>0.68222568912799419</v>
      </c>
      <c r="AK29" s="34">
        <f t="shared" si="15"/>
        <v>0.30794368763738372</v>
      </c>
      <c r="AL29" s="37">
        <f t="shared" si="16"/>
        <v>0.26647573173051903</v>
      </c>
      <c r="AM29" s="37">
        <f t="shared" si="17"/>
        <v>0.11333164641448254</v>
      </c>
      <c r="AN29" s="34">
        <f t="shared" si="18"/>
        <v>0.15397184381869186</v>
      </c>
      <c r="AO29" s="34">
        <f t="shared" si="2"/>
        <v>0.13323786586525951</v>
      </c>
      <c r="AP29" s="34">
        <f t="shared" si="3"/>
        <v>5.666582320724127E-2</v>
      </c>
      <c r="AS29" s="43">
        <f t="shared" si="19"/>
        <v>0.70118147866642544</v>
      </c>
      <c r="AV29" s="43">
        <f t="shared" si="20"/>
        <v>-0.46627882214265476</v>
      </c>
      <c r="AY29" s="12">
        <f t="shared" si="21"/>
        <v>55510.692503785416</v>
      </c>
      <c r="AZ29" s="5">
        <f t="shared" si="22"/>
        <v>90464</v>
      </c>
    </row>
    <row r="30" spans="1:52" x14ac:dyDescent="0.2">
      <c r="A30" s="2">
        <v>23</v>
      </c>
      <c r="B30" s="2">
        <v>23</v>
      </c>
      <c r="C30" t="s">
        <v>27</v>
      </c>
      <c r="D30" s="5">
        <v>90055</v>
      </c>
      <c r="E30" s="3">
        <v>2.0897866368569718E-3</v>
      </c>
      <c r="F30" s="3">
        <v>6.5631529785545262E-2</v>
      </c>
      <c r="G30" s="3"/>
      <c r="H30" s="12">
        <v>629</v>
      </c>
      <c r="I30" s="12">
        <v>44793</v>
      </c>
      <c r="J30" s="12">
        <v>39698</v>
      </c>
      <c r="K30" s="12">
        <v>43174</v>
      </c>
      <c r="L30" s="12">
        <v>38317</v>
      </c>
      <c r="M30" s="12">
        <f t="shared" si="4"/>
        <v>32971</v>
      </c>
      <c r="N30" s="10">
        <v>116.51705795154491</v>
      </c>
      <c r="O30" s="10">
        <v>116.57346399770337</v>
      </c>
      <c r="P30" s="10">
        <f t="shared" si="5"/>
        <v>111.72900457978221</v>
      </c>
      <c r="Q30" s="12">
        <v>636.11115170811911</v>
      </c>
      <c r="R30" s="25">
        <f t="shared" si="6"/>
        <v>-0.5</v>
      </c>
      <c r="S30" s="28">
        <v>0.68777595093384569</v>
      </c>
      <c r="T30" s="34">
        <f t="shared" si="7"/>
        <v>0.48386934276262022</v>
      </c>
      <c r="U30" s="37">
        <f t="shared" si="0"/>
        <v>0.52141530644819234</v>
      </c>
      <c r="V30" s="37">
        <f t="shared" si="8"/>
        <v>0.30700990325250316</v>
      </c>
      <c r="W30" s="34">
        <f t="shared" si="9"/>
        <v>0.24193467138131011</v>
      </c>
      <c r="X30" s="34">
        <f t="shared" si="10"/>
        <v>0.26070765322409617</v>
      </c>
      <c r="Y30" s="34">
        <f t="shared" si="11"/>
        <v>0.15350495162625158</v>
      </c>
      <c r="Z30" s="14">
        <v>45262</v>
      </c>
      <c r="AA30" s="12">
        <v>11251</v>
      </c>
      <c r="AB30" s="12">
        <v>43687</v>
      </c>
      <c r="AC30" s="12">
        <v>10716</v>
      </c>
      <c r="AD30" s="12">
        <f t="shared" si="12"/>
        <v>4857</v>
      </c>
      <c r="AE30" s="10">
        <v>118.64198686107994</v>
      </c>
      <c r="AF30" s="10">
        <v>139.91185796939158</v>
      </c>
      <c r="AG30" s="10">
        <f t="shared" si="13"/>
        <v>116.07206917850526</v>
      </c>
      <c r="AH30" s="12">
        <v>641.25681224337438</v>
      </c>
      <c r="AI30" s="25">
        <f t="shared" si="14"/>
        <v>-0.5</v>
      </c>
      <c r="AJ30" s="28">
        <v>0.67276125411243137</v>
      </c>
      <c r="AK30" s="34">
        <f t="shared" si="15"/>
        <v>0.10329967374812639</v>
      </c>
      <c r="AL30" s="37">
        <f t="shared" si="16"/>
        <v>0.12909859557409362</v>
      </c>
      <c r="AM30" s="37">
        <f t="shared" si="17"/>
        <v>6.6096993471374862E-2</v>
      </c>
      <c r="AN30" s="34">
        <f t="shared" si="18"/>
        <v>5.1649836874063194E-2</v>
      </c>
      <c r="AO30" s="34">
        <f t="shared" si="2"/>
        <v>6.4549297787046808E-2</v>
      </c>
      <c r="AP30" s="34">
        <f t="shared" si="3"/>
        <v>3.3048496735687431E-2</v>
      </c>
      <c r="AS30" s="43">
        <f t="shared" si="19"/>
        <v>0.97088791259986296</v>
      </c>
      <c r="AV30" s="43">
        <f t="shared" si="20"/>
        <v>-0.64563096158871991</v>
      </c>
      <c r="AY30" s="12">
        <f t="shared" si="21"/>
        <v>61258.06805381662</v>
      </c>
      <c r="AZ30" s="5">
        <f t="shared" si="22"/>
        <v>90055</v>
      </c>
    </row>
    <row r="31" spans="1:52" x14ac:dyDescent="0.2">
      <c r="A31" s="2">
        <v>24</v>
      </c>
      <c r="B31" s="2">
        <v>24</v>
      </c>
      <c r="C31" t="s">
        <v>28</v>
      </c>
      <c r="D31" s="5">
        <v>89610</v>
      </c>
      <c r="E31" s="3">
        <v>2.0794601135834018E-3</v>
      </c>
      <c r="F31" s="3">
        <v>6.771098989912866E-2</v>
      </c>
      <c r="G31" s="3"/>
      <c r="H31" s="12">
        <v>239</v>
      </c>
      <c r="I31" s="12">
        <v>43997</v>
      </c>
      <c r="J31" s="12">
        <v>29624</v>
      </c>
      <c r="K31" s="12">
        <v>42523</v>
      </c>
      <c r="L31" s="12">
        <v>28639</v>
      </c>
      <c r="M31" s="12">
        <f t="shared" si="4"/>
        <v>18059</v>
      </c>
      <c r="N31" s="10">
        <v>131.44161912376833</v>
      </c>
      <c r="O31" s="10">
        <v>133.40450085547678</v>
      </c>
      <c r="P31" s="10">
        <f t="shared" si="5"/>
        <v>130.69238329918599</v>
      </c>
      <c r="Q31" s="12">
        <v>239.80397360243026</v>
      </c>
      <c r="R31" s="25">
        <f t="shared" si="6"/>
        <v>-0.5</v>
      </c>
      <c r="S31" s="28">
        <v>0.71309771309771319</v>
      </c>
      <c r="T31" s="34">
        <f t="shared" si="7"/>
        <v>0.32831883128651623</v>
      </c>
      <c r="U31" s="37">
        <f t="shared" si="0"/>
        <v>0.40995774831318332</v>
      </c>
      <c r="V31" s="37">
        <f t="shared" si="8"/>
        <v>7.8371267927967267E-2</v>
      </c>
      <c r="W31" s="34">
        <f t="shared" si="9"/>
        <v>0.16415941564325812</v>
      </c>
      <c r="X31" s="34">
        <f t="shared" si="10"/>
        <v>0.20497887415659166</v>
      </c>
      <c r="Y31" s="34">
        <f t="shared" si="11"/>
        <v>3.9185633963983633E-2</v>
      </c>
      <c r="Z31" s="14">
        <v>45613</v>
      </c>
      <c r="AA31" s="12">
        <v>26980</v>
      </c>
      <c r="AB31" s="12">
        <v>44155</v>
      </c>
      <c r="AC31" s="12">
        <v>26096</v>
      </c>
      <c r="AD31" s="12">
        <f t="shared" si="12"/>
        <v>13884</v>
      </c>
      <c r="AE31" s="10">
        <v>131.90243573774205</v>
      </c>
      <c r="AF31" s="10">
        <v>132.73981836296753</v>
      </c>
      <c r="AG31" s="10">
        <f t="shared" si="13"/>
        <v>127.39271607605886</v>
      </c>
      <c r="AH31" s="12">
        <v>240.42891630901286</v>
      </c>
      <c r="AI31" s="25">
        <f t="shared" si="14"/>
        <v>-0.5</v>
      </c>
      <c r="AJ31" s="28">
        <v>0.73852745874214087</v>
      </c>
      <c r="AK31" s="34">
        <f t="shared" si="15"/>
        <v>0.2911308870364076</v>
      </c>
      <c r="AL31" s="37">
        <f t="shared" si="16"/>
        <v>0.35945257024141353</v>
      </c>
      <c r="AM31" s="37">
        <f t="shared" si="17"/>
        <v>6.9671988627247494E-2</v>
      </c>
      <c r="AN31" s="34">
        <f t="shared" si="18"/>
        <v>0.1455654435182038</v>
      </c>
      <c r="AO31" s="34">
        <f t="shared" si="2"/>
        <v>0.17972628512070676</v>
      </c>
      <c r="AP31" s="34">
        <f t="shared" si="3"/>
        <v>3.4835994313623747E-2</v>
      </c>
      <c r="AS31" s="43">
        <f t="shared" si="19"/>
        <v>1.1483400674328346</v>
      </c>
      <c r="AV31" s="43">
        <f t="shared" si="20"/>
        <v>-0.76363490815553592</v>
      </c>
      <c r="AY31" s="12">
        <f t="shared" si="21"/>
        <v>65060.613058765361</v>
      </c>
      <c r="AZ31" s="5">
        <f t="shared" si="22"/>
        <v>89610</v>
      </c>
    </row>
    <row r="32" spans="1:52" x14ac:dyDescent="0.2">
      <c r="A32" s="2">
        <v>25</v>
      </c>
      <c r="B32" s="2">
        <v>25</v>
      </c>
      <c r="C32" t="s">
        <v>29</v>
      </c>
      <c r="D32" s="5">
        <v>88840</v>
      </c>
      <c r="E32" s="3">
        <v>2.0615917474695843E-3</v>
      </c>
      <c r="F32" s="3">
        <v>6.9772581646598247E-2</v>
      </c>
      <c r="G32" s="3"/>
      <c r="H32" s="12">
        <v>867</v>
      </c>
      <c r="I32" s="12">
        <v>44067</v>
      </c>
      <c r="J32" s="12">
        <v>25850</v>
      </c>
      <c r="K32" s="12">
        <v>41642</v>
      </c>
      <c r="L32" s="12">
        <v>24442</v>
      </c>
      <c r="M32" s="12">
        <f t="shared" si="4"/>
        <v>18474</v>
      </c>
      <c r="N32" s="10">
        <v>166.61546923778877</v>
      </c>
      <c r="O32" s="10">
        <v>173.77435070779808</v>
      </c>
      <c r="P32" s="10">
        <f t="shared" si="5"/>
        <v>158.65772599328787</v>
      </c>
      <c r="Q32" s="12">
        <v>876.60711071107107</v>
      </c>
      <c r="R32" s="25">
        <f t="shared" si="6"/>
        <v>-0.5</v>
      </c>
      <c r="S32" s="27">
        <v>0.48696452962486048</v>
      </c>
      <c r="T32" s="34">
        <f t="shared" si="7"/>
        <v>0.20578804150657629</v>
      </c>
      <c r="U32" s="37">
        <f t="shared" si="0"/>
        <v>0.32514444846240315</v>
      </c>
      <c r="V32" s="37">
        <f t="shared" si="8"/>
        <v>0.18028853706804665</v>
      </c>
      <c r="W32" s="34">
        <f t="shared" si="9"/>
        <v>0.10289402075328814</v>
      </c>
      <c r="X32" s="34">
        <f t="shared" si="10"/>
        <v>0.16257222423120157</v>
      </c>
      <c r="Y32" s="34">
        <f t="shared" si="11"/>
        <v>9.0144268534023325E-2</v>
      </c>
      <c r="Z32" s="14">
        <v>44773</v>
      </c>
      <c r="AA32" s="12">
        <v>25413</v>
      </c>
      <c r="AB32" s="12">
        <v>42209</v>
      </c>
      <c r="AC32" s="12">
        <v>23735</v>
      </c>
      <c r="AD32" s="12">
        <f t="shared" si="12"/>
        <v>17200</v>
      </c>
      <c r="AE32" s="10">
        <v>167.10666350778271</v>
      </c>
      <c r="AF32" s="10">
        <v>173.68284516536761</v>
      </c>
      <c r="AG32" s="10">
        <f t="shared" si="13"/>
        <v>156.44236569767438</v>
      </c>
      <c r="AH32" s="12">
        <v>869.55167474194229</v>
      </c>
      <c r="AI32" s="25">
        <f t="shared" si="14"/>
        <v>-0.5</v>
      </c>
      <c r="AJ32" s="27">
        <v>0.63280997213672896</v>
      </c>
      <c r="AK32" s="34">
        <f t="shared" si="15"/>
        <v>0.2550840938563842</v>
      </c>
      <c r="AL32" s="37">
        <f t="shared" si="16"/>
        <v>0.40102534075121221</v>
      </c>
      <c r="AM32" s="37">
        <f t="shared" si="17"/>
        <v>0.22166929553708073</v>
      </c>
      <c r="AN32" s="34">
        <f t="shared" si="18"/>
        <v>0.1275420469281921</v>
      </c>
      <c r="AO32" s="34">
        <f t="shared" si="2"/>
        <v>0.20051267037560611</v>
      </c>
      <c r="AP32" s="34">
        <f t="shared" si="3"/>
        <v>0.11083464776854036</v>
      </c>
      <c r="AS32" s="43">
        <f t="shared" si="19"/>
        <v>1.0838038490044997</v>
      </c>
      <c r="AV32" s="43">
        <f t="shared" si="20"/>
        <v>-0.72071895439769196</v>
      </c>
      <c r="AY32" s="12">
        <f t="shared" si="21"/>
        <v>49791.866809456493</v>
      </c>
      <c r="AZ32" s="5">
        <f t="shared" si="22"/>
        <v>88840</v>
      </c>
    </row>
    <row r="33" spans="1:52" x14ac:dyDescent="0.2">
      <c r="A33" s="2">
        <v>26</v>
      </c>
      <c r="B33" s="2">
        <v>26</v>
      </c>
      <c r="C33" t="s">
        <v>30</v>
      </c>
      <c r="D33" s="5">
        <v>88693</v>
      </c>
      <c r="E33" s="3">
        <v>2.0581805139387641E-3</v>
      </c>
      <c r="F33" s="3">
        <v>7.1830762160537007E-2</v>
      </c>
      <c r="G33" s="3"/>
      <c r="H33" s="12">
        <v>1121</v>
      </c>
      <c r="I33" s="12">
        <v>44173</v>
      </c>
      <c r="J33" s="12">
        <v>38002</v>
      </c>
      <c r="K33" s="12">
        <v>41690</v>
      </c>
      <c r="L33" s="12">
        <v>35846</v>
      </c>
      <c r="M33" s="12">
        <f t="shared" si="4"/>
        <v>27848</v>
      </c>
      <c r="N33" s="10">
        <v>156.02836363636362</v>
      </c>
      <c r="O33" s="10">
        <v>157.48141968420464</v>
      </c>
      <c r="P33" s="10">
        <f t="shared" si="5"/>
        <v>156.21931341568526</v>
      </c>
      <c r="Q33" s="12">
        <v>1145.7375439379568</v>
      </c>
      <c r="R33" s="25">
        <f t="shared" si="6"/>
        <v>-0.5</v>
      </c>
      <c r="S33" s="27">
        <v>0.75643955722973799</v>
      </c>
      <c r="T33" s="34">
        <f t="shared" si="7"/>
        <v>0.47457964757582616</v>
      </c>
      <c r="U33" s="37">
        <f t="shared" si="0"/>
        <v>0.70327771348363355</v>
      </c>
      <c r="V33" s="37">
        <f t="shared" si="8"/>
        <v>0.54414861220778477</v>
      </c>
      <c r="W33" s="34">
        <f t="shared" si="9"/>
        <v>0.23728982378791308</v>
      </c>
      <c r="X33" s="34">
        <f t="shared" si="10"/>
        <v>0.35163885674181677</v>
      </c>
      <c r="Y33" s="34">
        <f t="shared" si="11"/>
        <v>0.27207430610389238</v>
      </c>
      <c r="Z33" s="14">
        <v>44520</v>
      </c>
      <c r="AA33" s="12">
        <v>15055</v>
      </c>
      <c r="AB33" s="12">
        <v>41894</v>
      </c>
      <c r="AC33" s="12">
        <v>14046</v>
      </c>
      <c r="AD33" s="12">
        <f t="shared" si="12"/>
        <v>5844</v>
      </c>
      <c r="AE33" s="10">
        <v>158.17369527856019</v>
      </c>
      <c r="AF33" s="10">
        <v>162.04850847216272</v>
      </c>
      <c r="AG33" s="10">
        <f t="shared" si="13"/>
        <v>147.11559034907594</v>
      </c>
      <c r="AH33" s="12">
        <v>1148.3853054250321</v>
      </c>
      <c r="AI33" s="25">
        <f t="shared" si="14"/>
        <v>-0.5</v>
      </c>
      <c r="AJ33" s="27">
        <v>0.69188595900379934</v>
      </c>
      <c r="AK33" s="34">
        <f t="shared" si="15"/>
        <v>0.13555003756831585</v>
      </c>
      <c r="AL33" s="37">
        <f t="shared" si="16"/>
        <v>0.20181002179070254</v>
      </c>
      <c r="AM33" s="37">
        <f t="shared" si="17"/>
        <v>0.15578137135162073</v>
      </c>
      <c r="AN33" s="34">
        <f t="shared" si="18"/>
        <v>6.7775018784157925E-2</v>
      </c>
      <c r="AO33" s="34">
        <f t="shared" si="2"/>
        <v>0.10090501089535127</v>
      </c>
      <c r="AP33" s="34">
        <f t="shared" si="3"/>
        <v>7.7890685675810367E-2</v>
      </c>
      <c r="AS33" s="43">
        <f t="shared" si="19"/>
        <v>1.3508377596365846</v>
      </c>
      <c r="AV33" s="43">
        <f t="shared" si="20"/>
        <v>-0.89829389199941656</v>
      </c>
      <c r="AY33" s="12">
        <f t="shared" si="21"/>
        <v>64216.967456358361</v>
      </c>
      <c r="AZ33" s="5">
        <f t="shared" si="22"/>
        <v>88693</v>
      </c>
    </row>
    <row r="34" spans="1:52" x14ac:dyDescent="0.2">
      <c r="A34" s="2">
        <v>27</v>
      </c>
      <c r="B34" s="2">
        <v>27</v>
      </c>
      <c r="C34" t="s">
        <v>31</v>
      </c>
      <c r="D34" s="5">
        <v>88664</v>
      </c>
      <c r="E34" s="3">
        <v>2.0575075495007115E-3</v>
      </c>
      <c r="F34" s="3">
        <v>7.3888269710037716E-2</v>
      </c>
      <c r="G34" s="3"/>
      <c r="H34" s="12">
        <v>1189</v>
      </c>
      <c r="I34" s="12">
        <v>44202</v>
      </c>
      <c r="J34" s="12">
        <v>26155</v>
      </c>
      <c r="K34" s="12">
        <v>43282</v>
      </c>
      <c r="L34" s="12">
        <v>25510</v>
      </c>
      <c r="M34" s="12">
        <f t="shared" si="4"/>
        <v>11172</v>
      </c>
      <c r="N34" s="10">
        <v>130.96225913774779</v>
      </c>
      <c r="O34" s="10">
        <v>134.23410623284988</v>
      </c>
      <c r="P34" s="10">
        <f t="shared" si="5"/>
        <v>122.79938417472258</v>
      </c>
      <c r="Q34" s="12">
        <v>1194.8014896119168</v>
      </c>
      <c r="R34" s="25">
        <f t="shared" si="6"/>
        <v>-0.5</v>
      </c>
      <c r="S34" s="28">
        <v>0.80529732328898851</v>
      </c>
      <c r="T34" s="34">
        <f t="shared" si="7"/>
        <v>0.29126899985256111</v>
      </c>
      <c r="U34" s="37">
        <f t="shared" si="0"/>
        <v>0.35925694789242291</v>
      </c>
      <c r="V34" s="37">
        <f t="shared" si="8"/>
        <v>0.34842580719968536</v>
      </c>
      <c r="W34" s="34">
        <f t="shared" si="9"/>
        <v>0.14563449992628055</v>
      </c>
      <c r="X34" s="34">
        <f t="shared" si="10"/>
        <v>0.17962847394621145</v>
      </c>
      <c r="Y34" s="34">
        <f t="shared" si="11"/>
        <v>0.17421290359984268</v>
      </c>
      <c r="Z34" s="14">
        <v>44462</v>
      </c>
      <c r="AA34" s="12">
        <v>33029</v>
      </c>
      <c r="AB34" s="12">
        <v>43548</v>
      </c>
      <c r="AC34" s="12">
        <v>32376</v>
      </c>
      <c r="AD34" s="12">
        <f t="shared" si="12"/>
        <v>17772</v>
      </c>
      <c r="AE34" s="10">
        <v>131.54681340130432</v>
      </c>
      <c r="AF34" s="10">
        <v>134.56529250061774</v>
      </c>
      <c r="AG34" s="10">
        <f t="shared" si="13"/>
        <v>126.26583670943054</v>
      </c>
      <c r="AH34" s="12">
        <v>1198.3548616258956</v>
      </c>
      <c r="AI34" s="25">
        <f t="shared" si="14"/>
        <v>-0.5</v>
      </c>
      <c r="AJ34" s="28">
        <v>0.8</v>
      </c>
      <c r="AK34" s="34">
        <f t="shared" si="15"/>
        <v>0.39555684916477224</v>
      </c>
      <c r="AL34" s="37">
        <f t="shared" si="16"/>
        <v>0.49116570219424122</v>
      </c>
      <c r="AM34" s="37">
        <f t="shared" si="17"/>
        <v>0.47459176464630504</v>
      </c>
      <c r="AN34" s="34">
        <f t="shared" si="18"/>
        <v>0.19777842458238612</v>
      </c>
      <c r="AO34" s="34">
        <f t="shared" si="2"/>
        <v>0.24558285109712061</v>
      </c>
      <c r="AP34" s="34">
        <f t="shared" si="3"/>
        <v>0.23729588232315252</v>
      </c>
      <c r="AS34" s="43">
        <f t="shared" si="19"/>
        <v>1.2692504633698027</v>
      </c>
      <c r="AV34" s="43">
        <f t="shared" si="20"/>
        <v>-0.84403913832647071</v>
      </c>
      <c r="AY34" s="12">
        <f t="shared" si="21"/>
        <v>71165.352284019871</v>
      </c>
      <c r="AZ34" s="5">
        <f t="shared" si="22"/>
        <v>88664</v>
      </c>
    </row>
    <row r="35" spans="1:52" x14ac:dyDescent="0.2">
      <c r="A35" s="2">
        <v>28</v>
      </c>
      <c r="B35" s="2">
        <v>28</v>
      </c>
      <c r="C35" t="s">
        <v>32</v>
      </c>
      <c r="D35" s="5">
        <v>88406</v>
      </c>
      <c r="E35" s="3">
        <v>2.0515204865690687E-3</v>
      </c>
      <c r="F35" s="3">
        <v>7.593979019660678E-2</v>
      </c>
      <c r="G35" s="3"/>
      <c r="H35" s="12">
        <v>102</v>
      </c>
      <c r="I35" s="12">
        <v>44465</v>
      </c>
      <c r="J35" s="12">
        <v>34886</v>
      </c>
      <c r="K35" s="12">
        <v>42085</v>
      </c>
      <c r="L35" s="12">
        <v>32992</v>
      </c>
      <c r="M35" s="12">
        <f t="shared" si="4"/>
        <v>22245</v>
      </c>
      <c r="N35" s="10">
        <v>77.960058215516213</v>
      </c>
      <c r="O35" s="10">
        <v>77.406229388942776</v>
      </c>
      <c r="P35" s="10">
        <f t="shared" si="5"/>
        <v>78.69340166329512</v>
      </c>
      <c r="Q35" s="12">
        <v>102</v>
      </c>
      <c r="R35" s="25">
        <f t="shared" si="6"/>
        <v>-0.5</v>
      </c>
      <c r="S35" s="28">
        <v>1</v>
      </c>
      <c r="T35" s="34">
        <f t="shared" si="7"/>
        <v>0.54691737230585047</v>
      </c>
      <c r="U35" s="37">
        <f t="shared" si="0"/>
        <v>0.40036293802226053</v>
      </c>
      <c r="V35" s="37">
        <f t="shared" si="8"/>
        <v>5.5272518663625328E-2</v>
      </c>
      <c r="W35" s="34">
        <f t="shared" si="9"/>
        <v>0.27345868615292523</v>
      </c>
      <c r="X35" s="34">
        <f t="shared" si="10"/>
        <v>0.20018146901113026</v>
      </c>
      <c r="Y35" s="34">
        <f t="shared" si="11"/>
        <v>2.7636259331812664E-2</v>
      </c>
      <c r="Z35" s="14">
        <v>43941</v>
      </c>
      <c r="AA35" s="12">
        <v>21032</v>
      </c>
      <c r="AB35" s="12">
        <v>41529</v>
      </c>
      <c r="AC35" s="12">
        <v>19284</v>
      </c>
      <c r="AD35" s="12">
        <f t="shared" si="12"/>
        <v>9093</v>
      </c>
      <c r="AE35" s="10">
        <v>79.896715788966745</v>
      </c>
      <c r="AF35" s="10">
        <v>81.284795166977801</v>
      </c>
      <c r="AG35" s="10">
        <f t="shared" si="13"/>
        <v>79.969507313317877</v>
      </c>
      <c r="AH35" s="12">
        <v>102.94254304086289</v>
      </c>
      <c r="AI35" s="25">
        <f t="shared" si="14"/>
        <v>-0.5</v>
      </c>
      <c r="AJ35" s="28">
        <v>0.91482303317120761</v>
      </c>
      <c r="AK35" s="34">
        <f t="shared" si="15"/>
        <v>0.25694010590653932</v>
      </c>
      <c r="AL35" s="37">
        <f t="shared" si="16"/>
        <v>0.19525600767902956</v>
      </c>
      <c r="AM35" s="37">
        <f t="shared" si="17"/>
        <v>2.6215915306655738E-2</v>
      </c>
      <c r="AN35" s="34">
        <f t="shared" si="18"/>
        <v>0.12847005295326966</v>
      </c>
      <c r="AO35" s="34">
        <f t="shared" si="2"/>
        <v>9.7628003839514782E-2</v>
      </c>
      <c r="AP35" s="34">
        <f t="shared" si="3"/>
        <v>1.3107957653327869E-2</v>
      </c>
      <c r="AS35" s="43">
        <f t="shared" si="19"/>
        <v>0.88895753511051845</v>
      </c>
      <c r="AV35" s="43">
        <f t="shared" si="20"/>
        <v>-0.59114806225987337</v>
      </c>
      <c r="AY35" s="12">
        <f t="shared" si="21"/>
        <v>84663.238900576034</v>
      </c>
      <c r="AZ35" s="5">
        <f t="shared" si="22"/>
        <v>88406</v>
      </c>
    </row>
    <row r="36" spans="1:52" x14ac:dyDescent="0.2">
      <c r="A36" s="2">
        <v>29</v>
      </c>
      <c r="B36" s="2">
        <v>29</v>
      </c>
      <c r="C36" t="s">
        <v>33</v>
      </c>
      <c r="D36" s="5">
        <v>87017</v>
      </c>
      <c r="E36" s="3">
        <v>2.0192878105533634E-3</v>
      </c>
      <c r="F36" s="3">
        <v>7.7959078007160149E-2</v>
      </c>
      <c r="G36" s="3"/>
      <c r="H36" s="12">
        <v>2288</v>
      </c>
      <c r="I36" s="12">
        <v>43414</v>
      </c>
      <c r="J36" s="12">
        <v>26282</v>
      </c>
      <c r="K36" s="12">
        <v>39730</v>
      </c>
      <c r="L36" s="12">
        <v>23980</v>
      </c>
      <c r="M36" s="12">
        <f t="shared" si="4"/>
        <v>15948</v>
      </c>
      <c r="N36" s="10">
        <v>261.06099093883711</v>
      </c>
      <c r="O36" s="10">
        <v>268.23004670558799</v>
      </c>
      <c r="P36" s="10">
        <f t="shared" si="5"/>
        <v>241.83995359919746</v>
      </c>
      <c r="Q36" s="12">
        <v>2304.70387823186</v>
      </c>
      <c r="R36" s="25">
        <f t="shared" si="6"/>
        <v>-0.10000000000000009</v>
      </c>
      <c r="S36" s="27">
        <v>0.61224489795918369</v>
      </c>
      <c r="T36" s="34">
        <f t="shared" si="7"/>
        <v>0.24011378589990195</v>
      </c>
      <c r="U36" s="37">
        <f t="shared" si="0"/>
        <v>0.58475642490451951</v>
      </c>
      <c r="V36" s="37">
        <f t="shared" si="8"/>
        <v>0.55504337734028308</v>
      </c>
      <c r="W36" s="34">
        <f t="shared" si="9"/>
        <v>2.4011378589990216E-2</v>
      </c>
      <c r="X36" s="34">
        <f t="shared" si="10"/>
        <v>5.8475642490452E-2</v>
      </c>
      <c r="Y36" s="34">
        <f t="shared" si="11"/>
        <v>5.550433773402836E-2</v>
      </c>
      <c r="Z36" s="14">
        <v>43603</v>
      </c>
      <c r="AA36" s="12">
        <v>26246</v>
      </c>
      <c r="AB36" s="12">
        <v>40036</v>
      </c>
      <c r="AC36" s="12">
        <v>24088</v>
      </c>
      <c r="AD36" s="12">
        <f t="shared" si="12"/>
        <v>15750</v>
      </c>
      <c r="AE36" s="10">
        <v>261.73828554301127</v>
      </c>
      <c r="AF36" s="10">
        <v>274.91242195283957</v>
      </c>
      <c r="AG36" s="10">
        <f t="shared" si="13"/>
        <v>250.14581904761889</v>
      </c>
      <c r="AH36" s="12">
        <v>2307.8333194951842</v>
      </c>
      <c r="AI36" s="25">
        <f t="shared" si="14"/>
        <v>-0.10000000000000009</v>
      </c>
      <c r="AJ36" s="27">
        <v>0.52482269503546097</v>
      </c>
      <c r="AK36" s="34">
        <f t="shared" si="15"/>
        <v>0.20535076325292448</v>
      </c>
      <c r="AL36" s="37">
        <f t="shared" si="16"/>
        <v>0.51455279145366184</v>
      </c>
      <c r="AM36" s="37">
        <f t="shared" si="17"/>
        <v>0.47529299966479949</v>
      </c>
      <c r="AN36" s="34">
        <f t="shared" si="18"/>
        <v>2.0535076325292466E-2</v>
      </c>
      <c r="AO36" s="34">
        <f t="shared" si="2"/>
        <v>5.1455279145366233E-2</v>
      </c>
      <c r="AP36" s="34">
        <f t="shared" si="3"/>
        <v>4.752929996647999E-2</v>
      </c>
      <c r="AS36" s="43">
        <f t="shared" si="19"/>
        <v>1.2031848223672865</v>
      </c>
      <c r="AV36" s="43">
        <f t="shared" si="20"/>
        <v>-1.0932539007314681</v>
      </c>
      <c r="AY36" s="12">
        <f t="shared" si="21"/>
        <v>49463.843971631206</v>
      </c>
      <c r="AZ36" s="5">
        <f t="shared" si="22"/>
        <v>87017</v>
      </c>
    </row>
    <row r="37" spans="1:52" x14ac:dyDescent="0.2">
      <c r="A37" s="2">
        <v>30</v>
      </c>
      <c r="B37" s="2">
        <v>30</v>
      </c>
      <c r="C37" t="s">
        <v>34</v>
      </c>
      <c r="D37" s="5">
        <v>86989</v>
      </c>
      <c r="E37" s="3">
        <v>2.0186380517855881E-3</v>
      </c>
      <c r="F37" s="3">
        <v>7.9977716058945741E-2</v>
      </c>
      <c r="G37" s="3"/>
      <c r="H37" s="12">
        <v>802</v>
      </c>
      <c r="I37" s="12">
        <v>43550</v>
      </c>
      <c r="J37" s="12">
        <v>24980</v>
      </c>
      <c r="K37" s="12">
        <v>40267</v>
      </c>
      <c r="L37" s="12">
        <v>22886</v>
      </c>
      <c r="M37" s="12">
        <f t="shared" si="4"/>
        <v>19144</v>
      </c>
      <c r="N37" s="10">
        <v>226.7720133111481</v>
      </c>
      <c r="O37" s="10">
        <v>231.34797867692038</v>
      </c>
      <c r="P37" s="10">
        <f t="shared" si="5"/>
        <v>215.40465890096115</v>
      </c>
      <c r="Q37" s="12">
        <v>826.2115703923796</v>
      </c>
      <c r="R37" s="25">
        <f t="shared" si="6"/>
        <v>-0.5</v>
      </c>
      <c r="S37" s="28">
        <v>0.63226408866915507</v>
      </c>
      <c r="T37" s="34">
        <f t="shared" si="7"/>
        <v>0.26135593072367236</v>
      </c>
      <c r="U37" s="37">
        <f t="shared" si="0"/>
        <v>0.55388797425441216</v>
      </c>
      <c r="V37" s="37">
        <f t="shared" si="8"/>
        <v>0.2158012996520986</v>
      </c>
      <c r="W37" s="34">
        <f t="shared" si="9"/>
        <v>0.13067796536183618</v>
      </c>
      <c r="X37" s="34">
        <f t="shared" si="10"/>
        <v>0.27694398712720608</v>
      </c>
      <c r="Y37" s="34">
        <f t="shared" si="11"/>
        <v>0.1079006498260493</v>
      </c>
      <c r="Z37" s="14">
        <v>43439</v>
      </c>
      <c r="AA37" s="12">
        <v>22854</v>
      </c>
      <c r="AB37" s="12">
        <v>40193</v>
      </c>
      <c r="AC37" s="12">
        <v>21049</v>
      </c>
      <c r="AD37" s="12">
        <f t="shared" si="12"/>
        <v>17381</v>
      </c>
      <c r="AE37" s="10">
        <v>225.61103326449879</v>
      </c>
      <c r="AF37" s="10">
        <v>234.89369898807544</v>
      </c>
      <c r="AG37" s="10">
        <f t="shared" si="13"/>
        <v>220.74672458431621</v>
      </c>
      <c r="AH37" s="12">
        <v>819.34828257874483</v>
      </c>
      <c r="AI37" s="25">
        <f t="shared" si="14"/>
        <v>-0.5</v>
      </c>
      <c r="AJ37" s="28">
        <v>0.59926523297491041</v>
      </c>
      <c r="AK37" s="34">
        <f t="shared" si="15"/>
        <v>0.22648190340972477</v>
      </c>
      <c r="AL37" s="37">
        <f t="shared" si="16"/>
        <v>0.48945869094921651</v>
      </c>
      <c r="AM37" s="37">
        <f t="shared" si="17"/>
        <v>0.18545021875498321</v>
      </c>
      <c r="AN37" s="34">
        <f t="shared" si="18"/>
        <v>0.11324095170486238</v>
      </c>
      <c r="AO37" s="34">
        <f t="shared" si="2"/>
        <v>0.24472934547460826</v>
      </c>
      <c r="AP37" s="34">
        <f t="shared" si="3"/>
        <v>9.2725109377491607E-2</v>
      </c>
      <c r="AS37" s="43">
        <f t="shared" si="19"/>
        <v>1.5571883440899557</v>
      </c>
      <c r="AV37" s="43">
        <f t="shared" si="20"/>
        <v>-1.0355150114881411</v>
      </c>
      <c r="AY37" s="12">
        <f t="shared" si="21"/>
        <v>53566.583516738836</v>
      </c>
      <c r="AZ37" s="5">
        <f t="shared" si="22"/>
        <v>86989</v>
      </c>
    </row>
    <row r="38" spans="1:52" x14ac:dyDescent="0.2">
      <c r="A38" s="2">
        <v>31</v>
      </c>
      <c r="B38" s="2">
        <v>31</v>
      </c>
      <c r="C38" t="s">
        <v>35</v>
      </c>
      <c r="D38" s="5">
        <v>86912</v>
      </c>
      <c r="E38" s="3">
        <v>2.0168512151742062E-3</v>
      </c>
      <c r="F38" s="3">
        <v>8.1994567274119953E-2</v>
      </c>
      <c r="G38" s="3"/>
      <c r="H38" s="12">
        <v>732</v>
      </c>
      <c r="I38" s="12">
        <v>43633</v>
      </c>
      <c r="J38" s="12">
        <v>25556</v>
      </c>
      <c r="K38" s="12">
        <v>41288</v>
      </c>
      <c r="L38" s="12">
        <v>24214</v>
      </c>
      <c r="M38" s="12">
        <f t="shared" si="4"/>
        <v>18839</v>
      </c>
      <c r="N38" s="10">
        <v>179.07620228637862</v>
      </c>
      <c r="O38" s="10">
        <v>184.31319773684643</v>
      </c>
      <c r="P38" s="10">
        <f t="shared" si="5"/>
        <v>177.04235840543544</v>
      </c>
      <c r="Q38" s="12">
        <v>741.0147848352193</v>
      </c>
      <c r="R38" s="25">
        <f t="shared" si="6"/>
        <v>-0.5</v>
      </c>
      <c r="S38" s="27">
        <v>0.62465335659601773</v>
      </c>
      <c r="T38" s="34">
        <f t="shared" si="7"/>
        <v>0.26471799475623914</v>
      </c>
      <c r="U38" s="37">
        <f t="shared" si="0"/>
        <v>0.45309163346562953</v>
      </c>
      <c r="V38" s="37">
        <f t="shared" si="8"/>
        <v>0.1959356296684088</v>
      </c>
      <c r="W38" s="34">
        <f t="shared" si="9"/>
        <v>0.13235899737811957</v>
      </c>
      <c r="X38" s="34">
        <f t="shared" si="10"/>
        <v>0.22654581673281476</v>
      </c>
      <c r="Y38" s="34">
        <f t="shared" si="11"/>
        <v>9.79678148342044E-2</v>
      </c>
      <c r="Z38" s="14">
        <v>43279</v>
      </c>
      <c r="AA38" s="12">
        <v>23323</v>
      </c>
      <c r="AB38" s="12">
        <v>40945</v>
      </c>
      <c r="AC38" s="12">
        <v>22106</v>
      </c>
      <c r="AD38" s="12">
        <f t="shared" si="12"/>
        <v>17074</v>
      </c>
      <c r="AE38" s="10">
        <v>177.64668140188058</v>
      </c>
      <c r="AF38" s="10">
        <v>178.16169275309878</v>
      </c>
      <c r="AG38" s="10">
        <f t="shared" si="13"/>
        <v>171.64920171020268</v>
      </c>
      <c r="AH38" s="12">
        <v>744.36125938659188</v>
      </c>
      <c r="AI38" s="25">
        <f t="shared" si="14"/>
        <v>-0.5</v>
      </c>
      <c r="AJ38" s="27">
        <v>0.52200592201029672</v>
      </c>
      <c r="AK38" s="34">
        <f t="shared" si="15"/>
        <v>0.2013466118816733</v>
      </c>
      <c r="AL38" s="37">
        <f t="shared" si="16"/>
        <v>0.33352592104890261</v>
      </c>
      <c r="AM38" s="37">
        <f t="shared" si="17"/>
        <v>0.14969982246736607</v>
      </c>
      <c r="AN38" s="34">
        <f t="shared" si="18"/>
        <v>0.10067330594083665</v>
      </c>
      <c r="AO38" s="34">
        <f t="shared" si="2"/>
        <v>0.1667629605244513</v>
      </c>
      <c r="AP38" s="34">
        <f t="shared" si="3"/>
        <v>7.4849911233683036E-2</v>
      </c>
      <c r="AS38" s="43">
        <f t="shared" si="19"/>
        <v>1.1740217590167024</v>
      </c>
      <c r="AV38" s="43">
        <f t="shared" si="20"/>
        <v>-0.78071298175943626</v>
      </c>
      <c r="AY38" s="12">
        <f t="shared" si="21"/>
        <v>49847.394207037672</v>
      </c>
      <c r="AZ38" s="5">
        <f t="shared" si="22"/>
        <v>86912</v>
      </c>
    </row>
    <row r="39" spans="1:52" x14ac:dyDescent="0.2">
      <c r="A39" s="2">
        <v>32</v>
      </c>
      <c r="B39" s="2">
        <v>32</v>
      </c>
      <c r="C39" t="s">
        <v>36</v>
      </c>
      <c r="D39" s="5">
        <v>85244</v>
      </c>
      <c r="E39" s="3">
        <v>1.9781441571510268E-3</v>
      </c>
      <c r="F39" s="3">
        <v>8.3972711431270983E-2</v>
      </c>
      <c r="G39" s="3"/>
      <c r="H39" s="12">
        <v>679</v>
      </c>
      <c r="I39" s="12">
        <v>42451</v>
      </c>
      <c r="J39" s="12">
        <v>26423</v>
      </c>
      <c r="K39" s="12">
        <v>40648</v>
      </c>
      <c r="L39" s="12">
        <v>25275</v>
      </c>
      <c r="M39" s="12">
        <f t="shared" si="4"/>
        <v>17371</v>
      </c>
      <c r="N39" s="10">
        <v>135.50293027947257</v>
      </c>
      <c r="O39" s="10">
        <v>136.08109831849652</v>
      </c>
      <c r="P39" s="10">
        <f t="shared" si="5"/>
        <v>124.11586840135858</v>
      </c>
      <c r="Q39" s="12">
        <v>682.91374876360044</v>
      </c>
      <c r="R39" s="25">
        <f t="shared" si="6"/>
        <v>-0.5</v>
      </c>
      <c r="S39" s="27">
        <v>0.54807692307692313</v>
      </c>
      <c r="T39" s="34">
        <f t="shared" si="7"/>
        <v>0.23046051535804649</v>
      </c>
      <c r="U39" s="37">
        <f t="shared" si="0"/>
        <v>0.28525090357688465</v>
      </c>
      <c r="V39" s="37">
        <f t="shared" si="8"/>
        <v>0.15707958806044273</v>
      </c>
      <c r="W39" s="34">
        <f t="shared" si="9"/>
        <v>0.11523025767902324</v>
      </c>
      <c r="X39" s="34">
        <f t="shared" si="10"/>
        <v>0.14262545178844233</v>
      </c>
      <c r="Y39" s="34">
        <f t="shared" si="11"/>
        <v>7.8539794030221363E-2</v>
      </c>
      <c r="Z39" s="14">
        <v>42793</v>
      </c>
      <c r="AA39" s="12">
        <v>24693</v>
      </c>
      <c r="AB39" s="12">
        <v>40965</v>
      </c>
      <c r="AC39" s="12">
        <v>23594</v>
      </c>
      <c r="AD39" s="12">
        <f t="shared" si="12"/>
        <v>15373</v>
      </c>
      <c r="AE39" s="10">
        <v>134.63501159526425</v>
      </c>
      <c r="AF39" s="10">
        <v>142.37969398999746</v>
      </c>
      <c r="AG39" s="10">
        <f t="shared" si="13"/>
        <v>134.5523547778574</v>
      </c>
      <c r="AH39" s="12">
        <v>682.5493769602441</v>
      </c>
      <c r="AI39" s="25">
        <f t="shared" si="14"/>
        <v>-0.5</v>
      </c>
      <c r="AJ39" s="27">
        <v>0.60869565217391308</v>
      </c>
      <c r="AK39" s="34">
        <f t="shared" si="15"/>
        <v>0.23378479880740627</v>
      </c>
      <c r="AL39" s="37">
        <f t="shared" si="16"/>
        <v>0.30730642174663297</v>
      </c>
      <c r="AM39" s="37">
        <f t="shared" si="17"/>
        <v>0.15927845421543763</v>
      </c>
      <c r="AN39" s="34">
        <f t="shared" si="18"/>
        <v>0.11689239940370313</v>
      </c>
      <c r="AO39" s="34">
        <f t="shared" si="2"/>
        <v>0.15365321087331649</v>
      </c>
      <c r="AP39" s="34">
        <f t="shared" si="3"/>
        <v>7.9639227107718813E-2</v>
      </c>
      <c r="AS39" s="43">
        <f t="shared" si="19"/>
        <v>0.88438808592809814</v>
      </c>
      <c r="AV39" s="43">
        <f t="shared" si="20"/>
        <v>-0.5881094232663393</v>
      </c>
      <c r="AY39" s="12">
        <f t="shared" si="21"/>
        <v>49314.326505016725</v>
      </c>
      <c r="AZ39" s="5">
        <f t="shared" si="22"/>
        <v>85244</v>
      </c>
    </row>
    <row r="40" spans="1:52" x14ac:dyDescent="0.2">
      <c r="A40" s="2">
        <v>33</v>
      </c>
      <c r="B40" s="2">
        <v>33</v>
      </c>
      <c r="C40" t="s">
        <v>37</v>
      </c>
      <c r="D40" s="5">
        <v>85196</v>
      </c>
      <c r="E40" s="3">
        <v>1.977030284977698E-3</v>
      </c>
      <c r="F40" s="3">
        <v>8.5949741716248682E-2</v>
      </c>
      <c r="G40" s="3"/>
      <c r="H40" s="12">
        <v>1846</v>
      </c>
      <c r="I40" s="12">
        <v>42640</v>
      </c>
      <c r="J40" s="12">
        <v>26683</v>
      </c>
      <c r="K40" s="12">
        <v>37932</v>
      </c>
      <c r="L40" s="12">
        <v>23625</v>
      </c>
      <c r="M40" s="12">
        <f t="shared" si="4"/>
        <v>18441</v>
      </c>
      <c r="N40" s="10">
        <v>274.68473663397657</v>
      </c>
      <c r="O40" s="10">
        <v>277.92911873015873</v>
      </c>
      <c r="P40" s="10">
        <f t="shared" si="5"/>
        <v>250.84787321728757</v>
      </c>
      <c r="Q40" s="12">
        <v>1885.4992592592594</v>
      </c>
      <c r="R40" s="25">
        <f t="shared" si="6"/>
        <v>-0.10000000000000009</v>
      </c>
      <c r="S40" s="27">
        <v>0.23943661971830985</v>
      </c>
      <c r="T40" s="34">
        <f t="shared" si="7"/>
        <v>9.8924766011009552E-2</v>
      </c>
      <c r="U40" s="37">
        <f t="shared" si="0"/>
        <v>0.24875543311223172</v>
      </c>
      <c r="V40" s="37">
        <f t="shared" si="8"/>
        <v>0.18688812672488317</v>
      </c>
      <c r="W40" s="34">
        <f t="shared" si="9"/>
        <v>9.8924766011009631E-3</v>
      </c>
      <c r="X40" s="34">
        <f t="shared" si="10"/>
        <v>2.4875543311223193E-2</v>
      </c>
      <c r="Y40" s="34">
        <f t="shared" si="11"/>
        <v>1.8688812672488335E-2</v>
      </c>
      <c r="Z40" s="14">
        <v>42556</v>
      </c>
      <c r="AA40" s="12">
        <v>21914</v>
      </c>
      <c r="AB40" s="12">
        <v>37916</v>
      </c>
      <c r="AC40" s="12">
        <v>19475</v>
      </c>
      <c r="AD40" s="12">
        <f t="shared" si="12"/>
        <v>14307</v>
      </c>
      <c r="AE40" s="10">
        <v>273.54141734360167</v>
      </c>
      <c r="AF40" s="10">
        <v>295.03007702182288</v>
      </c>
      <c r="AG40" s="10">
        <f t="shared" si="13"/>
        <v>269.32732228978824</v>
      </c>
      <c r="AH40" s="12">
        <v>1886.5213863928113</v>
      </c>
      <c r="AI40" s="25">
        <f t="shared" si="14"/>
        <v>-0.10000000000000009</v>
      </c>
      <c r="AJ40" s="27">
        <v>0.69230769230769229</v>
      </c>
      <c r="AK40" s="34">
        <f t="shared" si="15"/>
        <v>0.22967103440148195</v>
      </c>
      <c r="AL40" s="37">
        <f t="shared" si="16"/>
        <v>0.61687889020760434</v>
      </c>
      <c r="AM40" s="37">
        <f t="shared" si="17"/>
        <v>0.43407458937802373</v>
      </c>
      <c r="AN40" s="34">
        <f t="shared" si="18"/>
        <v>2.2967103440148216E-2</v>
      </c>
      <c r="AO40" s="34">
        <f t="shared" si="2"/>
        <v>6.1687889020760486E-2</v>
      </c>
      <c r="AP40" s="34">
        <f t="shared" si="3"/>
        <v>4.3407458937802415E-2</v>
      </c>
      <c r="AS40" s="43">
        <f t="shared" si="19"/>
        <v>0.94742958945524891</v>
      </c>
      <c r="AV40" s="43">
        <f t="shared" si="20"/>
        <v>-0.86086615712326542</v>
      </c>
      <c r="AY40" s="12">
        <f t="shared" si="21"/>
        <v>39671.423618634886</v>
      </c>
      <c r="AZ40" s="5">
        <f t="shared" si="22"/>
        <v>85196</v>
      </c>
    </row>
    <row r="41" spans="1:52" x14ac:dyDescent="0.2">
      <c r="A41" s="2">
        <v>34</v>
      </c>
      <c r="B41" s="2">
        <v>34</v>
      </c>
      <c r="C41" t="s">
        <v>38</v>
      </c>
      <c r="D41" s="5">
        <v>85113</v>
      </c>
      <c r="E41" s="3">
        <v>1.9751042143446502E-3</v>
      </c>
      <c r="F41" s="3">
        <v>8.7924845930593326E-2</v>
      </c>
      <c r="G41" s="3"/>
      <c r="H41" s="12">
        <v>163</v>
      </c>
      <c r="I41" s="12">
        <v>42279</v>
      </c>
      <c r="J41" s="12">
        <v>33021</v>
      </c>
      <c r="K41" s="12">
        <v>40038</v>
      </c>
      <c r="L41" s="12">
        <v>31147</v>
      </c>
      <c r="M41" s="12">
        <f t="shared" si="4"/>
        <v>21266</v>
      </c>
      <c r="N41" s="10">
        <v>87.807133223437731</v>
      </c>
      <c r="O41" s="10">
        <v>88.278168362924191</v>
      </c>
      <c r="P41" s="10">
        <f t="shared" si="5"/>
        <v>88.270123671588451</v>
      </c>
      <c r="Q41" s="12">
        <v>163.39679583908563</v>
      </c>
      <c r="R41" s="25">
        <f t="shared" si="6"/>
        <v>-0.5</v>
      </c>
      <c r="S41" s="29">
        <v>0.68444330455955149</v>
      </c>
      <c r="T41" s="34">
        <f t="shared" si="7"/>
        <v>0.35476548824528681</v>
      </c>
      <c r="U41" s="37">
        <f t="shared" si="0"/>
        <v>0.2945526708509415</v>
      </c>
      <c r="V41" s="37">
        <f t="shared" si="8"/>
        <v>5.7528985769957887E-2</v>
      </c>
      <c r="W41" s="34">
        <f t="shared" si="9"/>
        <v>0.1773827441226434</v>
      </c>
      <c r="X41" s="34">
        <f t="shared" si="10"/>
        <v>0.14727633542547075</v>
      </c>
      <c r="Y41" s="34">
        <f t="shared" si="11"/>
        <v>2.8764492884978943E-2</v>
      </c>
      <c r="Z41" s="14">
        <v>42834</v>
      </c>
      <c r="AA41" s="12">
        <v>20827</v>
      </c>
      <c r="AB41" s="12">
        <v>40624</v>
      </c>
      <c r="AC41" s="12">
        <v>19358</v>
      </c>
      <c r="AD41" s="12">
        <f t="shared" si="12"/>
        <v>8891</v>
      </c>
      <c r="AE41" s="10">
        <v>88.78413524025207</v>
      </c>
      <c r="AF41" s="10">
        <v>89.348809794400253</v>
      </c>
      <c r="AG41" s="10">
        <f t="shared" si="13"/>
        <v>86.157000337419873</v>
      </c>
      <c r="AH41" s="12">
        <v>164.21944415745429</v>
      </c>
      <c r="AI41" s="25">
        <f t="shared" si="14"/>
        <v>-0.5</v>
      </c>
      <c r="AJ41" s="29">
        <v>0.68444330455955149</v>
      </c>
      <c r="AK41" s="34">
        <f t="shared" si="15"/>
        <v>0.19120685499551909</v>
      </c>
      <c r="AL41" s="37">
        <f t="shared" si="16"/>
        <v>0.15887953460270218</v>
      </c>
      <c r="AM41" s="37">
        <f t="shared" si="17"/>
        <v>3.1162674701026731E-2</v>
      </c>
      <c r="AN41" s="34">
        <f t="shared" si="18"/>
        <v>9.5603427497759547E-2</v>
      </c>
      <c r="AO41" s="34">
        <f t="shared" si="2"/>
        <v>7.9439767301351091E-2</v>
      </c>
      <c r="AP41" s="34">
        <f t="shared" si="3"/>
        <v>1.5581337350513366E-2</v>
      </c>
      <c r="AS41" s="43">
        <f t="shared" si="19"/>
        <v>0.67674471842933559</v>
      </c>
      <c r="AV41" s="43">
        <f t="shared" si="20"/>
        <v>-0.45002861570251368</v>
      </c>
      <c r="AY41" s="12">
        <f t="shared" si="21"/>
        <v>58255.022980977104</v>
      </c>
      <c r="AZ41" s="5">
        <f t="shared" si="22"/>
        <v>85113</v>
      </c>
    </row>
    <row r="42" spans="1:52" x14ac:dyDescent="0.2">
      <c r="A42" s="2">
        <v>35</v>
      </c>
      <c r="B42" s="2">
        <v>35</v>
      </c>
      <c r="C42" t="s">
        <v>39</v>
      </c>
      <c r="D42" s="5">
        <v>84364</v>
      </c>
      <c r="E42" s="3">
        <v>1.9577231673066635E-3</v>
      </c>
      <c r="F42" s="3">
        <v>8.9882569097899989E-2</v>
      </c>
      <c r="G42" s="3"/>
      <c r="H42" s="12">
        <v>2248</v>
      </c>
      <c r="I42" s="12">
        <v>41350</v>
      </c>
      <c r="J42" s="12">
        <v>37823</v>
      </c>
      <c r="K42" s="12">
        <v>38288</v>
      </c>
      <c r="L42" s="12">
        <v>35033</v>
      </c>
      <c r="M42" s="12">
        <f t="shared" si="4"/>
        <v>26665</v>
      </c>
      <c r="N42" s="10">
        <v>236.80102486418724</v>
      </c>
      <c r="O42" s="10">
        <v>237.80341592213057</v>
      </c>
      <c r="P42" s="10">
        <f t="shared" si="5"/>
        <v>225.56883930245633</v>
      </c>
      <c r="Q42" s="12">
        <v>2263.0451288784861</v>
      </c>
      <c r="R42" s="25">
        <f t="shared" si="6"/>
        <v>-0.10000000000000009</v>
      </c>
      <c r="S42" s="27">
        <v>0.82521018642622157</v>
      </c>
      <c r="T42" s="34">
        <f t="shared" si="7"/>
        <v>0.50021321530209173</v>
      </c>
      <c r="U42" s="37">
        <f t="shared" si="0"/>
        <v>1.0989146377152703</v>
      </c>
      <c r="V42" s="37">
        <f t="shared" si="8"/>
        <v>1.1356265378069959</v>
      </c>
      <c r="W42" s="34">
        <f t="shared" si="9"/>
        <v>5.0021321530209217E-2</v>
      </c>
      <c r="X42" s="34">
        <f t="shared" si="10"/>
        <v>0.10989146377152713</v>
      </c>
      <c r="Y42" s="34">
        <f t="shared" si="11"/>
        <v>0.11356265378069968</v>
      </c>
      <c r="Z42" s="14">
        <v>43014</v>
      </c>
      <c r="AA42" s="12">
        <v>14415</v>
      </c>
      <c r="AB42" s="12">
        <v>39723</v>
      </c>
      <c r="AC42" s="12">
        <v>13058</v>
      </c>
      <c r="AD42" s="12">
        <f t="shared" si="12"/>
        <v>3255</v>
      </c>
      <c r="AE42" s="10">
        <v>242.01646350980542</v>
      </c>
      <c r="AF42" s="10">
        <v>275.6032225455661</v>
      </c>
      <c r="AG42" s="10">
        <f t="shared" si="13"/>
        <v>226.01246390168981</v>
      </c>
      <c r="AH42" s="12">
        <v>2280.1980395160053</v>
      </c>
      <c r="AI42" s="25">
        <f t="shared" si="14"/>
        <v>-0.10000000000000009</v>
      </c>
      <c r="AJ42" s="27">
        <v>0.82521018642622157</v>
      </c>
      <c r="AK42" s="34">
        <f t="shared" si="15"/>
        <v>0.1322167531082149</v>
      </c>
      <c r="AL42" s="37">
        <f t="shared" si="16"/>
        <v>0.33203139035500245</v>
      </c>
      <c r="AM42" s="37">
        <f t="shared" si="17"/>
        <v>0.30233991490036133</v>
      </c>
      <c r="AN42" s="34">
        <f t="shared" si="18"/>
        <v>1.3221675310821503E-2</v>
      </c>
      <c r="AO42" s="34">
        <f t="shared" si="2"/>
        <v>3.3203139035500276E-2</v>
      </c>
      <c r="AP42" s="34">
        <f t="shared" si="3"/>
        <v>3.0233991490036159E-2</v>
      </c>
      <c r="AS42" s="43">
        <f t="shared" si="19"/>
        <v>1.5661585630152095</v>
      </c>
      <c r="AV42" s="43">
        <f t="shared" si="20"/>
        <v>-1.4230639602081823</v>
      </c>
      <c r="AY42" s="12">
        <f t="shared" si="21"/>
        <v>69618.03216766176</v>
      </c>
      <c r="AZ42" s="5">
        <f t="shared" si="22"/>
        <v>84364</v>
      </c>
    </row>
    <row r="43" spans="1:52" x14ac:dyDescent="0.2">
      <c r="A43" s="2">
        <v>36</v>
      </c>
      <c r="B43" s="2">
        <v>36</v>
      </c>
      <c r="C43" t="s">
        <v>40</v>
      </c>
      <c r="D43" s="5">
        <v>84353</v>
      </c>
      <c r="E43" s="3">
        <v>1.957467904933609E-3</v>
      </c>
      <c r="F43" s="3">
        <v>9.1840037002833594E-2</v>
      </c>
      <c r="G43" s="3"/>
      <c r="H43" s="12">
        <v>612</v>
      </c>
      <c r="I43" s="12">
        <v>42134</v>
      </c>
      <c r="J43" s="12">
        <v>21606</v>
      </c>
      <c r="K43" s="12">
        <v>39835</v>
      </c>
      <c r="L43" s="12">
        <v>20264</v>
      </c>
      <c r="M43" s="12">
        <f t="shared" si="4"/>
        <v>15781</v>
      </c>
      <c r="N43" s="10">
        <v>165.81044508597967</v>
      </c>
      <c r="O43" s="10">
        <v>174.08627023292519</v>
      </c>
      <c r="P43" s="10">
        <f t="shared" si="5"/>
        <v>156.89806286040175</v>
      </c>
      <c r="Q43" s="12">
        <v>628.18925187524678</v>
      </c>
      <c r="R43" s="25">
        <f t="shared" si="6"/>
        <v>-0.5</v>
      </c>
      <c r="S43" s="28">
        <v>0.63226408866915507</v>
      </c>
      <c r="T43" s="34">
        <f t="shared" si="7"/>
        <v>0.22441778436545515</v>
      </c>
      <c r="U43" s="37">
        <f t="shared" si="0"/>
        <v>0.35307434986110542</v>
      </c>
      <c r="V43" s="37">
        <f t="shared" si="8"/>
        <v>0.14072463173270883</v>
      </c>
      <c r="W43" s="34">
        <f t="shared" si="9"/>
        <v>0.11220889218272757</v>
      </c>
      <c r="X43" s="34">
        <f t="shared" si="10"/>
        <v>0.17653717493055271</v>
      </c>
      <c r="Y43" s="34">
        <f t="shared" si="11"/>
        <v>7.0362315866354413E-2</v>
      </c>
      <c r="Z43" s="14">
        <v>42219</v>
      </c>
      <c r="AA43" s="12">
        <v>25664</v>
      </c>
      <c r="AB43" s="12">
        <v>39850</v>
      </c>
      <c r="AC43" s="12">
        <v>24069</v>
      </c>
      <c r="AD43" s="12">
        <f t="shared" si="12"/>
        <v>19571</v>
      </c>
      <c r="AE43" s="10">
        <v>164.55607854454203</v>
      </c>
      <c r="AF43" s="10">
        <v>169.57710748265404</v>
      </c>
      <c r="AG43" s="10">
        <f t="shared" si="13"/>
        <v>157.24157682285033</v>
      </c>
      <c r="AH43" s="12">
        <v>618.648219701691</v>
      </c>
      <c r="AI43" s="25">
        <f t="shared" si="14"/>
        <v>-0.5</v>
      </c>
      <c r="AJ43" s="28">
        <v>0.39628967670407211</v>
      </c>
      <c r="AK43" s="34">
        <f t="shared" si="15"/>
        <v>0.17031020590245363</v>
      </c>
      <c r="AL43" s="37">
        <f t="shared" si="16"/>
        <v>0.26388205789513586</v>
      </c>
      <c r="AM43" s="37">
        <f t="shared" si="17"/>
        <v>0.1051660566587513</v>
      </c>
      <c r="AN43" s="34">
        <f t="shared" si="18"/>
        <v>8.5155102951226816E-2</v>
      </c>
      <c r="AO43" s="34">
        <f t="shared" si="2"/>
        <v>0.13194102894756793</v>
      </c>
      <c r="AP43" s="34">
        <f t="shared" si="3"/>
        <v>5.2583028329375649E-2</v>
      </c>
      <c r="AS43" s="43">
        <f t="shared" si="19"/>
        <v>0.92080356319740253</v>
      </c>
      <c r="AV43" s="43">
        <f t="shared" si="20"/>
        <v>-0.61232535931928189</v>
      </c>
      <c r="AY43" s="12">
        <f t="shared" si="21"/>
        <v>43370.768972755395</v>
      </c>
      <c r="AZ43" s="5">
        <f t="shared" si="22"/>
        <v>84353</v>
      </c>
    </row>
    <row r="44" spans="1:52" x14ac:dyDescent="0.2">
      <c r="A44" s="2">
        <v>37</v>
      </c>
      <c r="B44" s="2">
        <v>37</v>
      </c>
      <c r="C44" t="s">
        <v>41</v>
      </c>
      <c r="D44" s="5">
        <v>82893</v>
      </c>
      <c r="E44" s="3">
        <v>1.9235876263281881E-3</v>
      </c>
      <c r="F44" s="3">
        <v>9.3763624629161782E-2</v>
      </c>
      <c r="G44" s="3"/>
      <c r="H44" s="12">
        <v>1597</v>
      </c>
      <c r="I44" s="12">
        <v>41245</v>
      </c>
      <c r="J44" s="12">
        <v>33384</v>
      </c>
      <c r="K44" s="12">
        <v>38945</v>
      </c>
      <c r="L44" s="12">
        <v>31371</v>
      </c>
      <c r="M44" s="12">
        <f t="shared" si="4"/>
        <v>21404</v>
      </c>
      <c r="N44" s="10">
        <v>194.70201771729361</v>
      </c>
      <c r="O44" s="10">
        <v>197.92139204998247</v>
      </c>
      <c r="P44" s="10">
        <f t="shared" si="5"/>
        <v>195.04449542141654</v>
      </c>
      <c r="Q44" s="12">
        <v>1606.7621688820886</v>
      </c>
      <c r="R44" s="25">
        <f t="shared" si="6"/>
        <v>-0.10000000000000009</v>
      </c>
      <c r="S44" s="27">
        <v>0.90039577836411611</v>
      </c>
      <c r="T44" s="34">
        <f t="shared" si="7"/>
        <v>0.46706740159616467</v>
      </c>
      <c r="U44" s="37">
        <f t="shared" si="0"/>
        <v>0.86788546193853855</v>
      </c>
      <c r="V44" s="37">
        <f t="shared" si="8"/>
        <v>0.75182691730410434</v>
      </c>
      <c r="W44" s="34">
        <f t="shared" si="9"/>
        <v>4.6706740159616511E-2</v>
      </c>
      <c r="X44" s="34">
        <f t="shared" si="10"/>
        <v>8.6788546193853927E-2</v>
      </c>
      <c r="Y44" s="34">
        <f t="shared" si="11"/>
        <v>7.5182691730410506E-2</v>
      </c>
      <c r="Z44" s="14">
        <v>41648</v>
      </c>
      <c r="AA44" s="12">
        <v>19118</v>
      </c>
      <c r="AB44" s="12">
        <v>39176</v>
      </c>
      <c r="AC44" s="12">
        <v>17772</v>
      </c>
      <c r="AD44" s="12">
        <f t="shared" si="12"/>
        <v>7574</v>
      </c>
      <c r="AE44" s="10">
        <v>195.88460817847661</v>
      </c>
      <c r="AF44" s="10">
        <v>196.89641177132572</v>
      </c>
      <c r="AG44" s="10">
        <f t="shared" si="13"/>
        <v>181.36758515975706</v>
      </c>
      <c r="AH44" s="12">
        <v>1611.7934391177132</v>
      </c>
      <c r="AI44" s="25">
        <f t="shared" si="14"/>
        <v>-0.10000000000000009</v>
      </c>
      <c r="AJ44" s="27">
        <v>0.90039577836411611</v>
      </c>
      <c r="AK44" s="34">
        <f t="shared" si="15"/>
        <v>0.2243328414721015</v>
      </c>
      <c r="AL44" s="37">
        <f t="shared" si="16"/>
        <v>0.40728521352510261</v>
      </c>
      <c r="AM44" s="37">
        <f t="shared" si="17"/>
        <v>0.36225575208994404</v>
      </c>
      <c r="AN44" s="34">
        <f t="shared" si="18"/>
        <v>2.2433284147210169E-2</v>
      </c>
      <c r="AO44" s="34">
        <f t="shared" si="2"/>
        <v>4.0728521352510295E-2</v>
      </c>
      <c r="AP44" s="34">
        <f t="shared" si="3"/>
        <v>3.6225575208994436E-2</v>
      </c>
      <c r="AS44" s="43">
        <f t="shared" si="19"/>
        <v>1.3956637312006248</v>
      </c>
      <c r="AV44" s="43">
        <f t="shared" si="20"/>
        <v>-1.2681466636542604</v>
      </c>
      <c r="AY44" s="12">
        <f t="shared" si="21"/>
        <v>74636.507255936682</v>
      </c>
      <c r="AZ44" s="5">
        <f t="shared" si="22"/>
        <v>82893</v>
      </c>
    </row>
    <row r="45" spans="1:52" x14ac:dyDescent="0.2">
      <c r="A45" s="2">
        <v>38</v>
      </c>
      <c r="B45" s="2">
        <v>38</v>
      </c>
      <c r="C45" t="s">
        <v>42</v>
      </c>
      <c r="D45" s="5">
        <v>82741</v>
      </c>
      <c r="E45" s="3">
        <v>1.92006036444598E-3</v>
      </c>
      <c r="F45" s="3">
        <v>9.5683684993607757E-2</v>
      </c>
      <c r="G45" s="3"/>
      <c r="H45" s="12">
        <v>2419</v>
      </c>
      <c r="I45" s="12">
        <v>41512</v>
      </c>
      <c r="J45" s="12">
        <v>25729</v>
      </c>
      <c r="K45" s="12">
        <v>38191</v>
      </c>
      <c r="L45" s="12">
        <v>23604</v>
      </c>
      <c r="M45" s="12">
        <f t="shared" si="4"/>
        <v>16813</v>
      </c>
      <c r="N45" s="10">
        <v>296.66513759786335</v>
      </c>
      <c r="O45" s="10">
        <v>300.34498051177764</v>
      </c>
      <c r="P45" s="10">
        <f t="shared" si="5"/>
        <v>276.12415035984066</v>
      </c>
      <c r="Q45" s="12">
        <v>2447.953779020505</v>
      </c>
      <c r="R45" s="25">
        <f t="shared" si="6"/>
        <v>-0.10000000000000009</v>
      </c>
      <c r="S45" s="27">
        <v>0.5</v>
      </c>
      <c r="T45" s="34">
        <f t="shared" si="7"/>
        <v>0.1984433679873486</v>
      </c>
      <c r="U45" s="37">
        <f t="shared" si="0"/>
        <v>0.54451662354126207</v>
      </c>
      <c r="V45" s="37">
        <f t="shared" si="8"/>
        <v>0.4872072257973476</v>
      </c>
      <c r="W45" s="34">
        <f t="shared" si="9"/>
        <v>1.9844336798734877E-2</v>
      </c>
      <c r="X45" s="34">
        <f t="shared" si="10"/>
        <v>5.4451662354126254E-2</v>
      </c>
      <c r="Y45" s="34">
        <f t="shared" si="11"/>
        <v>4.8720722579734803E-2</v>
      </c>
      <c r="Z45" s="14">
        <v>41229</v>
      </c>
      <c r="AA45" s="12">
        <v>22981</v>
      </c>
      <c r="AB45" s="12">
        <v>38048</v>
      </c>
      <c r="AC45" s="12">
        <v>21235</v>
      </c>
      <c r="AD45" s="12">
        <f t="shared" si="12"/>
        <v>14587</v>
      </c>
      <c r="AE45" s="10">
        <v>295.9026763561817</v>
      </c>
      <c r="AF45" s="10">
        <v>311.56250011773017</v>
      </c>
      <c r="AG45" s="10">
        <f t="shared" si="13"/>
        <v>290.71058819496818</v>
      </c>
      <c r="AH45" s="12">
        <v>2446.4888627266305</v>
      </c>
      <c r="AI45" s="25">
        <f t="shared" si="14"/>
        <v>-0.10000000000000009</v>
      </c>
      <c r="AJ45" s="27">
        <v>0.45161290322580644</v>
      </c>
      <c r="AK45" s="34">
        <f t="shared" si="15"/>
        <v>0.15884777430826508</v>
      </c>
      <c r="AL45" s="37">
        <f t="shared" si="16"/>
        <v>0.45513160272841541</v>
      </c>
      <c r="AM45" s="37">
        <f t="shared" si="17"/>
        <v>0.38971065245500613</v>
      </c>
      <c r="AN45" s="34">
        <f t="shared" si="18"/>
        <v>1.5884777430826523E-2</v>
      </c>
      <c r="AO45" s="34">
        <f t="shared" si="2"/>
        <v>4.551316027284158E-2</v>
      </c>
      <c r="AP45" s="34">
        <f t="shared" si="3"/>
        <v>3.8971065245500647E-2</v>
      </c>
      <c r="AS45" s="43">
        <f t="shared" si="19"/>
        <v>1.0941066950558216</v>
      </c>
      <c r="AV45" s="43">
        <f t="shared" si="20"/>
        <v>-0.99414187242885388</v>
      </c>
      <c r="AY45" s="12">
        <f t="shared" si="21"/>
        <v>39375.548387096773</v>
      </c>
      <c r="AZ45" s="5">
        <f t="shared" si="22"/>
        <v>82741</v>
      </c>
    </row>
    <row r="46" spans="1:52" x14ac:dyDescent="0.2">
      <c r="A46" s="2">
        <v>39</v>
      </c>
      <c r="B46" s="2">
        <v>39</v>
      </c>
      <c r="C46" t="s">
        <v>43</v>
      </c>
      <c r="D46" s="5">
        <v>82557</v>
      </c>
      <c r="E46" s="3">
        <v>1.9157905211148857E-3</v>
      </c>
      <c r="F46" s="3">
        <v>9.7599475514722644E-2</v>
      </c>
      <c r="G46" s="3"/>
      <c r="H46" s="12">
        <v>957</v>
      </c>
      <c r="I46" s="12">
        <v>41276</v>
      </c>
      <c r="J46" s="12">
        <v>35525</v>
      </c>
      <c r="K46" s="12">
        <v>39689</v>
      </c>
      <c r="L46" s="12">
        <v>34201</v>
      </c>
      <c r="M46" s="12">
        <f t="shared" si="4"/>
        <v>29404</v>
      </c>
      <c r="N46" s="10">
        <v>122.41227821310692</v>
      </c>
      <c r="O46" s="10">
        <v>122.85736586649517</v>
      </c>
      <c r="P46" s="10">
        <f t="shared" si="5"/>
        <v>121.3012175214257</v>
      </c>
      <c r="Q46" s="12">
        <v>969.24587000380109</v>
      </c>
      <c r="R46" s="25">
        <f t="shared" si="6"/>
        <v>-0.5</v>
      </c>
      <c r="S46" s="28">
        <v>0.8</v>
      </c>
      <c r="T46" s="34">
        <f t="shared" si="7"/>
        <v>0.50193768463303567</v>
      </c>
      <c r="U46" s="37">
        <f t="shared" si="0"/>
        <v>0.57807097458606416</v>
      </c>
      <c r="V46" s="37">
        <f t="shared" si="8"/>
        <v>0.48640273034458092</v>
      </c>
      <c r="W46" s="34">
        <f t="shared" si="9"/>
        <v>0.25096884231651784</v>
      </c>
      <c r="X46" s="34">
        <f t="shared" si="10"/>
        <v>0.28903548729303208</v>
      </c>
      <c r="Y46" s="34">
        <f t="shared" si="11"/>
        <v>0.24320136517229046</v>
      </c>
      <c r="Z46" s="14">
        <v>41281</v>
      </c>
      <c r="AA46" s="12">
        <v>10652</v>
      </c>
      <c r="AB46" s="12">
        <v>39704</v>
      </c>
      <c r="AC46" s="12">
        <v>10300</v>
      </c>
      <c r="AD46" s="12">
        <f t="shared" si="12"/>
        <v>5488</v>
      </c>
      <c r="AE46" s="10">
        <v>123.12804276647194</v>
      </c>
      <c r="AF46" s="10">
        <v>128.34318543689321</v>
      </c>
      <c r="AG46" s="10">
        <f t="shared" si="13"/>
        <v>119.63850947521843</v>
      </c>
      <c r="AH46" s="12">
        <v>978.29436893203888</v>
      </c>
      <c r="AI46" s="25">
        <f t="shared" si="14"/>
        <v>-0.5</v>
      </c>
      <c r="AJ46" s="28">
        <v>0.73419473182185035</v>
      </c>
      <c r="AK46" s="34">
        <f t="shared" si="15"/>
        <v>0.11432404014696887</v>
      </c>
      <c r="AL46" s="37">
        <f t="shared" si="16"/>
        <v>0.13511355899650596</v>
      </c>
      <c r="AM46" s="37">
        <f t="shared" si="17"/>
        <v>0.11182700524661772</v>
      </c>
      <c r="AN46" s="34">
        <f t="shared" si="18"/>
        <v>5.7162020073484435E-2</v>
      </c>
      <c r="AO46" s="34">
        <f t="shared" si="2"/>
        <v>6.7556779498252978E-2</v>
      </c>
      <c r="AP46" s="34">
        <f t="shared" si="3"/>
        <v>5.591350262330886E-2</v>
      </c>
      <c r="AS46" s="43">
        <f t="shared" si="19"/>
        <v>1.0644234365413554</v>
      </c>
      <c r="AV46" s="43">
        <f t="shared" si="20"/>
        <v>-0.70783116975007043</v>
      </c>
      <c r="AY46" s="12">
        <f t="shared" si="21"/>
        <v>63329.09272433781</v>
      </c>
      <c r="AZ46" s="5">
        <f t="shared" si="22"/>
        <v>82557</v>
      </c>
    </row>
    <row r="47" spans="1:52" x14ac:dyDescent="0.2">
      <c r="A47" s="2">
        <v>40</v>
      </c>
      <c r="B47" s="2">
        <v>40</v>
      </c>
      <c r="C47" t="s">
        <v>44</v>
      </c>
      <c r="D47" s="5">
        <v>82499</v>
      </c>
      <c r="E47" s="3">
        <v>1.9144445922387801E-3</v>
      </c>
      <c r="F47" s="3">
        <v>9.9513920106961418E-2</v>
      </c>
      <c r="G47" s="3"/>
      <c r="H47" s="12">
        <v>1389</v>
      </c>
      <c r="I47" s="12">
        <v>41238</v>
      </c>
      <c r="J47" s="12">
        <v>27218</v>
      </c>
      <c r="K47" s="12">
        <v>36364</v>
      </c>
      <c r="L47" s="12">
        <v>23594</v>
      </c>
      <c r="M47" s="12">
        <f t="shared" si="4"/>
        <v>18726</v>
      </c>
      <c r="N47" s="10">
        <v>302.42190958090418</v>
      </c>
      <c r="O47" s="10">
        <v>296.28936339747395</v>
      </c>
      <c r="P47" s="10">
        <f t="shared" si="5"/>
        <v>273.31774644878777</v>
      </c>
      <c r="Q47" s="12">
        <v>1414.3421632618463</v>
      </c>
      <c r="R47" s="25">
        <f t="shared" si="6"/>
        <v>-0.5</v>
      </c>
      <c r="S47" s="27">
        <v>0.69130767269946469</v>
      </c>
      <c r="T47" s="34">
        <f t="shared" si="7"/>
        <v>0.28751175553358582</v>
      </c>
      <c r="U47" s="37">
        <f t="shared" si="0"/>
        <v>0.77861303810464499</v>
      </c>
      <c r="V47" s="37">
        <f t="shared" si="8"/>
        <v>0.40711181011370962</v>
      </c>
      <c r="W47" s="34">
        <f t="shared" si="9"/>
        <v>0.14375587776679291</v>
      </c>
      <c r="X47" s="34">
        <f t="shared" si="10"/>
        <v>0.3893065190523225</v>
      </c>
      <c r="Y47" s="34">
        <f t="shared" si="11"/>
        <v>0.20355590505685481</v>
      </c>
      <c r="Z47" s="14">
        <v>41261</v>
      </c>
      <c r="AA47" s="12">
        <v>19640</v>
      </c>
      <c r="AB47" s="12">
        <v>36350</v>
      </c>
      <c r="AC47" s="12">
        <v>17624</v>
      </c>
      <c r="AD47" s="12">
        <f t="shared" si="12"/>
        <v>12770</v>
      </c>
      <c r="AE47" s="10">
        <v>301.3426778541953</v>
      </c>
      <c r="AF47" s="10">
        <v>331.11996255106669</v>
      </c>
      <c r="AG47" s="10">
        <f t="shared" si="13"/>
        <v>313.75247298355521</v>
      </c>
      <c r="AH47" s="12">
        <v>1431.8381184748071</v>
      </c>
      <c r="AI47" s="25">
        <f t="shared" si="14"/>
        <v>-0.5</v>
      </c>
      <c r="AJ47" s="27">
        <v>0.69130767269946469</v>
      </c>
      <c r="AK47" s="34">
        <f t="shared" si="15"/>
        <v>0.20642175777984512</v>
      </c>
      <c r="AL47" s="37">
        <f t="shared" si="16"/>
        <v>0.63287244280686328</v>
      </c>
      <c r="AM47" s="37">
        <f t="shared" si="17"/>
        <v>0.29587790006330184</v>
      </c>
      <c r="AN47" s="34">
        <f t="shared" si="18"/>
        <v>0.10321087888992256</v>
      </c>
      <c r="AO47" s="34">
        <f t="shared" si="2"/>
        <v>0.31643622140343164</v>
      </c>
      <c r="AP47" s="34">
        <f t="shared" si="3"/>
        <v>0.14793895003165092</v>
      </c>
      <c r="AS47" s="43">
        <f t="shared" si="19"/>
        <v>2.1066332140896189</v>
      </c>
      <c r="AV47" s="43">
        <f t="shared" si="20"/>
        <v>-1.4008904736338648</v>
      </c>
      <c r="AY47" s="12">
        <f t="shared" si="21"/>
        <v>57032.191690033142</v>
      </c>
      <c r="AZ47" s="5">
        <f t="shared" si="22"/>
        <v>82499</v>
      </c>
    </row>
    <row r="48" spans="1:52" x14ac:dyDescent="0.2">
      <c r="A48" s="2">
        <v>41</v>
      </c>
      <c r="B48" s="2">
        <v>41</v>
      </c>
      <c r="C48" t="s">
        <v>45</v>
      </c>
      <c r="D48" s="5">
        <v>81531</v>
      </c>
      <c r="E48" s="3">
        <v>1.8919815034099804E-3</v>
      </c>
      <c r="F48" s="3">
        <v>0.1014059016103714</v>
      </c>
      <c r="G48" s="3"/>
      <c r="H48" s="12">
        <v>1065</v>
      </c>
      <c r="I48" s="12">
        <v>40479</v>
      </c>
      <c r="J48" s="12">
        <v>32252</v>
      </c>
      <c r="K48" s="12">
        <v>37798</v>
      </c>
      <c r="L48" s="12">
        <v>30105</v>
      </c>
      <c r="M48" s="12">
        <f t="shared" si="4"/>
        <v>23805</v>
      </c>
      <c r="N48" s="10">
        <v>167.768129530663</v>
      </c>
      <c r="O48" s="10">
        <v>172.21828300946686</v>
      </c>
      <c r="P48" s="10">
        <f t="shared" si="5"/>
        <v>164.06734971644613</v>
      </c>
      <c r="Q48" s="12">
        <v>1068.1107125062283</v>
      </c>
      <c r="R48" s="25">
        <f t="shared" si="6"/>
        <v>-0.5</v>
      </c>
      <c r="S48" s="27">
        <v>0.82010257733621483</v>
      </c>
      <c r="T48" s="34">
        <f t="shared" si="7"/>
        <v>0.43533277027748163</v>
      </c>
      <c r="U48" s="37">
        <f t="shared" si="0"/>
        <v>0.69341533015607282</v>
      </c>
      <c r="V48" s="37">
        <f t="shared" si="8"/>
        <v>0.46513414625640137</v>
      </c>
      <c r="W48" s="34">
        <f t="shared" si="9"/>
        <v>0.21766638513874081</v>
      </c>
      <c r="X48" s="34">
        <f t="shared" si="10"/>
        <v>0.34670766507803641</v>
      </c>
      <c r="Y48" s="34">
        <f t="shared" si="11"/>
        <v>0.23256707312820069</v>
      </c>
      <c r="Z48" s="14">
        <v>41052</v>
      </c>
      <c r="AA48" s="12">
        <v>15546</v>
      </c>
      <c r="AB48" s="12">
        <v>38224</v>
      </c>
      <c r="AC48" s="12">
        <v>14419</v>
      </c>
      <c r="AD48" s="12">
        <f t="shared" si="12"/>
        <v>7693</v>
      </c>
      <c r="AE48" s="10">
        <v>171.14315142318964</v>
      </c>
      <c r="AF48" s="10">
        <v>182.82492267147515</v>
      </c>
      <c r="AG48" s="10">
        <f t="shared" si="13"/>
        <v>150.35335369816713</v>
      </c>
      <c r="AH48" s="12">
        <v>1073.8201678341077</v>
      </c>
      <c r="AI48" s="25">
        <f t="shared" si="14"/>
        <v>-0.5</v>
      </c>
      <c r="AJ48" s="27">
        <v>0.82010257733621483</v>
      </c>
      <c r="AK48" s="34">
        <f t="shared" si="15"/>
        <v>0.17855072584802539</v>
      </c>
      <c r="AL48" s="37">
        <f t="shared" si="16"/>
        <v>0.28932084512550915</v>
      </c>
      <c r="AM48" s="37">
        <f t="shared" si="17"/>
        <v>0.19179805284458723</v>
      </c>
      <c r="AN48" s="34">
        <f t="shared" si="18"/>
        <v>8.9275362924012697E-2</v>
      </c>
      <c r="AO48" s="34">
        <f t="shared" si="2"/>
        <v>0.14466042256275458</v>
      </c>
      <c r="AP48" s="34">
        <f t="shared" si="3"/>
        <v>9.5899026422293615E-2</v>
      </c>
      <c r="AS48" s="43">
        <f t="shared" si="19"/>
        <v>1.4667275686028622</v>
      </c>
      <c r="AV48" s="43">
        <f t="shared" si="20"/>
        <v>-0.97535948096207126</v>
      </c>
      <c r="AY48" s="12">
        <f t="shared" si="21"/>
        <v>66863.783232798931</v>
      </c>
      <c r="AZ48" s="5">
        <f t="shared" si="22"/>
        <v>81531</v>
      </c>
    </row>
    <row r="49" spans="1:52" x14ac:dyDescent="0.2">
      <c r="A49" s="2">
        <v>42</v>
      </c>
      <c r="B49" s="2">
        <v>42</v>
      </c>
      <c r="C49" t="s">
        <v>46</v>
      </c>
      <c r="D49" s="5">
        <v>80595</v>
      </c>
      <c r="E49" s="3">
        <v>1.8702609960300667E-3</v>
      </c>
      <c r="F49" s="3">
        <v>0.10327616260640146</v>
      </c>
      <c r="G49" s="3"/>
      <c r="H49" s="12">
        <v>787</v>
      </c>
      <c r="I49" s="12">
        <v>40094</v>
      </c>
      <c r="J49" s="12">
        <v>34302</v>
      </c>
      <c r="K49" s="12">
        <v>38600</v>
      </c>
      <c r="L49" s="12">
        <v>33020</v>
      </c>
      <c r="M49" s="12">
        <f t="shared" si="4"/>
        <v>25587</v>
      </c>
      <c r="N49" s="10">
        <v>125.11669507772019</v>
      </c>
      <c r="O49" s="10">
        <v>125.12985857056329</v>
      </c>
      <c r="P49" s="10">
        <f t="shared" si="5"/>
        <v>122.39251807558526</v>
      </c>
      <c r="Q49" s="12">
        <v>798.92801332525744</v>
      </c>
      <c r="R49" s="25">
        <f t="shared" si="6"/>
        <v>-0.5</v>
      </c>
      <c r="S49" s="28">
        <v>0.8</v>
      </c>
      <c r="T49" s="34">
        <f t="shared" si="7"/>
        <v>0.46245224327022127</v>
      </c>
      <c r="U49" s="37">
        <f t="shared" si="0"/>
        <v>0.54048278823892748</v>
      </c>
      <c r="V49" s="37">
        <f t="shared" si="8"/>
        <v>0.36898566286696205</v>
      </c>
      <c r="W49" s="34">
        <f t="shared" si="9"/>
        <v>0.23122612163511064</v>
      </c>
      <c r="X49" s="34">
        <f t="shared" si="10"/>
        <v>0.27024139411946374</v>
      </c>
      <c r="Y49" s="34">
        <f t="shared" si="11"/>
        <v>0.18449283143348102</v>
      </c>
      <c r="Z49" s="14">
        <v>40501</v>
      </c>
      <c r="AA49" s="12">
        <v>14019</v>
      </c>
      <c r="AB49" s="12">
        <v>39059</v>
      </c>
      <c r="AC49" s="12">
        <v>13472</v>
      </c>
      <c r="AD49" s="12">
        <f t="shared" si="12"/>
        <v>5580</v>
      </c>
      <c r="AE49" s="10">
        <v>127.01043011853861</v>
      </c>
      <c r="AF49" s="10">
        <v>135.78110377078383</v>
      </c>
      <c r="AG49" s="10">
        <f t="shared" si="13"/>
        <v>125.03879928315412</v>
      </c>
      <c r="AH49" s="12">
        <v>804.00103919239905</v>
      </c>
      <c r="AI49" s="25">
        <f t="shared" si="14"/>
        <v>-0.5</v>
      </c>
      <c r="AJ49" s="28">
        <v>0.53721497584541056</v>
      </c>
      <c r="AK49" s="34">
        <f t="shared" si="15"/>
        <v>0.10091020070393571</v>
      </c>
      <c r="AL49" s="37">
        <f t="shared" si="16"/>
        <v>0.12626867092492761</v>
      </c>
      <c r="AM49" s="37">
        <f t="shared" si="17"/>
        <v>8.1035734431954165E-2</v>
      </c>
      <c r="AN49" s="34">
        <f t="shared" si="18"/>
        <v>5.0455100351967853E-2</v>
      </c>
      <c r="AO49" s="34">
        <f t="shared" si="2"/>
        <v>6.3134335462463803E-2</v>
      </c>
      <c r="AP49" s="34">
        <f t="shared" si="3"/>
        <v>4.0517867215977083E-2</v>
      </c>
      <c r="AS49" s="43">
        <f t="shared" si="19"/>
        <v>0.99512236463830528</v>
      </c>
      <c r="AV49" s="43">
        <f t="shared" si="20"/>
        <v>-0.66174663505637765</v>
      </c>
      <c r="AY49" s="12">
        <f t="shared" si="21"/>
        <v>53832.943736714973</v>
      </c>
      <c r="AZ49" s="5">
        <f t="shared" si="22"/>
        <v>80595</v>
      </c>
    </row>
    <row r="50" spans="1:52" x14ac:dyDescent="0.2">
      <c r="A50" s="2">
        <v>43</v>
      </c>
      <c r="B50" s="2">
        <v>43</v>
      </c>
      <c r="C50" t="s">
        <v>47</v>
      </c>
      <c r="D50" s="5">
        <v>80069</v>
      </c>
      <c r="E50" s="3">
        <v>1.8580548134640041E-3</v>
      </c>
      <c r="F50" s="3">
        <v>0.10513421741986546</v>
      </c>
      <c r="G50" s="3"/>
      <c r="H50" s="12">
        <v>866</v>
      </c>
      <c r="I50" s="12">
        <v>40289</v>
      </c>
      <c r="J50" s="12">
        <v>10198</v>
      </c>
      <c r="K50" s="12">
        <v>38190</v>
      </c>
      <c r="L50" s="12">
        <v>9463</v>
      </c>
      <c r="M50" s="12">
        <f t="shared" si="4"/>
        <v>4053</v>
      </c>
      <c r="N50" s="10">
        <v>149.83072741555381</v>
      </c>
      <c r="O50" s="10">
        <v>174.70507555743421</v>
      </c>
      <c r="P50" s="10">
        <f t="shared" si="5"/>
        <v>154.28961263261755</v>
      </c>
      <c r="Q50" s="12">
        <v>899.95403149107051</v>
      </c>
      <c r="R50" s="25">
        <f t="shared" si="6"/>
        <v>-0.5</v>
      </c>
      <c r="S50" s="28">
        <v>0.60872930407861092</v>
      </c>
      <c r="T50" s="34">
        <f t="shared" si="7"/>
        <v>8.1014399226959827E-2</v>
      </c>
      <c r="U50" s="37">
        <f t="shared" si="0"/>
        <v>0.12901368571445568</v>
      </c>
      <c r="V50" s="37">
        <f t="shared" si="8"/>
        <v>7.2874490084942192E-2</v>
      </c>
      <c r="W50" s="34">
        <f t="shared" si="9"/>
        <v>4.0507199613479913E-2</v>
      </c>
      <c r="X50" s="34">
        <f t="shared" si="10"/>
        <v>6.4506842857227839E-2</v>
      </c>
      <c r="Y50" s="34">
        <f t="shared" si="11"/>
        <v>3.6437245042471096E-2</v>
      </c>
      <c r="Z50" s="14">
        <v>39780</v>
      </c>
      <c r="AA50" s="12">
        <v>35422</v>
      </c>
      <c r="AB50" s="12">
        <v>37650</v>
      </c>
      <c r="AC50" s="12">
        <v>33597</v>
      </c>
      <c r="AD50" s="12">
        <f t="shared" si="12"/>
        <v>28727</v>
      </c>
      <c r="AE50" s="10">
        <v>147.72035298804778</v>
      </c>
      <c r="AF50" s="10">
        <v>146.92786528559097</v>
      </c>
      <c r="AG50" s="10">
        <f t="shared" si="13"/>
        <v>141.63683468513943</v>
      </c>
      <c r="AH50" s="12">
        <v>886.68000119058252</v>
      </c>
      <c r="AI50" s="25">
        <f t="shared" si="14"/>
        <v>-0.5</v>
      </c>
      <c r="AJ50" s="28">
        <v>0.68777595093384569</v>
      </c>
      <c r="AK50" s="34">
        <f t="shared" si="15"/>
        <v>0.42240629415180575</v>
      </c>
      <c r="AL50" s="37">
        <f t="shared" si="16"/>
        <v>0.5760849297655779</v>
      </c>
      <c r="AM50" s="37">
        <f t="shared" si="17"/>
        <v>0.37430383900644049</v>
      </c>
      <c r="AN50" s="34">
        <f t="shared" si="18"/>
        <v>0.21120314707590288</v>
      </c>
      <c r="AO50" s="34">
        <f t="shared" si="2"/>
        <v>0.28804246488278895</v>
      </c>
      <c r="AP50" s="34">
        <f t="shared" si="3"/>
        <v>0.18715191950322024</v>
      </c>
      <c r="AS50" s="43">
        <f t="shared" si="19"/>
        <v>1.0523552545645833</v>
      </c>
      <c r="AV50" s="43">
        <f t="shared" si="20"/>
        <v>-0.69980594682456654</v>
      </c>
      <c r="AY50" s="12">
        <f t="shared" si="21"/>
        <v>51884.822260171539</v>
      </c>
      <c r="AZ50" s="5">
        <f t="shared" si="22"/>
        <v>80069</v>
      </c>
    </row>
    <row r="51" spans="1:52" x14ac:dyDescent="0.2">
      <c r="A51" s="2">
        <v>44</v>
      </c>
      <c r="B51" s="2">
        <v>44</v>
      </c>
      <c r="C51" t="s">
        <v>48</v>
      </c>
      <c r="D51" s="5">
        <v>79749</v>
      </c>
      <c r="E51" s="3">
        <v>1.8506289989751448E-3</v>
      </c>
      <c r="F51" s="3">
        <v>0.10698484641884061</v>
      </c>
      <c r="G51" s="3"/>
      <c r="H51" s="12">
        <v>1097</v>
      </c>
      <c r="I51" s="12">
        <v>39984</v>
      </c>
      <c r="J51" s="12">
        <v>27360</v>
      </c>
      <c r="K51" s="12">
        <v>37432</v>
      </c>
      <c r="L51" s="12">
        <v>25481</v>
      </c>
      <c r="M51" s="12">
        <f t="shared" si="4"/>
        <v>18491</v>
      </c>
      <c r="N51" s="10">
        <v>168.64645971361401</v>
      </c>
      <c r="O51" s="10">
        <v>174.10328990228012</v>
      </c>
      <c r="P51" s="10">
        <f t="shared" si="5"/>
        <v>160.91567897896272</v>
      </c>
      <c r="Q51" s="12">
        <v>1116.8708841882187</v>
      </c>
      <c r="R51" s="25">
        <f t="shared" si="6"/>
        <v>-0.5</v>
      </c>
      <c r="S51" s="27">
        <v>0.76950407105847529</v>
      </c>
      <c r="T51" s="34">
        <f t="shared" si="7"/>
        <v>0.33317597718482994</v>
      </c>
      <c r="U51" s="37">
        <f t="shared" si="0"/>
        <v>0.53049936127198971</v>
      </c>
      <c r="V51" s="37">
        <f t="shared" si="8"/>
        <v>0.37232160822588972</v>
      </c>
      <c r="W51" s="34">
        <f t="shared" si="9"/>
        <v>0.16658798859241497</v>
      </c>
      <c r="X51" s="34">
        <f t="shared" si="10"/>
        <v>0.26524968063599486</v>
      </c>
      <c r="Y51" s="34">
        <f t="shared" si="11"/>
        <v>0.18616080411294486</v>
      </c>
      <c r="Z51" s="14">
        <v>39765</v>
      </c>
      <c r="AA51" s="12">
        <v>20059</v>
      </c>
      <c r="AB51" s="12">
        <v>37155</v>
      </c>
      <c r="AC51" s="12">
        <v>18664</v>
      </c>
      <c r="AD51" s="12">
        <f t="shared" si="12"/>
        <v>11951</v>
      </c>
      <c r="AE51" s="10">
        <v>169.4681496433858</v>
      </c>
      <c r="AF51" s="10">
        <v>177.94134590655807</v>
      </c>
      <c r="AG51" s="10">
        <f t="shared" si="13"/>
        <v>157.01182746213703</v>
      </c>
      <c r="AH51" s="12">
        <v>1109.6756322331762</v>
      </c>
      <c r="AI51" s="25">
        <f t="shared" si="14"/>
        <v>-0.5</v>
      </c>
      <c r="AJ51" s="27">
        <v>0.76950407105847529</v>
      </c>
      <c r="AK51" s="34">
        <f t="shared" si="15"/>
        <v>0.23196449882843084</v>
      </c>
      <c r="AL51" s="37">
        <f t="shared" si="16"/>
        <v>0.37201328066883754</v>
      </c>
      <c r="AM51" s="37">
        <f t="shared" si="17"/>
        <v>0.25753909368726213</v>
      </c>
      <c r="AN51" s="34">
        <f t="shared" si="18"/>
        <v>0.11598224941421542</v>
      </c>
      <c r="AO51" s="34">
        <f t="shared" si="2"/>
        <v>0.18600664033441877</v>
      </c>
      <c r="AP51" s="34">
        <f t="shared" si="3"/>
        <v>0.12876954684363107</v>
      </c>
      <c r="AS51" s="43">
        <f t="shared" si="19"/>
        <v>1.3469944490116343</v>
      </c>
      <c r="AV51" s="43">
        <f t="shared" si="20"/>
        <v>-0.89573812804122055</v>
      </c>
      <c r="AY51" s="12">
        <f t="shared" si="21"/>
        <v>61367.180162842342</v>
      </c>
      <c r="AZ51" s="5">
        <f t="shared" si="22"/>
        <v>79749</v>
      </c>
    </row>
    <row r="52" spans="1:52" x14ac:dyDescent="0.2">
      <c r="A52" s="2">
        <v>45</v>
      </c>
      <c r="B52" s="2">
        <v>45</v>
      </c>
      <c r="C52" t="s">
        <v>49</v>
      </c>
      <c r="D52" s="5">
        <v>79328</v>
      </c>
      <c r="E52" s="3">
        <v>1.8408594117882392E-3</v>
      </c>
      <c r="F52" s="3">
        <v>0.10882570583062885</v>
      </c>
      <c r="G52" s="3"/>
      <c r="H52" s="12">
        <v>325</v>
      </c>
      <c r="I52" s="12">
        <v>39643</v>
      </c>
      <c r="J52" s="12">
        <v>24783</v>
      </c>
      <c r="K52" s="12">
        <v>38104</v>
      </c>
      <c r="L52" s="12">
        <v>23793</v>
      </c>
      <c r="M52" s="12">
        <f t="shared" si="4"/>
        <v>14918</v>
      </c>
      <c r="N52" s="10">
        <v>116.36034589544406</v>
      </c>
      <c r="O52" s="10">
        <v>118.79170764510575</v>
      </c>
      <c r="P52" s="10">
        <f t="shared" si="5"/>
        <v>112.76797559994638</v>
      </c>
      <c r="Q52" s="12">
        <v>325.38154078930779</v>
      </c>
      <c r="R52" s="25">
        <f t="shared" si="6"/>
        <v>-0.5</v>
      </c>
      <c r="S52" s="27">
        <v>0.46663504111321952</v>
      </c>
      <c r="T52" s="34">
        <f t="shared" si="7"/>
        <v>0.17824650091591929</v>
      </c>
      <c r="U52" s="37">
        <f t="shared" si="0"/>
        <v>0.19569347028979486</v>
      </c>
      <c r="V52" s="37">
        <f t="shared" si="8"/>
        <v>5.7729613940320307E-2</v>
      </c>
      <c r="W52" s="34">
        <f t="shared" si="9"/>
        <v>8.9123250457959644E-2</v>
      </c>
      <c r="X52" s="34">
        <f t="shared" si="10"/>
        <v>9.7846735144897432E-2</v>
      </c>
      <c r="Y52" s="34">
        <f t="shared" si="11"/>
        <v>2.8864806970160153E-2</v>
      </c>
      <c r="Z52" s="14">
        <v>39685</v>
      </c>
      <c r="AA52" s="12">
        <v>24237</v>
      </c>
      <c r="AB52" s="12">
        <v>38125</v>
      </c>
      <c r="AC52" s="12">
        <v>23207</v>
      </c>
      <c r="AD52" s="12">
        <f t="shared" si="12"/>
        <v>14311</v>
      </c>
      <c r="AE52" s="10">
        <v>116.28108432786885</v>
      </c>
      <c r="AF52" s="10">
        <v>118.53939242469943</v>
      </c>
      <c r="AG52" s="10">
        <f t="shared" si="13"/>
        <v>112.3180434630703</v>
      </c>
      <c r="AH52" s="12">
        <v>325.35041151376743</v>
      </c>
      <c r="AI52" s="25">
        <f t="shared" si="14"/>
        <v>-0.5</v>
      </c>
      <c r="AJ52" s="27">
        <v>0.48824896694214875</v>
      </c>
      <c r="AK52" s="34">
        <f t="shared" si="15"/>
        <v>0.1807583057355118</v>
      </c>
      <c r="AL52" s="37">
        <f t="shared" si="16"/>
        <v>0.19792943109797198</v>
      </c>
      <c r="AM52" s="37">
        <f t="shared" si="17"/>
        <v>5.8536784562972038E-2</v>
      </c>
      <c r="AN52" s="34">
        <f t="shared" si="18"/>
        <v>9.0379152867755899E-2</v>
      </c>
      <c r="AO52" s="34">
        <f t="shared" si="2"/>
        <v>9.896471554898599E-2</v>
      </c>
      <c r="AP52" s="34">
        <f t="shared" si="3"/>
        <v>2.9268392281486019E-2</v>
      </c>
      <c r="AS52" s="43">
        <f t="shared" si="19"/>
        <v>0.58747970779996961</v>
      </c>
      <c r="AV52" s="43">
        <f t="shared" si="20"/>
        <v>-0.39066825710608616</v>
      </c>
      <c r="AY52" s="12">
        <f t="shared" si="21"/>
        <v>37874.973187950534</v>
      </c>
      <c r="AZ52" s="5">
        <f t="shared" si="22"/>
        <v>79328</v>
      </c>
    </row>
    <row r="53" spans="1:52" x14ac:dyDescent="0.2">
      <c r="A53" s="2">
        <v>46</v>
      </c>
      <c r="B53" s="2">
        <v>46</v>
      </c>
      <c r="C53" t="s">
        <v>50</v>
      </c>
      <c r="D53" s="5">
        <v>79143</v>
      </c>
      <c r="E53" s="3">
        <v>1.8365663627868674E-3</v>
      </c>
      <c r="F53" s="3">
        <v>0.11066227219341572</v>
      </c>
      <c r="G53" s="3"/>
      <c r="H53" s="12">
        <v>1069</v>
      </c>
      <c r="I53" s="12">
        <v>40020</v>
      </c>
      <c r="J53" s="12">
        <v>19986</v>
      </c>
      <c r="K53" s="12">
        <v>36873</v>
      </c>
      <c r="L53" s="12">
        <v>18029</v>
      </c>
      <c r="M53" s="12">
        <f t="shared" si="4"/>
        <v>8164</v>
      </c>
      <c r="N53" s="10">
        <v>153.28924931521709</v>
      </c>
      <c r="O53" s="10">
        <v>155.68617449664424</v>
      </c>
      <c r="P53" s="10">
        <f t="shared" si="5"/>
        <v>130.27698432141105</v>
      </c>
      <c r="Q53" s="12">
        <v>1073.1779355482834</v>
      </c>
      <c r="R53" s="25">
        <f t="shared" si="6"/>
        <v>-0.5</v>
      </c>
      <c r="S53" s="27">
        <v>0.83604777415852338</v>
      </c>
      <c r="T53" s="34">
        <f t="shared" si="7"/>
        <v>0.21577760122011092</v>
      </c>
      <c r="U53" s="37">
        <f t="shared" si="0"/>
        <v>0.30098265554192971</v>
      </c>
      <c r="V53" s="37">
        <f t="shared" si="8"/>
        <v>0.23166035215845818</v>
      </c>
      <c r="W53" s="34">
        <f t="shared" si="9"/>
        <v>0.10788880061005546</v>
      </c>
      <c r="X53" s="34">
        <f t="shared" si="10"/>
        <v>0.15049132777096486</v>
      </c>
      <c r="Y53" s="34">
        <f t="shared" si="11"/>
        <v>0.11583017607922909</v>
      </c>
      <c r="Z53" s="14">
        <v>39123</v>
      </c>
      <c r="AA53" s="12">
        <v>30494</v>
      </c>
      <c r="AB53" s="12">
        <v>36216</v>
      </c>
      <c r="AC53" s="12">
        <v>28052</v>
      </c>
      <c r="AD53" s="12">
        <f t="shared" si="12"/>
        <v>18844</v>
      </c>
      <c r="AE53" s="10">
        <v>149.50626518665783</v>
      </c>
      <c r="AF53" s="10">
        <v>155.10258092114643</v>
      </c>
      <c r="AG53" s="10">
        <f t="shared" si="13"/>
        <v>150.99599076629173</v>
      </c>
      <c r="AH53" s="12">
        <v>1073.1725723656068</v>
      </c>
      <c r="AI53" s="25">
        <f t="shared" si="14"/>
        <v>-0.5</v>
      </c>
      <c r="AJ53" s="27">
        <v>0.83604777415852338</v>
      </c>
      <c r="AK53" s="34">
        <f t="shared" si="15"/>
        <v>0.38623697962859149</v>
      </c>
      <c r="AL53" s="37">
        <f t="shared" si="16"/>
        <v>0.55961575362021487</v>
      </c>
      <c r="AM53" s="37">
        <f t="shared" si="17"/>
        <v>0.41465739779527672</v>
      </c>
      <c r="AN53" s="34">
        <f t="shared" si="18"/>
        <v>0.19311848981429575</v>
      </c>
      <c r="AO53" s="34">
        <f t="shared" si="2"/>
        <v>0.27980787681010744</v>
      </c>
      <c r="AP53" s="34">
        <f t="shared" si="3"/>
        <v>0.20732869889763836</v>
      </c>
      <c r="AS53" s="43">
        <f t="shared" si="19"/>
        <v>1.2844377198714692</v>
      </c>
      <c r="AV53" s="43">
        <f t="shared" si="20"/>
        <v>-0.85413851529039686</v>
      </c>
      <c r="AY53" s="12">
        <f t="shared" si="21"/>
        <v>66167.328990228008</v>
      </c>
      <c r="AZ53" s="5">
        <f t="shared" si="22"/>
        <v>79143</v>
      </c>
    </row>
    <row r="54" spans="1:52" x14ac:dyDescent="0.2">
      <c r="A54" s="2">
        <v>47</v>
      </c>
      <c r="B54" s="2">
        <v>47</v>
      </c>
      <c r="C54" t="s">
        <v>51</v>
      </c>
      <c r="D54" s="5">
        <v>78930</v>
      </c>
      <c r="E54" s="3">
        <v>1.8316235550177203E-3</v>
      </c>
      <c r="F54" s="3">
        <v>0.11249389574843344</v>
      </c>
      <c r="G54" s="3"/>
      <c r="H54" s="12">
        <v>719</v>
      </c>
      <c r="I54" s="12">
        <v>39248</v>
      </c>
      <c r="J54" s="12">
        <v>25308</v>
      </c>
      <c r="K54" s="12">
        <v>36345</v>
      </c>
      <c r="L54" s="12">
        <v>23353</v>
      </c>
      <c r="M54" s="12">
        <f t="shared" si="4"/>
        <v>19972</v>
      </c>
      <c r="N54" s="10">
        <v>219.92225890769018</v>
      </c>
      <c r="O54" s="10">
        <v>233.21817839249772</v>
      </c>
      <c r="P54" s="10">
        <f t="shared" si="5"/>
        <v>209.50531794512332</v>
      </c>
      <c r="Q54" s="12">
        <v>722.98115873763538</v>
      </c>
      <c r="R54" s="25">
        <f t="shared" si="6"/>
        <v>-0.5</v>
      </c>
      <c r="S54" s="27">
        <v>0.43886857479090491</v>
      </c>
      <c r="T54" s="34">
        <f t="shared" si="7"/>
        <v>0.18700902686743415</v>
      </c>
      <c r="U54" s="37">
        <f t="shared" si="0"/>
        <v>0.39313013402666963</v>
      </c>
      <c r="V54" s="37">
        <f t="shared" si="8"/>
        <v>0.1350690218178284</v>
      </c>
      <c r="W54" s="34">
        <f t="shared" si="9"/>
        <v>9.3504513433717074E-2</v>
      </c>
      <c r="X54" s="34">
        <f t="shared" si="10"/>
        <v>0.19656506701333482</v>
      </c>
      <c r="Y54" s="34">
        <f t="shared" si="11"/>
        <v>6.75345109089142E-2</v>
      </c>
      <c r="Z54" s="14">
        <v>39682</v>
      </c>
      <c r="AA54" s="12">
        <v>18172</v>
      </c>
      <c r="AB54" s="12">
        <v>36709</v>
      </c>
      <c r="AC54" s="12">
        <v>16737</v>
      </c>
      <c r="AD54" s="12">
        <f t="shared" si="12"/>
        <v>12992</v>
      </c>
      <c r="AE54" s="10">
        <v>223.02452205181294</v>
      </c>
      <c r="AF54" s="10">
        <v>239.15677660273639</v>
      </c>
      <c r="AG54" s="10">
        <f t="shared" si="13"/>
        <v>196.02296644088668</v>
      </c>
      <c r="AH54" s="12">
        <v>721.83133177988884</v>
      </c>
      <c r="AI54" s="25">
        <f t="shared" si="14"/>
        <v>-0.5</v>
      </c>
      <c r="AJ54" s="27">
        <v>0.43886857479090491</v>
      </c>
      <c r="AK54" s="34">
        <f t="shared" si="15"/>
        <v>0.12833033156371032</v>
      </c>
      <c r="AL54" s="37">
        <f t="shared" si="16"/>
        <v>0.2673570660704464</v>
      </c>
      <c r="AM54" s="37">
        <f t="shared" si="17"/>
        <v>9.2538501049792554E-2</v>
      </c>
      <c r="AN54" s="34">
        <f t="shared" si="18"/>
        <v>6.416516578185516E-2</v>
      </c>
      <c r="AO54" s="34">
        <f t="shared" si="2"/>
        <v>0.1336785330352232</v>
      </c>
      <c r="AP54" s="34">
        <f t="shared" si="3"/>
        <v>4.6269250524896277E-2</v>
      </c>
      <c r="AS54" s="43">
        <f t="shared" si="19"/>
        <v>0.98577299732980639</v>
      </c>
      <c r="AV54" s="43">
        <f t="shared" si="20"/>
        <v>-0.65552939728124859</v>
      </c>
      <c r="AY54" s="12">
        <f t="shared" si="21"/>
        <v>34639.896608246127</v>
      </c>
      <c r="AZ54" s="5">
        <f t="shared" si="22"/>
        <v>78930</v>
      </c>
    </row>
    <row r="55" spans="1:52" x14ac:dyDescent="0.2">
      <c r="A55" s="2">
        <v>48</v>
      </c>
      <c r="B55" s="2">
        <v>48</v>
      </c>
      <c r="C55" t="s">
        <v>52</v>
      </c>
      <c r="D55" s="5">
        <v>78836</v>
      </c>
      <c r="E55" s="3">
        <v>1.8294422220116178E-3</v>
      </c>
      <c r="F55" s="3">
        <v>0.11432333797044505</v>
      </c>
      <c r="G55" s="3"/>
      <c r="H55" s="12">
        <v>581</v>
      </c>
      <c r="I55" s="12">
        <v>39771</v>
      </c>
      <c r="J55" s="12">
        <v>26856</v>
      </c>
      <c r="K55" s="12">
        <v>38588</v>
      </c>
      <c r="L55" s="12">
        <v>26114</v>
      </c>
      <c r="M55" s="12">
        <f t="shared" si="4"/>
        <v>18709</v>
      </c>
      <c r="N55" s="10">
        <v>108.56650616772055</v>
      </c>
      <c r="O55" s="10">
        <v>110.69429578004132</v>
      </c>
      <c r="P55" s="10">
        <f t="shared" si="5"/>
        <v>107.03643861243249</v>
      </c>
      <c r="Q55" s="12">
        <v>580.94726966378187</v>
      </c>
      <c r="R55" s="25">
        <f t="shared" si="6"/>
        <v>-0.5</v>
      </c>
      <c r="S55" s="27">
        <v>0.62465335659601773</v>
      </c>
      <c r="T55" s="34">
        <f t="shared" si="7"/>
        <v>0.27640669091590525</v>
      </c>
      <c r="U55" s="37">
        <f t="shared" si="0"/>
        <v>0.28430378307979937</v>
      </c>
      <c r="V55" s="37">
        <f t="shared" si="8"/>
        <v>0.16008408809793107</v>
      </c>
      <c r="W55" s="34">
        <f t="shared" si="9"/>
        <v>0.13820334545795263</v>
      </c>
      <c r="X55" s="34">
        <f t="shared" si="10"/>
        <v>0.14215189153989968</v>
      </c>
      <c r="Y55" s="34">
        <f t="shared" si="11"/>
        <v>8.0042044048965533E-2</v>
      </c>
      <c r="Z55" s="14">
        <v>39065</v>
      </c>
      <c r="AA55" s="12">
        <v>19682</v>
      </c>
      <c r="AB55" s="12">
        <v>37877</v>
      </c>
      <c r="AC55" s="12">
        <v>19168</v>
      </c>
      <c r="AD55" s="12">
        <f t="shared" si="12"/>
        <v>12474</v>
      </c>
      <c r="AE55" s="10">
        <v>108.91366185283944</v>
      </c>
      <c r="AF55" s="10">
        <v>110.74593280467445</v>
      </c>
      <c r="AG55" s="10">
        <f t="shared" si="13"/>
        <v>104.11203302869981</v>
      </c>
      <c r="AH55" s="12">
        <v>585.6571368948247</v>
      </c>
      <c r="AI55" s="25">
        <f t="shared" si="14"/>
        <v>-0.5</v>
      </c>
      <c r="AJ55" s="27">
        <v>0.78043752088927498</v>
      </c>
      <c r="AK55" s="34">
        <f t="shared" si="15"/>
        <v>0.24380541458281579</v>
      </c>
      <c r="AL55" s="37">
        <f t="shared" si="16"/>
        <v>0.24837065590786392</v>
      </c>
      <c r="AM55" s="37">
        <f t="shared" si="17"/>
        <v>0.14234789544349002</v>
      </c>
      <c r="AN55" s="34">
        <f t="shared" si="18"/>
        <v>0.1219027072914079</v>
      </c>
      <c r="AO55" s="34">
        <f t="shared" si="2"/>
        <v>0.12418532795393196</v>
      </c>
      <c r="AP55" s="34">
        <f t="shared" si="3"/>
        <v>7.1173947721745012E-2</v>
      </c>
      <c r="AS55" s="43">
        <f t="shared" si="19"/>
        <v>0.79501325422299385</v>
      </c>
      <c r="AV55" s="43">
        <f t="shared" si="20"/>
        <v>-0.52867603472916236</v>
      </c>
      <c r="AY55" s="12">
        <f t="shared" si="21"/>
        <v>55330.880398719746</v>
      </c>
      <c r="AZ55" s="5">
        <f t="shared" si="22"/>
        <v>78836</v>
      </c>
    </row>
    <row r="56" spans="1:52" x14ac:dyDescent="0.2">
      <c r="A56" s="2">
        <v>49</v>
      </c>
      <c r="B56" s="2">
        <v>49</v>
      </c>
      <c r="C56" t="s">
        <v>53</v>
      </c>
      <c r="D56" s="5">
        <v>77929</v>
      </c>
      <c r="E56" s="3">
        <v>1.8083946790697571E-3</v>
      </c>
      <c r="F56" s="3">
        <v>0.11613173264951482</v>
      </c>
      <c r="G56" s="3"/>
      <c r="H56" s="12">
        <v>1946</v>
      </c>
      <c r="I56" s="12">
        <v>38979</v>
      </c>
      <c r="J56" s="12">
        <v>25034</v>
      </c>
      <c r="K56" s="12">
        <v>36082</v>
      </c>
      <c r="L56" s="12">
        <v>23150</v>
      </c>
      <c r="M56" s="12">
        <f t="shared" si="4"/>
        <v>16333</v>
      </c>
      <c r="N56" s="10">
        <v>233.65136522365719</v>
      </c>
      <c r="O56" s="10">
        <v>236.30236976241898</v>
      </c>
      <c r="P56" s="10">
        <f t="shared" si="5"/>
        <v>224.75686585440522</v>
      </c>
      <c r="Q56" s="12">
        <v>1981.5130453563715</v>
      </c>
      <c r="R56" s="25">
        <f t="shared" si="6"/>
        <v>-0.10000000000000009</v>
      </c>
      <c r="S56" s="27">
        <v>0.53454890052023107</v>
      </c>
      <c r="T56" s="34">
        <f t="shared" si="7"/>
        <v>0.20735842121937745</v>
      </c>
      <c r="U56" s="37">
        <f t="shared" si="0"/>
        <v>0.45360075423558877</v>
      </c>
      <c r="V56" s="37">
        <f t="shared" si="8"/>
        <v>0.41190828452426348</v>
      </c>
      <c r="W56" s="34">
        <f t="shared" si="9"/>
        <v>2.0735842121937763E-2</v>
      </c>
      <c r="X56" s="34">
        <f t="shared" si="10"/>
        <v>4.5360075423558917E-2</v>
      </c>
      <c r="Y56" s="34">
        <f t="shared" si="11"/>
        <v>4.1190828452426387E-2</v>
      </c>
      <c r="Z56" s="14">
        <v>38950</v>
      </c>
      <c r="AA56" s="12">
        <v>20877</v>
      </c>
      <c r="AB56" s="12">
        <v>36073</v>
      </c>
      <c r="AC56" s="12">
        <v>19740</v>
      </c>
      <c r="AD56" s="12">
        <f t="shared" si="12"/>
        <v>12932</v>
      </c>
      <c r="AE56" s="10">
        <v>234.39737948049788</v>
      </c>
      <c r="AF56" s="10">
        <v>242.37400101317118</v>
      </c>
      <c r="AG56" s="10">
        <f t="shared" si="13"/>
        <v>228.9057145066501</v>
      </c>
      <c r="AH56" s="12">
        <v>2001.1339918946303</v>
      </c>
      <c r="AI56" s="25">
        <f t="shared" si="14"/>
        <v>-0.10000000000000009</v>
      </c>
      <c r="AJ56" s="27">
        <v>0.58995032942620096</v>
      </c>
      <c r="AK56" s="34">
        <f t="shared" si="15"/>
        <v>0.18936069754051216</v>
      </c>
      <c r="AL56" s="37">
        <f t="shared" si="16"/>
        <v>0.42412537837831471</v>
      </c>
      <c r="AM56" s="37">
        <f t="shared" si="17"/>
        <v>0.37987783586788959</v>
      </c>
      <c r="AN56" s="34">
        <f t="shared" si="18"/>
        <v>1.8936069754051231E-2</v>
      </c>
      <c r="AO56" s="34">
        <f t="shared" si="2"/>
        <v>4.2412537837831506E-2</v>
      </c>
      <c r="AP56" s="34">
        <f t="shared" si="3"/>
        <v>3.798778358678899E-2</v>
      </c>
      <c r="AS56" s="43">
        <f t="shared" si="19"/>
        <v>0.96066397446821084</v>
      </c>
      <c r="AV56" s="43">
        <f t="shared" si="20"/>
        <v>-0.87289136120682032</v>
      </c>
      <c r="AY56" s="12">
        <f t="shared" si="21"/>
        <v>43814.746924528612</v>
      </c>
      <c r="AZ56" s="5">
        <f t="shared" si="22"/>
        <v>77929</v>
      </c>
    </row>
    <row r="57" spans="1:52" x14ac:dyDescent="0.2">
      <c r="A57" s="23">
        <v>50</v>
      </c>
      <c r="B57" s="23">
        <v>50</v>
      </c>
      <c r="C57" s="15" t="s">
        <v>54</v>
      </c>
      <c r="D57" s="24">
        <v>77452</v>
      </c>
      <c r="E57" s="4">
        <v>1.7973255743473011E-3</v>
      </c>
      <c r="F57" s="4">
        <v>0.11792905822386211</v>
      </c>
      <c r="G57" s="17">
        <f>1+(F58-F57)/(2*E52)</f>
        <v>5.780375917708751</v>
      </c>
      <c r="H57" s="26">
        <v>185</v>
      </c>
      <c r="I57" s="12">
        <v>38514</v>
      </c>
      <c r="J57" s="12">
        <v>25873</v>
      </c>
      <c r="K57" s="12">
        <v>37770</v>
      </c>
      <c r="L57" s="12">
        <v>25406</v>
      </c>
      <c r="M57" s="12">
        <f t="shared" si="4"/>
        <v>15020</v>
      </c>
      <c r="N57" s="10">
        <v>199.07758353190363</v>
      </c>
      <c r="O57" s="10">
        <v>203.56842596237109</v>
      </c>
      <c r="P57" s="10">
        <f t="shared" si="5"/>
        <v>191.74496138482027</v>
      </c>
      <c r="Q57" s="12">
        <v>185.28564118712114</v>
      </c>
      <c r="R57" s="25">
        <f t="shared" si="6"/>
        <v>-0.5</v>
      </c>
      <c r="S57" s="27">
        <v>0.19072786895920285</v>
      </c>
      <c r="T57" s="34">
        <f>(L57*O57*S57*$N$3*(1-(1-$T$3/(O57*$N$3))^R57)/R57+M57*P57*S57*$N$3*(1-(1-$T$3/(P57*$N$3))^R57)/R57)*$G57*$G$113/1000000</f>
        <v>0.43852953013341867</v>
      </c>
      <c r="U57" s="37">
        <f>(L57*O57*S57*$N$3*(1-(1-$U$3)^R57)/R57+M57*P57*S57*$N$3*(1-(1-$U$3)^R57)/R57)*$G57*$G$113/1000000</f>
        <v>0.82568831398810916</v>
      </c>
      <c r="V57" s="37">
        <f>(L57*O57*S57*$N$3*(1-(1-$V$3*Q57/(O57*$N$3))^R57)/R57+M57*P57*S57*$N$3*(1-(1-$V$3*Q57/(P57*$N$3))^R57)/R57)*$G57*$G$113/1000000</f>
        <v>8.0988047544086686E-2</v>
      </c>
      <c r="W57" s="34">
        <f t="shared" si="9"/>
        <v>0.21926476506670933</v>
      </c>
      <c r="X57" s="34">
        <f t="shared" si="10"/>
        <v>0.41284415699405458</v>
      </c>
      <c r="Y57" s="34">
        <f t="shared" si="11"/>
        <v>4.0494023772043343E-2</v>
      </c>
      <c r="Z57" s="14">
        <v>38938</v>
      </c>
      <c r="AA57" s="12">
        <v>23655</v>
      </c>
      <c r="AB57" s="12">
        <v>38173</v>
      </c>
      <c r="AC57" s="12">
        <v>23153</v>
      </c>
      <c r="AD57" s="12">
        <f t="shared" si="12"/>
        <v>12364</v>
      </c>
      <c r="AE57" s="10">
        <v>200.12350483325912</v>
      </c>
      <c r="AF57" s="10">
        <v>205.55890079039435</v>
      </c>
      <c r="AG57" s="10">
        <f t="shared" si="13"/>
        <v>189.84963604011651</v>
      </c>
      <c r="AH57" s="12">
        <v>185.09787068630416</v>
      </c>
      <c r="AI57" s="25">
        <f t="shared" si="14"/>
        <v>-0.5</v>
      </c>
      <c r="AJ57" s="27">
        <v>0.2112496357405578</v>
      </c>
      <c r="AK57" s="34">
        <f>(AC57*AF57*AJ57*$N$3*(1-(1-$T$3/(AF57*$N$3))^AI57)/AI57+AD57*AG57*AJ57*$N$3*(1-(1-$T$3/(AG57*$N$3))^AI57)/AI57)*$G57*$G$113/1000000</f>
        <v>0.42672611498783664</v>
      </c>
      <c r="AL57" s="37">
        <f>(AC57*AF57*AJ57*$N$3*(1-(1-$U$3)^AI57)/AI57+AD57*AG57*AJ57*$N$3*(1-(1-$U$3)^AI57)/AI57)*$G57*$G$113/1000000</f>
        <v>0.80716720741077752</v>
      </c>
      <c r="AM57" s="37">
        <f>(AC57*AF57*AJ57*$N$3*(1-(1-$V$3*AH57/(AF57*$N$3))^AI57)/AI57+AD57*AG57*AJ57*$N$3*(1-(1-$V$3*AH57/(AG57*$N$3))^AI57)/AI57)*$G57*$G$113/1000000</f>
        <v>7.8729283114713153E-2</v>
      </c>
      <c r="AN57" s="34">
        <f t="shared" si="18"/>
        <v>0.21336305749391832</v>
      </c>
      <c r="AO57" s="34">
        <f t="shared" si="2"/>
        <v>0.40358360370538876</v>
      </c>
      <c r="AP57" s="34">
        <f t="shared" si="3"/>
        <v>3.9364641557356576E-2</v>
      </c>
      <c r="AS57" s="43">
        <f>(L57*O57*S57*$N$3*((1-$U$3)^R57-(1-$U$3))+M57*P57*S57*$N$3*((1-$U$3)^R57-(1-$U$3))+AC57*AF57*AJ57*$N$3*((1-$U$3)^AI57-(1-$U$3))+AD57*AG57*AJ57*$N$3*((1-$U$3)^AI57-(1-$U$3)))*$G57*$G$113/1000000</f>
        <v>2.4370266089929227</v>
      </c>
      <c r="AV57" s="43">
        <f>(L57*O57*S57*$N$3*((1-$U$3)-1)+M57*P57*S57*$N$3*((1-$U$3)-1)+AC57*AF57*AJ57*$N$3*((1-$U$3)-1)+AD57*AG57*AJ57*$N$3*((1-$U$3)-1))*$G57*$G$113/1000000</f>
        <v>-1.6205988482934792</v>
      </c>
      <c r="AY57" s="12">
        <f>(I57*S57+Z57*AJ57)*G57</f>
        <v>90008.149387065365</v>
      </c>
      <c r="AZ57" s="5">
        <f>D57*G57</f>
        <v>447701.6755783782</v>
      </c>
    </row>
    <row r="58" spans="1:52" x14ac:dyDescent="0.2">
      <c r="A58" s="2">
        <v>51</v>
      </c>
      <c r="B58" s="2">
        <v>60</v>
      </c>
      <c r="C58" t="s">
        <v>55</v>
      </c>
      <c r="D58" s="5">
        <v>69309</v>
      </c>
      <c r="E58" s="3">
        <v>1.6083618012761077E-3</v>
      </c>
      <c r="F58" s="3">
        <v>0.1355290582238621</v>
      </c>
      <c r="G58" s="11">
        <f>(F59-F57)/(2*E58)</f>
        <v>10.942811490571208</v>
      </c>
      <c r="H58" s="12">
        <v>2565</v>
      </c>
      <c r="I58" s="12">
        <v>34345</v>
      </c>
      <c r="J58" s="12">
        <v>23792</v>
      </c>
      <c r="K58" s="12">
        <v>30415</v>
      </c>
      <c r="L58" s="12">
        <v>21101</v>
      </c>
      <c r="M58" s="12">
        <f t="shared" si="4"/>
        <v>18813</v>
      </c>
      <c r="N58" s="10">
        <v>340.8140779220779</v>
      </c>
      <c r="O58" s="10">
        <v>362.03384389365431</v>
      </c>
      <c r="P58" s="10">
        <f t="shared" si="5"/>
        <v>318.81534949237221</v>
      </c>
      <c r="Q58" s="12">
        <v>2583.3050566323873</v>
      </c>
      <c r="R58" s="25">
        <f t="shared" si="6"/>
        <v>-0.10000000000000009</v>
      </c>
      <c r="S58" s="27">
        <v>0.66578230829929774</v>
      </c>
      <c r="T58" s="34">
        <f t="shared" ref="T58:T107" si="23">(L58*O58*S58*$N$3*(1-(1-$T$3/(O58*$N$3))^R58)/R58+M58*P58*S58*$N$3*(1-(1-$T$3/(P58*$N$3))^R58)/R58)*$G58*$G$113/1000000</f>
        <v>2.8546879807084626</v>
      </c>
      <c r="U58" s="37">
        <f t="shared" ref="U58:U107" si="24">(L58*O58*S58*$N$3*(1-(1-$U$3)^R58)/R58+M58*P58*S58*$N$3*(1-(1-$U$3)^R58)/R58)*$G58*$G$113/1000000</f>
        <v>9.2227529591566455</v>
      </c>
      <c r="V58" s="37">
        <f t="shared" ref="V58:V107" si="25">(L58*O58*S58*$N$3*(1-(1-$V$3*Q58/(O58*$N$3))^R58)/R58+M58*P58*S58*$N$3*(1-(1-$V$3*Q58/(P58*$N$3))^R58)/R58)*$G58*$G$113/1000000</f>
        <v>7.3946873865707587</v>
      </c>
      <c r="W58" s="34">
        <f t="shared" ref="W58:W107" si="26">-$R58*T58</f>
        <v>0.28546879807084652</v>
      </c>
      <c r="X58" s="34">
        <f t="shared" ref="X58:X107" si="27">-$R58*U58</f>
        <v>0.92227529591566537</v>
      </c>
      <c r="Y58" s="34">
        <f t="shared" ref="Y58:Y107" si="28">-$R58*V58</f>
        <v>0.73946873865707652</v>
      </c>
      <c r="Z58" s="14">
        <v>34964</v>
      </c>
      <c r="AA58" s="12">
        <v>13812</v>
      </c>
      <c r="AB58" s="12">
        <v>30911</v>
      </c>
      <c r="AC58" s="12">
        <v>12098</v>
      </c>
      <c r="AD58" s="12">
        <f t="shared" si="12"/>
        <v>9314</v>
      </c>
      <c r="AE58" s="10">
        <v>347.94556565623884</v>
      </c>
      <c r="AF58" s="10">
        <v>393.24452058191446</v>
      </c>
      <c r="AG58" s="10">
        <f t="shared" si="13"/>
        <v>292.74039510414428</v>
      </c>
      <c r="AH58" s="12">
        <v>2588.966606050587</v>
      </c>
      <c r="AI58" s="25">
        <f t="shared" si="14"/>
        <v>-0.10000000000000009</v>
      </c>
      <c r="AJ58" s="27">
        <v>0.73074697663756993</v>
      </c>
      <c r="AK58" s="34">
        <f t="shared" ref="AK58:AK107" si="29">(AC58*AF58*AJ58*$N$3*(1-(1-$T$3/(AF58*$N$3))^AI58)/AI58+AD58*AG58*AJ58*$N$3*(1-(1-$T$3/(AG58*$N$3))^AI58)/AI58)*$G58*$G$113/1000000</f>
        <v>1.6808206678741553</v>
      </c>
      <c r="AL58" s="37">
        <f t="shared" ref="AL58:AL107" si="30">(AC58*AF58*AJ58*$N$3*(1-(1-$U$3)^AI58)/AI58+AD58*AG58*AJ58*$N$3*(1-(1-$U$3)^AI58)/AI58)*$G58*$G$113/1000000</f>
        <v>5.5553164116006073</v>
      </c>
      <c r="AM58" s="37">
        <f t="shared" ref="AM58:AM107" si="31">(AC58*AF58*AJ58*$N$3*(1-(1-$V$3*AH58/(AF58*$N$3))^AI58)/AI58+AD58*AG58*AJ58*$N$3*(1-(1-$V$3*AH58/(AG58*$N$3))^AI58)/AI58)*$G58*$G$113/1000000</f>
        <v>4.3634623673204951</v>
      </c>
      <c r="AN58" s="34">
        <f t="shared" si="18"/>
        <v>0.16808206678741569</v>
      </c>
      <c r="AO58" s="34">
        <f t="shared" si="2"/>
        <v>0.55553164116006126</v>
      </c>
      <c r="AP58" s="34">
        <f t="shared" si="3"/>
        <v>0.43634623673204992</v>
      </c>
      <c r="AS58" s="43">
        <f t="shared" ref="AS58:AS107" si="32">(L58*O58*S58*$N$3*((1-$U$3)^R58-(1-$U$3))+M58*P58*S58*$N$3*((1-$U$3)^R58-(1-$U$3))+AC58*AF58*AJ58*$N$3*((1-$U$3)^AI58-(1-$U$3))+AD58*AG58*AJ58*$N$3*((1-$U$3)^AI58-(1-$U$3)))*$G58*$G$113/1000000</f>
        <v>16.174474393738375</v>
      </c>
      <c r="AV58" s="43">
        <f t="shared" ref="AV58:AV107" si="33">(L58*O58*S58*$N$3*((1-$U$3)-1)+M58*P58*S58*$N$3*((1-$U$3)-1)+AC58*AF58*AJ58*$N$3*((1-$U$3)-1)+AD58*AG58*AJ58*$N$3*((1-$U$3)-1))*$G58*$G$113/1000000</f>
        <v>-14.696667456662645</v>
      </c>
      <c r="AY58" s="12">
        <f t="shared" ref="AY58:AY107" si="34">(I58*S58+Z58*AJ58)*G58</f>
        <v>529808.59102133964</v>
      </c>
      <c r="AZ58" s="5">
        <f t="shared" ref="AZ58:AZ107" si="35">D58*G58</f>
        <v>758435.32159999979</v>
      </c>
    </row>
    <row r="59" spans="1:52" x14ac:dyDescent="0.2">
      <c r="A59" s="2">
        <v>52</v>
      </c>
      <c r="B59" s="2">
        <v>71</v>
      </c>
      <c r="C59" t="s">
        <v>56</v>
      </c>
      <c r="D59" s="5">
        <v>64361</v>
      </c>
      <c r="E59" s="3">
        <v>1.4935401447421196E-3</v>
      </c>
      <c r="F59" s="3">
        <v>0.15312905822386211</v>
      </c>
      <c r="G59" s="11">
        <f t="shared" ref="G59:G106" si="36">(F60-F58)/(2*E59)</f>
        <v>11.784082310716119</v>
      </c>
      <c r="H59" s="12">
        <v>370</v>
      </c>
      <c r="I59" s="12">
        <v>32320</v>
      </c>
      <c r="J59" s="12">
        <v>20256</v>
      </c>
      <c r="K59" s="12">
        <v>30999</v>
      </c>
      <c r="L59" s="12">
        <v>19441</v>
      </c>
      <c r="M59" s="12">
        <f t="shared" si="4"/>
        <v>10402</v>
      </c>
      <c r="N59" s="10">
        <v>116.79236168908676</v>
      </c>
      <c r="O59" s="10">
        <v>122.13387480067898</v>
      </c>
      <c r="P59" s="10">
        <f t="shared" si="5"/>
        <v>115.15990290328783</v>
      </c>
      <c r="Q59" s="12">
        <v>371.44241551360528</v>
      </c>
      <c r="R59" s="25">
        <f t="shared" si="6"/>
        <v>-0.5</v>
      </c>
      <c r="S59" s="27">
        <v>0.55157582938388627</v>
      </c>
      <c r="T59" s="34">
        <f t="shared" si="23"/>
        <v>1.9136930270805257</v>
      </c>
      <c r="U59" s="37">
        <f t="shared" si="24"/>
        <v>2.1597221504965836</v>
      </c>
      <c r="V59" s="37">
        <f t="shared" si="25"/>
        <v>0.70784222805424002</v>
      </c>
      <c r="W59" s="34">
        <f t="shared" si="26"/>
        <v>0.95684651354026284</v>
      </c>
      <c r="X59" s="34">
        <f t="shared" si="27"/>
        <v>1.0798610752482918</v>
      </c>
      <c r="Y59" s="34">
        <f t="shared" si="28"/>
        <v>0.35392111402712001</v>
      </c>
      <c r="Z59" s="14">
        <v>32359</v>
      </c>
      <c r="AA59" s="12">
        <v>21566</v>
      </c>
      <c r="AB59" s="12">
        <v>31063</v>
      </c>
      <c r="AC59" s="12">
        <v>20661</v>
      </c>
      <c r="AD59" s="12">
        <f t="shared" si="12"/>
        <v>11558</v>
      </c>
      <c r="AE59" s="10">
        <v>117.50112191353057</v>
      </c>
      <c r="AF59" s="10">
        <v>118.67983350273462</v>
      </c>
      <c r="AG59" s="10">
        <f t="shared" si="13"/>
        <v>107.80773144142587</v>
      </c>
      <c r="AH59" s="12">
        <v>371.37050481583663</v>
      </c>
      <c r="AI59" s="25">
        <f t="shared" si="14"/>
        <v>-0.5</v>
      </c>
      <c r="AJ59" s="27">
        <v>0.65939572586588058</v>
      </c>
      <c r="AK59" s="34">
        <f t="shared" si="29"/>
        <v>2.4706538386192163</v>
      </c>
      <c r="AL59" s="37">
        <f t="shared" si="30"/>
        <v>2.6728100146679772</v>
      </c>
      <c r="AM59" s="37">
        <f t="shared" si="31"/>
        <v>0.91350378999249671</v>
      </c>
      <c r="AN59" s="34">
        <f t="shared" si="18"/>
        <v>1.2353269193096081</v>
      </c>
      <c r="AO59" s="34">
        <f t="shared" si="2"/>
        <v>1.3364050073339886</v>
      </c>
      <c r="AP59" s="34">
        <f t="shared" si="3"/>
        <v>0.45675189499624835</v>
      </c>
      <c r="AS59" s="43">
        <f t="shared" si="32"/>
        <v>7.212523901214916</v>
      </c>
      <c r="AV59" s="43">
        <f t="shared" si="33"/>
        <v>-4.7962578186326352</v>
      </c>
      <c r="AY59" s="12">
        <f t="shared" si="34"/>
        <v>461515.53633738164</v>
      </c>
      <c r="AZ59" s="5">
        <f t="shared" si="35"/>
        <v>758435.32160000014</v>
      </c>
    </row>
    <row r="60" spans="1:52" x14ac:dyDescent="0.2">
      <c r="A60" s="2">
        <v>53</v>
      </c>
      <c r="B60" s="2">
        <v>83</v>
      </c>
      <c r="C60" t="s">
        <v>57</v>
      </c>
      <c r="D60" s="5">
        <v>60049</v>
      </c>
      <c r="E60" s="3">
        <v>1.3934772945047396E-3</v>
      </c>
      <c r="F60" s="3">
        <v>0.17072905822386211</v>
      </c>
      <c r="G60" s="11">
        <f t="shared" si="36"/>
        <v>12.630273969591503</v>
      </c>
      <c r="H60" s="12">
        <v>641</v>
      </c>
      <c r="I60" s="12">
        <v>30359</v>
      </c>
      <c r="J60" s="12">
        <v>15973</v>
      </c>
      <c r="K60" s="12">
        <v>27929</v>
      </c>
      <c r="L60" s="12">
        <v>14790</v>
      </c>
      <c r="M60" s="12">
        <f t="shared" si="4"/>
        <v>11122</v>
      </c>
      <c r="N60" s="10">
        <v>172.06033835797913</v>
      </c>
      <c r="O60" s="10">
        <v>176.4107180527385</v>
      </c>
      <c r="P60" s="10">
        <f t="shared" si="5"/>
        <v>165.71358928250311</v>
      </c>
      <c r="Q60" s="12">
        <v>645.36781609195407</v>
      </c>
      <c r="R60" s="25">
        <f t="shared" si="6"/>
        <v>-0.5</v>
      </c>
      <c r="S60" s="28">
        <v>0.59926523297491041</v>
      </c>
      <c r="T60" s="34">
        <f t="shared" si="23"/>
        <v>1.9309853362320666</v>
      </c>
      <c r="U60" s="37">
        <f t="shared" si="24"/>
        <v>3.1343961338802235</v>
      </c>
      <c r="V60" s="37">
        <f t="shared" si="25"/>
        <v>1.2441380294441895</v>
      </c>
      <c r="W60" s="34">
        <f t="shared" si="26"/>
        <v>0.96549266811603329</v>
      </c>
      <c r="X60" s="34">
        <f t="shared" si="27"/>
        <v>1.5671980669401118</v>
      </c>
      <c r="Y60" s="34">
        <f t="shared" si="28"/>
        <v>0.62206901472209475</v>
      </c>
      <c r="Z60" s="14">
        <v>30495</v>
      </c>
      <c r="AA60" s="12">
        <v>18563</v>
      </c>
      <c r="AB60" s="12">
        <v>28070</v>
      </c>
      <c r="AC60" s="12">
        <v>16948</v>
      </c>
      <c r="AD60" s="12">
        <f t="shared" si="12"/>
        <v>13139</v>
      </c>
      <c r="AE60" s="10">
        <v>172.34707338795866</v>
      </c>
      <c r="AF60" s="10">
        <v>176.70024840689166</v>
      </c>
      <c r="AG60" s="10">
        <f t="shared" si="13"/>
        <v>167.16330542659236</v>
      </c>
      <c r="AH60" s="12">
        <v>646.63712532452212</v>
      </c>
      <c r="AI60" s="25">
        <f t="shared" si="14"/>
        <v>-0.5</v>
      </c>
      <c r="AJ60" s="28">
        <v>0.67276125411243137</v>
      </c>
      <c r="AK60" s="34">
        <f t="shared" si="29"/>
        <v>2.51703931144261</v>
      </c>
      <c r="AL60" s="37">
        <f t="shared" si="30"/>
        <v>4.1027987484070803</v>
      </c>
      <c r="AM60" s="37">
        <f t="shared" si="31"/>
        <v>1.624944803541974</v>
      </c>
      <c r="AN60" s="34">
        <f t="shared" si="18"/>
        <v>1.258519655721305</v>
      </c>
      <c r="AO60" s="34">
        <f t="shared" si="2"/>
        <v>2.0513993742035401</v>
      </c>
      <c r="AP60" s="34">
        <f t="shared" si="3"/>
        <v>0.81247240177098701</v>
      </c>
      <c r="AS60" s="43">
        <f t="shared" si="32"/>
        <v>10.801467901759938</v>
      </c>
      <c r="AV60" s="43">
        <f t="shared" si="33"/>
        <v>-7.1828704606162859</v>
      </c>
      <c r="AY60" s="12">
        <f t="shared" si="34"/>
        <v>488904.61391989019</v>
      </c>
      <c r="AZ60" s="5">
        <f t="shared" si="35"/>
        <v>758435.32160000014</v>
      </c>
    </row>
    <row r="61" spans="1:52" x14ac:dyDescent="0.2">
      <c r="A61" s="2">
        <v>54</v>
      </c>
      <c r="B61" s="2">
        <v>97</v>
      </c>
      <c r="C61" t="s">
        <v>58</v>
      </c>
      <c r="D61" s="5">
        <v>54741</v>
      </c>
      <c r="E61" s="3">
        <v>1.2703015966707846E-3</v>
      </c>
      <c r="F61" s="3">
        <v>0.18832905822386212</v>
      </c>
      <c r="G61" s="11">
        <f t="shared" si="36"/>
        <v>13.854977468442305</v>
      </c>
      <c r="H61" s="12">
        <v>888</v>
      </c>
      <c r="I61" s="12">
        <v>27865</v>
      </c>
      <c r="J61" s="12">
        <v>14462</v>
      </c>
      <c r="K61" s="12">
        <v>25735</v>
      </c>
      <c r="L61" s="12">
        <v>13415</v>
      </c>
      <c r="M61" s="12">
        <f t="shared" si="4"/>
        <v>10324</v>
      </c>
      <c r="N61" s="10">
        <v>176.483589275306</v>
      </c>
      <c r="O61" s="10">
        <v>187.86365710026084</v>
      </c>
      <c r="P61" s="10">
        <f t="shared" si="5"/>
        <v>175.53911080976377</v>
      </c>
      <c r="Q61" s="12">
        <v>920.91196421915765</v>
      </c>
      <c r="R61" s="25">
        <f t="shared" si="6"/>
        <v>-0.5</v>
      </c>
      <c r="S61" s="28">
        <v>0.63226408866915507</v>
      </c>
      <c r="T61" s="34">
        <f t="shared" si="23"/>
        <v>2.0468909003270701</v>
      </c>
      <c r="U61" s="37">
        <f t="shared" si="24"/>
        <v>3.5301063217734678</v>
      </c>
      <c r="V61" s="37">
        <f t="shared" si="25"/>
        <v>1.8843519613377606</v>
      </c>
      <c r="W61" s="34">
        <f t="shared" si="26"/>
        <v>1.0234454501635351</v>
      </c>
      <c r="X61" s="34">
        <f t="shared" si="27"/>
        <v>1.7650531608867339</v>
      </c>
      <c r="Y61" s="34">
        <f t="shared" si="28"/>
        <v>0.94217598066888031</v>
      </c>
      <c r="Z61" s="14">
        <v>27872</v>
      </c>
      <c r="AA61" s="12">
        <v>16816</v>
      </c>
      <c r="AB61" s="12">
        <v>25678</v>
      </c>
      <c r="AC61" s="12">
        <v>15354</v>
      </c>
      <c r="AD61" s="12">
        <f t="shared" si="12"/>
        <v>12320</v>
      </c>
      <c r="AE61" s="10">
        <v>177.46434535399953</v>
      </c>
      <c r="AF61" s="10">
        <v>178.75886935000642</v>
      </c>
      <c r="AG61" s="10">
        <f t="shared" si="13"/>
        <v>164.09206250000008</v>
      </c>
      <c r="AH61" s="12">
        <v>915.56109157222875</v>
      </c>
      <c r="AI61" s="25">
        <f t="shared" si="14"/>
        <v>-0.5</v>
      </c>
      <c r="AJ61" s="28">
        <v>0.67276125411243137</v>
      </c>
      <c r="AK61" s="34">
        <f t="shared" si="29"/>
        <v>2.5396965237100417</v>
      </c>
      <c r="AL61" s="37">
        <f t="shared" si="30"/>
        <v>4.1323335245007984</v>
      </c>
      <c r="AM61" s="37">
        <f t="shared" si="31"/>
        <v>2.3243332407407924</v>
      </c>
      <c r="AN61" s="34">
        <f t="shared" si="18"/>
        <v>1.2698482618550209</v>
      </c>
      <c r="AO61" s="34">
        <f t="shared" si="2"/>
        <v>2.0661667622503992</v>
      </c>
      <c r="AP61" s="34">
        <f t="shared" si="3"/>
        <v>1.1621666203703962</v>
      </c>
      <c r="AS61" s="43">
        <f t="shared" si="32"/>
        <v>11.436143339356905</v>
      </c>
      <c r="AV61" s="43">
        <f t="shared" si="33"/>
        <v>-7.6049234162197719</v>
      </c>
      <c r="AY61" s="12">
        <f t="shared" si="34"/>
        <v>503895.00774650573</v>
      </c>
      <c r="AZ61" s="5">
        <f t="shared" si="35"/>
        <v>758435.32160000026</v>
      </c>
    </row>
    <row r="62" spans="1:52" x14ac:dyDescent="0.2">
      <c r="A62" s="2">
        <v>55</v>
      </c>
      <c r="B62" s="2">
        <v>111</v>
      </c>
      <c r="C62" t="s">
        <v>59</v>
      </c>
      <c r="D62" s="5">
        <v>50932</v>
      </c>
      <c r="E62" s="3">
        <v>1.1819111985830804E-3</v>
      </c>
      <c r="F62" s="3">
        <v>0.20592905822386212</v>
      </c>
      <c r="G62" s="11">
        <f t="shared" si="36"/>
        <v>14.891135663237261</v>
      </c>
      <c r="H62" s="12">
        <v>1754</v>
      </c>
      <c r="I62" s="12">
        <v>26050</v>
      </c>
      <c r="J62" s="12">
        <v>15385</v>
      </c>
      <c r="K62" s="12">
        <v>23985</v>
      </c>
      <c r="L62" s="12">
        <v>14172</v>
      </c>
      <c r="M62" s="12">
        <f t="shared" si="4"/>
        <v>10100</v>
      </c>
      <c r="N62" s="10">
        <v>212.01805753595994</v>
      </c>
      <c r="O62" s="10">
        <v>213.73507267852116</v>
      </c>
      <c r="P62" s="10">
        <f t="shared" si="5"/>
        <v>198.54404950495052</v>
      </c>
      <c r="Q62" s="12">
        <v>1791.1638441998307</v>
      </c>
      <c r="R62" s="25">
        <f t="shared" si="6"/>
        <v>-0.10000000000000009</v>
      </c>
      <c r="S62" s="27">
        <v>0.4180666786441164</v>
      </c>
      <c r="T62" s="34">
        <f t="shared" si="23"/>
        <v>1.4850184046289352</v>
      </c>
      <c r="U62" s="37">
        <f t="shared" si="24"/>
        <v>2.9093264101967082</v>
      </c>
      <c r="V62" s="37">
        <f t="shared" si="25"/>
        <v>2.6658860862998441</v>
      </c>
      <c r="W62" s="34">
        <f t="shared" si="26"/>
        <v>0.14850184046289366</v>
      </c>
      <c r="X62" s="34">
        <f t="shared" si="27"/>
        <v>0.29093264101967109</v>
      </c>
      <c r="Y62" s="34">
        <f t="shared" si="28"/>
        <v>0.26658860862998462</v>
      </c>
      <c r="Z62" s="14">
        <v>26091</v>
      </c>
      <c r="AA62" s="12">
        <v>15218</v>
      </c>
      <c r="AB62" s="12">
        <v>23993</v>
      </c>
      <c r="AC62" s="12">
        <v>13893</v>
      </c>
      <c r="AD62" s="12">
        <f t="shared" si="12"/>
        <v>9813</v>
      </c>
      <c r="AE62" s="10">
        <v>212.32789730338015</v>
      </c>
      <c r="AF62" s="10">
        <v>222.34854531058807</v>
      </c>
      <c r="AG62" s="10">
        <f t="shared" si="13"/>
        <v>209.53833282380489</v>
      </c>
      <c r="AH62" s="12">
        <v>1783.2722954005615</v>
      </c>
      <c r="AI62" s="25">
        <f t="shared" si="14"/>
        <v>-0.10000000000000009</v>
      </c>
      <c r="AJ62" s="27">
        <v>0.67638818498716058</v>
      </c>
      <c r="AK62" s="34">
        <f t="shared" si="29"/>
        <v>2.3462803550126163</v>
      </c>
      <c r="AL62" s="37">
        <f t="shared" si="30"/>
        <v>4.8107117307899161</v>
      </c>
      <c r="AM62" s="37">
        <f t="shared" si="31"/>
        <v>4.192941183024983</v>
      </c>
      <c r="AN62" s="34">
        <f t="shared" si="18"/>
        <v>0.23462803550126185</v>
      </c>
      <c r="AO62" s="34">
        <f t="shared" si="2"/>
        <v>0.48107117307899205</v>
      </c>
      <c r="AP62" s="34">
        <f t="shared" si="3"/>
        <v>0.41929411830249869</v>
      </c>
      <c r="AS62" s="43">
        <f t="shared" si="32"/>
        <v>8.4495177345126589</v>
      </c>
      <c r="AV62" s="43">
        <f t="shared" si="33"/>
        <v>-7.6775139204139959</v>
      </c>
      <c r="AY62" s="12">
        <f t="shared" si="34"/>
        <v>424967.41565195372</v>
      </c>
      <c r="AZ62" s="5">
        <f t="shared" si="35"/>
        <v>758435.32160000014</v>
      </c>
    </row>
    <row r="63" spans="1:52" x14ac:dyDescent="0.2">
      <c r="A63" s="2">
        <v>56</v>
      </c>
      <c r="B63" s="2">
        <v>126</v>
      </c>
      <c r="C63" t="s">
        <v>60</v>
      </c>
      <c r="D63" s="5">
        <v>48532</v>
      </c>
      <c r="E63" s="3">
        <v>1.126217589916635E-3</v>
      </c>
      <c r="F63" s="3">
        <v>0.22352905822386213</v>
      </c>
      <c r="G63" s="11">
        <f t="shared" si="36"/>
        <v>15.627530734360839</v>
      </c>
      <c r="H63" s="12">
        <v>2176</v>
      </c>
      <c r="I63" s="12">
        <v>24779</v>
      </c>
      <c r="J63" s="12">
        <v>5715</v>
      </c>
      <c r="K63" s="12">
        <v>23167</v>
      </c>
      <c r="L63" s="12">
        <v>5221</v>
      </c>
      <c r="M63" s="12">
        <f t="shared" si="4"/>
        <v>1978</v>
      </c>
      <c r="N63" s="10">
        <v>221.90162688306643</v>
      </c>
      <c r="O63" s="10">
        <v>270.83832982187317</v>
      </c>
      <c r="P63" s="10">
        <f t="shared" si="5"/>
        <v>230.20894337714913</v>
      </c>
      <c r="Q63" s="12">
        <v>2230.3641064930089</v>
      </c>
      <c r="R63" s="25">
        <f t="shared" si="6"/>
        <v>-0.10000000000000009</v>
      </c>
      <c r="S63" s="28">
        <v>0.65490335292661606</v>
      </c>
      <c r="T63" s="34">
        <f t="shared" si="23"/>
        <v>0.72368437738885782</v>
      </c>
      <c r="U63" s="37">
        <f t="shared" si="24"/>
        <v>1.7760110954075803</v>
      </c>
      <c r="V63" s="37">
        <f t="shared" si="25"/>
        <v>1.6186004578812321</v>
      </c>
      <c r="W63" s="34">
        <f t="shared" si="26"/>
        <v>7.2368437738885849E-2</v>
      </c>
      <c r="X63" s="34">
        <f t="shared" si="27"/>
        <v>0.1776011095407582</v>
      </c>
      <c r="Y63" s="34">
        <f t="shared" si="28"/>
        <v>0.16186004578812335</v>
      </c>
      <c r="Z63" s="14">
        <v>24530</v>
      </c>
      <c r="AA63" s="12">
        <v>22358</v>
      </c>
      <c r="AB63" s="12">
        <v>22867</v>
      </c>
      <c r="AC63" s="12">
        <v>20889</v>
      </c>
      <c r="AD63" s="12">
        <f t="shared" si="12"/>
        <v>17946</v>
      </c>
      <c r="AE63" s="10">
        <v>217.77636244369617</v>
      </c>
      <c r="AF63" s="10">
        <v>216.59910910048347</v>
      </c>
      <c r="AG63" s="10">
        <f t="shared" si="13"/>
        <v>207.66455310375574</v>
      </c>
      <c r="AH63" s="12">
        <v>2208.615826511561</v>
      </c>
      <c r="AI63" s="25">
        <f t="shared" si="14"/>
        <v>-0.10000000000000009</v>
      </c>
      <c r="AJ63" s="28">
        <v>0.68777595093384569</v>
      </c>
      <c r="AK63" s="34">
        <f t="shared" si="29"/>
        <v>4.10188270604006</v>
      </c>
      <c r="AL63" s="37">
        <f t="shared" si="30"/>
        <v>8.2325588792752118</v>
      </c>
      <c r="AM63" s="37">
        <f t="shared" si="31"/>
        <v>9.089842831433149</v>
      </c>
      <c r="AN63" s="34">
        <f t="shared" si="18"/>
        <v>0.41018827060400637</v>
      </c>
      <c r="AO63" s="34">
        <f t="shared" si="2"/>
        <v>0.82325588792752191</v>
      </c>
      <c r="AP63" s="34">
        <f t="shared" si="3"/>
        <v>0.9089842831433157</v>
      </c>
      <c r="AS63" s="43">
        <f t="shared" si="32"/>
        <v>10.954296851101489</v>
      </c>
      <c r="AV63" s="43">
        <f t="shared" si="33"/>
        <v>-9.953439853633208</v>
      </c>
      <c r="AY63" s="12">
        <f t="shared" si="34"/>
        <v>517255.5500523271</v>
      </c>
      <c r="AZ63" s="5">
        <f t="shared" si="35"/>
        <v>758435.32160000026</v>
      </c>
    </row>
    <row r="64" spans="1:52" x14ac:dyDescent="0.2">
      <c r="A64" s="2">
        <v>57</v>
      </c>
      <c r="B64" s="2">
        <v>141</v>
      </c>
      <c r="C64" t="s">
        <v>61</v>
      </c>
      <c r="D64" s="5">
        <v>46439</v>
      </c>
      <c r="E64" s="3">
        <v>1.0776481220254391E-3</v>
      </c>
      <c r="F64" s="3">
        <v>0.24112905822386213</v>
      </c>
      <c r="G64" s="11">
        <f t="shared" si="36"/>
        <v>16.331861616313866</v>
      </c>
      <c r="H64" s="12">
        <v>862</v>
      </c>
      <c r="I64" s="12">
        <v>23843</v>
      </c>
      <c r="J64" s="12">
        <v>11023</v>
      </c>
      <c r="K64" s="12">
        <v>22406</v>
      </c>
      <c r="L64" s="12">
        <v>10428</v>
      </c>
      <c r="M64" s="12">
        <f t="shared" si="4"/>
        <v>7592</v>
      </c>
      <c r="N64" s="10">
        <v>168.34066946353647</v>
      </c>
      <c r="O64" s="10">
        <v>178.85322401227455</v>
      </c>
      <c r="P64" s="10">
        <f t="shared" si="5"/>
        <v>158.80179399367765</v>
      </c>
      <c r="Q64" s="12">
        <v>872.7869198312236</v>
      </c>
      <c r="R64" s="25">
        <f t="shared" si="6"/>
        <v>-0.5</v>
      </c>
      <c r="S64" s="28">
        <v>0.56583305957430563</v>
      </c>
      <c r="T64" s="34">
        <f t="shared" si="23"/>
        <v>1.6396339681630443</v>
      </c>
      <c r="U64" s="37">
        <f t="shared" si="24"/>
        <v>2.6394367933731413</v>
      </c>
      <c r="V64" s="37">
        <f t="shared" si="25"/>
        <v>1.430193189421042</v>
      </c>
      <c r="W64" s="34">
        <f t="shared" si="26"/>
        <v>0.81981698408152215</v>
      </c>
      <c r="X64" s="34">
        <f t="shared" si="27"/>
        <v>1.3197183966865706</v>
      </c>
      <c r="Y64" s="34">
        <f t="shared" si="28"/>
        <v>0.71509659471052101</v>
      </c>
      <c r="Z64" s="14">
        <v>23785</v>
      </c>
      <c r="AA64" s="12">
        <v>15775</v>
      </c>
      <c r="AB64" s="12">
        <v>22385</v>
      </c>
      <c r="AC64" s="12">
        <v>14793</v>
      </c>
      <c r="AD64" s="12">
        <f t="shared" si="12"/>
        <v>11978</v>
      </c>
      <c r="AE64" s="10">
        <v>166.95110341746701</v>
      </c>
      <c r="AF64" s="10">
        <v>171.133457040492</v>
      </c>
      <c r="AG64" s="10">
        <f t="shared" si="13"/>
        <v>159.18848054767065</v>
      </c>
      <c r="AH64" s="12">
        <v>872.14040424525115</v>
      </c>
      <c r="AI64" s="25">
        <f t="shared" si="14"/>
        <v>-0.5</v>
      </c>
      <c r="AJ64" s="28">
        <v>0.67276125411243137</v>
      </c>
      <c r="AK64" s="34">
        <f t="shared" si="29"/>
        <v>2.8965554598945271</v>
      </c>
      <c r="AL64" s="37">
        <f t="shared" si="30"/>
        <v>4.5359278165461241</v>
      </c>
      <c r="AM64" s="37">
        <f t="shared" si="31"/>
        <v>2.5246417503943031</v>
      </c>
      <c r="AN64" s="34">
        <f t="shared" si="18"/>
        <v>1.4482777299472636</v>
      </c>
      <c r="AO64" s="34">
        <f t="shared" si="2"/>
        <v>2.267963908273062</v>
      </c>
      <c r="AP64" s="34">
        <f t="shared" si="3"/>
        <v>1.2623208751971515</v>
      </c>
      <c r="AS64" s="43">
        <f t="shared" si="32"/>
        <v>10.709186608634203</v>
      </c>
      <c r="AV64" s="43">
        <f t="shared" si="33"/>
        <v>-7.1215043036745698</v>
      </c>
      <c r="AY64" s="12">
        <f t="shared" si="34"/>
        <v>481672.06808647595</v>
      </c>
      <c r="AZ64" s="5">
        <f t="shared" si="35"/>
        <v>758435.32159999956</v>
      </c>
    </row>
    <row r="65" spans="1:52" x14ac:dyDescent="0.2">
      <c r="A65" s="2">
        <v>58</v>
      </c>
      <c r="B65" s="2">
        <v>158</v>
      </c>
      <c r="C65" t="s">
        <v>62</v>
      </c>
      <c r="D65" s="5">
        <v>43785</v>
      </c>
      <c r="E65" s="3">
        <v>1.0160602731084617E-3</v>
      </c>
      <c r="F65" s="3">
        <v>0.25872905822386211</v>
      </c>
      <c r="G65" s="11">
        <f t="shared" si="36"/>
        <v>17.321807048075815</v>
      </c>
      <c r="H65" s="12">
        <v>1005</v>
      </c>
      <c r="I65" s="12">
        <v>22581</v>
      </c>
      <c r="J65" s="12">
        <v>15608</v>
      </c>
      <c r="K65" s="12">
        <v>21000</v>
      </c>
      <c r="L65" s="12">
        <v>14378</v>
      </c>
      <c r="M65" s="12">
        <f t="shared" si="4"/>
        <v>9125</v>
      </c>
      <c r="N65" s="10">
        <v>149.21014142857149</v>
      </c>
      <c r="O65" s="10">
        <v>154.78083391292253</v>
      </c>
      <c r="P65" s="10">
        <f t="shared" si="5"/>
        <v>146.25541479452056</v>
      </c>
      <c r="Q65" s="12">
        <v>1008.6597579635554</v>
      </c>
      <c r="R65" s="25">
        <f t="shared" si="6"/>
        <v>-0.5</v>
      </c>
      <c r="S65" s="27">
        <v>0.9074784739914219</v>
      </c>
      <c r="T65" s="34">
        <f t="shared" si="23"/>
        <v>3.6397438521768937</v>
      </c>
      <c r="U65" s="37">
        <f t="shared" si="24"/>
        <v>5.2051244302175412</v>
      </c>
      <c r="V65" s="37">
        <f t="shared" si="25"/>
        <v>3.6714314830543064</v>
      </c>
      <c r="W65" s="34">
        <f t="shared" si="26"/>
        <v>1.8198719260884468</v>
      </c>
      <c r="X65" s="34">
        <f t="shared" si="27"/>
        <v>2.6025622151087706</v>
      </c>
      <c r="Y65" s="34">
        <f t="shared" si="28"/>
        <v>1.8357157415271532</v>
      </c>
      <c r="Z65" s="14">
        <v>22180</v>
      </c>
      <c r="AA65" s="12">
        <v>12487</v>
      </c>
      <c r="AB65" s="12">
        <v>20702</v>
      </c>
      <c r="AC65" s="12">
        <v>11577</v>
      </c>
      <c r="AD65" s="12">
        <f t="shared" si="12"/>
        <v>6622</v>
      </c>
      <c r="AE65" s="10">
        <v>148.72413051879047</v>
      </c>
      <c r="AF65" s="10">
        <v>150.66997408655092</v>
      </c>
      <c r="AG65" s="10">
        <f t="shared" si="13"/>
        <v>137.11479009362748</v>
      </c>
      <c r="AH65" s="12">
        <v>1008.8966917163341</v>
      </c>
      <c r="AI65" s="25">
        <f t="shared" si="14"/>
        <v>-0.5</v>
      </c>
      <c r="AJ65" s="27">
        <v>0.9074784739914219</v>
      </c>
      <c r="AK65" s="34">
        <f t="shared" si="29"/>
        <v>2.8189581329975022</v>
      </c>
      <c r="AL65" s="37">
        <f t="shared" si="30"/>
        <v>3.8779140678190194</v>
      </c>
      <c r="AM65" s="37">
        <f t="shared" si="31"/>
        <v>2.844176993568635</v>
      </c>
      <c r="AN65" s="34">
        <f t="shared" si="18"/>
        <v>1.4094790664987511</v>
      </c>
      <c r="AO65" s="34">
        <f t="shared" si="2"/>
        <v>1.9389570339095097</v>
      </c>
      <c r="AP65" s="34">
        <f t="shared" si="3"/>
        <v>1.4220884967843175</v>
      </c>
      <c r="AS65" s="43">
        <f t="shared" si="32"/>
        <v>13.556377903697427</v>
      </c>
      <c r="AV65" s="43">
        <f t="shared" si="33"/>
        <v>-9.0148586546791467</v>
      </c>
      <c r="AY65" s="12">
        <f t="shared" si="34"/>
        <v>703605.63528488029</v>
      </c>
      <c r="AZ65" s="5">
        <f t="shared" si="35"/>
        <v>758435.32159999956</v>
      </c>
    </row>
    <row r="66" spans="1:52" x14ac:dyDescent="0.2">
      <c r="A66" s="2">
        <v>59</v>
      </c>
      <c r="B66" s="2">
        <v>175</v>
      </c>
      <c r="C66" t="s">
        <v>63</v>
      </c>
      <c r="D66" s="5">
        <v>41720</v>
      </c>
      <c r="E66" s="3">
        <v>9.6814056398504111E-4</v>
      </c>
      <c r="F66" s="3">
        <v>0.27632905822386211</v>
      </c>
      <c r="G66" s="11">
        <f t="shared" si="36"/>
        <v>18.179178370086294</v>
      </c>
      <c r="H66" s="12">
        <v>1400</v>
      </c>
      <c r="I66" s="12">
        <v>21212</v>
      </c>
      <c r="J66" s="12">
        <v>11876</v>
      </c>
      <c r="K66" s="12">
        <v>18331</v>
      </c>
      <c r="L66" s="12">
        <v>10458</v>
      </c>
      <c r="M66" s="12">
        <f t="shared" si="4"/>
        <v>8939</v>
      </c>
      <c r="N66" s="10">
        <v>332.5890496972342</v>
      </c>
      <c r="O66" s="10">
        <v>362.1156683878371</v>
      </c>
      <c r="P66" s="10">
        <f t="shared" si="5"/>
        <v>319.16477905806011</v>
      </c>
      <c r="Q66" s="12">
        <v>1448.2466054694971</v>
      </c>
      <c r="R66" s="25">
        <f t="shared" si="6"/>
        <v>-0.5</v>
      </c>
      <c r="S66" s="27">
        <v>0.6116174023298202</v>
      </c>
      <c r="T66" s="34">
        <f t="shared" si="23"/>
        <v>2.1185088485337915</v>
      </c>
      <c r="U66" s="37">
        <f t="shared" si="24"/>
        <v>6.8670887312074518</v>
      </c>
      <c r="V66" s="37">
        <f t="shared" si="25"/>
        <v>3.071347610160537</v>
      </c>
      <c r="W66" s="34">
        <f t="shared" si="26"/>
        <v>1.0592544242668958</v>
      </c>
      <c r="X66" s="34">
        <f t="shared" si="27"/>
        <v>3.4335443656037259</v>
      </c>
      <c r="Y66" s="34">
        <f t="shared" si="28"/>
        <v>1.5356738050802685</v>
      </c>
      <c r="Z66" s="14">
        <v>21291</v>
      </c>
      <c r="AA66" s="12">
        <v>11226</v>
      </c>
      <c r="AB66" s="12">
        <v>18430</v>
      </c>
      <c r="AC66" s="12">
        <v>9491</v>
      </c>
      <c r="AD66" s="12">
        <f t="shared" si="12"/>
        <v>7873</v>
      </c>
      <c r="AE66" s="10">
        <v>328.1063548562127</v>
      </c>
      <c r="AF66" s="10">
        <v>336.5278853650828</v>
      </c>
      <c r="AG66" s="10">
        <f t="shared" si="13"/>
        <v>293.36773910834489</v>
      </c>
      <c r="AH66" s="12">
        <v>1429.2822674112317</v>
      </c>
      <c r="AI66" s="25">
        <f t="shared" si="14"/>
        <v>-0.5</v>
      </c>
      <c r="AJ66" s="27">
        <v>0.6116174023298202</v>
      </c>
      <c r="AK66" s="34">
        <f t="shared" si="29"/>
        <v>1.8968267481183472</v>
      </c>
      <c r="AL66" s="37">
        <f t="shared" si="30"/>
        <v>5.6918796842511954</v>
      </c>
      <c r="AM66" s="37">
        <f t="shared" si="31"/>
        <v>2.7140507071218947</v>
      </c>
      <c r="AN66" s="34">
        <f t="shared" si="18"/>
        <v>0.94841337405917359</v>
      </c>
      <c r="AO66" s="34">
        <f t="shared" si="2"/>
        <v>2.8459398421255977</v>
      </c>
      <c r="AP66" s="34">
        <f t="shared" si="3"/>
        <v>1.3570253535609473</v>
      </c>
      <c r="AS66" s="43">
        <f t="shared" si="32"/>
        <v>18.744181471581403</v>
      </c>
      <c r="AV66" s="43">
        <f t="shared" si="33"/>
        <v>-12.464697263852083</v>
      </c>
      <c r="AY66" s="12">
        <f t="shared" si="34"/>
        <v>472578.18478166556</v>
      </c>
      <c r="AZ66" s="5">
        <f t="shared" si="35"/>
        <v>758435.32160000026</v>
      </c>
    </row>
    <row r="67" spans="1:52" x14ac:dyDescent="0.2">
      <c r="A67" s="2">
        <v>60</v>
      </c>
      <c r="B67" s="2">
        <v>194</v>
      </c>
      <c r="C67" t="s">
        <v>64</v>
      </c>
      <c r="D67" s="5">
        <v>39263</v>
      </c>
      <c r="E67" s="3">
        <v>9.1112423211276773E-4</v>
      </c>
      <c r="F67" s="3">
        <v>0.29392905822386212</v>
      </c>
      <c r="G67" s="11">
        <f t="shared" si="36"/>
        <v>19.316794987647409</v>
      </c>
      <c r="H67" s="12">
        <v>1035</v>
      </c>
      <c r="I67" s="12">
        <v>19912</v>
      </c>
      <c r="J67" s="12">
        <v>14805</v>
      </c>
      <c r="K67" s="12">
        <v>18374</v>
      </c>
      <c r="L67" s="12">
        <v>13726</v>
      </c>
      <c r="M67" s="12">
        <f t="shared" si="4"/>
        <v>9647</v>
      </c>
      <c r="N67" s="10">
        <v>164.65831936431914</v>
      </c>
      <c r="O67" s="10">
        <v>171.32326023604847</v>
      </c>
      <c r="P67" s="10">
        <f t="shared" si="5"/>
        <v>160.05013372032755</v>
      </c>
      <c r="Q67" s="12">
        <v>1045.3853271164214</v>
      </c>
      <c r="R67" s="25">
        <f t="shared" si="6"/>
        <v>-0.5</v>
      </c>
      <c r="S67" s="27">
        <v>0.8609373361758641</v>
      </c>
      <c r="T67" s="34">
        <f t="shared" si="23"/>
        <v>3.8276321564484053</v>
      </c>
      <c r="U67" s="37">
        <f t="shared" si="24"/>
        <v>6.0259940711097597</v>
      </c>
      <c r="V67" s="37">
        <f t="shared" si="25"/>
        <v>4.0022243079116544</v>
      </c>
      <c r="W67" s="34">
        <f t="shared" si="26"/>
        <v>1.9138160782242026</v>
      </c>
      <c r="X67" s="34">
        <f t="shared" si="27"/>
        <v>3.0129970355548799</v>
      </c>
      <c r="Y67" s="34">
        <f t="shared" si="28"/>
        <v>2.0011121539558272</v>
      </c>
      <c r="Z67" s="14">
        <v>20337</v>
      </c>
      <c r="AA67" s="12">
        <v>9865</v>
      </c>
      <c r="AB67" s="12">
        <v>18748</v>
      </c>
      <c r="AC67" s="12">
        <v>9101</v>
      </c>
      <c r="AD67" s="12">
        <f t="shared" si="12"/>
        <v>4648</v>
      </c>
      <c r="AE67" s="10">
        <v>167.78511254533817</v>
      </c>
      <c r="AF67" s="10">
        <v>175.98413910559282</v>
      </c>
      <c r="AG67" s="10">
        <f t="shared" si="13"/>
        <v>144.97609509466409</v>
      </c>
      <c r="AH67" s="12">
        <v>1044.2153609493462</v>
      </c>
      <c r="AI67" s="25">
        <f t="shared" si="14"/>
        <v>-0.5</v>
      </c>
      <c r="AJ67" s="27">
        <v>0.8609373361758641</v>
      </c>
      <c r="AK67" s="34">
        <f t="shared" si="29"/>
        <v>2.2517338410551551</v>
      </c>
      <c r="AL67" s="37">
        <f t="shared" si="30"/>
        <v>3.5198888546792544</v>
      </c>
      <c r="AM67" s="37">
        <f t="shared" si="31"/>
        <v>2.3518026011852156</v>
      </c>
      <c r="AN67" s="34">
        <f t="shared" si="18"/>
        <v>1.1258669205275775</v>
      </c>
      <c r="AO67" s="34">
        <f t="shared" si="2"/>
        <v>1.7599444273396272</v>
      </c>
      <c r="AP67" s="34">
        <f t="shared" si="3"/>
        <v>1.1759013005926078</v>
      </c>
      <c r="AS67" s="43">
        <f t="shared" si="32"/>
        <v>14.247170304785362</v>
      </c>
      <c r="AV67" s="43">
        <f t="shared" si="33"/>
        <v>-9.4742288418908558</v>
      </c>
      <c r="AY67" s="12">
        <f t="shared" si="34"/>
        <v>669363.00775982765</v>
      </c>
      <c r="AZ67" s="5">
        <f t="shared" si="35"/>
        <v>758435.32160000026</v>
      </c>
    </row>
    <row r="68" spans="1:52" x14ac:dyDescent="0.2">
      <c r="A68" s="2">
        <v>61</v>
      </c>
      <c r="B68" s="2">
        <v>213</v>
      </c>
      <c r="C68" t="s">
        <v>65</v>
      </c>
      <c r="D68" s="5">
        <v>37302</v>
      </c>
      <c r="E68" s="3">
        <v>8.656179126982263E-4</v>
      </c>
      <c r="F68" s="3">
        <v>0.31152905822386212</v>
      </c>
      <c r="G68" s="11">
        <f t="shared" si="36"/>
        <v>20.332296434507537</v>
      </c>
      <c r="H68" s="12">
        <v>2329</v>
      </c>
      <c r="I68" s="12">
        <v>18939</v>
      </c>
      <c r="J68" s="12">
        <v>13150</v>
      </c>
      <c r="K68" s="12">
        <v>17499</v>
      </c>
      <c r="L68" s="12">
        <v>12165</v>
      </c>
      <c r="M68" s="12">
        <f t="shared" si="4"/>
        <v>7507</v>
      </c>
      <c r="N68" s="10">
        <v>230.88636836390646</v>
      </c>
      <c r="O68" s="10">
        <v>232.15607069461578</v>
      </c>
      <c r="P68" s="10">
        <f t="shared" si="5"/>
        <v>222.0921206873582</v>
      </c>
      <c r="Q68" s="12">
        <v>2371.2958487464034</v>
      </c>
      <c r="R68" s="25">
        <f t="shared" si="6"/>
        <v>-0.10000000000000009</v>
      </c>
      <c r="S68" s="27">
        <v>0.72</v>
      </c>
      <c r="T68" s="34">
        <f t="shared" si="23"/>
        <v>2.8294814269509607</v>
      </c>
      <c r="U68" s="37">
        <f t="shared" si="24"/>
        <v>6.1034980624168886</v>
      </c>
      <c r="V68" s="37">
        <f t="shared" si="25"/>
        <v>6.7332773888163793</v>
      </c>
      <c r="W68" s="34">
        <f t="shared" si="26"/>
        <v>0.28294814269509633</v>
      </c>
      <c r="X68" s="34">
        <f t="shared" si="27"/>
        <v>0.61034980624168944</v>
      </c>
      <c r="Y68" s="34">
        <f t="shared" si="28"/>
        <v>0.67332773888163855</v>
      </c>
      <c r="Z68" s="14">
        <v>19245</v>
      </c>
      <c r="AA68" s="12">
        <v>11094</v>
      </c>
      <c r="AB68" s="12">
        <v>17823</v>
      </c>
      <c r="AC68" s="12">
        <v>10316</v>
      </c>
      <c r="AD68" s="12">
        <f t="shared" si="12"/>
        <v>5334</v>
      </c>
      <c r="AE68" s="10">
        <v>233.32548729170168</v>
      </c>
      <c r="AF68" s="10">
        <v>241.50005913144642</v>
      </c>
      <c r="AG68" s="10">
        <f t="shared" si="13"/>
        <v>227.99061867266556</v>
      </c>
      <c r="AH68" s="12">
        <v>2375.0925746413341</v>
      </c>
      <c r="AI68" s="25">
        <f t="shared" si="14"/>
        <v>-0.10000000000000009</v>
      </c>
      <c r="AJ68" s="27">
        <v>0.66666666666666663</v>
      </c>
      <c r="AK68" s="34">
        <f t="shared" si="29"/>
        <v>2.0840532948907535</v>
      </c>
      <c r="AL68" s="37">
        <f t="shared" si="30"/>
        <v>4.6649003654795287</v>
      </c>
      <c r="AM68" s="37">
        <f t="shared" si="31"/>
        <v>4.9667453150941263</v>
      </c>
      <c r="AN68" s="34">
        <f t="shared" si="18"/>
        <v>0.20840532948907553</v>
      </c>
      <c r="AO68" s="34">
        <f t="shared" si="2"/>
        <v>0.46649003654795329</v>
      </c>
      <c r="AP68" s="34">
        <f t="shared" si="3"/>
        <v>0.4966745315094131</v>
      </c>
      <c r="AS68" s="43">
        <f t="shared" si="32"/>
        <v>11.785922793016248</v>
      </c>
      <c r="AV68" s="43">
        <f t="shared" si="33"/>
        <v>-10.709082950226605</v>
      </c>
      <c r="AY68" s="12">
        <f t="shared" si="34"/>
        <v>538116.18401939131</v>
      </c>
      <c r="AZ68" s="5">
        <f t="shared" si="35"/>
        <v>758435.32160000014</v>
      </c>
    </row>
    <row r="69" spans="1:52" x14ac:dyDescent="0.2">
      <c r="A69" s="2">
        <v>62</v>
      </c>
      <c r="B69" s="2">
        <v>234</v>
      </c>
      <c r="C69" t="s">
        <v>66</v>
      </c>
      <c r="D69" s="5">
        <v>34529</v>
      </c>
      <c r="E69" s="3">
        <v>8.0126858901820427E-4</v>
      </c>
      <c r="F69" s="3">
        <v>0.32912905822386213</v>
      </c>
      <c r="G69" s="11">
        <f t="shared" si="36"/>
        <v>21.96516903472444</v>
      </c>
      <c r="H69" s="12">
        <v>880</v>
      </c>
      <c r="I69" s="12">
        <v>18055</v>
      </c>
      <c r="J69" s="12">
        <v>5718</v>
      </c>
      <c r="K69" s="12">
        <v>17024</v>
      </c>
      <c r="L69" s="12">
        <v>5393</v>
      </c>
      <c r="M69" s="12">
        <f t="shared" si="4"/>
        <v>2443</v>
      </c>
      <c r="N69" s="10">
        <v>150.06764273966166</v>
      </c>
      <c r="O69" s="10">
        <v>162.83309846096793</v>
      </c>
      <c r="P69" s="10">
        <f t="shared" si="5"/>
        <v>151.58914040114615</v>
      </c>
      <c r="Q69" s="12">
        <v>920.70610050064897</v>
      </c>
      <c r="R69" s="25">
        <f t="shared" si="6"/>
        <v>-0.5</v>
      </c>
      <c r="S69" s="28">
        <v>0.70318950021626592</v>
      </c>
      <c r="T69" s="34">
        <f t="shared" si="23"/>
        <v>1.1920836147281832</v>
      </c>
      <c r="U69" s="37">
        <f t="shared" si="24"/>
        <v>1.7936661570960764</v>
      </c>
      <c r="V69" s="37">
        <f t="shared" si="25"/>
        <v>1.097120790838179</v>
      </c>
      <c r="W69" s="34">
        <f t="shared" si="26"/>
        <v>0.59604180736409162</v>
      </c>
      <c r="X69" s="34">
        <f t="shared" si="27"/>
        <v>0.89683307854803818</v>
      </c>
      <c r="Y69" s="34">
        <f t="shared" si="28"/>
        <v>0.54856039541908952</v>
      </c>
      <c r="Z69" s="14">
        <v>17981</v>
      </c>
      <c r="AA69" s="12">
        <v>15407</v>
      </c>
      <c r="AB69" s="12">
        <v>16924</v>
      </c>
      <c r="AC69" s="12">
        <v>14481</v>
      </c>
      <c r="AD69" s="12">
        <f t="shared" si="12"/>
        <v>11631</v>
      </c>
      <c r="AE69" s="10">
        <v>148.06279662018434</v>
      </c>
      <c r="AF69" s="10">
        <v>147.46788895794489</v>
      </c>
      <c r="AG69" s="10">
        <f t="shared" si="13"/>
        <v>144.14862436591869</v>
      </c>
      <c r="AH69" s="12">
        <v>916.51909398522207</v>
      </c>
      <c r="AI69" s="25">
        <f t="shared" si="14"/>
        <v>-0.5</v>
      </c>
      <c r="AJ69" s="28">
        <v>0.8</v>
      </c>
      <c r="AK69" s="34">
        <f t="shared" si="29"/>
        <v>4.5213433333897379</v>
      </c>
      <c r="AL69" s="37">
        <f t="shared" si="30"/>
        <v>6.2306764852642589</v>
      </c>
      <c r="AM69" s="37">
        <f t="shared" si="31"/>
        <v>4.1419989283865926</v>
      </c>
      <c r="AN69" s="34">
        <f t="shared" si="18"/>
        <v>2.260671666694869</v>
      </c>
      <c r="AO69" s="34">
        <f t="shared" si="2"/>
        <v>3.1153382426321294</v>
      </c>
      <c r="AP69" s="34">
        <f t="shared" si="3"/>
        <v>2.0709994641932963</v>
      </c>
      <c r="AS69" s="43">
        <f t="shared" si="32"/>
        <v>11.976280989242241</v>
      </c>
      <c r="AV69" s="43">
        <f t="shared" si="33"/>
        <v>-7.9641096680620729</v>
      </c>
      <c r="AY69" s="12">
        <f t="shared" si="34"/>
        <v>594836.24796615355</v>
      </c>
      <c r="AZ69" s="5">
        <f t="shared" si="35"/>
        <v>758435.32160000014</v>
      </c>
    </row>
    <row r="70" spans="1:52" x14ac:dyDescent="0.2">
      <c r="A70" s="2">
        <v>63</v>
      </c>
      <c r="B70" s="2">
        <v>255</v>
      </c>
      <c r="C70" t="s">
        <v>67</v>
      </c>
      <c r="D70" s="5">
        <v>32849</v>
      </c>
      <c r="E70" s="3">
        <v>7.6228306295169257E-4</v>
      </c>
      <c r="F70" s="3">
        <v>0.34672905822386213</v>
      </c>
      <c r="G70" s="11">
        <f t="shared" si="36"/>
        <v>23.088536077201748</v>
      </c>
      <c r="H70" s="12">
        <v>1068</v>
      </c>
      <c r="I70" s="12">
        <v>16847</v>
      </c>
      <c r="J70" s="12">
        <v>14034</v>
      </c>
      <c r="K70" s="12">
        <v>15638</v>
      </c>
      <c r="L70" s="12">
        <v>12981</v>
      </c>
      <c r="M70" s="12">
        <f t="shared" si="4"/>
        <v>10511</v>
      </c>
      <c r="N70" s="10">
        <v>163.85463102698557</v>
      </c>
      <c r="O70" s="10">
        <v>166.82785994915648</v>
      </c>
      <c r="P70" s="10">
        <f t="shared" si="5"/>
        <v>161.99608981067456</v>
      </c>
      <c r="Q70" s="12">
        <v>1071.7279100223404</v>
      </c>
      <c r="R70" s="25">
        <f t="shared" si="6"/>
        <v>-0.5</v>
      </c>
      <c r="S70" s="27">
        <v>0.87188558144236117</v>
      </c>
      <c r="T70" s="34">
        <f t="shared" si="23"/>
        <v>4.6570243308289561</v>
      </c>
      <c r="U70" s="37">
        <f t="shared" si="24"/>
        <v>7.2431753102079677</v>
      </c>
      <c r="V70" s="37">
        <f t="shared" si="25"/>
        <v>4.992805262248746</v>
      </c>
      <c r="W70" s="34">
        <f t="shared" si="26"/>
        <v>2.328512165414478</v>
      </c>
      <c r="X70" s="34">
        <f t="shared" si="27"/>
        <v>3.6215876551039838</v>
      </c>
      <c r="Y70" s="34">
        <f t="shared" si="28"/>
        <v>2.496402631124373</v>
      </c>
      <c r="Z70" s="14">
        <v>17172</v>
      </c>
      <c r="AA70" s="12">
        <v>5768</v>
      </c>
      <c r="AB70" s="12">
        <v>15942</v>
      </c>
      <c r="AC70" s="12">
        <v>5431</v>
      </c>
      <c r="AD70" s="12">
        <f t="shared" si="12"/>
        <v>2657</v>
      </c>
      <c r="AE70" s="10">
        <v>168.31727386777069</v>
      </c>
      <c r="AF70" s="10">
        <v>180.55111029276378</v>
      </c>
      <c r="AG70" s="10">
        <f t="shared" si="13"/>
        <v>149.32866767030487</v>
      </c>
      <c r="AH70" s="12">
        <v>1079.4853618118211</v>
      </c>
      <c r="AI70" s="25">
        <f t="shared" si="14"/>
        <v>-0.5</v>
      </c>
      <c r="AJ70" s="27">
        <v>0.87188558144236117</v>
      </c>
      <c r="AK70" s="34">
        <f t="shared" si="29"/>
        <v>1.6031559737283538</v>
      </c>
      <c r="AL70" s="37">
        <f t="shared" si="30"/>
        <v>2.5789686335325497</v>
      </c>
      <c r="AM70" s="37">
        <f t="shared" si="31"/>
        <v>1.7312357433785439</v>
      </c>
      <c r="AN70" s="34">
        <f t="shared" si="18"/>
        <v>0.80157798686417692</v>
      </c>
      <c r="AO70" s="34">
        <f t="shared" si="2"/>
        <v>1.2894843167662748</v>
      </c>
      <c r="AP70" s="34">
        <f t="shared" si="3"/>
        <v>0.86561787168927196</v>
      </c>
      <c r="AS70" s="43">
        <f t="shared" si="32"/>
        <v>14.659488138759125</v>
      </c>
      <c r="AV70" s="43">
        <f t="shared" si="33"/>
        <v>-9.7484161668888643</v>
      </c>
      <c r="AY70" s="12">
        <f t="shared" si="34"/>
        <v>684821.57855135936</v>
      </c>
      <c r="AZ70" s="5">
        <f t="shared" si="35"/>
        <v>758435.32160000026</v>
      </c>
    </row>
    <row r="71" spans="1:52" x14ac:dyDescent="0.2">
      <c r="A71" s="2">
        <v>64</v>
      </c>
      <c r="B71" s="2">
        <v>279</v>
      </c>
      <c r="C71" t="s">
        <v>68</v>
      </c>
      <c r="D71" s="5">
        <v>30676</v>
      </c>
      <c r="E71" s="3">
        <v>7.1185714143828186E-4</v>
      </c>
      <c r="F71" s="3">
        <v>0.36432905822386213</v>
      </c>
      <c r="G71" s="11">
        <f t="shared" si="36"/>
        <v>24.724061859434091</v>
      </c>
      <c r="H71" s="12">
        <v>569</v>
      </c>
      <c r="I71" s="12">
        <v>15688</v>
      </c>
      <c r="J71" s="12">
        <v>9839</v>
      </c>
      <c r="K71" s="12">
        <v>14834</v>
      </c>
      <c r="L71" s="12">
        <v>9297</v>
      </c>
      <c r="M71" s="12">
        <f t="shared" si="4"/>
        <v>6521</v>
      </c>
      <c r="N71" s="10">
        <v>159.71575165161116</v>
      </c>
      <c r="O71" s="10">
        <v>162.5438765193073</v>
      </c>
      <c r="P71" s="10">
        <f t="shared" si="5"/>
        <v>157.8678040177887</v>
      </c>
      <c r="Q71" s="12">
        <v>571.81768312358827</v>
      </c>
      <c r="R71" s="25">
        <f t="shared" si="6"/>
        <v>-0.5</v>
      </c>
      <c r="S71" s="28">
        <v>0.64265812203956529</v>
      </c>
      <c r="T71" s="34">
        <f t="shared" si="23"/>
        <v>2.4753537741771154</v>
      </c>
      <c r="U71" s="37">
        <f t="shared" si="24"/>
        <v>3.7548261627535977</v>
      </c>
      <c r="V71" s="37">
        <f t="shared" si="25"/>
        <v>1.4124349584325724</v>
      </c>
      <c r="W71" s="34">
        <f t="shared" si="26"/>
        <v>1.2376768870885577</v>
      </c>
      <c r="X71" s="34">
        <f t="shared" si="27"/>
        <v>1.8774130813767989</v>
      </c>
      <c r="Y71" s="34">
        <f t="shared" si="28"/>
        <v>0.70621747921628619</v>
      </c>
      <c r="Z71" s="14">
        <v>15745</v>
      </c>
      <c r="AA71" s="12">
        <v>8933</v>
      </c>
      <c r="AB71" s="12">
        <v>14920</v>
      </c>
      <c r="AC71" s="12">
        <v>8399</v>
      </c>
      <c r="AD71" s="12">
        <f t="shared" si="12"/>
        <v>5537</v>
      </c>
      <c r="AE71" s="10">
        <v>160.45987600536193</v>
      </c>
      <c r="AF71" s="10">
        <v>162.4723657578283</v>
      </c>
      <c r="AG71" s="10">
        <f t="shared" si="13"/>
        <v>154.96713743904641</v>
      </c>
      <c r="AH71" s="12">
        <v>572.16787712822952</v>
      </c>
      <c r="AI71" s="25">
        <f t="shared" si="14"/>
        <v>-0.5</v>
      </c>
      <c r="AJ71" s="28">
        <v>0.78176548080938435</v>
      </c>
      <c r="AK71" s="34">
        <f t="shared" si="29"/>
        <v>2.6529944785973689</v>
      </c>
      <c r="AL71" s="37">
        <f t="shared" si="30"/>
        <v>3.9959335011987571</v>
      </c>
      <c r="AM71" s="37">
        <f t="shared" si="31"/>
        <v>1.5147023475735286</v>
      </c>
      <c r="AN71" s="34">
        <f t="shared" si="18"/>
        <v>1.3264972392986845</v>
      </c>
      <c r="AO71" s="34">
        <f t="shared" si="2"/>
        <v>1.9979667505993786</v>
      </c>
      <c r="AP71" s="34">
        <f t="shared" si="3"/>
        <v>0.75735117378676431</v>
      </c>
      <c r="AS71" s="43">
        <f t="shared" si="32"/>
        <v>11.567960112465228</v>
      </c>
      <c r="AV71" s="43">
        <f t="shared" si="33"/>
        <v>-7.6925802804890502</v>
      </c>
      <c r="AY71" s="12">
        <f t="shared" si="34"/>
        <v>553594.44453759817</v>
      </c>
      <c r="AZ71" s="5">
        <f t="shared" si="35"/>
        <v>758435.32160000014</v>
      </c>
    </row>
    <row r="72" spans="1:52" x14ac:dyDescent="0.2">
      <c r="A72" s="2">
        <v>65</v>
      </c>
      <c r="B72" s="2">
        <v>303</v>
      </c>
      <c r="C72" t="s">
        <v>69</v>
      </c>
      <c r="D72" s="5">
        <v>28285</v>
      </c>
      <c r="E72" s="3">
        <v>6.5637238380433576E-4</v>
      </c>
      <c r="F72" s="3">
        <v>0.38192905822386214</v>
      </c>
      <c r="G72" s="11">
        <f t="shared" si="36"/>
        <v>26.81404707795652</v>
      </c>
      <c r="H72" s="12">
        <v>1593</v>
      </c>
      <c r="I72" s="12">
        <v>15008</v>
      </c>
      <c r="J72" s="12">
        <v>8235</v>
      </c>
      <c r="K72" s="12">
        <v>13708</v>
      </c>
      <c r="L72" s="12">
        <v>7472</v>
      </c>
      <c r="M72" s="12">
        <f t="shared" si="4"/>
        <v>4579</v>
      </c>
      <c r="N72" s="10">
        <v>227.10420338488476</v>
      </c>
      <c r="O72" s="10">
        <v>241.54697002141316</v>
      </c>
      <c r="P72" s="10">
        <f t="shared" si="5"/>
        <v>221.65003275824427</v>
      </c>
      <c r="Q72" s="12">
        <v>1653.0456370449679</v>
      </c>
      <c r="R72" s="25">
        <f t="shared" si="6"/>
        <v>-0.10000000000000009</v>
      </c>
      <c r="S72" s="27">
        <v>0.73333333333333328</v>
      </c>
      <c r="T72" s="34">
        <f t="shared" si="23"/>
        <v>2.3280946983192239</v>
      </c>
      <c r="U72" s="37">
        <f t="shared" si="24"/>
        <v>5.1469977473060675</v>
      </c>
      <c r="V72" s="37">
        <f t="shared" si="25"/>
        <v>3.8547665451474109</v>
      </c>
      <c r="W72" s="34">
        <f t="shared" si="26"/>
        <v>0.23280946983192261</v>
      </c>
      <c r="X72" s="34">
        <f t="shared" si="27"/>
        <v>0.51469977473060724</v>
      </c>
      <c r="Y72" s="34">
        <f t="shared" si="28"/>
        <v>0.38547665451474145</v>
      </c>
      <c r="Z72" s="14">
        <v>14718</v>
      </c>
      <c r="AA72" s="12">
        <v>9723</v>
      </c>
      <c r="AB72" s="12">
        <v>13403</v>
      </c>
      <c r="AC72" s="12">
        <v>8824</v>
      </c>
      <c r="AD72" s="12">
        <f t="shared" si="12"/>
        <v>6236</v>
      </c>
      <c r="AE72" s="10">
        <v>225.75616503767816</v>
      </c>
      <c r="AF72" s="10">
        <v>227.88694242973708</v>
      </c>
      <c r="AG72" s="10">
        <f t="shared" si="13"/>
        <v>209.79882296343831</v>
      </c>
      <c r="AH72" s="12">
        <v>1644.9041251133274</v>
      </c>
      <c r="AI72" s="25">
        <f t="shared" si="14"/>
        <v>-0.10000000000000009</v>
      </c>
      <c r="AJ72" s="27">
        <v>0.20512820512820512</v>
      </c>
      <c r="AK72" s="34">
        <f t="shared" si="29"/>
        <v>0.81394224840237717</v>
      </c>
      <c r="AL72" s="37">
        <f t="shared" si="30"/>
        <v>1.6947059078587619</v>
      </c>
      <c r="AM72" s="37">
        <f t="shared" si="31"/>
        <v>1.3411626417416487</v>
      </c>
      <c r="AN72" s="34">
        <f t="shared" si="18"/>
        <v>8.1394224840237783E-2</v>
      </c>
      <c r="AO72" s="34">
        <f t="shared" ref="AO72:AO107" si="37">-$R72*AL72</f>
        <v>0.16947059078587634</v>
      </c>
      <c r="AP72" s="34">
        <f t="shared" ref="AP72:AP107" si="38">-$R72*AM72</f>
        <v>0.13411626417416497</v>
      </c>
      <c r="AS72" s="43">
        <f t="shared" si="32"/>
        <v>7.4881879225025809</v>
      </c>
      <c r="AV72" s="43">
        <f t="shared" si="33"/>
        <v>-6.8040175569860972</v>
      </c>
      <c r="AY72" s="12">
        <f t="shared" si="34"/>
        <v>376065.49768106913</v>
      </c>
      <c r="AZ72" s="5">
        <f t="shared" si="35"/>
        <v>758435.32160000014</v>
      </c>
    </row>
    <row r="73" spans="1:52" x14ac:dyDescent="0.2">
      <c r="A73" s="2">
        <v>66</v>
      </c>
      <c r="B73" s="2">
        <v>330</v>
      </c>
      <c r="C73" t="s">
        <v>70</v>
      </c>
      <c r="D73" s="5">
        <v>26881</v>
      </c>
      <c r="E73" s="3">
        <v>6.2379162273446518E-4</v>
      </c>
      <c r="F73" s="3">
        <v>0.39952905822386214</v>
      </c>
      <c r="G73" s="11">
        <f t="shared" si="36"/>
        <v>28.214550113463051</v>
      </c>
      <c r="H73" s="12">
        <v>1045</v>
      </c>
      <c r="I73" s="12">
        <v>13769</v>
      </c>
      <c r="J73" s="12">
        <v>8787</v>
      </c>
      <c r="K73" s="12">
        <v>13349</v>
      </c>
      <c r="L73" s="12">
        <v>8478</v>
      </c>
      <c r="M73" s="12">
        <f t="shared" ref="M73:M107" si="39">AB73-AC73</f>
        <v>6027</v>
      </c>
      <c r="N73" s="10">
        <v>171.97576822233873</v>
      </c>
      <c r="O73" s="10">
        <v>176.83020405756071</v>
      </c>
      <c r="P73" s="10">
        <f t="shared" ref="P73:P107" si="40">((AB73*AE73)-(AC73*AF73))/M73</f>
        <v>166.44723577235769</v>
      </c>
      <c r="Q73" s="12">
        <v>1048.5533144609578</v>
      </c>
      <c r="R73" s="25">
        <f t="shared" ref="R73:R107" si="41">1 + IF(Q73&gt;1500, $E$4,$D$4)</f>
        <v>-0.5</v>
      </c>
      <c r="S73" s="28">
        <v>0.80529732328898851</v>
      </c>
      <c r="T73" s="34">
        <f t="shared" si="23"/>
        <v>3.2447779640947094</v>
      </c>
      <c r="U73" s="37">
        <f t="shared" si="24"/>
        <v>5.2884159017020984</v>
      </c>
      <c r="V73" s="37">
        <f t="shared" si="25"/>
        <v>3.4030902873703508</v>
      </c>
      <c r="W73" s="34">
        <f t="shared" si="26"/>
        <v>1.6223889820473547</v>
      </c>
      <c r="X73" s="34">
        <f t="shared" si="27"/>
        <v>2.6442079508510492</v>
      </c>
      <c r="Y73" s="34">
        <f t="shared" si="28"/>
        <v>1.7015451436851754</v>
      </c>
      <c r="Z73" s="14">
        <v>13607</v>
      </c>
      <c r="AA73" s="12">
        <v>7438</v>
      </c>
      <c r="AB73" s="12">
        <v>13176</v>
      </c>
      <c r="AC73" s="12">
        <v>7149</v>
      </c>
      <c r="AD73" s="12">
        <f t="shared" ref="AD73:AD107" si="42">K73-L73</f>
        <v>4871</v>
      </c>
      <c r="AE73" s="10">
        <v>174.89045157862779</v>
      </c>
      <c r="AF73" s="10">
        <v>182.00854664988111</v>
      </c>
      <c r="AG73" s="10">
        <f t="shared" ref="AG73:AG107" si="43">((K73*N73)-(L73*O73))/AD73</f>
        <v>163.52659823444878</v>
      </c>
      <c r="AH73" s="12">
        <v>1053.7959155126591</v>
      </c>
      <c r="AI73" s="25">
        <f t="shared" ref="AI73:AI107" si="44">1 + IF(AH73&gt;1500, $E$4,$D$4)</f>
        <v>-0.5</v>
      </c>
      <c r="AJ73" s="28">
        <v>0.71704591083817326</v>
      </c>
      <c r="AK73" s="34">
        <f t="shared" si="29"/>
        <v>2.3941041029011574</v>
      </c>
      <c r="AL73" s="37">
        <f t="shared" si="30"/>
        <v>3.9474463460967302</v>
      </c>
      <c r="AM73" s="37">
        <f t="shared" si="31"/>
        <v>2.5235216997553001</v>
      </c>
      <c r="AN73" s="34">
        <f t="shared" ref="AN73:AN107" si="45">-$R73*AK73</f>
        <v>1.1970520514505787</v>
      </c>
      <c r="AO73" s="34">
        <f t="shared" si="37"/>
        <v>1.9737231730483651</v>
      </c>
      <c r="AP73" s="34">
        <f t="shared" si="38"/>
        <v>1.26176084987765</v>
      </c>
      <c r="AS73" s="43">
        <f t="shared" si="32"/>
        <v>13.784466390263374</v>
      </c>
      <c r="AV73" s="43">
        <f t="shared" si="33"/>
        <v>-9.1665352663639599</v>
      </c>
      <c r="AY73" s="12">
        <f t="shared" si="34"/>
        <v>588131.80485986278</v>
      </c>
      <c r="AZ73" s="5">
        <f t="shared" si="35"/>
        <v>758435.32160000026</v>
      </c>
    </row>
    <row r="74" spans="1:52" x14ac:dyDescent="0.2">
      <c r="A74" s="2">
        <v>67</v>
      </c>
      <c r="B74" s="2">
        <v>358</v>
      </c>
      <c r="C74" t="s">
        <v>71</v>
      </c>
      <c r="D74" s="5">
        <v>25831</v>
      </c>
      <c r="E74" s="3">
        <v>5.9942566894289544E-4</v>
      </c>
      <c r="F74" s="3">
        <v>0.41712905822386215</v>
      </c>
      <c r="G74" s="11">
        <f t="shared" si="36"/>
        <v>29.361438643490384</v>
      </c>
      <c r="H74" s="12">
        <v>2553</v>
      </c>
      <c r="I74" s="12">
        <v>13243</v>
      </c>
      <c r="J74" s="12">
        <v>4841</v>
      </c>
      <c r="K74" s="12">
        <v>11690</v>
      </c>
      <c r="L74" s="12">
        <v>4309</v>
      </c>
      <c r="M74" s="12">
        <f t="shared" si="39"/>
        <v>2260</v>
      </c>
      <c r="N74" s="10">
        <v>235.56852694610788</v>
      </c>
      <c r="O74" s="10">
        <v>255.13143420747275</v>
      </c>
      <c r="P74" s="10">
        <f t="shared" si="40"/>
        <v>239.15827876106192</v>
      </c>
      <c r="Q74" s="12">
        <v>2675.2193084242285</v>
      </c>
      <c r="R74" s="25">
        <f t="shared" si="41"/>
        <v>-0.10000000000000009</v>
      </c>
      <c r="S74" s="28">
        <v>0.60872930407861092</v>
      </c>
      <c r="T74" s="34">
        <f t="shared" si="23"/>
        <v>1.1533083544487404</v>
      </c>
      <c r="U74" s="37">
        <f t="shared" si="24"/>
        <v>2.7207201671221628</v>
      </c>
      <c r="V74" s="37">
        <f t="shared" si="25"/>
        <v>3.097558200917927</v>
      </c>
      <c r="W74" s="34">
        <f t="shared" si="26"/>
        <v>0.11533083544487414</v>
      </c>
      <c r="X74" s="34">
        <f t="shared" si="27"/>
        <v>0.27207201671221654</v>
      </c>
      <c r="Y74" s="34">
        <f t="shared" si="28"/>
        <v>0.30975582009179298</v>
      </c>
      <c r="Z74" s="14">
        <v>13234</v>
      </c>
      <c r="AA74" s="12">
        <v>10699</v>
      </c>
      <c r="AB74" s="12">
        <v>11696</v>
      </c>
      <c r="AC74" s="12">
        <v>9436</v>
      </c>
      <c r="AD74" s="12">
        <f t="shared" si="42"/>
        <v>7381</v>
      </c>
      <c r="AE74" s="10">
        <v>235.53249487004112</v>
      </c>
      <c r="AF74" s="10">
        <v>234.66408965663427</v>
      </c>
      <c r="AG74" s="10">
        <f t="shared" si="43"/>
        <v>224.14777536919129</v>
      </c>
      <c r="AH74" s="12">
        <v>2650.4861169987284</v>
      </c>
      <c r="AI74" s="25">
        <f t="shared" si="44"/>
        <v>-0.10000000000000009</v>
      </c>
      <c r="AJ74" s="28">
        <v>0.8</v>
      </c>
      <c r="AK74" s="34">
        <f t="shared" si="29"/>
        <v>3.8810291276112467</v>
      </c>
      <c r="AL74" s="37">
        <f t="shared" si="30"/>
        <v>8.4355032875997509</v>
      </c>
      <c r="AM74" s="37">
        <f t="shared" si="31"/>
        <v>10.330129585471505</v>
      </c>
      <c r="AN74" s="34">
        <f t="shared" si="45"/>
        <v>0.38810291276112502</v>
      </c>
      <c r="AO74" s="34">
        <f t="shared" si="37"/>
        <v>0.84355032875997582</v>
      </c>
      <c r="AP74" s="34">
        <f t="shared" si="38"/>
        <v>1.0330129585471515</v>
      </c>
      <c r="AS74" s="43">
        <f t="shared" si="32"/>
        <v>12.210394069220468</v>
      </c>
      <c r="AV74" s="43">
        <f t="shared" si="33"/>
        <v>-11.094771723748277</v>
      </c>
      <c r="AY74" s="12">
        <f t="shared" si="34"/>
        <v>547549.78851620923</v>
      </c>
      <c r="AZ74" s="5">
        <f t="shared" si="35"/>
        <v>758435.32160000014</v>
      </c>
    </row>
    <row r="75" spans="1:52" x14ac:dyDescent="0.2">
      <c r="A75" s="2">
        <v>68</v>
      </c>
      <c r="B75" s="2">
        <v>388</v>
      </c>
      <c r="C75" t="s">
        <v>72</v>
      </c>
      <c r="D75" s="5">
        <v>24428</v>
      </c>
      <c r="E75" s="3">
        <v>5.6686811354330258E-4</v>
      </c>
      <c r="F75" s="3">
        <v>0.43472905822386215</v>
      </c>
      <c r="G75" s="11">
        <f t="shared" si="36"/>
        <v>31.047786212542992</v>
      </c>
      <c r="H75" s="12">
        <v>550</v>
      </c>
      <c r="I75" s="12">
        <v>12663</v>
      </c>
      <c r="J75" s="12">
        <v>7956</v>
      </c>
      <c r="K75" s="12">
        <v>11519</v>
      </c>
      <c r="L75" s="12">
        <v>7265</v>
      </c>
      <c r="M75" s="12">
        <f t="shared" si="39"/>
        <v>5125</v>
      </c>
      <c r="N75" s="10">
        <v>185.71329976560466</v>
      </c>
      <c r="O75" s="10">
        <v>186.81578802477631</v>
      </c>
      <c r="P75" s="10">
        <f t="shared" si="40"/>
        <v>174.32199804878053</v>
      </c>
      <c r="Q75" s="12">
        <v>558.13957329662765</v>
      </c>
      <c r="R75" s="25">
        <f t="shared" si="41"/>
        <v>-0.5</v>
      </c>
      <c r="S75" s="27">
        <v>0.64948453608247425</v>
      </c>
      <c r="T75" s="34">
        <f t="shared" si="23"/>
        <v>2.4592786570062475</v>
      </c>
      <c r="U75" s="37">
        <f t="shared" si="24"/>
        <v>4.2213391889041505</v>
      </c>
      <c r="V75" s="37">
        <f t="shared" si="25"/>
        <v>1.3699506834243083</v>
      </c>
      <c r="W75" s="34">
        <f t="shared" si="26"/>
        <v>1.2296393285031237</v>
      </c>
      <c r="X75" s="34">
        <f t="shared" si="27"/>
        <v>2.1106695944520752</v>
      </c>
      <c r="Y75" s="34">
        <f t="shared" si="28"/>
        <v>0.68497534171215413</v>
      </c>
      <c r="Z75" s="14">
        <v>12688</v>
      </c>
      <c r="AA75" s="12">
        <v>7115</v>
      </c>
      <c r="AB75" s="12">
        <v>11528</v>
      </c>
      <c r="AC75" s="12">
        <v>6403</v>
      </c>
      <c r="AD75" s="12">
        <f t="shared" si="42"/>
        <v>4254</v>
      </c>
      <c r="AE75" s="10">
        <v>187.50816273421236</v>
      </c>
      <c r="AF75" s="10">
        <v>198.06244885210054</v>
      </c>
      <c r="AG75" s="10">
        <f t="shared" si="43"/>
        <v>183.83046544428774</v>
      </c>
      <c r="AH75" s="12">
        <v>556.30329533031397</v>
      </c>
      <c r="AI75" s="25">
        <f t="shared" si="44"/>
        <v>-0.5</v>
      </c>
      <c r="AJ75" s="27">
        <v>0.92233009708737868</v>
      </c>
      <c r="AK75" s="34">
        <f t="shared" si="29"/>
        <v>3.0031871023431886</v>
      </c>
      <c r="AL75" s="37">
        <f t="shared" si="30"/>
        <v>5.4609008974528761</v>
      </c>
      <c r="AM75" s="37">
        <f t="shared" si="31"/>
        <v>1.667601641455722</v>
      </c>
      <c r="AN75" s="34">
        <f t="shared" si="45"/>
        <v>1.5015935511715943</v>
      </c>
      <c r="AO75" s="34">
        <f t="shared" si="37"/>
        <v>2.7304504487264381</v>
      </c>
      <c r="AP75" s="34">
        <f t="shared" si="38"/>
        <v>0.83380082072786099</v>
      </c>
      <c r="AS75" s="43">
        <f t="shared" si="32"/>
        <v>14.450682510412888</v>
      </c>
      <c r="AV75" s="43">
        <f t="shared" si="33"/>
        <v>-9.6095624672343725</v>
      </c>
      <c r="AY75" s="12">
        <f t="shared" si="34"/>
        <v>618687.58884236147</v>
      </c>
      <c r="AZ75" s="5">
        <f t="shared" si="35"/>
        <v>758435.32160000014</v>
      </c>
    </row>
    <row r="76" spans="1:52" x14ac:dyDescent="0.2">
      <c r="A76" s="2">
        <v>69</v>
      </c>
      <c r="B76" s="2">
        <v>419</v>
      </c>
      <c r="C76" t="s">
        <v>73</v>
      </c>
      <c r="D76" s="5">
        <v>22756</v>
      </c>
      <c r="E76" s="3">
        <v>5.2806823283901231E-4</v>
      </c>
      <c r="F76" s="3">
        <v>0.45232905822386216</v>
      </c>
      <c r="G76" s="11">
        <f t="shared" si="36"/>
        <v>33.329026261205847</v>
      </c>
      <c r="H76" s="12">
        <v>978</v>
      </c>
      <c r="I76" s="12">
        <v>11796</v>
      </c>
      <c r="J76" s="12">
        <v>6655</v>
      </c>
      <c r="K76" s="12">
        <v>10888</v>
      </c>
      <c r="L76" s="12">
        <v>6104</v>
      </c>
      <c r="M76" s="12">
        <f t="shared" si="39"/>
        <v>4869</v>
      </c>
      <c r="N76" s="10">
        <v>202.92038666421749</v>
      </c>
      <c r="O76" s="10">
        <v>212.72292595019658</v>
      </c>
      <c r="P76" s="10">
        <f t="shared" si="40"/>
        <v>196.47316286711856</v>
      </c>
      <c r="Q76" s="12">
        <v>1008.4949213630406</v>
      </c>
      <c r="R76" s="25">
        <f t="shared" si="41"/>
        <v>-0.5</v>
      </c>
      <c r="S76" s="28">
        <v>0.63226408866915507</v>
      </c>
      <c r="T76" s="34">
        <f t="shared" si="23"/>
        <v>2.2748970396431094</v>
      </c>
      <c r="U76" s="37">
        <f t="shared" si="24"/>
        <v>4.4201189455826162</v>
      </c>
      <c r="V76" s="37">
        <f t="shared" si="25"/>
        <v>2.2942980965762385</v>
      </c>
      <c r="W76" s="34">
        <f t="shared" si="26"/>
        <v>1.1374485198215547</v>
      </c>
      <c r="X76" s="34">
        <f t="shared" si="27"/>
        <v>2.2100594727913081</v>
      </c>
      <c r="Y76" s="34">
        <f t="shared" si="28"/>
        <v>1.1471490482881193</v>
      </c>
      <c r="Z76" s="14">
        <v>11882</v>
      </c>
      <c r="AA76" s="12">
        <v>6622</v>
      </c>
      <c r="AB76" s="12">
        <v>10985</v>
      </c>
      <c r="AC76" s="12">
        <v>6116</v>
      </c>
      <c r="AD76" s="12">
        <f t="shared" si="42"/>
        <v>4784</v>
      </c>
      <c r="AE76" s="10">
        <v>201.95707328174785</v>
      </c>
      <c r="AF76" s="10">
        <v>206.32286134728579</v>
      </c>
      <c r="AG76" s="10">
        <f t="shared" si="43"/>
        <v>190.41313336120399</v>
      </c>
      <c r="AH76" s="12">
        <v>984.82275997383908</v>
      </c>
      <c r="AI76" s="25">
        <f t="shared" si="44"/>
        <v>-0.5</v>
      </c>
      <c r="AJ76" s="28">
        <v>0.5</v>
      </c>
      <c r="AK76" s="34">
        <f t="shared" si="29"/>
        <v>1.7872562837042676</v>
      </c>
      <c r="AL76" s="37">
        <f t="shared" si="30"/>
        <v>3.3679295877881521</v>
      </c>
      <c r="AM76" s="37">
        <f t="shared" si="31"/>
        <v>1.7600232800740367</v>
      </c>
      <c r="AN76" s="34">
        <f t="shared" si="45"/>
        <v>0.89362814185213379</v>
      </c>
      <c r="AO76" s="34">
        <f t="shared" si="37"/>
        <v>1.6839647938940761</v>
      </c>
      <c r="AP76" s="34">
        <f t="shared" si="38"/>
        <v>0.88001164003701837</v>
      </c>
      <c r="AS76" s="43">
        <f t="shared" si="32"/>
        <v>11.623613515844164</v>
      </c>
      <c r="AV76" s="43">
        <f t="shared" si="33"/>
        <v>-7.729589249158777</v>
      </c>
      <c r="AY76" s="12">
        <f t="shared" si="34"/>
        <v>446581.8617323683</v>
      </c>
      <c r="AZ76" s="5">
        <f t="shared" si="35"/>
        <v>758435.32160000026</v>
      </c>
    </row>
    <row r="77" spans="1:52" x14ac:dyDescent="0.2">
      <c r="A77" s="2">
        <v>70</v>
      </c>
      <c r="B77" s="2">
        <v>452</v>
      </c>
      <c r="C77" t="s">
        <v>74</v>
      </c>
      <c r="D77" s="5">
        <v>21480</v>
      </c>
      <c r="E77" s="3">
        <v>4.9845779756468552E-4</v>
      </c>
      <c r="F77" s="3">
        <v>0.46992905822386216</v>
      </c>
      <c r="G77" s="11">
        <f t="shared" si="36"/>
        <v>35.308906964618259</v>
      </c>
      <c r="H77" s="12">
        <v>270</v>
      </c>
      <c r="I77" s="12">
        <v>11053</v>
      </c>
      <c r="J77" s="12">
        <v>7222</v>
      </c>
      <c r="K77" s="12">
        <v>10714</v>
      </c>
      <c r="L77" s="12">
        <v>7010</v>
      </c>
      <c r="M77" s="12">
        <f t="shared" si="39"/>
        <v>5092</v>
      </c>
      <c r="N77" s="10">
        <v>134.52763300354675</v>
      </c>
      <c r="O77" s="10">
        <v>136.57395007132669</v>
      </c>
      <c r="P77" s="10">
        <f t="shared" si="40"/>
        <v>134.82117046347213</v>
      </c>
      <c r="Q77" s="12">
        <v>272.62368045649072</v>
      </c>
      <c r="R77" s="25">
        <f t="shared" si="41"/>
        <v>-0.5</v>
      </c>
      <c r="S77" s="27">
        <v>0.62465335659601773</v>
      </c>
      <c r="T77" s="34">
        <f t="shared" si="23"/>
        <v>2.6312455272728736</v>
      </c>
      <c r="U77" s="37">
        <f t="shared" si="24"/>
        <v>3.3724541499896858</v>
      </c>
      <c r="V77" s="37">
        <f t="shared" si="25"/>
        <v>0.71427398264642583</v>
      </c>
      <c r="W77" s="34">
        <f t="shared" si="26"/>
        <v>1.3156227636364368</v>
      </c>
      <c r="X77" s="34">
        <f t="shared" si="27"/>
        <v>1.6862270749948429</v>
      </c>
      <c r="Y77" s="34">
        <f t="shared" si="28"/>
        <v>0.35713699132321292</v>
      </c>
      <c r="Z77" s="14">
        <v>11129</v>
      </c>
      <c r="AA77" s="12">
        <v>5855</v>
      </c>
      <c r="AB77" s="12">
        <v>10795</v>
      </c>
      <c r="AC77" s="12">
        <v>5703</v>
      </c>
      <c r="AD77" s="12">
        <f t="shared" si="42"/>
        <v>3704</v>
      </c>
      <c r="AE77" s="10">
        <v>133.59348031496063</v>
      </c>
      <c r="AF77" s="10">
        <v>132.49732070839909</v>
      </c>
      <c r="AG77" s="10">
        <f t="shared" si="43"/>
        <v>130.65487850971914</v>
      </c>
      <c r="AH77" s="12">
        <v>274.5193757671401</v>
      </c>
      <c r="AI77" s="25">
        <f t="shared" si="44"/>
        <v>-0.5</v>
      </c>
      <c r="AJ77" s="27">
        <v>0.52200592201029672</v>
      </c>
      <c r="AK77" s="34">
        <f t="shared" si="29"/>
        <v>1.7095068138976486</v>
      </c>
      <c r="AL77" s="37">
        <f t="shared" si="30"/>
        <v>2.1251164667340223</v>
      </c>
      <c r="AM77" s="37">
        <f t="shared" si="31"/>
        <v>0.46723034763338933</v>
      </c>
      <c r="AN77" s="34">
        <f t="shared" si="45"/>
        <v>0.85475340694882429</v>
      </c>
      <c r="AO77" s="34">
        <f t="shared" si="37"/>
        <v>1.0625582333670112</v>
      </c>
      <c r="AP77" s="34">
        <f t="shared" si="38"/>
        <v>0.23361517381669467</v>
      </c>
      <c r="AS77" s="43">
        <f t="shared" si="32"/>
        <v>8.2050896127633628</v>
      </c>
      <c r="AV77" s="43">
        <f t="shared" si="33"/>
        <v>-5.4563043044015087</v>
      </c>
      <c r="AY77" s="12">
        <f t="shared" si="34"/>
        <v>448906.76066815807</v>
      </c>
      <c r="AZ77" s="5">
        <f t="shared" si="35"/>
        <v>758435.32160000026</v>
      </c>
    </row>
    <row r="78" spans="1:52" x14ac:dyDescent="0.2">
      <c r="A78" s="2">
        <v>71</v>
      </c>
      <c r="B78" s="2">
        <v>487</v>
      </c>
      <c r="C78" t="s">
        <v>75</v>
      </c>
      <c r="D78" s="5">
        <v>20218</v>
      </c>
      <c r="E78" s="3">
        <v>4.6917224167424644E-4</v>
      </c>
      <c r="F78" s="3">
        <v>0.48752905822386217</v>
      </c>
      <c r="G78" s="11">
        <f t="shared" si="36"/>
        <v>37.512875734493967</v>
      </c>
      <c r="H78" s="12">
        <v>2445</v>
      </c>
      <c r="I78" s="12">
        <v>10541</v>
      </c>
      <c r="J78" s="12">
        <v>5107</v>
      </c>
      <c r="K78" s="12">
        <v>9226</v>
      </c>
      <c r="L78" s="12">
        <v>4500</v>
      </c>
      <c r="M78" s="12">
        <f t="shared" si="39"/>
        <v>2410</v>
      </c>
      <c r="N78" s="10">
        <v>270.55726967266423</v>
      </c>
      <c r="O78" s="10">
        <v>284.01618000000002</v>
      </c>
      <c r="P78" s="10">
        <f t="shared" si="40"/>
        <v>245.14894605809107</v>
      </c>
      <c r="Q78" s="12">
        <v>2570.5542222222221</v>
      </c>
      <c r="R78" s="25">
        <f t="shared" si="41"/>
        <v>-0.10000000000000009</v>
      </c>
      <c r="S78" s="27">
        <v>0.63106467114584219</v>
      </c>
      <c r="T78" s="34">
        <f t="shared" si="23"/>
        <v>1.6065790947765799</v>
      </c>
      <c r="U78" s="37">
        <f t="shared" si="24"/>
        <v>4.1068786056371653</v>
      </c>
      <c r="V78" s="37">
        <f t="shared" si="25"/>
        <v>4.1439794884813725</v>
      </c>
      <c r="W78" s="34">
        <f t="shared" si="26"/>
        <v>0.16065790947765812</v>
      </c>
      <c r="X78" s="34">
        <f t="shared" si="27"/>
        <v>0.41068786056371692</v>
      </c>
      <c r="Y78" s="34">
        <f t="shared" si="28"/>
        <v>0.41439794884813763</v>
      </c>
      <c r="Z78" s="14">
        <v>10509</v>
      </c>
      <c r="AA78" s="12">
        <v>7720</v>
      </c>
      <c r="AB78" s="12">
        <v>9195</v>
      </c>
      <c r="AC78" s="12">
        <v>6785</v>
      </c>
      <c r="AD78" s="12">
        <f t="shared" si="42"/>
        <v>4726</v>
      </c>
      <c r="AE78" s="10">
        <v>270.77667862969008</v>
      </c>
      <c r="AF78" s="10">
        <v>279.87952837140767</v>
      </c>
      <c r="AG78" s="10">
        <f t="shared" si="43"/>
        <v>257.74197206940329</v>
      </c>
      <c r="AH78" s="12">
        <v>2572.005011053795</v>
      </c>
      <c r="AI78" s="25">
        <f t="shared" si="44"/>
        <v>-0.10000000000000009</v>
      </c>
      <c r="AJ78" s="27">
        <v>0.7331658291457287</v>
      </c>
      <c r="AK78" s="34">
        <f t="shared" si="29"/>
        <v>3.1092899176883555</v>
      </c>
      <c r="AL78" s="37">
        <f t="shared" si="30"/>
        <v>7.9580214015276702</v>
      </c>
      <c r="AM78" s="37">
        <f t="shared" si="31"/>
        <v>8.0244699007015061</v>
      </c>
      <c r="AN78" s="34">
        <f t="shared" si="45"/>
        <v>0.31092899176883582</v>
      </c>
      <c r="AO78" s="34">
        <f t="shared" si="37"/>
        <v>0.79580214015276773</v>
      </c>
      <c r="AP78" s="34">
        <f t="shared" si="38"/>
        <v>0.8024469900701513</v>
      </c>
      <c r="AS78" s="43">
        <f t="shared" si="32"/>
        <v>13.204933021565733</v>
      </c>
      <c r="AV78" s="43">
        <f t="shared" si="33"/>
        <v>-11.998443020849248</v>
      </c>
      <c r="AY78" s="12">
        <f t="shared" si="34"/>
        <v>538568.32042369223</v>
      </c>
      <c r="AZ78" s="5">
        <f t="shared" si="35"/>
        <v>758435.32159999898</v>
      </c>
    </row>
    <row r="79" spans="1:52" x14ac:dyDescent="0.2">
      <c r="A79" s="2">
        <v>72</v>
      </c>
      <c r="B79" s="2">
        <v>524</v>
      </c>
      <c r="C79" t="s">
        <v>76</v>
      </c>
      <c r="D79" s="5">
        <v>18979</v>
      </c>
      <c r="E79" s="3">
        <v>4.4042041620019401E-4</v>
      </c>
      <c r="F79" s="3">
        <v>0.50512905822386212</v>
      </c>
      <c r="G79" s="11">
        <f t="shared" si="36"/>
        <v>39.961816829126818</v>
      </c>
      <c r="H79" s="12">
        <v>612</v>
      </c>
      <c r="I79" s="12">
        <v>9855</v>
      </c>
      <c r="J79" s="12">
        <v>6529</v>
      </c>
      <c r="K79" s="12">
        <v>8888</v>
      </c>
      <c r="L79" s="12">
        <v>5790</v>
      </c>
      <c r="M79" s="12">
        <f t="shared" si="39"/>
        <v>4116</v>
      </c>
      <c r="N79" s="10">
        <v>166.81071557155715</v>
      </c>
      <c r="O79" s="10">
        <v>168.69690328151987</v>
      </c>
      <c r="P79" s="10">
        <f t="shared" si="40"/>
        <v>156.31663994169099</v>
      </c>
      <c r="Q79" s="12">
        <v>631.66649395509501</v>
      </c>
      <c r="R79" s="25">
        <f t="shared" si="41"/>
        <v>-0.5</v>
      </c>
      <c r="S79" s="28">
        <v>0.63870649851410743</v>
      </c>
      <c r="T79" s="34">
        <f t="shared" si="23"/>
        <v>2.4899719070858404</v>
      </c>
      <c r="U79" s="37">
        <f t="shared" si="24"/>
        <v>3.846379800469037</v>
      </c>
      <c r="V79" s="37">
        <f t="shared" si="25"/>
        <v>1.5699963940554922</v>
      </c>
      <c r="W79" s="34">
        <f t="shared" si="26"/>
        <v>1.2449859535429202</v>
      </c>
      <c r="X79" s="34">
        <f t="shared" si="27"/>
        <v>1.9231899002345185</v>
      </c>
      <c r="Y79" s="34">
        <f t="shared" si="28"/>
        <v>0.78499819702774609</v>
      </c>
      <c r="Z79" s="14">
        <v>10010</v>
      </c>
      <c r="AA79" s="12">
        <v>5430</v>
      </c>
      <c r="AB79" s="12">
        <v>9055</v>
      </c>
      <c r="AC79" s="12">
        <v>4939</v>
      </c>
      <c r="AD79" s="12">
        <f t="shared" si="42"/>
        <v>3098</v>
      </c>
      <c r="AE79" s="10">
        <v>168.17337713970184</v>
      </c>
      <c r="AF79" s="10">
        <v>178.05439157724237</v>
      </c>
      <c r="AG79" s="10">
        <f t="shared" si="43"/>
        <v>163.2855293737895</v>
      </c>
      <c r="AH79" s="12">
        <v>641.14314638590804</v>
      </c>
      <c r="AI79" s="25">
        <f t="shared" si="44"/>
        <v>-0.5</v>
      </c>
      <c r="AJ79" s="28">
        <v>0.68253968253968256</v>
      </c>
      <c r="AK79" s="34">
        <f t="shared" si="29"/>
        <v>2.158283911026408</v>
      </c>
      <c r="AL79" s="37">
        <f t="shared" si="30"/>
        <v>3.5144431620273591</v>
      </c>
      <c r="AM79" s="37">
        <f t="shared" si="31"/>
        <v>1.3814622362932094</v>
      </c>
      <c r="AN79" s="34">
        <f t="shared" si="45"/>
        <v>1.079141955513204</v>
      </c>
      <c r="AO79" s="34">
        <f t="shared" si="37"/>
        <v>1.7572215810136795</v>
      </c>
      <c r="AP79" s="34">
        <f t="shared" si="38"/>
        <v>0.69073111814660471</v>
      </c>
      <c r="AS79" s="43">
        <f t="shared" si="32"/>
        <v>10.985982034908812</v>
      </c>
      <c r="AV79" s="43">
        <f t="shared" si="33"/>
        <v>-7.3055705536606155</v>
      </c>
      <c r="AY79" s="12">
        <f t="shared" si="34"/>
        <v>524565.77253759839</v>
      </c>
      <c r="AZ79" s="5">
        <f t="shared" si="35"/>
        <v>758435.32159999793</v>
      </c>
    </row>
    <row r="80" spans="1:52" x14ac:dyDescent="0.2">
      <c r="A80" s="2">
        <v>73</v>
      </c>
      <c r="B80" s="2">
        <v>564</v>
      </c>
      <c r="C80" t="s">
        <v>77</v>
      </c>
      <c r="D80" s="5">
        <v>17688</v>
      </c>
      <c r="E80" s="3">
        <v>4.1046189587170195E-4</v>
      </c>
      <c r="F80" s="3">
        <v>0.52272905822386206</v>
      </c>
      <c r="G80" s="11">
        <f t="shared" si="36"/>
        <v>42.878523383084456</v>
      </c>
      <c r="H80" s="12">
        <v>1040</v>
      </c>
      <c r="I80" s="12">
        <v>9216</v>
      </c>
      <c r="J80" s="12">
        <v>3372</v>
      </c>
      <c r="K80" s="12">
        <v>8672</v>
      </c>
      <c r="L80" s="12">
        <v>3180</v>
      </c>
      <c r="M80" s="12">
        <f t="shared" si="39"/>
        <v>1735</v>
      </c>
      <c r="N80" s="10">
        <v>159.69950530442802</v>
      </c>
      <c r="O80" s="10">
        <v>170.94673899371068</v>
      </c>
      <c r="P80" s="10">
        <f t="shared" si="40"/>
        <v>158.41606340057629</v>
      </c>
      <c r="Q80" s="12">
        <v>1128.4427672955974</v>
      </c>
      <c r="R80" s="25">
        <f t="shared" si="41"/>
        <v>-0.5</v>
      </c>
      <c r="S80" s="28">
        <v>0.56297528982767753</v>
      </c>
      <c r="T80" s="34">
        <f t="shared" si="23"/>
        <v>1.1683260627820387</v>
      </c>
      <c r="U80" s="37">
        <f t="shared" si="24"/>
        <v>1.8377107328140352</v>
      </c>
      <c r="V80" s="37">
        <f t="shared" si="25"/>
        <v>1.3192051473460356</v>
      </c>
      <c r="W80" s="34">
        <f t="shared" si="26"/>
        <v>0.58416303139101933</v>
      </c>
      <c r="X80" s="34">
        <f t="shared" si="27"/>
        <v>0.91885536640701759</v>
      </c>
      <c r="Y80" s="34">
        <f t="shared" si="28"/>
        <v>0.65960257367301778</v>
      </c>
      <c r="Z80" s="14">
        <v>9152</v>
      </c>
      <c r="AA80" s="12">
        <v>7326</v>
      </c>
      <c r="AB80" s="12">
        <v>8608</v>
      </c>
      <c r="AC80" s="12">
        <v>6873</v>
      </c>
      <c r="AD80" s="12">
        <f t="shared" si="42"/>
        <v>5492</v>
      </c>
      <c r="AE80" s="10">
        <v>158.38684247211896</v>
      </c>
      <c r="AF80" s="10">
        <v>158.37946602648043</v>
      </c>
      <c r="AG80" s="10">
        <f t="shared" si="43"/>
        <v>153.18708667152214</v>
      </c>
      <c r="AH80" s="12">
        <v>1109.1054852320676</v>
      </c>
      <c r="AI80" s="25">
        <f t="shared" si="44"/>
        <v>-0.5</v>
      </c>
      <c r="AJ80" s="28">
        <v>0.8</v>
      </c>
      <c r="AK80" s="34">
        <f t="shared" si="29"/>
        <v>4.1780441809108018</v>
      </c>
      <c r="AL80" s="37">
        <f t="shared" si="30"/>
        <v>6.1574596208414132</v>
      </c>
      <c r="AM80" s="37">
        <f t="shared" si="31"/>
        <v>4.6364893839989048</v>
      </c>
      <c r="AN80" s="34">
        <f t="shared" si="45"/>
        <v>2.0890220904554009</v>
      </c>
      <c r="AO80" s="34">
        <f t="shared" si="37"/>
        <v>3.0787298104207066</v>
      </c>
      <c r="AP80" s="34">
        <f t="shared" si="38"/>
        <v>2.3182446919994524</v>
      </c>
      <c r="AS80" s="43">
        <f t="shared" si="32"/>
        <v>11.932741531594377</v>
      </c>
      <c r="AV80" s="43">
        <f t="shared" si="33"/>
        <v>-7.9351563547666508</v>
      </c>
      <c r="AY80" s="12">
        <f t="shared" si="34"/>
        <v>536409.48157422314</v>
      </c>
      <c r="AZ80" s="5">
        <f t="shared" si="35"/>
        <v>758435.32159999781</v>
      </c>
    </row>
    <row r="81" spans="1:52" x14ac:dyDescent="0.2">
      <c r="A81" s="2">
        <v>74</v>
      </c>
      <c r="B81" s="2">
        <v>607</v>
      </c>
      <c r="C81" t="s">
        <v>78</v>
      </c>
      <c r="D81" s="5">
        <v>16382</v>
      </c>
      <c r="E81" s="3">
        <v>3.8015529048904462E-4</v>
      </c>
      <c r="F81" s="3">
        <v>0.54032905822386201</v>
      </c>
      <c r="G81" s="11">
        <f t="shared" si="36"/>
        <v>46.296869832743127</v>
      </c>
      <c r="H81" s="12">
        <v>2918</v>
      </c>
      <c r="I81" s="12">
        <v>8396</v>
      </c>
      <c r="J81" s="12">
        <v>2725</v>
      </c>
      <c r="K81" s="12">
        <v>7674</v>
      </c>
      <c r="L81" s="12">
        <v>2356</v>
      </c>
      <c r="M81" s="12">
        <f t="shared" si="39"/>
        <v>1441</v>
      </c>
      <c r="N81" s="10">
        <v>275.2342025019546</v>
      </c>
      <c r="O81" s="10">
        <v>299.51211799660445</v>
      </c>
      <c r="P81" s="10">
        <f t="shared" si="40"/>
        <v>267.66244968771679</v>
      </c>
      <c r="Q81" s="12">
        <v>2963.1812393887944</v>
      </c>
      <c r="R81" s="25">
        <f t="shared" si="41"/>
        <v>-0.10000000000000009</v>
      </c>
      <c r="S81" s="27">
        <v>0.64963228361304926</v>
      </c>
      <c r="T81" s="34">
        <f t="shared" si="23"/>
        <v>1.1214299291661336</v>
      </c>
      <c r="U81" s="37">
        <f t="shared" si="24"/>
        <v>3.0469122329132232</v>
      </c>
      <c r="V81" s="37">
        <f t="shared" si="25"/>
        <v>3.3364024334806732</v>
      </c>
      <c r="W81" s="34">
        <f t="shared" si="26"/>
        <v>0.11214299291661346</v>
      </c>
      <c r="X81" s="34">
        <f t="shared" si="27"/>
        <v>0.30469122329132259</v>
      </c>
      <c r="Y81" s="34">
        <f t="shared" si="28"/>
        <v>0.33364024334806763</v>
      </c>
      <c r="Z81" s="14">
        <v>8488</v>
      </c>
      <c r="AA81" s="12">
        <v>6964</v>
      </c>
      <c r="AB81" s="12">
        <v>7761</v>
      </c>
      <c r="AC81" s="12">
        <v>6320</v>
      </c>
      <c r="AD81" s="12">
        <f t="shared" si="42"/>
        <v>5318</v>
      </c>
      <c r="AE81" s="10">
        <v>277.73243525318901</v>
      </c>
      <c r="AF81" s="10">
        <v>280.02845569620251</v>
      </c>
      <c r="AG81" s="10">
        <f t="shared" si="43"/>
        <v>264.47851071831508</v>
      </c>
      <c r="AH81" s="12">
        <v>2965.7822784810128</v>
      </c>
      <c r="AI81" s="25">
        <f t="shared" si="44"/>
        <v>-0.10000000000000009</v>
      </c>
      <c r="AJ81" s="27">
        <v>0.93023255813953487</v>
      </c>
      <c r="AK81" s="34">
        <f t="shared" si="29"/>
        <v>4.9224235132040119</v>
      </c>
      <c r="AL81" s="37">
        <f t="shared" si="30"/>
        <v>12.698057411955743</v>
      </c>
      <c r="AM81" s="37">
        <f t="shared" si="31"/>
        <v>14.66081809250098</v>
      </c>
      <c r="AN81" s="34">
        <f t="shared" si="45"/>
        <v>0.49224235132040162</v>
      </c>
      <c r="AO81" s="34">
        <f t="shared" si="37"/>
        <v>1.2698057411955754</v>
      </c>
      <c r="AP81" s="34">
        <f t="shared" si="38"/>
        <v>1.4660818092500993</v>
      </c>
      <c r="AS81" s="43">
        <f t="shared" si="32"/>
        <v>17.23273872668738</v>
      </c>
      <c r="AV81" s="43">
        <f t="shared" si="33"/>
        <v>-15.658241762200477</v>
      </c>
      <c r="AY81" s="12">
        <f t="shared" si="34"/>
        <v>618069.07376119425</v>
      </c>
      <c r="AZ81" s="5">
        <f t="shared" si="35"/>
        <v>758435.32159999793</v>
      </c>
    </row>
    <row r="82" spans="1:52" x14ac:dyDescent="0.2">
      <c r="A82" s="2">
        <v>75</v>
      </c>
      <c r="B82" s="2">
        <v>654</v>
      </c>
      <c r="C82" t="s">
        <v>79</v>
      </c>
      <c r="D82" s="5">
        <v>15274</v>
      </c>
      <c r="E82" s="3">
        <v>3.5444340782136904E-4</v>
      </c>
      <c r="F82" s="3">
        <v>0.55792905822386196</v>
      </c>
      <c r="G82" s="11">
        <f t="shared" si="36"/>
        <v>49.655317637815756</v>
      </c>
      <c r="H82" s="12">
        <v>487</v>
      </c>
      <c r="I82" s="12">
        <v>8083</v>
      </c>
      <c r="J82" s="12">
        <v>4067</v>
      </c>
      <c r="K82" s="12">
        <v>7736</v>
      </c>
      <c r="L82" s="12">
        <v>3882</v>
      </c>
      <c r="M82" s="12">
        <f t="shared" si="39"/>
        <v>2164</v>
      </c>
      <c r="N82" s="10">
        <v>146.95682652533608</v>
      </c>
      <c r="O82" s="10">
        <v>153.88098145285934</v>
      </c>
      <c r="P82" s="10">
        <f t="shared" si="40"/>
        <v>140.16987060998156</v>
      </c>
      <c r="Q82" s="12">
        <v>549.34569809376615</v>
      </c>
      <c r="R82" s="25">
        <f t="shared" si="41"/>
        <v>-0.5</v>
      </c>
      <c r="S82" s="28">
        <v>0.63870649851410743</v>
      </c>
      <c r="T82" s="34">
        <f t="shared" si="23"/>
        <v>1.8892729138673852</v>
      </c>
      <c r="U82" s="37">
        <f t="shared" si="24"/>
        <v>2.6570111278270341</v>
      </c>
      <c r="V82" s="37">
        <f t="shared" si="25"/>
        <v>1.0353494889154051</v>
      </c>
      <c r="W82" s="34">
        <f t="shared" si="26"/>
        <v>0.94463645693369258</v>
      </c>
      <c r="X82" s="34">
        <f t="shared" si="27"/>
        <v>1.328505563913517</v>
      </c>
      <c r="Y82" s="34">
        <f t="shared" si="28"/>
        <v>0.51767474445770256</v>
      </c>
      <c r="Z82" s="14">
        <v>7737</v>
      </c>
      <c r="AA82" s="12">
        <v>5491</v>
      </c>
      <c r="AB82" s="12">
        <v>7386</v>
      </c>
      <c r="AC82" s="12">
        <v>5222</v>
      </c>
      <c r="AD82" s="12">
        <f t="shared" si="42"/>
        <v>3854</v>
      </c>
      <c r="AE82" s="10">
        <v>144.96886000541565</v>
      </c>
      <c r="AF82" s="10">
        <v>146.95756415166602</v>
      </c>
      <c r="AG82" s="10">
        <f t="shared" si="43"/>
        <v>139.9823663725999</v>
      </c>
      <c r="AH82" s="12">
        <v>541.46897740329371</v>
      </c>
      <c r="AI82" s="25">
        <f t="shared" si="44"/>
        <v>-0.5</v>
      </c>
      <c r="AJ82" s="28">
        <v>0.797752808988764</v>
      </c>
      <c r="AK82" s="34">
        <f t="shared" si="29"/>
        <v>3.5429540604673324</v>
      </c>
      <c r="AL82" s="37">
        <f t="shared" si="30"/>
        <v>4.8153421559133056</v>
      </c>
      <c r="AM82" s="37">
        <f t="shared" si="31"/>
        <v>1.9135138788770665</v>
      </c>
      <c r="AN82" s="34">
        <f t="shared" si="45"/>
        <v>1.7714770302336662</v>
      </c>
      <c r="AO82" s="34">
        <f t="shared" si="37"/>
        <v>2.4076710779566528</v>
      </c>
      <c r="AP82" s="34">
        <f t="shared" si="38"/>
        <v>0.95675693943853324</v>
      </c>
      <c r="AS82" s="43">
        <f t="shared" si="32"/>
        <v>11.15244033879363</v>
      </c>
      <c r="AV82" s="43">
        <f t="shared" si="33"/>
        <v>-7.4162636969234619</v>
      </c>
      <c r="AY82" s="12">
        <f t="shared" si="34"/>
        <v>562836.97296953551</v>
      </c>
      <c r="AZ82" s="5">
        <f t="shared" si="35"/>
        <v>758435.32159999781</v>
      </c>
    </row>
    <row r="83" spans="1:52" x14ac:dyDescent="0.2">
      <c r="A83" s="2">
        <v>76</v>
      </c>
      <c r="B83" s="2">
        <v>703</v>
      </c>
      <c r="C83" t="s">
        <v>80</v>
      </c>
      <c r="D83" s="5">
        <v>14037</v>
      </c>
      <c r="E83" s="3">
        <v>3.2573799368787205E-4</v>
      </c>
      <c r="F83" s="3">
        <v>0.57552905822386191</v>
      </c>
      <c r="G83" s="11">
        <f t="shared" si="36"/>
        <v>54.031154919142111</v>
      </c>
      <c r="H83" s="12">
        <v>515</v>
      </c>
      <c r="I83" s="12">
        <v>7566</v>
      </c>
      <c r="J83" s="12">
        <v>5114</v>
      </c>
      <c r="K83" s="12">
        <v>7156</v>
      </c>
      <c r="L83" s="12">
        <v>4833</v>
      </c>
      <c r="M83" s="12">
        <f t="shared" si="39"/>
        <v>3562</v>
      </c>
      <c r="N83" s="10">
        <v>146.56967998882055</v>
      </c>
      <c r="O83" s="10">
        <v>144.75808814400992</v>
      </c>
      <c r="P83" s="10">
        <f t="shared" si="40"/>
        <v>143.16485682201014</v>
      </c>
      <c r="Q83" s="12">
        <v>515.62652596730811</v>
      </c>
      <c r="R83" s="25">
        <f t="shared" si="41"/>
        <v>-0.5</v>
      </c>
      <c r="S83" s="27">
        <v>0.62465335659601773</v>
      </c>
      <c r="T83" s="34">
        <f t="shared" si="23"/>
        <v>2.792146319432812</v>
      </c>
      <c r="U83" s="37">
        <f t="shared" si="24"/>
        <v>3.7971977050172474</v>
      </c>
      <c r="V83" s="37">
        <f t="shared" si="25"/>
        <v>1.4358364736207148</v>
      </c>
      <c r="W83" s="34">
        <f t="shared" si="26"/>
        <v>1.396073159716406</v>
      </c>
      <c r="X83" s="34">
        <f t="shared" si="27"/>
        <v>1.8985988525086237</v>
      </c>
      <c r="Y83" s="34">
        <f t="shared" si="28"/>
        <v>0.71791823681035738</v>
      </c>
      <c r="Z83" s="14">
        <v>7223</v>
      </c>
      <c r="AA83" s="12">
        <v>3397</v>
      </c>
      <c r="AB83" s="12">
        <v>6826</v>
      </c>
      <c r="AC83" s="12">
        <v>3264</v>
      </c>
      <c r="AD83" s="12">
        <f t="shared" si="42"/>
        <v>2323</v>
      </c>
      <c r="AE83" s="10">
        <v>146.83494872546149</v>
      </c>
      <c r="AF83" s="10">
        <v>150.84011642156864</v>
      </c>
      <c r="AG83" s="10">
        <f t="shared" si="43"/>
        <v>150.33869565217387</v>
      </c>
      <c r="AH83" s="12">
        <v>523.36458333333337</v>
      </c>
      <c r="AI83" s="25">
        <f t="shared" si="44"/>
        <v>-0.5</v>
      </c>
      <c r="AJ83" s="27">
        <v>0.52200592201029672</v>
      </c>
      <c r="AK83" s="34">
        <f t="shared" si="29"/>
        <v>1.5524849130165022</v>
      </c>
      <c r="AL83" s="37">
        <f t="shared" si="30"/>
        <v>2.2078204220317321</v>
      </c>
      <c r="AM83" s="37">
        <f t="shared" si="31"/>
        <v>0.81046111651367603</v>
      </c>
      <c r="AN83" s="34">
        <f t="shared" si="45"/>
        <v>0.77624245650825108</v>
      </c>
      <c r="AO83" s="34">
        <f t="shared" si="37"/>
        <v>1.1039102110158661</v>
      </c>
      <c r="AP83" s="34">
        <f t="shared" si="38"/>
        <v>0.40523055825683801</v>
      </c>
      <c r="AS83" s="43">
        <f t="shared" si="32"/>
        <v>8.9624518344193458</v>
      </c>
      <c r="AV83" s="43">
        <f t="shared" si="33"/>
        <v>-5.9599427708948536</v>
      </c>
      <c r="AY83" s="12">
        <f t="shared" si="34"/>
        <v>459079.81795750256</v>
      </c>
      <c r="AZ83" s="5">
        <f t="shared" si="35"/>
        <v>758435.32159999781</v>
      </c>
    </row>
    <row r="84" spans="1:52" x14ac:dyDescent="0.2">
      <c r="A84" s="2">
        <v>77</v>
      </c>
      <c r="B84" s="2">
        <v>757</v>
      </c>
      <c r="C84" t="s">
        <v>81</v>
      </c>
      <c r="D84" s="5">
        <v>13072</v>
      </c>
      <c r="E84" s="3">
        <v>3.0334452186990546E-4</v>
      </c>
      <c r="F84" s="3">
        <v>0.59312905822386186</v>
      </c>
      <c r="G84" s="11">
        <f t="shared" si="36"/>
        <v>58.019837943696288</v>
      </c>
      <c r="H84" s="12">
        <v>670</v>
      </c>
      <c r="I84" s="12">
        <v>6769</v>
      </c>
      <c r="J84" s="12">
        <v>4388</v>
      </c>
      <c r="K84" s="12">
        <v>5987</v>
      </c>
      <c r="L84" s="12">
        <v>3865</v>
      </c>
      <c r="M84" s="12">
        <f t="shared" si="39"/>
        <v>2714</v>
      </c>
      <c r="N84" s="10">
        <v>194.93641055620512</v>
      </c>
      <c r="O84" s="10">
        <v>199.49712031047866</v>
      </c>
      <c r="P84" s="10">
        <f t="shared" si="40"/>
        <v>188.21347089167284</v>
      </c>
      <c r="Q84" s="12">
        <v>693.56196636481241</v>
      </c>
      <c r="R84" s="25">
        <f t="shared" si="41"/>
        <v>-0.5</v>
      </c>
      <c r="S84" s="28">
        <v>0.71309771309771319</v>
      </c>
      <c r="T84" s="34">
        <f t="shared" si="23"/>
        <v>2.6785026540641659</v>
      </c>
      <c r="U84" s="37">
        <f t="shared" si="24"/>
        <v>4.9330779887443796</v>
      </c>
      <c r="V84" s="37">
        <f t="shared" si="25"/>
        <v>1.8553710136359196</v>
      </c>
      <c r="W84" s="34">
        <f t="shared" si="26"/>
        <v>1.3392513270320829</v>
      </c>
      <c r="X84" s="34">
        <f t="shared" si="27"/>
        <v>2.4665389943721898</v>
      </c>
      <c r="Y84" s="34">
        <f t="shared" si="28"/>
        <v>0.9276855068179598</v>
      </c>
      <c r="Z84" s="14">
        <v>6750</v>
      </c>
      <c r="AA84" s="12">
        <v>3718</v>
      </c>
      <c r="AB84" s="12">
        <v>5987</v>
      </c>
      <c r="AC84" s="12">
        <v>3273</v>
      </c>
      <c r="AD84" s="12">
        <f t="shared" si="42"/>
        <v>2122</v>
      </c>
      <c r="AE84" s="10">
        <v>194.1835359946551</v>
      </c>
      <c r="AF84" s="10">
        <v>199.13396578062938</v>
      </c>
      <c r="AG84" s="10">
        <f t="shared" si="43"/>
        <v>186.62955702167767</v>
      </c>
      <c r="AH84" s="12">
        <v>684.38741216009782</v>
      </c>
      <c r="AI84" s="25">
        <f t="shared" si="44"/>
        <v>-0.5</v>
      </c>
      <c r="AJ84" s="28">
        <v>0.68253968253968256</v>
      </c>
      <c r="AK84" s="34">
        <f t="shared" si="29"/>
        <v>2.102367303253716</v>
      </c>
      <c r="AL84" s="37">
        <f t="shared" si="30"/>
        <v>3.8594843444557321</v>
      </c>
      <c r="AM84" s="37">
        <f t="shared" si="31"/>
        <v>1.4369635241170939</v>
      </c>
      <c r="AN84" s="34">
        <f t="shared" si="45"/>
        <v>1.051183651626858</v>
      </c>
      <c r="AO84" s="34">
        <f t="shared" si="37"/>
        <v>1.929742172227866</v>
      </c>
      <c r="AP84" s="34">
        <f t="shared" si="38"/>
        <v>0.71848176205854697</v>
      </c>
      <c r="AS84" s="43">
        <f t="shared" si="32"/>
        <v>13.122844052289574</v>
      </c>
      <c r="AV84" s="43">
        <f t="shared" si="33"/>
        <v>-8.7265628856895159</v>
      </c>
      <c r="AY84" s="12">
        <f t="shared" si="34"/>
        <v>547365.02724183432</v>
      </c>
      <c r="AZ84" s="5">
        <f t="shared" si="35"/>
        <v>758435.32159999793</v>
      </c>
    </row>
    <row r="85" spans="1:52" x14ac:dyDescent="0.2">
      <c r="A85" s="2">
        <v>78</v>
      </c>
      <c r="B85" s="2">
        <v>816</v>
      </c>
      <c r="C85" t="s">
        <v>82</v>
      </c>
      <c r="D85" s="5">
        <v>11945</v>
      </c>
      <c r="E85" s="3">
        <v>2.7719173146695388E-4</v>
      </c>
      <c r="F85" s="3">
        <v>0.61072905822386181</v>
      </c>
      <c r="G85" s="11">
        <f t="shared" si="36"/>
        <v>63.493957438258498</v>
      </c>
      <c r="H85" s="12">
        <v>1694</v>
      </c>
      <c r="I85" s="12">
        <v>6177</v>
      </c>
      <c r="J85" s="12">
        <v>4333</v>
      </c>
      <c r="K85" s="12">
        <v>5933</v>
      </c>
      <c r="L85" s="12">
        <v>4157</v>
      </c>
      <c r="M85" s="12">
        <f t="shared" si="39"/>
        <v>2767</v>
      </c>
      <c r="N85" s="10">
        <v>174.90601213551321</v>
      </c>
      <c r="O85" s="10">
        <v>174.22392590810679</v>
      </c>
      <c r="P85" s="10">
        <f t="shared" si="40"/>
        <v>167.40068666425731</v>
      </c>
      <c r="Q85" s="12">
        <v>1787.6175126292999</v>
      </c>
      <c r="R85" s="25">
        <f t="shared" si="41"/>
        <v>-0.10000000000000009</v>
      </c>
      <c r="S85" s="28">
        <v>0.60872930407861092</v>
      </c>
      <c r="T85" s="34">
        <f t="shared" si="23"/>
        <v>2.6316175692170813</v>
      </c>
      <c r="U85" s="37">
        <f t="shared" si="24"/>
        <v>4.2603618906544547</v>
      </c>
      <c r="V85" s="37">
        <f t="shared" si="25"/>
        <v>4.7170554975277197</v>
      </c>
      <c r="W85" s="34">
        <f t="shared" si="26"/>
        <v>0.26316175692170835</v>
      </c>
      <c r="X85" s="34">
        <f t="shared" si="27"/>
        <v>0.42603618906544583</v>
      </c>
      <c r="Y85" s="34">
        <f t="shared" si="28"/>
        <v>0.4717055497527724</v>
      </c>
      <c r="Z85" s="14">
        <v>6188</v>
      </c>
      <c r="AA85" s="12">
        <v>3271</v>
      </c>
      <c r="AB85" s="12">
        <v>5946</v>
      </c>
      <c r="AC85" s="12">
        <v>3179</v>
      </c>
      <c r="AD85" s="12">
        <f t="shared" si="42"/>
        <v>1776</v>
      </c>
      <c r="AE85" s="10">
        <v>177.6708728557013</v>
      </c>
      <c r="AF85" s="10">
        <v>186.61003774771942</v>
      </c>
      <c r="AG85" s="10">
        <f t="shared" si="43"/>
        <v>176.50253941441434</v>
      </c>
      <c r="AH85" s="12">
        <v>1790.524064171123</v>
      </c>
      <c r="AI85" s="25">
        <f t="shared" si="44"/>
        <v>-0.10000000000000009</v>
      </c>
      <c r="AJ85" s="28">
        <v>0.89557691200028566</v>
      </c>
      <c r="AK85" s="34">
        <f t="shared" si="29"/>
        <v>2.770098201868505</v>
      </c>
      <c r="AL85" s="37">
        <f t="shared" si="30"/>
        <v>4.7860318547543974</v>
      </c>
      <c r="AM85" s="37">
        <f t="shared" si="31"/>
        <v>4.9725501052222194</v>
      </c>
      <c r="AN85" s="34">
        <f t="shared" si="45"/>
        <v>0.27700982018685072</v>
      </c>
      <c r="AO85" s="34">
        <f t="shared" si="37"/>
        <v>0.47860318547544017</v>
      </c>
      <c r="AP85" s="34">
        <f t="shared" si="38"/>
        <v>0.49725501052222237</v>
      </c>
      <c r="AS85" s="43">
        <f t="shared" si="32"/>
        <v>9.9012029460579516</v>
      </c>
      <c r="AV85" s="43">
        <f t="shared" si="33"/>
        <v>-8.9965635715170649</v>
      </c>
      <c r="AY85" s="12">
        <f t="shared" si="34"/>
        <v>590617.67090242682</v>
      </c>
      <c r="AZ85" s="5">
        <f t="shared" si="35"/>
        <v>758435.32159999781</v>
      </c>
    </row>
    <row r="86" spans="1:52" x14ac:dyDescent="0.2">
      <c r="A86" s="2">
        <v>79</v>
      </c>
      <c r="B86" s="2">
        <v>880</v>
      </c>
      <c r="C86" t="s">
        <v>83</v>
      </c>
      <c r="D86" s="5">
        <v>10869</v>
      </c>
      <c r="E86" s="3">
        <v>2.5222243024816422E-4</v>
      </c>
      <c r="F86" s="3">
        <v>0.62832905822386176</v>
      </c>
      <c r="G86" s="11">
        <f t="shared" si="36"/>
        <v>69.779678130462585</v>
      </c>
      <c r="H86" s="12">
        <v>484</v>
      </c>
      <c r="I86" s="12">
        <v>5683</v>
      </c>
      <c r="J86" s="12">
        <v>3664</v>
      </c>
      <c r="K86" s="12">
        <v>5176</v>
      </c>
      <c r="L86" s="12">
        <v>3269</v>
      </c>
      <c r="M86" s="12">
        <f t="shared" si="39"/>
        <v>2353</v>
      </c>
      <c r="N86" s="10">
        <v>149.32916537867078</v>
      </c>
      <c r="O86" s="10">
        <v>153.42767513000919</v>
      </c>
      <c r="P86" s="10">
        <f t="shared" si="40"/>
        <v>144.47315342116451</v>
      </c>
      <c r="Q86" s="12">
        <v>495.1590700520037</v>
      </c>
      <c r="R86" s="25">
        <f t="shared" si="41"/>
        <v>-0.5</v>
      </c>
      <c r="S86" s="28">
        <v>0.67912888758675416</v>
      </c>
      <c r="T86" s="34">
        <f t="shared" si="23"/>
        <v>2.6249303707936891</v>
      </c>
      <c r="U86" s="37">
        <f t="shared" si="24"/>
        <v>3.7092380346163809</v>
      </c>
      <c r="V86" s="37">
        <f t="shared" si="25"/>
        <v>1.2962523242712787</v>
      </c>
      <c r="W86" s="34">
        <f t="shared" si="26"/>
        <v>1.3124651853968445</v>
      </c>
      <c r="X86" s="34">
        <f t="shared" si="27"/>
        <v>1.8546190173081905</v>
      </c>
      <c r="Y86" s="34">
        <f t="shared" si="28"/>
        <v>0.64812616213563934</v>
      </c>
      <c r="Z86" s="14">
        <v>5655</v>
      </c>
      <c r="AA86" s="12">
        <v>3037</v>
      </c>
      <c r="AB86" s="12">
        <v>5181</v>
      </c>
      <c r="AC86" s="12">
        <v>2828</v>
      </c>
      <c r="AD86" s="12">
        <f t="shared" si="42"/>
        <v>1907</v>
      </c>
      <c r="AE86" s="10">
        <v>149.90393167342214</v>
      </c>
      <c r="AF86" s="10">
        <v>154.42253889674683</v>
      </c>
      <c r="AG86" s="10">
        <f t="shared" si="43"/>
        <v>142.30345568956474</v>
      </c>
      <c r="AH86" s="12">
        <v>501.74009900990097</v>
      </c>
      <c r="AI86" s="25">
        <f t="shared" si="44"/>
        <v>-0.5</v>
      </c>
      <c r="AJ86" s="28">
        <v>0.68253968253968256</v>
      </c>
      <c r="AK86" s="34">
        <f t="shared" si="29"/>
        <v>2.2219101193716866</v>
      </c>
      <c r="AL86" s="37">
        <f t="shared" si="30"/>
        <v>3.1368097592163222</v>
      </c>
      <c r="AM86" s="37">
        <f t="shared" si="31"/>
        <v>1.1118486060798245</v>
      </c>
      <c r="AN86" s="34">
        <f t="shared" si="45"/>
        <v>1.1109550596858433</v>
      </c>
      <c r="AO86" s="34">
        <f t="shared" si="37"/>
        <v>1.5684048796081611</v>
      </c>
      <c r="AP86" s="34">
        <f t="shared" si="38"/>
        <v>0.55592430303991225</v>
      </c>
      <c r="AS86" s="43">
        <f t="shared" si="32"/>
        <v>10.217683329211033</v>
      </c>
      <c r="AV86" s="43">
        <f t="shared" si="33"/>
        <v>-6.7946594322946821</v>
      </c>
      <c r="AY86" s="12">
        <f t="shared" si="34"/>
        <v>538646.87621030957</v>
      </c>
      <c r="AZ86" s="5">
        <f t="shared" si="35"/>
        <v>758435.32159999781</v>
      </c>
    </row>
    <row r="87" spans="1:52" x14ac:dyDescent="0.2">
      <c r="A87" s="2">
        <v>80</v>
      </c>
      <c r="B87" s="2">
        <v>951</v>
      </c>
      <c r="C87" t="s">
        <v>84</v>
      </c>
      <c r="D87" s="5">
        <v>9823</v>
      </c>
      <c r="E87" s="3">
        <v>2.2794929913770513E-4</v>
      </c>
      <c r="F87" s="3">
        <v>0.64592905822386171</v>
      </c>
      <c r="G87" s="11">
        <f t="shared" si="36"/>
        <v>77.21015184770414</v>
      </c>
      <c r="H87" s="12">
        <v>2407</v>
      </c>
      <c r="I87" s="12">
        <v>5091</v>
      </c>
      <c r="J87" s="12">
        <v>1700</v>
      </c>
      <c r="K87" s="12">
        <v>4574</v>
      </c>
      <c r="L87" s="12">
        <v>1521</v>
      </c>
      <c r="M87" s="12">
        <f t="shared" si="39"/>
        <v>678</v>
      </c>
      <c r="N87" s="10">
        <v>228.11649978137297</v>
      </c>
      <c r="O87" s="10">
        <v>243.87003287310972</v>
      </c>
      <c r="P87" s="10">
        <f t="shared" si="40"/>
        <v>223.09421828908572</v>
      </c>
      <c r="Q87" s="12">
        <v>2500.9697567389876</v>
      </c>
      <c r="R87" s="25">
        <f t="shared" si="41"/>
        <v>-0.10000000000000009</v>
      </c>
      <c r="S87" s="28">
        <v>0.66812545913932053</v>
      </c>
      <c r="T87" s="34">
        <f t="shared" si="23"/>
        <v>1.114436699262189</v>
      </c>
      <c r="U87" s="37">
        <f t="shared" si="24"/>
        <v>2.5005294078574498</v>
      </c>
      <c r="V87" s="37">
        <f t="shared" si="25"/>
        <v>2.7975646481459395</v>
      </c>
      <c r="W87" s="34">
        <f t="shared" si="26"/>
        <v>0.111443669926219</v>
      </c>
      <c r="X87" s="34">
        <f t="shared" si="27"/>
        <v>0.25005294078574519</v>
      </c>
      <c r="Y87" s="34">
        <f t="shared" si="28"/>
        <v>0.27975646481459421</v>
      </c>
      <c r="Z87" s="14">
        <v>5045</v>
      </c>
      <c r="AA87" s="12">
        <v>4305</v>
      </c>
      <c r="AB87" s="12">
        <v>4538</v>
      </c>
      <c r="AC87" s="12">
        <v>3860</v>
      </c>
      <c r="AD87" s="12">
        <f t="shared" si="42"/>
        <v>3053</v>
      </c>
      <c r="AE87" s="10">
        <v>224.21502203613926</v>
      </c>
      <c r="AF87" s="10">
        <v>224.41188860103625</v>
      </c>
      <c r="AG87" s="10">
        <f t="shared" si="43"/>
        <v>220.26811333114969</v>
      </c>
      <c r="AH87" s="12">
        <v>2505.4012953367874</v>
      </c>
      <c r="AI87" s="25">
        <f t="shared" si="44"/>
        <v>-0.10000000000000009</v>
      </c>
      <c r="AJ87" s="28">
        <v>0.8</v>
      </c>
      <c r="AK87" s="34">
        <f t="shared" si="29"/>
        <v>4.1956442485793888</v>
      </c>
      <c r="AL87" s="37">
        <f t="shared" si="30"/>
        <v>8.8225990217530459</v>
      </c>
      <c r="AM87" s="37">
        <f t="shared" si="31"/>
        <v>10.553666557992672</v>
      </c>
      <c r="AN87" s="34">
        <f t="shared" si="45"/>
        <v>0.41956442485793927</v>
      </c>
      <c r="AO87" s="34">
        <f t="shared" si="37"/>
        <v>0.88225990217530537</v>
      </c>
      <c r="AP87" s="34">
        <f t="shared" si="38"/>
        <v>1.0553666557992682</v>
      </c>
      <c r="AS87" s="43">
        <f t="shared" si="32"/>
        <v>12.393070180341246</v>
      </c>
      <c r="AV87" s="43">
        <f t="shared" si="33"/>
        <v>-11.260757337380193</v>
      </c>
      <c r="AY87" s="12">
        <f t="shared" si="34"/>
        <v>574244.84582661907</v>
      </c>
      <c r="AZ87" s="5">
        <f t="shared" si="35"/>
        <v>758435.32159999781</v>
      </c>
    </row>
    <row r="88" spans="1:52" x14ac:dyDescent="0.2">
      <c r="A88" s="2">
        <v>81</v>
      </c>
      <c r="B88" s="5">
        <v>1029</v>
      </c>
      <c r="C88" t="s">
        <v>85</v>
      </c>
      <c r="D88" s="5">
        <v>8945</v>
      </c>
      <c r="E88" s="3">
        <v>2.0757472063389723E-4</v>
      </c>
      <c r="F88" s="3">
        <v>0.66352905822386166</v>
      </c>
      <c r="G88" s="11">
        <f t="shared" si="36"/>
        <v>84.788744728898578</v>
      </c>
      <c r="H88" s="12">
        <v>1520</v>
      </c>
      <c r="I88" s="12">
        <v>4632</v>
      </c>
      <c r="J88" s="12">
        <v>3238</v>
      </c>
      <c r="K88" s="12">
        <v>4016</v>
      </c>
      <c r="L88" s="12">
        <v>2774</v>
      </c>
      <c r="M88" s="12">
        <f t="shared" si="39"/>
        <v>1933</v>
      </c>
      <c r="N88" s="10">
        <v>226.56519920318723</v>
      </c>
      <c r="O88" s="10">
        <v>230.78085436193223</v>
      </c>
      <c r="P88" s="10">
        <f t="shared" si="40"/>
        <v>208.29937920331088</v>
      </c>
      <c r="Q88" s="12">
        <v>1600.2916366258112</v>
      </c>
      <c r="R88" s="25">
        <f t="shared" si="41"/>
        <v>-0.10000000000000009</v>
      </c>
      <c r="S88" s="27">
        <v>0.70243958011632612</v>
      </c>
      <c r="T88" s="34">
        <f t="shared" si="23"/>
        <v>2.7546552666565565</v>
      </c>
      <c r="U88" s="37">
        <f t="shared" si="24"/>
        <v>5.7654870997870118</v>
      </c>
      <c r="V88" s="37">
        <f t="shared" si="25"/>
        <v>4.4152864661229261</v>
      </c>
      <c r="W88" s="34">
        <f t="shared" si="26"/>
        <v>0.27546552666565588</v>
      </c>
      <c r="X88" s="34">
        <f t="shared" si="27"/>
        <v>0.57654870997870167</v>
      </c>
      <c r="Y88" s="34">
        <f t="shared" si="28"/>
        <v>0.44152864661229302</v>
      </c>
      <c r="Z88" s="14">
        <v>4661</v>
      </c>
      <c r="AA88" s="12">
        <v>2356</v>
      </c>
      <c r="AB88" s="12">
        <v>4029</v>
      </c>
      <c r="AC88" s="12">
        <v>2096</v>
      </c>
      <c r="AD88" s="12">
        <f t="shared" si="42"/>
        <v>1242</v>
      </c>
      <c r="AE88" s="10">
        <v>230.06114172251179</v>
      </c>
      <c r="AF88" s="10">
        <v>250.13055343511451</v>
      </c>
      <c r="AG88" s="10">
        <f t="shared" si="43"/>
        <v>217.14955716586152</v>
      </c>
      <c r="AH88" s="12">
        <v>1600.1999045801526</v>
      </c>
      <c r="AI88" s="25">
        <f t="shared" si="44"/>
        <v>-0.10000000000000009</v>
      </c>
      <c r="AJ88" s="27">
        <v>0.70243958011632612</v>
      </c>
      <c r="AK88" s="34">
        <f t="shared" si="29"/>
        <v>1.9531369067366882</v>
      </c>
      <c r="AL88" s="37">
        <f t="shared" si="30"/>
        <v>4.3896403527746504</v>
      </c>
      <c r="AM88" s="37">
        <f t="shared" si="31"/>
        <v>3.1300623624406159</v>
      </c>
      <c r="AN88" s="34">
        <f t="shared" si="45"/>
        <v>0.19531369067366899</v>
      </c>
      <c r="AO88" s="34">
        <f t="shared" si="37"/>
        <v>0.43896403527746541</v>
      </c>
      <c r="AP88" s="34">
        <f t="shared" si="38"/>
        <v>0.31300623624406188</v>
      </c>
      <c r="AS88" s="43">
        <f t="shared" si="32"/>
        <v>11.114702795456667</v>
      </c>
      <c r="AV88" s="43">
        <f t="shared" si="33"/>
        <v>-10.099190050200502</v>
      </c>
      <c r="AY88" s="12">
        <f t="shared" si="34"/>
        <v>553481.51049568655</v>
      </c>
      <c r="AZ88" s="5">
        <f t="shared" si="35"/>
        <v>758435.32159999781</v>
      </c>
    </row>
    <row r="89" spans="1:52" x14ac:dyDescent="0.2">
      <c r="A89" s="2">
        <v>82</v>
      </c>
      <c r="B89" s="5">
        <v>1115</v>
      </c>
      <c r="C89" t="s">
        <v>86</v>
      </c>
      <c r="D89" s="5">
        <v>8058</v>
      </c>
      <c r="E89" s="3">
        <v>1.8699129109759014E-4</v>
      </c>
      <c r="F89" s="3">
        <v>0.68112905822386161</v>
      </c>
      <c r="G89" s="11">
        <f t="shared" si="36"/>
        <v>94.12203047902679</v>
      </c>
      <c r="H89" s="12">
        <v>604</v>
      </c>
      <c r="I89" s="12">
        <v>4185</v>
      </c>
      <c r="J89" s="12">
        <v>3597</v>
      </c>
      <c r="K89" s="12">
        <v>4116</v>
      </c>
      <c r="L89" s="12">
        <v>3534</v>
      </c>
      <c r="M89" s="12">
        <f t="shared" si="39"/>
        <v>2739</v>
      </c>
      <c r="N89" s="10">
        <v>99.554725461613216</v>
      </c>
      <c r="O89" s="10">
        <v>100.65547255234861</v>
      </c>
      <c r="P89" s="10">
        <f t="shared" si="40"/>
        <v>99.591113545089442</v>
      </c>
      <c r="Q89" s="12">
        <v>637.93463497453308</v>
      </c>
      <c r="R89" s="25">
        <f t="shared" si="41"/>
        <v>-0.5</v>
      </c>
      <c r="S89" s="28">
        <v>0.68777595093384569</v>
      </c>
      <c r="T89" s="34">
        <f t="shared" si="23"/>
        <v>4.0115091229297013</v>
      </c>
      <c r="U89" s="37">
        <f t="shared" si="24"/>
        <v>3.784341747694183</v>
      </c>
      <c r="V89" s="37">
        <f t="shared" si="25"/>
        <v>2.5516691039575399</v>
      </c>
      <c r="W89" s="34">
        <f t="shared" si="26"/>
        <v>2.0057545614648506</v>
      </c>
      <c r="X89" s="34">
        <f t="shared" si="27"/>
        <v>1.8921708738470915</v>
      </c>
      <c r="Y89" s="34">
        <f t="shared" si="28"/>
        <v>1.2758345519787699</v>
      </c>
      <c r="Z89" s="14">
        <v>4151</v>
      </c>
      <c r="AA89" s="12">
        <v>1371</v>
      </c>
      <c r="AB89" s="12">
        <v>4073</v>
      </c>
      <c r="AC89" s="12">
        <v>1334</v>
      </c>
      <c r="AD89" s="12">
        <f t="shared" si="42"/>
        <v>582</v>
      </c>
      <c r="AE89" s="10">
        <v>101.39154431622883</v>
      </c>
      <c r="AF89" s="10">
        <v>105.08823088455773</v>
      </c>
      <c r="AG89" s="10">
        <f t="shared" si="43"/>
        <v>92.87080756013745</v>
      </c>
      <c r="AH89" s="12">
        <v>636.80209895052474</v>
      </c>
      <c r="AI89" s="25">
        <f t="shared" si="44"/>
        <v>-0.5</v>
      </c>
      <c r="AJ89" s="28">
        <v>0.76222106127322942</v>
      </c>
      <c r="AK89" s="34">
        <f t="shared" si="29"/>
        <v>1.3577891203060262</v>
      </c>
      <c r="AL89" s="37">
        <f t="shared" si="30"/>
        <v>1.2961545298148787</v>
      </c>
      <c r="AM89" s="37">
        <f t="shared" si="31"/>
        <v>0.86215246342879215</v>
      </c>
      <c r="AN89" s="34">
        <f t="shared" si="45"/>
        <v>0.67889456015301308</v>
      </c>
      <c r="AO89" s="34">
        <f t="shared" si="37"/>
        <v>0.64807726490743933</v>
      </c>
      <c r="AP89" s="34">
        <f t="shared" si="38"/>
        <v>0.43107623171439607</v>
      </c>
      <c r="AS89" s="43">
        <f t="shared" si="32"/>
        <v>7.5826087813157326</v>
      </c>
      <c r="AV89" s="43">
        <f t="shared" si="33"/>
        <v>-5.0423606425612011</v>
      </c>
      <c r="AY89" s="12">
        <f t="shared" si="34"/>
        <v>568715.61356596602</v>
      </c>
      <c r="AZ89" s="5">
        <f t="shared" si="35"/>
        <v>758435.32159999793</v>
      </c>
    </row>
    <row r="90" spans="1:52" x14ac:dyDescent="0.2">
      <c r="A90" s="2">
        <v>83</v>
      </c>
      <c r="B90" s="5">
        <v>1211</v>
      </c>
      <c r="C90" t="s">
        <v>87</v>
      </c>
      <c r="D90" s="5">
        <v>7318</v>
      </c>
      <c r="E90" s="3">
        <v>1.6981909509210285E-4</v>
      </c>
      <c r="F90" s="3">
        <v>0.69872905822386155</v>
      </c>
      <c r="G90" s="11">
        <f t="shared" si="36"/>
        <v>103.63969959005162</v>
      </c>
      <c r="H90" s="12">
        <v>2355</v>
      </c>
      <c r="I90" s="12">
        <v>3790</v>
      </c>
      <c r="J90" s="12">
        <v>541</v>
      </c>
      <c r="K90" s="12">
        <v>3508</v>
      </c>
      <c r="L90" s="12">
        <v>431</v>
      </c>
      <c r="M90" s="12">
        <f t="shared" si="39"/>
        <v>168</v>
      </c>
      <c r="N90" s="10">
        <v>264.38532782212087</v>
      </c>
      <c r="O90" s="10">
        <v>296.4891415313225</v>
      </c>
      <c r="P90" s="10">
        <f t="shared" si="40"/>
        <v>236.3847023809524</v>
      </c>
      <c r="Q90" s="12">
        <v>2544.3549883990718</v>
      </c>
      <c r="R90" s="25">
        <f t="shared" si="41"/>
        <v>-0.10000000000000009</v>
      </c>
      <c r="S90" s="28">
        <v>0.64265812203956529</v>
      </c>
      <c r="T90" s="34">
        <f t="shared" si="23"/>
        <v>0.39181115636125119</v>
      </c>
      <c r="U90" s="37">
        <f t="shared" si="24"/>
        <v>1.0356078727891116</v>
      </c>
      <c r="V90" s="37">
        <f t="shared" si="25"/>
        <v>1.000179318478672</v>
      </c>
      <c r="W90" s="34">
        <f t="shared" si="26"/>
        <v>3.9181115636125155E-2</v>
      </c>
      <c r="X90" s="34">
        <f t="shared" si="27"/>
        <v>0.10356078727891126</v>
      </c>
      <c r="Y90" s="34">
        <f t="shared" si="28"/>
        <v>0.10001793184786729</v>
      </c>
      <c r="Z90" s="14">
        <v>3693</v>
      </c>
      <c r="AA90" s="12">
        <v>3512</v>
      </c>
      <c r="AB90" s="12">
        <v>3450</v>
      </c>
      <c r="AC90" s="12">
        <v>3282</v>
      </c>
      <c r="AD90" s="12">
        <f t="shared" si="42"/>
        <v>3077</v>
      </c>
      <c r="AE90" s="10">
        <v>261.48987826086955</v>
      </c>
      <c r="AF90" s="10">
        <v>262.77496953077389</v>
      </c>
      <c r="AG90" s="10">
        <f t="shared" si="43"/>
        <v>259.88849853753658</v>
      </c>
      <c r="AH90" s="12">
        <v>2518.5170627666057</v>
      </c>
      <c r="AI90" s="25">
        <f t="shared" si="44"/>
        <v>-0.10000000000000009</v>
      </c>
      <c r="AJ90" s="28">
        <v>0.95425375870920415</v>
      </c>
      <c r="AK90" s="34">
        <f t="shared" si="29"/>
        <v>6.1769879833988961</v>
      </c>
      <c r="AL90" s="37">
        <f t="shared" si="30"/>
        <v>15.258931569527176</v>
      </c>
      <c r="AM90" s="37">
        <f t="shared" si="31"/>
        <v>15.610034286166423</v>
      </c>
      <c r="AN90" s="34">
        <f t="shared" si="45"/>
        <v>0.61769879833989016</v>
      </c>
      <c r="AO90" s="34">
        <f t="shared" si="37"/>
        <v>1.525893156952719</v>
      </c>
      <c r="AP90" s="34">
        <f t="shared" si="38"/>
        <v>1.5610034286166437</v>
      </c>
      <c r="AS90" s="43">
        <f t="shared" si="32"/>
        <v>17.834238313228308</v>
      </c>
      <c r="AV90" s="43">
        <f t="shared" si="33"/>
        <v>-16.20478436899668</v>
      </c>
      <c r="AY90" s="12">
        <f t="shared" si="34"/>
        <v>617664.98060602997</v>
      </c>
      <c r="AZ90" s="5">
        <f t="shared" si="35"/>
        <v>758435.32159999781</v>
      </c>
    </row>
    <row r="91" spans="1:52" x14ac:dyDescent="0.2">
      <c r="A91" s="2">
        <v>84</v>
      </c>
      <c r="B91" s="5">
        <v>1318</v>
      </c>
      <c r="C91" t="s">
        <v>88</v>
      </c>
      <c r="D91" s="5">
        <v>6505</v>
      </c>
      <c r="E91" s="3">
        <v>1.509528851563445E-4</v>
      </c>
      <c r="F91" s="3">
        <v>0.7163290582238615</v>
      </c>
      <c r="G91" s="11">
        <f t="shared" si="36"/>
        <v>116.59267049961534</v>
      </c>
      <c r="H91" s="12">
        <v>2282</v>
      </c>
      <c r="I91" s="12">
        <v>3388</v>
      </c>
      <c r="J91" s="12">
        <v>1745</v>
      </c>
      <c r="K91" s="12">
        <v>3215</v>
      </c>
      <c r="L91" s="12">
        <v>1641</v>
      </c>
      <c r="M91" s="12">
        <f t="shared" si="39"/>
        <v>1174</v>
      </c>
      <c r="N91" s="10">
        <v>257.82893312597196</v>
      </c>
      <c r="O91" s="10">
        <v>276.59927483241927</v>
      </c>
      <c r="P91" s="10">
        <f t="shared" si="40"/>
        <v>243.04266609880747</v>
      </c>
      <c r="Q91" s="12">
        <v>2504.0207190737356</v>
      </c>
      <c r="R91" s="25">
        <f t="shared" si="41"/>
        <v>-0.10000000000000009</v>
      </c>
      <c r="S91" s="28">
        <v>0.78176548080938435</v>
      </c>
      <c r="T91" s="34">
        <f t="shared" si="23"/>
        <v>2.5201328058350252</v>
      </c>
      <c r="U91" s="37">
        <f t="shared" si="24"/>
        <v>6.2546644606664943</v>
      </c>
      <c r="V91" s="37">
        <f t="shared" si="25"/>
        <v>6.3318186580214082</v>
      </c>
      <c r="W91" s="34">
        <f t="shared" si="26"/>
        <v>0.25201328058350275</v>
      </c>
      <c r="X91" s="34">
        <f t="shared" si="27"/>
        <v>0.62546644606665003</v>
      </c>
      <c r="Y91" s="34">
        <f t="shared" si="28"/>
        <v>0.63318186580214142</v>
      </c>
      <c r="Z91" s="14">
        <v>3348</v>
      </c>
      <c r="AA91" s="12">
        <v>2093</v>
      </c>
      <c r="AB91" s="12">
        <v>3179</v>
      </c>
      <c r="AC91" s="12">
        <v>2005</v>
      </c>
      <c r="AD91" s="12">
        <f t="shared" si="42"/>
        <v>1574</v>
      </c>
      <c r="AE91" s="10">
        <v>247.31183705567787</v>
      </c>
      <c r="AF91" s="10">
        <v>249.81159102244388</v>
      </c>
      <c r="AG91" s="10">
        <f t="shared" si="43"/>
        <v>238.25959974587025</v>
      </c>
      <c r="AH91" s="12">
        <v>2566.1246882793016</v>
      </c>
      <c r="AI91" s="25">
        <f t="shared" si="44"/>
        <v>-0.10000000000000009</v>
      </c>
      <c r="AJ91" s="28">
        <v>0.61780258519388953</v>
      </c>
      <c r="AK91" s="34">
        <f t="shared" si="29"/>
        <v>2.5324877233005569</v>
      </c>
      <c r="AL91" s="37">
        <f t="shared" si="30"/>
        <v>5.85662968020823</v>
      </c>
      <c r="AM91" s="37">
        <f t="shared" si="31"/>
        <v>6.5231813366120024</v>
      </c>
      <c r="AN91" s="34">
        <f t="shared" si="45"/>
        <v>0.25324877233005594</v>
      </c>
      <c r="AO91" s="34">
        <f t="shared" si="37"/>
        <v>0.58566296802082352</v>
      </c>
      <c r="AP91" s="34">
        <f t="shared" si="38"/>
        <v>0.65231813366120084</v>
      </c>
      <c r="AS91" s="43">
        <f t="shared" si="32"/>
        <v>13.25571101623364</v>
      </c>
      <c r="AV91" s="43">
        <f t="shared" si="33"/>
        <v>-12.044581602146165</v>
      </c>
      <c r="AY91" s="12">
        <f t="shared" si="34"/>
        <v>549970.48375812371</v>
      </c>
      <c r="AZ91" s="5">
        <f t="shared" si="35"/>
        <v>758435.32159999781</v>
      </c>
    </row>
    <row r="92" spans="1:52" x14ac:dyDescent="0.2">
      <c r="A92" s="2">
        <v>85</v>
      </c>
      <c r="B92" s="5">
        <v>1437</v>
      </c>
      <c r="C92" t="s">
        <v>89</v>
      </c>
      <c r="D92" s="5">
        <v>5800</v>
      </c>
      <c r="E92" s="3">
        <v>1.3459288761057619E-4</v>
      </c>
      <c r="F92" s="3">
        <v>0.73392905822386145</v>
      </c>
      <c r="G92" s="11">
        <f t="shared" si="36"/>
        <v>130.76471062068927</v>
      </c>
      <c r="H92" s="12">
        <v>1793</v>
      </c>
      <c r="I92" s="12">
        <v>3023</v>
      </c>
      <c r="J92" s="12">
        <v>1963</v>
      </c>
      <c r="K92" s="12">
        <v>2789</v>
      </c>
      <c r="L92" s="12">
        <v>1825</v>
      </c>
      <c r="M92" s="12">
        <f t="shared" si="39"/>
        <v>1309</v>
      </c>
      <c r="N92" s="10">
        <v>229.88378988884901</v>
      </c>
      <c r="O92" s="10">
        <v>229.25768767123287</v>
      </c>
      <c r="P92" s="10">
        <f t="shared" si="40"/>
        <v>212.82822765469817</v>
      </c>
      <c r="Q92" s="12">
        <v>1937.7238356164385</v>
      </c>
      <c r="R92" s="25">
        <f t="shared" si="41"/>
        <v>-0.10000000000000009</v>
      </c>
      <c r="S92" s="28">
        <v>0.55313588850174222</v>
      </c>
      <c r="T92" s="34">
        <f t="shared" si="23"/>
        <v>2.2273655533837551</v>
      </c>
      <c r="U92" s="37">
        <f t="shared" si="24"/>
        <v>4.6797553771016362</v>
      </c>
      <c r="V92" s="37">
        <f t="shared" si="25"/>
        <v>4.3267363391997256</v>
      </c>
      <c r="W92" s="34">
        <f t="shared" si="26"/>
        <v>0.22273655533837572</v>
      </c>
      <c r="X92" s="34">
        <f t="shared" si="27"/>
        <v>0.46797553771016404</v>
      </c>
      <c r="Y92" s="34">
        <f t="shared" si="28"/>
        <v>0.43267363391997293</v>
      </c>
      <c r="Z92" s="14">
        <v>2989</v>
      </c>
      <c r="AA92" s="12">
        <v>1593</v>
      </c>
      <c r="AB92" s="12">
        <v>2768</v>
      </c>
      <c r="AC92" s="12">
        <v>1459</v>
      </c>
      <c r="AD92" s="12">
        <f t="shared" si="42"/>
        <v>964</v>
      </c>
      <c r="AE92" s="10">
        <v>227.05394869942194</v>
      </c>
      <c r="AF92" s="10">
        <v>239.81712131596987</v>
      </c>
      <c r="AG92" s="10">
        <f t="shared" si="43"/>
        <v>231.06909751037338</v>
      </c>
      <c r="AH92" s="12">
        <v>1921.9890335846471</v>
      </c>
      <c r="AI92" s="25">
        <f t="shared" si="44"/>
        <v>-0.10000000000000009</v>
      </c>
      <c r="AJ92" s="28">
        <v>0.67912888758675416</v>
      </c>
      <c r="AK92" s="34">
        <f t="shared" si="29"/>
        <v>2.1139639475011331</v>
      </c>
      <c r="AL92" s="37">
        <f t="shared" si="30"/>
        <v>4.7206644182949837</v>
      </c>
      <c r="AM92" s="37">
        <f t="shared" si="31"/>
        <v>4.0723358082586261</v>
      </c>
      <c r="AN92" s="34">
        <f t="shared" si="45"/>
        <v>0.21139639475011351</v>
      </c>
      <c r="AO92" s="34">
        <f t="shared" si="37"/>
        <v>0.47206644182949881</v>
      </c>
      <c r="AP92" s="34">
        <f t="shared" si="38"/>
        <v>0.40723358082586297</v>
      </c>
      <c r="AS92" s="43">
        <f t="shared" si="32"/>
        <v>10.28868152235794</v>
      </c>
      <c r="AV92" s="43">
        <f t="shared" si="33"/>
        <v>-9.348639542818276</v>
      </c>
      <c r="AY92" s="12">
        <f t="shared" si="34"/>
        <v>484096.97859384678</v>
      </c>
      <c r="AZ92" s="5">
        <f t="shared" si="35"/>
        <v>758435.32159999781</v>
      </c>
    </row>
    <row r="93" spans="1:52" x14ac:dyDescent="0.2">
      <c r="A93" s="2">
        <v>86</v>
      </c>
      <c r="B93" s="5">
        <v>1572</v>
      </c>
      <c r="C93" t="s">
        <v>90</v>
      </c>
      <c r="D93" s="5">
        <v>5142</v>
      </c>
      <c r="E93" s="3">
        <v>1.1932355656785908E-4</v>
      </c>
      <c r="F93" s="3">
        <v>0.7515290582238614</v>
      </c>
      <c r="G93" s="11">
        <f t="shared" si="36"/>
        <v>147.49811777518434</v>
      </c>
      <c r="H93" s="12">
        <v>2196</v>
      </c>
      <c r="I93" s="12">
        <v>2687</v>
      </c>
      <c r="J93" s="12">
        <v>2048</v>
      </c>
      <c r="K93" s="12">
        <v>2483</v>
      </c>
      <c r="L93" s="12">
        <v>1906</v>
      </c>
      <c r="M93" s="12">
        <f t="shared" si="39"/>
        <v>1341</v>
      </c>
      <c r="N93" s="10">
        <v>211.862686266613</v>
      </c>
      <c r="O93" s="10">
        <v>209.97053515215109</v>
      </c>
      <c r="P93" s="10">
        <f t="shared" si="40"/>
        <v>200.17495898583147</v>
      </c>
      <c r="Q93" s="12">
        <v>2385.8530954879329</v>
      </c>
      <c r="R93" s="25">
        <f t="shared" si="41"/>
        <v>-0.10000000000000009</v>
      </c>
      <c r="S93" s="28">
        <v>0.56965611766285018</v>
      </c>
      <c r="T93" s="34">
        <f t="shared" si="23"/>
        <v>2.6812812260810688</v>
      </c>
      <c r="U93" s="37">
        <f t="shared" si="24"/>
        <v>5.2151452593103294</v>
      </c>
      <c r="V93" s="37">
        <f t="shared" si="25"/>
        <v>6.4225322761601511</v>
      </c>
      <c r="W93" s="34">
        <f t="shared" si="26"/>
        <v>0.26812812260810709</v>
      </c>
      <c r="X93" s="34">
        <f t="shared" si="27"/>
        <v>0.52151452593103342</v>
      </c>
      <c r="Y93" s="34">
        <f t="shared" si="28"/>
        <v>0.64225322761601567</v>
      </c>
      <c r="Z93" s="14">
        <v>2630</v>
      </c>
      <c r="AA93" s="12">
        <v>1217</v>
      </c>
      <c r="AB93" s="12">
        <v>2442</v>
      </c>
      <c r="AC93" s="12">
        <v>1101</v>
      </c>
      <c r="AD93" s="12">
        <f t="shared" si="42"/>
        <v>577</v>
      </c>
      <c r="AE93" s="10">
        <v>215.46611793611794</v>
      </c>
      <c r="AF93" s="10">
        <v>234.0904995458674</v>
      </c>
      <c r="AG93" s="10">
        <f t="shared" si="43"/>
        <v>218.11301559792042</v>
      </c>
      <c r="AH93" s="12">
        <v>2416</v>
      </c>
      <c r="AI93" s="25">
        <f t="shared" si="44"/>
        <v>-0.10000000000000009</v>
      </c>
      <c r="AJ93" s="28">
        <v>0.68444330455955149</v>
      </c>
      <c r="AK93" s="34">
        <f t="shared" si="29"/>
        <v>1.6643884318486291</v>
      </c>
      <c r="AL93" s="37">
        <f t="shared" si="30"/>
        <v>3.5946881143038807</v>
      </c>
      <c r="AM93" s="37">
        <f t="shared" si="31"/>
        <v>4.0358479333559645</v>
      </c>
      <c r="AN93" s="34">
        <f t="shared" si="45"/>
        <v>0.16643884318486304</v>
      </c>
      <c r="AO93" s="34">
        <f t="shared" si="37"/>
        <v>0.35946881143038839</v>
      </c>
      <c r="AP93" s="34">
        <f t="shared" si="38"/>
        <v>0.40358479333559683</v>
      </c>
      <c r="AS93" s="43">
        <f t="shared" si="32"/>
        <v>9.6422895805721307</v>
      </c>
      <c r="AV93" s="43">
        <f t="shared" si="33"/>
        <v>-8.7613062432107096</v>
      </c>
      <c r="AY93" s="12">
        <f t="shared" si="34"/>
        <v>491279.63295103383</v>
      </c>
      <c r="AZ93" s="5">
        <f t="shared" si="35"/>
        <v>758435.32159999793</v>
      </c>
    </row>
    <row r="94" spans="1:52" x14ac:dyDescent="0.2">
      <c r="A94" s="2">
        <v>87</v>
      </c>
      <c r="B94" s="5">
        <v>1725</v>
      </c>
      <c r="C94" t="s">
        <v>91</v>
      </c>
      <c r="D94" s="5">
        <v>4546</v>
      </c>
      <c r="E94" s="3">
        <v>1.054929770823585E-4</v>
      </c>
      <c r="F94" s="3">
        <v>0.76912905822386135</v>
      </c>
      <c r="G94" s="11">
        <f t="shared" si="36"/>
        <v>166.83575046194409</v>
      </c>
      <c r="H94" s="12">
        <v>355</v>
      </c>
      <c r="I94" s="12">
        <v>2344</v>
      </c>
      <c r="J94" s="12">
        <v>1478</v>
      </c>
      <c r="K94" s="12">
        <v>2305</v>
      </c>
      <c r="L94" s="12">
        <v>1463</v>
      </c>
      <c r="M94" s="12">
        <f t="shared" si="39"/>
        <v>1098</v>
      </c>
      <c r="N94" s="10">
        <v>118.43015618221258</v>
      </c>
      <c r="O94" s="10">
        <v>122.19919343814081</v>
      </c>
      <c r="P94" s="10">
        <f t="shared" si="40"/>
        <v>113.9493989071038</v>
      </c>
      <c r="Q94" s="12">
        <v>355</v>
      </c>
      <c r="R94" s="25">
        <f t="shared" si="41"/>
        <v>-0.5</v>
      </c>
      <c r="S94" s="27">
        <v>0.3611111111111111</v>
      </c>
      <c r="T94" s="34">
        <f t="shared" si="23"/>
        <v>1.5222820871324763</v>
      </c>
      <c r="U94" s="37">
        <f t="shared" si="24"/>
        <v>1.7029469063106923</v>
      </c>
      <c r="V94" s="37">
        <f t="shared" si="25"/>
        <v>0.53806059172325327</v>
      </c>
      <c r="W94" s="34">
        <f t="shared" si="26"/>
        <v>0.76114104356623813</v>
      </c>
      <c r="X94" s="34">
        <f t="shared" si="27"/>
        <v>0.85147345315534617</v>
      </c>
      <c r="Y94" s="34">
        <f t="shared" si="28"/>
        <v>0.26903029586162663</v>
      </c>
      <c r="Z94" s="14">
        <v>2320</v>
      </c>
      <c r="AA94" s="12">
        <v>1205</v>
      </c>
      <c r="AB94" s="12">
        <v>2277</v>
      </c>
      <c r="AC94" s="12">
        <v>1179</v>
      </c>
      <c r="AD94" s="12">
        <f t="shared" si="42"/>
        <v>842</v>
      </c>
      <c r="AE94" s="10">
        <v>119.9657048748353</v>
      </c>
      <c r="AF94" s="10">
        <v>125.56867684478371</v>
      </c>
      <c r="AG94" s="10">
        <f t="shared" si="43"/>
        <v>111.88134204275534</v>
      </c>
      <c r="AH94" s="12">
        <v>354.55216284987279</v>
      </c>
      <c r="AI94" s="25">
        <f t="shared" si="44"/>
        <v>-0.5</v>
      </c>
      <c r="AJ94" s="27">
        <v>0.65446224256292906</v>
      </c>
      <c r="AK94" s="34">
        <f t="shared" si="29"/>
        <v>2.177068332444005</v>
      </c>
      <c r="AL94" s="37">
        <f t="shared" si="30"/>
        <v>2.4602878618450559</v>
      </c>
      <c r="AM94" s="37">
        <f t="shared" si="31"/>
        <v>0.76855300020341577</v>
      </c>
      <c r="AN94" s="34">
        <f t="shared" si="45"/>
        <v>1.0885341662220025</v>
      </c>
      <c r="AO94" s="34">
        <f t="shared" si="37"/>
        <v>1.2301439309225279</v>
      </c>
      <c r="AP94" s="34">
        <f t="shared" si="38"/>
        <v>0.38427650010170789</v>
      </c>
      <c r="AS94" s="43">
        <f t="shared" si="32"/>
        <v>6.2136017403351858</v>
      </c>
      <c r="AV94" s="43">
        <f t="shared" si="33"/>
        <v>-4.1319843562573126</v>
      </c>
      <c r="AY94" s="12">
        <f t="shared" si="34"/>
        <v>394532.65669105639</v>
      </c>
      <c r="AZ94" s="5">
        <f t="shared" si="35"/>
        <v>758435.32159999781</v>
      </c>
    </row>
    <row r="95" spans="1:52" x14ac:dyDescent="0.2">
      <c r="A95" s="2">
        <v>88</v>
      </c>
      <c r="B95" s="5">
        <v>1897</v>
      </c>
      <c r="C95" t="s">
        <v>92</v>
      </c>
      <c r="D95" s="5">
        <v>3973</v>
      </c>
      <c r="E95" s="3">
        <v>9.2196128013244681E-5</v>
      </c>
      <c r="F95" s="3">
        <v>0.7867290582238613</v>
      </c>
      <c r="G95" s="11">
        <f t="shared" si="36"/>
        <v>190.89738776742959</v>
      </c>
      <c r="H95" s="12">
        <v>310</v>
      </c>
      <c r="I95" s="12">
        <v>2039</v>
      </c>
      <c r="J95" s="12">
        <v>678</v>
      </c>
      <c r="K95" s="12">
        <v>2003</v>
      </c>
      <c r="L95" s="12">
        <v>649</v>
      </c>
      <c r="M95" s="12">
        <f t="shared" si="39"/>
        <v>269</v>
      </c>
      <c r="N95" s="10">
        <v>63.012840738891661</v>
      </c>
      <c r="O95" s="10">
        <v>64.571987673343614</v>
      </c>
      <c r="P95" s="10">
        <f t="shared" si="40"/>
        <v>54.375464684014872</v>
      </c>
      <c r="Q95" s="12">
        <v>314.51155624036983</v>
      </c>
      <c r="R95" s="25">
        <f t="shared" si="41"/>
        <v>-0.5</v>
      </c>
      <c r="S95" s="28">
        <v>0.68444330455955149</v>
      </c>
      <c r="T95" s="34">
        <f t="shared" si="23"/>
        <v>1.1909713572991105</v>
      </c>
      <c r="U95" s="37">
        <f t="shared" si="24"/>
        <v>0.68706540455047271</v>
      </c>
      <c r="V95" s="37">
        <f t="shared" si="25"/>
        <v>0.37121375344976476</v>
      </c>
      <c r="W95" s="34">
        <f t="shared" si="26"/>
        <v>0.59548567864955526</v>
      </c>
      <c r="X95" s="34">
        <f t="shared" si="27"/>
        <v>0.34353270227523636</v>
      </c>
      <c r="Y95" s="34">
        <f t="shared" si="28"/>
        <v>0.18560687672488238</v>
      </c>
      <c r="Z95" s="14">
        <v>2078</v>
      </c>
      <c r="AA95" s="12">
        <v>1809</v>
      </c>
      <c r="AB95" s="12">
        <v>2033</v>
      </c>
      <c r="AC95" s="12">
        <v>1764</v>
      </c>
      <c r="AD95" s="12">
        <f t="shared" si="42"/>
        <v>1354</v>
      </c>
      <c r="AE95" s="10">
        <v>61.113802262666013</v>
      </c>
      <c r="AF95" s="10">
        <v>62.14136054421769</v>
      </c>
      <c r="AG95" s="10">
        <f t="shared" si="43"/>
        <v>62.265509601181684</v>
      </c>
      <c r="AH95" s="12">
        <v>313.30385487528343</v>
      </c>
      <c r="AI95" s="25">
        <f t="shared" si="44"/>
        <v>-0.5</v>
      </c>
      <c r="AJ95" s="28">
        <v>0.68777595093384569</v>
      </c>
      <c r="AK95" s="34">
        <f t="shared" si="29"/>
        <v>4.0639902203760316</v>
      </c>
      <c r="AL95" s="37">
        <f t="shared" si="30"/>
        <v>2.3682615817071597</v>
      </c>
      <c r="AM95" s="37">
        <f t="shared" si="31"/>
        <v>1.2620047835988151</v>
      </c>
      <c r="AN95" s="34">
        <f t="shared" si="45"/>
        <v>2.0319951101880158</v>
      </c>
      <c r="AO95" s="34">
        <f t="shared" si="37"/>
        <v>1.1841307908535799</v>
      </c>
      <c r="AP95" s="34">
        <f t="shared" si="38"/>
        <v>0.63100239179940754</v>
      </c>
      <c r="AS95" s="43">
        <f t="shared" si="32"/>
        <v>4.560056335115922</v>
      </c>
      <c r="AV95" s="43">
        <f t="shared" si="33"/>
        <v>-3.0323928419871047</v>
      </c>
      <c r="AY95" s="12">
        <f t="shared" si="34"/>
        <v>539242.80308080825</v>
      </c>
      <c r="AZ95" s="5">
        <f t="shared" si="35"/>
        <v>758435.32159999781</v>
      </c>
    </row>
    <row r="96" spans="1:52" x14ac:dyDescent="0.2">
      <c r="A96" s="2">
        <v>89</v>
      </c>
      <c r="B96" s="5">
        <v>2095</v>
      </c>
      <c r="C96" t="s">
        <v>93</v>
      </c>
      <c r="D96" s="5">
        <v>3480</v>
      </c>
      <c r="E96" s="3">
        <v>8.0755732566345701E-5</v>
      </c>
      <c r="F96" s="3">
        <v>0.80432905822386125</v>
      </c>
      <c r="G96" s="11">
        <f t="shared" si="36"/>
        <v>217.94118436781548</v>
      </c>
      <c r="H96" s="12">
        <v>318</v>
      </c>
      <c r="I96" s="12">
        <v>1779</v>
      </c>
      <c r="J96" s="12">
        <v>1313</v>
      </c>
      <c r="K96" s="12">
        <v>1606</v>
      </c>
      <c r="L96" s="12">
        <v>1170</v>
      </c>
      <c r="M96" s="12">
        <f t="shared" si="39"/>
        <v>542</v>
      </c>
      <c r="N96" s="10">
        <v>125.30106475716066</v>
      </c>
      <c r="O96" s="10">
        <v>126.82904273504275</v>
      </c>
      <c r="P96" s="10">
        <f t="shared" si="40"/>
        <v>123.75671586715865</v>
      </c>
      <c r="Q96" s="12">
        <v>318.8692307692308</v>
      </c>
      <c r="R96" s="25">
        <f t="shared" si="41"/>
        <v>-0.5</v>
      </c>
      <c r="S96" s="29">
        <v>0.68444330455955149</v>
      </c>
      <c r="T96" s="34">
        <f t="shared" si="23"/>
        <v>2.5186339205027553</v>
      </c>
      <c r="U96" s="37">
        <f t="shared" si="24"/>
        <v>2.9895442701114976</v>
      </c>
      <c r="V96" s="37">
        <f t="shared" si="25"/>
        <v>0.79964364281505518</v>
      </c>
      <c r="W96" s="34">
        <f t="shared" si="26"/>
        <v>1.2593169602513776</v>
      </c>
      <c r="X96" s="34">
        <f t="shared" si="27"/>
        <v>1.4947721350557488</v>
      </c>
      <c r="Y96" s="34">
        <f t="shared" si="28"/>
        <v>0.39982182140752759</v>
      </c>
      <c r="Z96" s="14">
        <v>1819</v>
      </c>
      <c r="AA96" s="12">
        <v>1234</v>
      </c>
      <c r="AB96" s="12">
        <v>1644</v>
      </c>
      <c r="AC96" s="12">
        <v>1102</v>
      </c>
      <c r="AD96" s="12">
        <f t="shared" si="42"/>
        <v>436</v>
      </c>
      <c r="AE96" s="10">
        <v>128.6305596107056</v>
      </c>
      <c r="AF96" s="10">
        <v>131.0276769509982</v>
      </c>
      <c r="AG96" s="10">
        <f t="shared" si="43"/>
        <v>121.20075688073395</v>
      </c>
      <c r="AH96" s="12">
        <v>317.9818511796733</v>
      </c>
      <c r="AI96" s="25">
        <f t="shared" si="44"/>
        <v>-0.5</v>
      </c>
      <c r="AJ96" s="29">
        <v>0.68444330455955149</v>
      </c>
      <c r="AK96" s="34">
        <f t="shared" si="29"/>
        <v>2.262398685441783</v>
      </c>
      <c r="AL96" s="37">
        <f t="shared" si="30"/>
        <v>2.7366058447891461</v>
      </c>
      <c r="AM96" s="37">
        <f t="shared" si="31"/>
        <v>0.71634296192159685</v>
      </c>
      <c r="AN96" s="34">
        <f t="shared" si="45"/>
        <v>1.1311993427208915</v>
      </c>
      <c r="AO96" s="34">
        <f t="shared" si="37"/>
        <v>1.3683029223945731</v>
      </c>
      <c r="AP96" s="34">
        <f t="shared" si="38"/>
        <v>0.35817148096079843</v>
      </c>
      <c r="AS96" s="43">
        <f t="shared" si="32"/>
        <v>8.5462430779825045</v>
      </c>
      <c r="AV96" s="43">
        <f t="shared" si="33"/>
        <v>-5.6831680205321824</v>
      </c>
      <c r="AY96" s="12">
        <f t="shared" si="34"/>
        <v>536707.84717313177</v>
      </c>
      <c r="AZ96" s="5">
        <f t="shared" si="35"/>
        <v>758435.32159999793</v>
      </c>
    </row>
    <row r="97" spans="1:52" x14ac:dyDescent="0.2">
      <c r="A97" s="2">
        <v>90</v>
      </c>
      <c r="B97" s="5">
        <v>2326</v>
      </c>
      <c r="C97" t="s">
        <v>94</v>
      </c>
      <c r="D97" s="5">
        <v>2955</v>
      </c>
      <c r="E97" s="3">
        <v>6.8572755670560801E-5</v>
      </c>
      <c r="F97" s="3">
        <v>0.8219290582238612</v>
      </c>
      <c r="G97" s="11">
        <f t="shared" si="36"/>
        <v>256.66169935702123</v>
      </c>
      <c r="H97" s="12">
        <v>802</v>
      </c>
      <c r="I97" s="12">
        <v>1527</v>
      </c>
      <c r="J97" s="12">
        <v>856</v>
      </c>
      <c r="K97" s="12">
        <v>1478</v>
      </c>
      <c r="L97" s="12">
        <v>830</v>
      </c>
      <c r="M97" s="12">
        <f t="shared" si="39"/>
        <v>557</v>
      </c>
      <c r="N97" s="10">
        <v>174.50556156968878</v>
      </c>
      <c r="O97" s="10">
        <v>181.38860240963854</v>
      </c>
      <c r="P97" s="10">
        <f t="shared" si="40"/>
        <v>166.32998204667868</v>
      </c>
      <c r="Q97" s="12">
        <v>886.92409638554216</v>
      </c>
      <c r="R97" s="25">
        <f t="shared" si="41"/>
        <v>-0.5</v>
      </c>
      <c r="S97" s="28">
        <v>0.68444330455955149</v>
      </c>
      <c r="T97" s="34">
        <f t="shared" si="23"/>
        <v>2.3987345563793094</v>
      </c>
      <c r="U97" s="37">
        <f t="shared" si="24"/>
        <v>3.9738215696793291</v>
      </c>
      <c r="V97" s="37">
        <f t="shared" si="25"/>
        <v>2.1263956410946614</v>
      </c>
      <c r="W97" s="34">
        <f t="shared" si="26"/>
        <v>1.1993672781896547</v>
      </c>
      <c r="X97" s="34">
        <f t="shared" si="27"/>
        <v>1.9869107848396645</v>
      </c>
      <c r="Y97" s="34">
        <f t="shared" si="28"/>
        <v>1.0631978205473307</v>
      </c>
      <c r="Z97" s="14">
        <v>1509</v>
      </c>
      <c r="AA97" s="12">
        <v>937</v>
      </c>
      <c r="AB97" s="12">
        <v>1453</v>
      </c>
      <c r="AC97" s="12">
        <v>896</v>
      </c>
      <c r="AD97" s="12">
        <f t="shared" si="42"/>
        <v>648</v>
      </c>
      <c r="AE97" s="10">
        <v>174.92014452856159</v>
      </c>
      <c r="AF97" s="10">
        <v>180.26023437499998</v>
      </c>
      <c r="AG97" s="10">
        <f t="shared" si="43"/>
        <v>165.68932098765441</v>
      </c>
      <c r="AH97" s="12">
        <v>899.40959821428567</v>
      </c>
      <c r="AI97" s="25">
        <f t="shared" si="44"/>
        <v>-0.5</v>
      </c>
      <c r="AJ97" s="28">
        <v>0.67912888758675416</v>
      </c>
      <c r="AK97" s="34">
        <f t="shared" si="29"/>
        <v>2.6496056941151829</v>
      </c>
      <c r="AL97" s="37">
        <f t="shared" si="30"/>
        <v>4.35933995885929</v>
      </c>
      <c r="AM97" s="37">
        <f t="shared" si="31"/>
        <v>2.3819773032188034</v>
      </c>
      <c r="AN97" s="34">
        <f t="shared" si="45"/>
        <v>1.3248028470575914</v>
      </c>
      <c r="AO97" s="34">
        <f t="shared" si="37"/>
        <v>2.179669979429645</v>
      </c>
      <c r="AP97" s="34">
        <f t="shared" si="38"/>
        <v>1.1909886516094017</v>
      </c>
      <c r="AS97" s="43">
        <f t="shared" si="32"/>
        <v>12.437191237033961</v>
      </c>
      <c r="AV97" s="43">
        <f t="shared" si="33"/>
        <v>-8.2706104727646501</v>
      </c>
      <c r="AY97" s="12">
        <f t="shared" si="34"/>
        <v>531276.99172257667</v>
      </c>
      <c r="AZ97" s="5">
        <f t="shared" si="35"/>
        <v>758435.3215999977</v>
      </c>
    </row>
    <row r="98" spans="1:52" x14ac:dyDescent="0.2">
      <c r="A98" s="2">
        <v>91</v>
      </c>
      <c r="B98" s="5">
        <v>2597</v>
      </c>
      <c r="C98" t="s">
        <v>95</v>
      </c>
      <c r="D98" s="5">
        <v>2527</v>
      </c>
      <c r="E98" s="3">
        <v>5.8640728791711381E-5</v>
      </c>
      <c r="F98" s="3">
        <v>0.83952905822386115</v>
      </c>
      <c r="G98" s="11">
        <f t="shared" si="36"/>
        <v>300.13269552829354</v>
      </c>
      <c r="H98" s="12">
        <v>850</v>
      </c>
      <c r="I98" s="12">
        <v>1227</v>
      </c>
      <c r="J98" s="12">
        <v>737</v>
      </c>
      <c r="K98" s="12">
        <v>1166</v>
      </c>
      <c r="L98" s="12">
        <v>700</v>
      </c>
      <c r="M98" s="12">
        <f t="shared" si="39"/>
        <v>599</v>
      </c>
      <c r="N98" s="10">
        <v>226.56698113207545</v>
      </c>
      <c r="O98" s="10">
        <v>232.93678571428572</v>
      </c>
      <c r="P98" s="10">
        <f t="shared" si="40"/>
        <v>206.48173622704508</v>
      </c>
      <c r="Q98" s="12">
        <v>917.48428571428576</v>
      </c>
      <c r="R98" s="25">
        <f t="shared" si="41"/>
        <v>-0.5</v>
      </c>
      <c r="S98" s="27">
        <v>0.6640209682899828</v>
      </c>
      <c r="T98" s="34">
        <f t="shared" si="23"/>
        <v>2.5462788368865028</v>
      </c>
      <c r="U98" s="37">
        <f t="shared" si="24"/>
        <v>5.3153275834102809</v>
      </c>
      <c r="V98" s="37">
        <f t="shared" si="25"/>
        <v>2.3354701134014761</v>
      </c>
      <c r="W98" s="34">
        <f t="shared" si="26"/>
        <v>1.2731394184432514</v>
      </c>
      <c r="X98" s="34">
        <f t="shared" si="27"/>
        <v>2.6576637917051404</v>
      </c>
      <c r="Y98" s="34">
        <f t="shared" si="28"/>
        <v>1.1677350567007381</v>
      </c>
      <c r="Z98" s="14">
        <v>1354</v>
      </c>
      <c r="AA98" s="12">
        <v>724</v>
      </c>
      <c r="AB98" s="12">
        <v>1287</v>
      </c>
      <c r="AC98" s="12">
        <v>688</v>
      </c>
      <c r="AD98" s="12">
        <f t="shared" si="42"/>
        <v>466</v>
      </c>
      <c r="AE98" s="10">
        <v>227.93560217560218</v>
      </c>
      <c r="AF98" s="10">
        <v>246.61418604651163</v>
      </c>
      <c r="AG98" s="10">
        <f t="shared" si="43"/>
        <v>216.99860515021453</v>
      </c>
      <c r="AH98" s="12">
        <v>1054.703488372093</v>
      </c>
      <c r="AI98" s="25">
        <f t="shared" si="44"/>
        <v>-0.5</v>
      </c>
      <c r="AJ98" s="27">
        <v>0.6640209682899828</v>
      </c>
      <c r="AK98" s="34">
        <f t="shared" si="29"/>
        <v>2.261567018601883</v>
      </c>
      <c r="AL98" s="37">
        <f t="shared" si="30"/>
        <v>5.0197258559114522</v>
      </c>
      <c r="AM98" s="37">
        <f t="shared" si="31"/>
        <v>2.3857290624114951</v>
      </c>
      <c r="AN98" s="34">
        <f t="shared" si="45"/>
        <v>1.1307835093009415</v>
      </c>
      <c r="AO98" s="34">
        <f t="shared" si="37"/>
        <v>2.5098629279557261</v>
      </c>
      <c r="AP98" s="34">
        <f t="shared" si="38"/>
        <v>1.1928645312057475</v>
      </c>
      <c r="AS98" s="43">
        <f t="shared" si="32"/>
        <v>15.425002339100432</v>
      </c>
      <c r="AV98" s="43">
        <f t="shared" si="33"/>
        <v>-10.257475619439566</v>
      </c>
      <c r="AY98" s="12">
        <f t="shared" si="34"/>
        <v>514378.85440156475</v>
      </c>
      <c r="AZ98" s="5">
        <f t="shared" si="35"/>
        <v>758435.32159999781</v>
      </c>
    </row>
    <row r="99" spans="1:52" x14ac:dyDescent="0.2">
      <c r="A99" s="2">
        <v>92</v>
      </c>
      <c r="B99" s="5">
        <v>2920</v>
      </c>
      <c r="C99" t="s">
        <v>96</v>
      </c>
      <c r="D99" s="5">
        <v>2069</v>
      </c>
      <c r="E99" s="3">
        <v>4.8012531804531402E-5</v>
      </c>
      <c r="F99" s="3">
        <v>0.8571290582238611</v>
      </c>
      <c r="G99" s="11">
        <f t="shared" si="36"/>
        <v>366.5709625906224</v>
      </c>
      <c r="H99" s="12">
        <v>2517</v>
      </c>
      <c r="I99" s="12">
        <v>1050</v>
      </c>
      <c r="J99" s="12">
        <v>759</v>
      </c>
      <c r="K99" s="12">
        <v>909</v>
      </c>
      <c r="L99" s="12">
        <v>665</v>
      </c>
      <c r="M99" s="12">
        <f t="shared" si="39"/>
        <v>529</v>
      </c>
      <c r="N99" s="10">
        <v>264.76979097909788</v>
      </c>
      <c r="O99" s="10">
        <v>270.28787969924815</v>
      </c>
      <c r="P99" s="10">
        <f t="shared" si="40"/>
        <v>242.38086956521744</v>
      </c>
      <c r="Q99" s="12">
        <v>2643.3684210526317</v>
      </c>
      <c r="R99" s="25">
        <f t="shared" si="41"/>
        <v>-0.10000000000000009</v>
      </c>
      <c r="S99" s="27">
        <v>0.59691844809540351</v>
      </c>
      <c r="T99" s="34">
        <f t="shared" si="23"/>
        <v>2.5662041696007516</v>
      </c>
      <c r="U99" s="37">
        <f t="shared" si="24"/>
        <v>6.2552472615103349</v>
      </c>
      <c r="V99" s="37">
        <f t="shared" si="25"/>
        <v>6.8089438060558809</v>
      </c>
      <c r="W99" s="34">
        <f t="shared" si="26"/>
        <v>0.25662041696007537</v>
      </c>
      <c r="X99" s="34">
        <f t="shared" si="27"/>
        <v>0.62552472615103405</v>
      </c>
      <c r="Y99" s="34">
        <f t="shared" si="28"/>
        <v>0.68089438060558871</v>
      </c>
      <c r="Z99" s="14">
        <v>1074</v>
      </c>
      <c r="AA99" s="12">
        <v>468</v>
      </c>
      <c r="AB99" s="12">
        <v>935</v>
      </c>
      <c r="AC99" s="12">
        <v>406</v>
      </c>
      <c r="AD99" s="12">
        <f t="shared" si="42"/>
        <v>244</v>
      </c>
      <c r="AE99" s="10">
        <v>260.86714438502673</v>
      </c>
      <c r="AF99" s="10">
        <v>284.95394088669946</v>
      </c>
      <c r="AG99" s="10">
        <f t="shared" si="43"/>
        <v>249.73073770491774</v>
      </c>
      <c r="AH99" s="12">
        <v>2673.192118226601</v>
      </c>
      <c r="AI99" s="25">
        <f t="shared" si="44"/>
        <v>-0.10000000000000009</v>
      </c>
      <c r="AJ99" s="27">
        <v>0.59988053089949323</v>
      </c>
      <c r="AK99" s="34">
        <f t="shared" si="29"/>
        <v>1.4037856873287844</v>
      </c>
      <c r="AL99" s="37">
        <f t="shared" si="30"/>
        <v>3.6053903267453138</v>
      </c>
      <c r="AM99" s="37">
        <f t="shared" si="31"/>
        <v>3.7662440259909462</v>
      </c>
      <c r="AN99" s="34">
        <f t="shared" si="45"/>
        <v>0.14037856873287857</v>
      </c>
      <c r="AO99" s="34">
        <f t="shared" si="37"/>
        <v>0.36053903267453169</v>
      </c>
      <c r="AP99" s="34">
        <f t="shared" si="38"/>
        <v>0.37662440259909497</v>
      </c>
      <c r="AS99" s="43">
        <f t="shared" si="32"/>
        <v>10.792386080740298</v>
      </c>
      <c r="AV99" s="43">
        <f t="shared" si="33"/>
        <v>-9.8063223219147346</v>
      </c>
      <c r="AY99" s="12">
        <f t="shared" si="34"/>
        <v>465924.91225314385</v>
      </c>
      <c r="AZ99" s="5">
        <f t="shared" si="35"/>
        <v>758435.3215999977</v>
      </c>
    </row>
    <row r="100" spans="1:52" x14ac:dyDescent="0.2">
      <c r="A100" s="2">
        <v>93</v>
      </c>
      <c r="B100" s="5">
        <v>3320</v>
      </c>
      <c r="C100" t="s">
        <v>97</v>
      </c>
      <c r="D100" s="5">
        <v>1657</v>
      </c>
      <c r="E100" s="3">
        <v>3.8451795650124956E-5</v>
      </c>
      <c r="F100" s="3">
        <v>0.87472905822386104</v>
      </c>
      <c r="G100" s="11">
        <f t="shared" si="36"/>
        <v>457.71594544357134</v>
      </c>
      <c r="H100" s="12">
        <v>582</v>
      </c>
      <c r="I100" s="12">
        <v>850</v>
      </c>
      <c r="J100" s="12">
        <v>552</v>
      </c>
      <c r="K100" s="12">
        <v>813</v>
      </c>
      <c r="L100" s="12">
        <v>524</v>
      </c>
      <c r="M100" s="12">
        <f t="shared" si="39"/>
        <v>394</v>
      </c>
      <c r="N100" s="10">
        <v>174.14517835178347</v>
      </c>
      <c r="O100" s="10">
        <v>172.12412213740458</v>
      </c>
      <c r="P100" s="10">
        <f t="shared" si="40"/>
        <v>166.05842639593905</v>
      </c>
      <c r="Q100" s="12">
        <v>719.69274809160311</v>
      </c>
      <c r="R100" s="25">
        <f t="shared" si="41"/>
        <v>-0.5</v>
      </c>
      <c r="S100" s="28">
        <v>0.67912888758675416</v>
      </c>
      <c r="T100" s="34">
        <f t="shared" si="23"/>
        <v>2.8097213861230288</v>
      </c>
      <c r="U100" s="37">
        <f t="shared" si="24"/>
        <v>4.4994873628852856</v>
      </c>
      <c r="V100" s="37">
        <f t="shared" si="25"/>
        <v>2.0194616640645293</v>
      </c>
      <c r="W100" s="34">
        <f t="shared" si="26"/>
        <v>1.4048606930615144</v>
      </c>
      <c r="X100" s="34">
        <f t="shared" si="27"/>
        <v>2.2497436814426428</v>
      </c>
      <c r="Y100" s="34">
        <f t="shared" si="28"/>
        <v>1.0097308320322647</v>
      </c>
      <c r="Z100" s="14">
        <v>838</v>
      </c>
      <c r="AA100" s="12">
        <v>425</v>
      </c>
      <c r="AB100" s="12">
        <v>805</v>
      </c>
      <c r="AC100" s="12">
        <v>411</v>
      </c>
      <c r="AD100" s="12">
        <f t="shared" si="42"/>
        <v>289</v>
      </c>
      <c r="AE100" s="10">
        <v>176.37949068322979</v>
      </c>
      <c r="AF100" s="10">
        <v>186.27364963503649</v>
      </c>
      <c r="AG100" s="10">
        <f t="shared" si="43"/>
        <v>177.80965397923862</v>
      </c>
      <c r="AH100" s="12">
        <v>730.04622871046229</v>
      </c>
      <c r="AI100" s="25">
        <f t="shared" si="44"/>
        <v>-0.5</v>
      </c>
      <c r="AJ100" s="28">
        <v>0.68444330455955149</v>
      </c>
      <c r="AK100" s="34">
        <f t="shared" si="29"/>
        <v>2.1585169421317323</v>
      </c>
      <c r="AL100" s="37">
        <f t="shared" si="30"/>
        <v>3.7282722070260506</v>
      </c>
      <c r="AM100" s="37">
        <f t="shared" si="31"/>
        <v>1.573955675246709</v>
      </c>
      <c r="AN100" s="34">
        <f t="shared" si="45"/>
        <v>1.0792584710658661</v>
      </c>
      <c r="AO100" s="34">
        <f t="shared" si="37"/>
        <v>1.8641361035130253</v>
      </c>
      <c r="AP100" s="34">
        <f t="shared" si="38"/>
        <v>0.78697783762335449</v>
      </c>
      <c r="AS100" s="43">
        <f t="shared" si="32"/>
        <v>12.279879475859525</v>
      </c>
      <c r="AV100" s="43">
        <f t="shared" si="33"/>
        <v>-8.1659996909038561</v>
      </c>
      <c r="AY100" s="12">
        <f t="shared" si="34"/>
        <v>526750.05747150001</v>
      </c>
      <c r="AZ100" s="5">
        <f t="shared" si="35"/>
        <v>758435.3215999977</v>
      </c>
    </row>
    <row r="101" spans="1:52" x14ac:dyDescent="0.2">
      <c r="A101" s="2">
        <v>94</v>
      </c>
      <c r="B101" s="5">
        <v>3828</v>
      </c>
      <c r="C101" t="s">
        <v>98</v>
      </c>
      <c r="D101" s="5">
        <v>1300</v>
      </c>
      <c r="E101" s="3">
        <v>3.0167371360991211E-5</v>
      </c>
      <c r="F101" s="3">
        <v>0.89232905822386099</v>
      </c>
      <c r="G101" s="11">
        <f t="shared" si="36"/>
        <v>583.41178584615216</v>
      </c>
      <c r="H101" s="12">
        <v>392</v>
      </c>
      <c r="I101" s="12">
        <v>660</v>
      </c>
      <c r="J101" s="12">
        <v>422</v>
      </c>
      <c r="K101" s="12">
        <v>641</v>
      </c>
      <c r="L101" s="12">
        <v>411</v>
      </c>
      <c r="M101" s="12">
        <f t="shared" si="39"/>
        <v>262</v>
      </c>
      <c r="N101" s="10">
        <v>149.61324492979719</v>
      </c>
      <c r="O101" s="10">
        <v>154.65715328467155</v>
      </c>
      <c r="P101" s="10">
        <f t="shared" si="40"/>
        <v>147.89656488549613</v>
      </c>
      <c r="Q101" s="12">
        <v>495.63746958637472</v>
      </c>
      <c r="R101" s="25">
        <f t="shared" si="41"/>
        <v>-0.5</v>
      </c>
      <c r="S101" s="28">
        <v>0.68444330455955149</v>
      </c>
      <c r="T101" s="34">
        <f t="shared" si="23"/>
        <v>2.6475043778133993</v>
      </c>
      <c r="U101" s="37">
        <f t="shared" si="24"/>
        <v>3.8000793574107812</v>
      </c>
      <c r="V101" s="37">
        <f t="shared" si="25"/>
        <v>1.308722560367416</v>
      </c>
      <c r="W101" s="34">
        <f t="shared" si="26"/>
        <v>1.3237521889066997</v>
      </c>
      <c r="X101" s="34">
        <f t="shared" si="27"/>
        <v>1.9000396787053906</v>
      </c>
      <c r="Y101" s="34">
        <f t="shared" si="28"/>
        <v>0.65436128018370798</v>
      </c>
      <c r="Z101" s="14">
        <v>660</v>
      </c>
      <c r="AA101" s="12">
        <v>392</v>
      </c>
      <c r="AB101" s="12">
        <v>637</v>
      </c>
      <c r="AC101" s="12">
        <v>375</v>
      </c>
      <c r="AD101" s="12">
        <f t="shared" si="42"/>
        <v>230</v>
      </c>
      <c r="AE101" s="10">
        <v>150.30409733124017</v>
      </c>
      <c r="AF101" s="10">
        <v>151.98616000000001</v>
      </c>
      <c r="AG101" s="10">
        <f t="shared" si="43"/>
        <v>140.59999999999994</v>
      </c>
      <c r="AH101" s="12">
        <v>478.56799999999998</v>
      </c>
      <c r="AI101" s="25">
        <f t="shared" si="44"/>
        <v>-0.5</v>
      </c>
      <c r="AJ101" s="28">
        <v>0.68444330455955149</v>
      </c>
      <c r="AK101" s="34">
        <f t="shared" si="29"/>
        <v>2.3803839467649617</v>
      </c>
      <c r="AL101" s="37">
        <f t="shared" si="30"/>
        <v>3.3179732819898962</v>
      </c>
      <c r="AM101" s="37">
        <f t="shared" si="31"/>
        <v>1.1359568888590843</v>
      </c>
      <c r="AN101" s="34">
        <f t="shared" si="45"/>
        <v>1.1901919733824808</v>
      </c>
      <c r="AO101" s="34">
        <f t="shared" si="37"/>
        <v>1.6589866409949481</v>
      </c>
      <c r="AP101" s="34">
        <f t="shared" si="38"/>
        <v>0.56797844442954215</v>
      </c>
      <c r="AS101" s="43">
        <f t="shared" si="32"/>
        <v>10.623648852637295</v>
      </c>
      <c r="AV101" s="43">
        <f t="shared" si="33"/>
        <v>-7.0646225329369567</v>
      </c>
      <c r="AY101" s="12">
        <f t="shared" si="34"/>
        <v>527092.22362305934</v>
      </c>
      <c r="AZ101" s="5">
        <f t="shared" si="35"/>
        <v>758435.32159999781</v>
      </c>
    </row>
    <row r="102" spans="1:52" x14ac:dyDescent="0.2">
      <c r="A102" s="2">
        <v>95</v>
      </c>
      <c r="B102" s="5">
        <v>4482</v>
      </c>
      <c r="C102" t="s">
        <v>99</v>
      </c>
      <c r="D102" s="5">
        <v>994</v>
      </c>
      <c r="E102" s="3">
        <v>2.3066436256019434E-5</v>
      </c>
      <c r="F102" s="3">
        <v>0.90992905822386094</v>
      </c>
      <c r="G102" s="11">
        <f t="shared" si="36"/>
        <v>763.01340201207029</v>
      </c>
      <c r="H102" s="12">
        <v>547</v>
      </c>
      <c r="I102" s="12">
        <v>506</v>
      </c>
      <c r="J102" s="12">
        <v>317</v>
      </c>
      <c r="K102" s="12">
        <v>486</v>
      </c>
      <c r="L102" s="12">
        <v>306</v>
      </c>
      <c r="M102" s="12">
        <f t="shared" si="39"/>
        <v>199</v>
      </c>
      <c r="N102" s="10">
        <v>217.91882716049381</v>
      </c>
      <c r="O102" s="10">
        <v>219.75784313725492</v>
      </c>
      <c r="P102" s="10">
        <f t="shared" si="40"/>
        <v>207.61386934673374</v>
      </c>
      <c r="Q102" s="12">
        <v>861.37254901960785</v>
      </c>
      <c r="R102" s="25">
        <f t="shared" si="41"/>
        <v>-0.5</v>
      </c>
      <c r="S102" s="28">
        <v>0.72501477944912751</v>
      </c>
      <c r="T102" s="34">
        <f t="shared" si="23"/>
        <v>2.7479564799413665</v>
      </c>
      <c r="U102" s="37">
        <f t="shared" si="24"/>
        <v>5.5860177687026216</v>
      </c>
      <c r="V102" s="37">
        <f t="shared" si="25"/>
        <v>2.3657932130094079</v>
      </c>
      <c r="W102" s="34">
        <f t="shared" si="26"/>
        <v>1.3739782399706832</v>
      </c>
      <c r="X102" s="34">
        <f t="shared" si="27"/>
        <v>2.7930088843513108</v>
      </c>
      <c r="Y102" s="34">
        <f t="shared" si="28"/>
        <v>1.182896606504704</v>
      </c>
      <c r="Z102" s="14">
        <v>508</v>
      </c>
      <c r="AA102" s="12">
        <v>302</v>
      </c>
      <c r="AB102" s="12">
        <v>481</v>
      </c>
      <c r="AC102" s="12">
        <v>282</v>
      </c>
      <c r="AD102" s="12">
        <f t="shared" si="42"/>
        <v>180</v>
      </c>
      <c r="AE102" s="10">
        <v>217.34825363825365</v>
      </c>
      <c r="AF102" s="10">
        <v>224.21755319148934</v>
      </c>
      <c r="AG102" s="10">
        <f t="shared" si="43"/>
        <v>214.79249999999988</v>
      </c>
      <c r="AH102" s="12">
        <v>907.92198581560285</v>
      </c>
      <c r="AI102" s="25">
        <f t="shared" si="44"/>
        <v>-0.5</v>
      </c>
      <c r="AJ102" s="28">
        <v>0.68444330455955149</v>
      </c>
      <c r="AK102" s="34">
        <f t="shared" si="29"/>
        <v>2.3730652580874567</v>
      </c>
      <c r="AL102" s="37">
        <f t="shared" si="30"/>
        <v>4.9494728268022712</v>
      </c>
      <c r="AM102" s="37">
        <f t="shared" si="31"/>
        <v>2.1538387076810079</v>
      </c>
      <c r="AN102" s="34">
        <f t="shared" si="45"/>
        <v>1.1865326290437284</v>
      </c>
      <c r="AO102" s="34">
        <f t="shared" si="37"/>
        <v>2.4747364134011356</v>
      </c>
      <c r="AP102" s="34">
        <f t="shared" si="38"/>
        <v>1.076919353840504</v>
      </c>
      <c r="AS102" s="43">
        <f t="shared" si="32"/>
        <v>15.724153535668487</v>
      </c>
      <c r="AV102" s="43">
        <f t="shared" si="33"/>
        <v>-10.45640823791604</v>
      </c>
      <c r="AY102" s="12">
        <f t="shared" si="34"/>
        <v>545214.79511106829</v>
      </c>
      <c r="AZ102" s="5">
        <f t="shared" si="35"/>
        <v>758435.32159999781</v>
      </c>
    </row>
    <row r="103" spans="1:52" x14ac:dyDescent="0.2">
      <c r="A103" s="2">
        <v>96</v>
      </c>
      <c r="B103" s="5">
        <v>5371</v>
      </c>
      <c r="C103" t="s">
        <v>100</v>
      </c>
      <c r="D103" s="5">
        <v>714</v>
      </c>
      <c r="E103" s="3">
        <v>1.656884857826748E-5</v>
      </c>
      <c r="F103" s="3">
        <v>0.92752905822386089</v>
      </c>
      <c r="G103" s="25">
        <f t="shared" si="36"/>
        <v>1062.234343977588</v>
      </c>
      <c r="H103" s="12">
        <v>447</v>
      </c>
      <c r="I103" s="12">
        <v>367</v>
      </c>
      <c r="J103" s="12">
        <v>212</v>
      </c>
      <c r="K103" s="12">
        <v>346</v>
      </c>
      <c r="L103" s="12">
        <v>199</v>
      </c>
      <c r="M103" s="12">
        <f t="shared" si="39"/>
        <v>134</v>
      </c>
      <c r="N103" s="10">
        <v>173.98023121387286</v>
      </c>
      <c r="O103" s="10">
        <v>181.25748743718592</v>
      </c>
      <c r="P103" s="10">
        <f t="shared" si="40"/>
        <v>175.59873134328356</v>
      </c>
      <c r="Q103" s="12">
        <v>529.8643216080402</v>
      </c>
      <c r="R103" s="25">
        <f t="shared" si="41"/>
        <v>-0.5</v>
      </c>
      <c r="S103" s="28">
        <v>0.68444330455955149</v>
      </c>
      <c r="T103" s="34">
        <f t="shared" si="23"/>
        <v>2.3832290935326284</v>
      </c>
      <c r="U103" s="37">
        <f t="shared" si="24"/>
        <v>4.0304794807352184</v>
      </c>
      <c r="V103" s="37">
        <f t="shared" si="25"/>
        <v>1.2601382287590663</v>
      </c>
      <c r="W103" s="34">
        <f t="shared" si="26"/>
        <v>1.1916145467663142</v>
      </c>
      <c r="X103" s="34">
        <f t="shared" si="27"/>
        <v>2.0152397403676092</v>
      </c>
      <c r="Y103" s="34">
        <f t="shared" si="28"/>
        <v>0.63006911437953317</v>
      </c>
      <c r="Z103" s="14">
        <v>359</v>
      </c>
      <c r="AA103" s="12">
        <v>219</v>
      </c>
      <c r="AB103" s="12">
        <v>342</v>
      </c>
      <c r="AC103" s="12">
        <v>208</v>
      </c>
      <c r="AD103" s="12">
        <f t="shared" si="42"/>
        <v>147</v>
      </c>
      <c r="AE103" s="10">
        <v>173.01324561403507</v>
      </c>
      <c r="AF103" s="10">
        <v>171.34759615384613</v>
      </c>
      <c r="AG103" s="10">
        <f t="shared" si="43"/>
        <v>164.12870748299329</v>
      </c>
      <c r="AH103" s="12">
        <v>524.79326923076928</v>
      </c>
      <c r="AI103" s="25">
        <f t="shared" si="44"/>
        <v>-0.5</v>
      </c>
      <c r="AJ103" s="28">
        <v>0.68444330455955149</v>
      </c>
      <c r="AK103" s="34">
        <f t="shared" si="29"/>
        <v>2.5413995501194035</v>
      </c>
      <c r="AL103" s="37">
        <f t="shared" si="30"/>
        <v>4.0417559430418528</v>
      </c>
      <c r="AM103" s="37">
        <f t="shared" si="31"/>
        <v>1.3307009098465838</v>
      </c>
      <c r="AN103" s="34">
        <f t="shared" si="45"/>
        <v>1.2706997750597018</v>
      </c>
      <c r="AO103" s="34">
        <f t="shared" si="37"/>
        <v>2.0208779715209264</v>
      </c>
      <c r="AP103" s="34">
        <f t="shared" si="38"/>
        <v>0.66535045492329192</v>
      </c>
      <c r="AS103" s="43">
        <f t="shared" si="32"/>
        <v>12.047760664670768</v>
      </c>
      <c r="AV103" s="43">
        <f t="shared" si="33"/>
        <v>-8.0116429527822337</v>
      </c>
      <c r="AY103" s="12">
        <f t="shared" si="34"/>
        <v>527830.44802589272</v>
      </c>
      <c r="AZ103" s="5">
        <f t="shared" si="35"/>
        <v>758435.32159999781</v>
      </c>
    </row>
    <row r="104" spans="1:52" x14ac:dyDescent="0.2">
      <c r="A104" s="2">
        <v>97</v>
      </c>
      <c r="B104" s="5">
        <v>6638</v>
      </c>
      <c r="C104" t="s">
        <v>101</v>
      </c>
      <c r="D104" s="5">
        <v>488</v>
      </c>
      <c r="E104" s="3">
        <v>1.1324367095510547E-5</v>
      </c>
      <c r="F104" s="3">
        <v>0.94512905822386084</v>
      </c>
      <c r="G104" s="25">
        <f t="shared" si="36"/>
        <v>1554.1707409836022</v>
      </c>
      <c r="H104" s="12">
        <v>1209</v>
      </c>
      <c r="I104" s="12">
        <v>242</v>
      </c>
      <c r="J104" s="12">
        <v>161</v>
      </c>
      <c r="K104" s="12">
        <v>202</v>
      </c>
      <c r="L104" s="12">
        <v>137</v>
      </c>
      <c r="M104" s="12">
        <f t="shared" si="39"/>
        <v>97</v>
      </c>
      <c r="N104" s="10">
        <v>248.01831683168319</v>
      </c>
      <c r="O104" s="10">
        <v>247.09211678832119</v>
      </c>
      <c r="P104" s="10">
        <f t="shared" si="40"/>
        <v>221.86958762886601</v>
      </c>
      <c r="Q104" s="12">
        <v>1237.4598540145985</v>
      </c>
      <c r="R104" s="25">
        <f t="shared" si="41"/>
        <v>-0.5</v>
      </c>
      <c r="S104" s="28">
        <v>0.63870649851410743</v>
      </c>
      <c r="T104" s="34">
        <f t="shared" si="23"/>
        <v>2.284075040409097</v>
      </c>
      <c r="U104" s="37">
        <f t="shared" si="24"/>
        <v>5.1126621291027545</v>
      </c>
      <c r="V104" s="37">
        <f t="shared" si="25"/>
        <v>2.8287271827758214</v>
      </c>
      <c r="W104" s="34">
        <f t="shared" si="26"/>
        <v>1.1420375202045485</v>
      </c>
      <c r="X104" s="34">
        <f t="shared" si="27"/>
        <v>2.5563310645513773</v>
      </c>
      <c r="Y104" s="34">
        <f t="shared" si="28"/>
        <v>1.4143635913879107</v>
      </c>
      <c r="Z104" s="14">
        <v>253</v>
      </c>
      <c r="AA104" s="12">
        <v>137</v>
      </c>
      <c r="AB104" s="12">
        <v>210</v>
      </c>
      <c r="AC104" s="12">
        <v>113</v>
      </c>
      <c r="AD104" s="12">
        <f t="shared" si="42"/>
        <v>65</v>
      </c>
      <c r="AE104" s="10">
        <v>244.75628571428572</v>
      </c>
      <c r="AF104" s="10">
        <v>264.40238938053096</v>
      </c>
      <c r="AG104" s="10">
        <f t="shared" si="43"/>
        <v>249.97046153846156</v>
      </c>
      <c r="AH104" s="12">
        <v>1246.7699115044247</v>
      </c>
      <c r="AI104" s="25">
        <f t="shared" si="44"/>
        <v>-0.5</v>
      </c>
      <c r="AJ104" s="28">
        <v>0.68444330455955149</v>
      </c>
      <c r="AK104" s="34">
        <f t="shared" si="29"/>
        <v>1.8613161271237362</v>
      </c>
      <c r="AL104" s="37">
        <f t="shared" si="30"/>
        <v>4.5638039241853896</v>
      </c>
      <c r="AM104" s="37">
        <f t="shared" si="31"/>
        <v>2.3224018715490304</v>
      </c>
      <c r="AN104" s="34">
        <f t="shared" si="45"/>
        <v>0.93065806356186809</v>
      </c>
      <c r="AO104" s="34">
        <f t="shared" si="37"/>
        <v>2.2819019620926948</v>
      </c>
      <c r="AP104" s="34">
        <f t="shared" si="38"/>
        <v>1.1612009357745152</v>
      </c>
      <c r="AS104" s="43">
        <f t="shared" si="32"/>
        <v>14.442064802326859</v>
      </c>
      <c r="AV104" s="43">
        <f t="shared" si="33"/>
        <v>-9.6038317756827887</v>
      </c>
      <c r="AY104" s="12">
        <f t="shared" si="34"/>
        <v>509350.13112571597</v>
      </c>
      <c r="AZ104" s="5">
        <f t="shared" si="35"/>
        <v>758435.32159999781</v>
      </c>
    </row>
    <row r="105" spans="1:52" x14ac:dyDescent="0.2">
      <c r="A105" s="2">
        <v>98</v>
      </c>
      <c r="B105" s="5">
        <v>8594</v>
      </c>
      <c r="C105" t="s">
        <v>102</v>
      </c>
      <c r="D105" s="5">
        <v>298</v>
      </c>
      <c r="E105" s="3">
        <v>6.9152897427502933E-6</v>
      </c>
      <c r="F105" s="3">
        <v>0.96272905822386079</v>
      </c>
      <c r="G105" s="25">
        <f t="shared" si="36"/>
        <v>2545.084971812073</v>
      </c>
      <c r="H105" s="12">
        <v>440</v>
      </c>
      <c r="I105" s="12">
        <v>151</v>
      </c>
      <c r="J105" s="12">
        <v>94</v>
      </c>
      <c r="K105" s="12">
        <v>148</v>
      </c>
      <c r="L105" s="12">
        <v>92</v>
      </c>
      <c r="M105" s="12">
        <f t="shared" si="39"/>
        <v>66</v>
      </c>
      <c r="N105" s="10">
        <v>199.31635135135136</v>
      </c>
      <c r="O105" s="10">
        <v>210.06184782608693</v>
      </c>
      <c r="P105" s="10">
        <f t="shared" si="40"/>
        <v>200.24636363636364</v>
      </c>
      <c r="Q105" s="12">
        <v>529.1521739130435</v>
      </c>
      <c r="R105" s="25">
        <f t="shared" si="41"/>
        <v>-0.5</v>
      </c>
      <c r="S105" s="28">
        <v>0.68444330455955149</v>
      </c>
      <c r="T105" s="34">
        <f t="shared" si="23"/>
        <v>2.7077382950444111</v>
      </c>
      <c r="U105" s="37">
        <f t="shared" si="24"/>
        <v>5.2726937968739245</v>
      </c>
      <c r="V105" s="37">
        <f t="shared" si="25"/>
        <v>1.4301891617483597</v>
      </c>
      <c r="W105" s="34">
        <f t="shared" si="26"/>
        <v>1.3538691475222056</v>
      </c>
      <c r="X105" s="34">
        <f t="shared" si="27"/>
        <v>2.6363468984369622</v>
      </c>
      <c r="Y105" s="34">
        <f t="shared" si="28"/>
        <v>0.71509458087417987</v>
      </c>
      <c r="Z105" s="14">
        <v>150</v>
      </c>
      <c r="AA105" s="12">
        <v>83</v>
      </c>
      <c r="AB105" s="12">
        <v>147</v>
      </c>
      <c r="AC105" s="12">
        <v>81</v>
      </c>
      <c r="AD105" s="12">
        <f t="shared" si="42"/>
        <v>56</v>
      </c>
      <c r="AE105" s="10">
        <v>197.16374149659865</v>
      </c>
      <c r="AF105" s="10">
        <v>194.65197530864197</v>
      </c>
      <c r="AG105" s="10">
        <f t="shared" si="43"/>
        <v>181.66303571428574</v>
      </c>
      <c r="AH105" s="12">
        <v>537.65432098765427</v>
      </c>
      <c r="AI105" s="25">
        <f t="shared" si="44"/>
        <v>-0.5</v>
      </c>
      <c r="AJ105" s="28">
        <v>0.68444330455955149</v>
      </c>
      <c r="AK105" s="34">
        <f t="shared" si="29"/>
        <v>2.3486561334057914</v>
      </c>
      <c r="AL105" s="37">
        <f t="shared" si="30"/>
        <v>4.2029860143378555</v>
      </c>
      <c r="AM105" s="37">
        <f t="shared" si="31"/>
        <v>1.2602999130421468</v>
      </c>
      <c r="AN105" s="34">
        <f t="shared" si="45"/>
        <v>1.1743280667028957</v>
      </c>
      <c r="AO105" s="34">
        <f t="shared" si="37"/>
        <v>2.1014930071689277</v>
      </c>
      <c r="AP105" s="34">
        <f t="shared" si="38"/>
        <v>0.63014995652107342</v>
      </c>
      <c r="AS105" s="43">
        <f t="shared" si="32"/>
        <v>14.142392597255967</v>
      </c>
      <c r="AV105" s="43">
        <f t="shared" si="33"/>
        <v>-9.4045526916500748</v>
      </c>
      <c r="AY105" s="12">
        <f t="shared" si="34"/>
        <v>524331.87691606442</v>
      </c>
      <c r="AZ105" s="5">
        <f t="shared" si="35"/>
        <v>758435.32159999781</v>
      </c>
    </row>
    <row r="106" spans="1:52" x14ac:dyDescent="0.2">
      <c r="A106" s="2">
        <v>99</v>
      </c>
      <c r="B106" s="5">
        <v>12235</v>
      </c>
      <c r="C106" t="s">
        <v>103</v>
      </c>
      <c r="D106" s="5">
        <v>138</v>
      </c>
      <c r="E106" s="3">
        <v>3.2023824983206056E-6</v>
      </c>
      <c r="F106" s="3">
        <v>0.98032905822386074</v>
      </c>
      <c r="G106" s="25">
        <f t="shared" si="36"/>
        <v>5495.9081275362159</v>
      </c>
      <c r="H106" s="12">
        <v>1539</v>
      </c>
      <c r="I106" s="12">
        <v>66</v>
      </c>
      <c r="J106" s="12">
        <v>45</v>
      </c>
      <c r="K106" s="12">
        <v>66</v>
      </c>
      <c r="L106" s="12">
        <v>45</v>
      </c>
      <c r="M106" s="12">
        <f t="shared" si="39"/>
        <v>32</v>
      </c>
      <c r="N106" s="10">
        <v>300.24863636363636</v>
      </c>
      <c r="O106" s="10">
        <v>335.06799999999998</v>
      </c>
      <c r="P106" s="10">
        <f t="shared" si="40"/>
        <v>294.739375</v>
      </c>
      <c r="Q106" s="12">
        <v>1620.7555555555555</v>
      </c>
      <c r="R106" s="25">
        <f t="shared" si="41"/>
        <v>-0.10000000000000009</v>
      </c>
      <c r="S106" s="28">
        <v>0.76222106127322942</v>
      </c>
      <c r="T106" s="34">
        <f t="shared" si="23"/>
        <v>3.1669277776118427</v>
      </c>
      <c r="U106" s="37">
        <f t="shared" si="24"/>
        <v>9.5309144388150688</v>
      </c>
      <c r="V106" s="37">
        <f t="shared" si="25"/>
        <v>5.1387090756242637</v>
      </c>
      <c r="W106" s="34">
        <f t="shared" si="26"/>
        <v>0.31669277776118454</v>
      </c>
      <c r="X106" s="34">
        <f t="shared" si="27"/>
        <v>0.95309144388150768</v>
      </c>
      <c r="Y106" s="34">
        <f t="shared" si="28"/>
        <v>0.51387090756242682</v>
      </c>
      <c r="Z106" s="14">
        <v>73</v>
      </c>
      <c r="AA106" s="12">
        <v>41</v>
      </c>
      <c r="AB106" s="12">
        <v>73</v>
      </c>
      <c r="AC106" s="12">
        <v>41</v>
      </c>
      <c r="AD106" s="12">
        <f t="shared" si="42"/>
        <v>21</v>
      </c>
      <c r="AE106" s="10">
        <v>322.87602739726026</v>
      </c>
      <c r="AF106" s="10">
        <v>344.83634146341456</v>
      </c>
      <c r="AG106" s="10">
        <f t="shared" si="43"/>
        <v>225.6357142857143</v>
      </c>
      <c r="AH106" s="12">
        <v>1639.9756097560976</v>
      </c>
      <c r="AI106" s="25">
        <f t="shared" si="44"/>
        <v>-0.10000000000000009</v>
      </c>
      <c r="AJ106" s="28">
        <v>0.68444330455955149</v>
      </c>
      <c r="AK106" s="34">
        <f t="shared" si="29"/>
        <v>2.2901454060945539</v>
      </c>
      <c r="AL106" s="37">
        <f t="shared" si="30"/>
        <v>6.5913966808030988</v>
      </c>
      <c r="AM106" s="37">
        <f t="shared" si="31"/>
        <v>3.7606047134790366</v>
      </c>
      <c r="AN106" s="34">
        <f t="shared" si="45"/>
        <v>0.22901454060945559</v>
      </c>
      <c r="AO106" s="34">
        <f t="shared" si="37"/>
        <v>0.65913966808031044</v>
      </c>
      <c r="AP106" s="34">
        <f t="shared" si="38"/>
        <v>0.37606047134790399</v>
      </c>
      <c r="AS106" s="43">
        <f t="shared" si="32"/>
        <v>17.645735842068603</v>
      </c>
      <c r="AV106" s="43">
        <f t="shared" si="33"/>
        <v>-16.033504730106792</v>
      </c>
      <c r="AY106" s="12">
        <f t="shared" si="34"/>
        <v>551079.93607839488</v>
      </c>
      <c r="AZ106" s="5">
        <f t="shared" si="35"/>
        <v>758435.32159999781</v>
      </c>
    </row>
    <row r="107" spans="1:52" x14ac:dyDescent="0.2">
      <c r="A107" s="2">
        <v>100</v>
      </c>
      <c r="B107" s="5">
        <v>27408</v>
      </c>
      <c r="C107" t="s">
        <v>104</v>
      </c>
      <c r="D107" s="5">
        <v>13</v>
      </c>
      <c r="E107" s="4">
        <v>3.0167371360991211E-7</v>
      </c>
      <c r="F107" s="22">
        <v>0.99792905822386069</v>
      </c>
      <c r="G107" s="25">
        <f>(1-(F106+F107)/2)/E107</f>
        <v>36035.429292312212</v>
      </c>
      <c r="H107" s="12">
        <v>1296</v>
      </c>
      <c r="I107" s="12">
        <v>4</v>
      </c>
      <c r="J107" s="12">
        <v>2</v>
      </c>
      <c r="K107" s="12">
        <v>4</v>
      </c>
      <c r="L107" s="12">
        <v>2</v>
      </c>
      <c r="M107" s="12">
        <f t="shared" si="39"/>
        <v>1</v>
      </c>
      <c r="N107" s="10">
        <v>269.78750000000002</v>
      </c>
      <c r="O107" s="10">
        <v>283.02499999999998</v>
      </c>
      <c r="P107" s="10">
        <f t="shared" si="40"/>
        <v>281.04999999999973</v>
      </c>
      <c r="Q107" s="12">
        <v>1317</v>
      </c>
      <c r="R107" s="25">
        <f t="shared" si="41"/>
        <v>-0.5</v>
      </c>
      <c r="S107" s="27">
        <v>0.61381353289678831</v>
      </c>
      <c r="T107" s="35">
        <f t="shared" si="23"/>
        <v>0.65213901278760855</v>
      </c>
      <c r="U107" s="38">
        <f t="shared" si="24"/>
        <v>1.7428100386117962</v>
      </c>
      <c r="V107" s="38">
        <f t="shared" si="25"/>
        <v>0.85963819553889098</v>
      </c>
      <c r="W107" s="35">
        <f t="shared" si="26"/>
        <v>0.32606950639380428</v>
      </c>
      <c r="X107" s="35">
        <f t="shared" si="27"/>
        <v>0.87140501930589809</v>
      </c>
      <c r="Y107" s="36">
        <f t="shared" si="28"/>
        <v>0.42981909776944549</v>
      </c>
      <c r="Z107" s="14">
        <v>9</v>
      </c>
      <c r="AA107" s="12">
        <v>8</v>
      </c>
      <c r="AB107" s="12">
        <v>9</v>
      </c>
      <c r="AC107" s="12">
        <v>8</v>
      </c>
      <c r="AD107" s="12">
        <f t="shared" si="42"/>
        <v>2</v>
      </c>
      <c r="AE107" s="10">
        <v>399.38777777777773</v>
      </c>
      <c r="AF107" s="10">
        <v>414.18</v>
      </c>
      <c r="AG107" s="10">
        <f t="shared" si="43"/>
        <v>256.55000000000007</v>
      </c>
      <c r="AH107" s="12">
        <v>1317</v>
      </c>
      <c r="AI107" s="25">
        <f t="shared" si="44"/>
        <v>-0.5</v>
      </c>
      <c r="AJ107" s="27">
        <v>0.70423412204234126</v>
      </c>
      <c r="AK107" s="35">
        <f t="shared" si="29"/>
        <v>2.4923648680808457</v>
      </c>
      <c r="AL107" s="38">
        <f t="shared" si="30"/>
        <v>9.0323806845933223</v>
      </c>
      <c r="AM107" s="38">
        <f t="shared" si="31"/>
        <v>3.284698812680082</v>
      </c>
      <c r="AN107" s="35">
        <f t="shared" si="45"/>
        <v>1.2461824340404228</v>
      </c>
      <c r="AO107" s="35">
        <f t="shared" si="37"/>
        <v>4.5161903422966612</v>
      </c>
      <c r="AP107" s="35">
        <f t="shared" si="38"/>
        <v>1.642349406340041</v>
      </c>
      <c r="AS107" s="44">
        <f t="shared" si="32"/>
        <v>16.0819044705975</v>
      </c>
      <c r="AV107" s="44">
        <f t="shared" si="33"/>
        <v>-10.694309108994938</v>
      </c>
      <c r="AY107" s="16">
        <f t="shared" si="34"/>
        <v>316872.54684427951</v>
      </c>
      <c r="AZ107" s="24">
        <f t="shared" si="35"/>
        <v>468460.58080005879</v>
      </c>
    </row>
    <row r="108" spans="1:52" x14ac:dyDescent="0.2">
      <c r="B108" s="5">
        <v>47653</v>
      </c>
      <c r="E108" s="3">
        <f>SUM(E8:E107)</f>
        <v>0.14158387424977234</v>
      </c>
      <c r="F108" s="3"/>
      <c r="G108" s="3"/>
      <c r="H108" s="3"/>
      <c r="I108" s="3"/>
      <c r="T108" s="34">
        <f t="shared" ref="T108:V108" si="46">SUM(T8:T107)</f>
        <v>131.81418557905451</v>
      </c>
      <c r="U108" s="34">
        <f t="shared" si="46"/>
        <v>236.65807321682681</v>
      </c>
      <c r="V108" s="34">
        <f t="shared" si="46"/>
        <v>153.30888979196939</v>
      </c>
      <c r="W108" s="34">
        <f>SUM(W8:W107)</f>
        <v>50.717790584956532</v>
      </c>
      <c r="X108" s="34">
        <f t="shared" ref="X108" si="47">SUM(X8:X107)</f>
        <v>82.288158568477442</v>
      </c>
      <c r="Y108" s="34">
        <f t="shared" ref="Y108" si="48">SUM(Y8:Y107)</f>
        <v>43.237870017355391</v>
      </c>
      <c r="AK108" s="34">
        <f t="shared" ref="AK108" si="49">SUM(AK8:AK107)</f>
        <v>145.42384275944582</v>
      </c>
      <c r="AL108" s="34">
        <f t="shared" ref="AL108" si="50">SUM(AL8:AL107)</f>
        <v>269.12871247205106</v>
      </c>
      <c r="AM108" s="34">
        <f t="shared" ref="AM108" si="51">SUM(AM8:AM107)</f>
        <v>192.19266979055024</v>
      </c>
      <c r="AN108" s="34">
        <f>SUM(AN8:AN107)</f>
        <v>51.956994381622486</v>
      </c>
      <c r="AO108" s="34">
        <f t="shared" ref="AO108" si="52">SUM(AO8:AO107)</f>
        <v>85.8359387682695</v>
      </c>
      <c r="AP108" s="34">
        <f t="shared" ref="AP108" si="53">SUM(AP8:AP107)</f>
        <v>47.09250482294587</v>
      </c>
      <c r="AS108" s="43">
        <f>SUM(AS8:AS107)</f>
        <v>670.53772555798582</v>
      </c>
      <c r="AV108" s="43">
        <f>SUM(AV8:AV107)</f>
        <v>-502.41362822123904</v>
      </c>
      <c r="AY108" s="12">
        <f>SUM(AY8:AY107)</f>
        <v>29978062.072912525</v>
      </c>
      <c r="AZ108" s="12">
        <f>SUM(AZ8:AZ107)</f>
        <v>43083948.014778368</v>
      </c>
    </row>
    <row r="109" spans="1:52" x14ac:dyDescent="0.2">
      <c r="B109" s="12"/>
      <c r="AQ109" s="13" t="s">
        <v>213</v>
      </c>
      <c r="AS109" s="43">
        <f>AS108+AV108</f>
        <v>168.12409733674679</v>
      </c>
      <c r="AY109" s="18">
        <f>AY108/AZ108</f>
        <v>0.69580582686223769</v>
      </c>
    </row>
    <row r="110" spans="1:52" x14ac:dyDescent="0.2">
      <c r="C110" t="s">
        <v>114</v>
      </c>
      <c r="E110" s="3">
        <f>SUM(E8:E57)</f>
        <v>0.11792905822386211</v>
      </c>
      <c r="F110" s="3"/>
      <c r="G110" s="3"/>
      <c r="H110" s="3"/>
    </row>
    <row r="111" spans="1:52" x14ac:dyDescent="0.2">
      <c r="C111" t="s">
        <v>115</v>
      </c>
      <c r="E111" s="3">
        <f>SUM(E58:E107)</f>
        <v>2.3654816025910148E-2</v>
      </c>
      <c r="F111" s="3"/>
      <c r="G111" s="3"/>
      <c r="H111" s="3"/>
    </row>
    <row r="112" spans="1:52" x14ac:dyDescent="0.2">
      <c r="C112" s="9"/>
      <c r="E112" s="10"/>
      <c r="F112" s="10"/>
      <c r="G112" s="10"/>
      <c r="H112" s="10"/>
    </row>
    <row r="113" spans="4:7" x14ac:dyDescent="0.2">
      <c r="D113" t="s">
        <v>165</v>
      </c>
      <c r="G113" s="10">
        <v>9.8000000000000007</v>
      </c>
    </row>
  </sheetData>
  <sheetProtection algorithmName="SHA-512" hashValue="WI79rVjwglbmqhkc9DCvDqseoMkxmGyEcXyJDFH5jw6ddgQH5in7t38Hw8a2MG+ALegPUceDflwjfWeIusWBiQ==" saltValue="ajVlBqOL1H9lrJa3v8LE6w==" spinCount="100000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4"/>
  <sheetViews>
    <sheetView workbookViewId="0">
      <pane xSplit="3" ySplit="7" topLeftCell="E8" activePane="bottomRight" state="frozen"/>
      <selection pane="topRight" activeCell="D1" sqref="D1"/>
      <selection pane="bottomLeft" activeCell="A4" sqref="A4"/>
      <selection pane="bottomRight" activeCell="V3" sqref="V3"/>
    </sheetView>
  </sheetViews>
  <sheetFormatPr defaultRowHeight="12.75" x14ac:dyDescent="0.2"/>
  <cols>
    <col min="1" max="1" width="6.7109375" customWidth="1"/>
    <col min="2" max="2" width="7.7109375" customWidth="1"/>
    <col min="3" max="3" width="10.7109375" customWidth="1"/>
    <col min="4" max="4" width="12.7109375" customWidth="1"/>
    <col min="5" max="9" width="9.140625" customWidth="1"/>
    <col min="11" max="15" width="10.7109375" customWidth="1"/>
    <col min="39" max="43" width="10.7109375" customWidth="1"/>
    <col min="67" max="67" width="12.7109375" customWidth="1"/>
    <col min="76" max="76" width="9.5703125" bestFit="1" customWidth="1"/>
    <col min="81" max="81" width="15.7109375" customWidth="1"/>
    <col min="82" max="85" width="10.7109375" customWidth="1"/>
    <col min="86" max="89" width="13.7109375" customWidth="1"/>
    <col min="91" max="91" width="12.7109375" customWidth="1"/>
  </cols>
  <sheetData>
    <row r="1" spans="1:91" x14ac:dyDescent="0.2">
      <c r="A1" t="s">
        <v>118</v>
      </c>
    </row>
    <row r="2" spans="1:91" ht="13.5" thickBot="1" x14ac:dyDescent="0.25"/>
    <row r="3" spans="1:91" ht="13.5" thickBot="1" x14ac:dyDescent="0.25">
      <c r="U3" s="13" t="s">
        <v>188</v>
      </c>
      <c r="V3" s="54">
        <v>0.94199999999999995</v>
      </c>
      <c r="W3" s="39" t="s">
        <v>189</v>
      </c>
      <c r="Z3" s="13" t="s">
        <v>164</v>
      </c>
      <c r="AA3" s="55">
        <v>1</v>
      </c>
      <c r="AB3" s="56">
        <v>0.01</v>
      </c>
      <c r="AC3" s="57">
        <v>1E-3</v>
      </c>
    </row>
    <row r="4" spans="1:91" ht="13.5" thickBot="1" x14ac:dyDescent="0.25">
      <c r="H4" s="13" t="s">
        <v>117</v>
      </c>
      <c r="I4" s="58">
        <v>-1.04</v>
      </c>
      <c r="K4" t="s">
        <v>112</v>
      </c>
      <c r="AM4" s="7" t="s">
        <v>113</v>
      </c>
      <c r="BP4" s="6" t="s">
        <v>209</v>
      </c>
      <c r="BQ4" s="6"/>
      <c r="BR4" s="6"/>
      <c r="BS4" s="6" t="s">
        <v>206</v>
      </c>
      <c r="BT4" s="6"/>
      <c r="BU4" s="6"/>
      <c r="BW4" s="6" t="s">
        <v>210</v>
      </c>
      <c r="BX4" s="6"/>
      <c r="BY4" s="6"/>
      <c r="BZ4" s="6" t="s">
        <v>207</v>
      </c>
      <c r="CA4" s="6"/>
      <c r="CB4" s="6"/>
      <c r="CD4" t="s">
        <v>224</v>
      </c>
    </row>
    <row r="5" spans="1:91" x14ac:dyDescent="0.2">
      <c r="I5" s="13"/>
      <c r="P5" s="6" t="s">
        <v>201</v>
      </c>
      <c r="Q5" s="6"/>
      <c r="R5" s="6"/>
      <c r="S5" s="6"/>
      <c r="T5" s="6" t="s">
        <v>108</v>
      </c>
      <c r="U5" s="6"/>
      <c r="V5" s="6"/>
      <c r="W5" s="6"/>
      <c r="X5" s="6"/>
      <c r="Y5" s="6"/>
      <c r="AA5" s="6" t="s">
        <v>208</v>
      </c>
      <c r="AB5" s="6"/>
      <c r="AC5" s="6"/>
      <c r="AD5" s="6" t="s">
        <v>205</v>
      </c>
      <c r="AE5" s="6"/>
      <c r="AF5" s="6"/>
      <c r="AG5" s="6" t="s">
        <v>206</v>
      </c>
      <c r="AH5" s="6"/>
      <c r="AI5" s="6"/>
      <c r="AJ5" s="6" t="s">
        <v>207</v>
      </c>
      <c r="AK5" s="6"/>
      <c r="AL5" s="6"/>
      <c r="AM5" s="7"/>
      <c r="AR5" s="6" t="s">
        <v>201</v>
      </c>
      <c r="AS5" s="6"/>
      <c r="AT5" s="6"/>
      <c r="AU5" s="6"/>
      <c r="AV5" s="6" t="s">
        <v>108</v>
      </c>
      <c r="AW5" s="6"/>
      <c r="AX5" s="6"/>
      <c r="AY5" s="6"/>
      <c r="AZ5" s="6"/>
      <c r="BA5" s="6"/>
      <c r="BC5" s="6" t="s">
        <v>208</v>
      </c>
      <c r="BD5" s="6"/>
      <c r="BE5" s="6"/>
      <c r="BF5" s="6" t="s">
        <v>205</v>
      </c>
      <c r="BG5" s="6"/>
      <c r="BH5" s="6"/>
      <c r="BI5" s="6" t="s">
        <v>206</v>
      </c>
      <c r="BJ5" s="6"/>
      <c r="BK5" s="6"/>
      <c r="BL5" s="6" t="s">
        <v>207</v>
      </c>
      <c r="BM5" s="6"/>
      <c r="BN5" s="6"/>
      <c r="BP5" s="6" t="s">
        <v>211</v>
      </c>
      <c r="BQ5" s="6"/>
      <c r="BR5" s="6"/>
      <c r="BS5" s="6" t="s">
        <v>212</v>
      </c>
      <c r="BT5" s="6"/>
      <c r="BU5" s="6"/>
      <c r="BW5" s="6" t="s">
        <v>211</v>
      </c>
      <c r="BX5" s="6"/>
      <c r="BY5" s="6"/>
      <c r="BZ5" s="6" t="s">
        <v>212</v>
      </c>
      <c r="CA5" s="6"/>
      <c r="CB5" s="6"/>
      <c r="CD5" s="6" t="s">
        <v>221</v>
      </c>
      <c r="CE5" s="6"/>
      <c r="CF5" s="6"/>
      <c r="CG5" s="6"/>
      <c r="CH5" s="6" t="s">
        <v>222</v>
      </c>
      <c r="CI5" s="6"/>
      <c r="CJ5" s="6"/>
      <c r="CK5" s="6"/>
      <c r="CM5" s="1" t="s">
        <v>228</v>
      </c>
    </row>
    <row r="6" spans="1:91" x14ac:dyDescent="0.2">
      <c r="N6" s="6" t="s">
        <v>154</v>
      </c>
      <c r="O6" s="6"/>
      <c r="P6" s="6" t="s">
        <v>200</v>
      </c>
      <c r="Q6" s="6"/>
      <c r="R6" s="6" t="s">
        <v>199</v>
      </c>
      <c r="S6" s="6"/>
      <c r="T6" s="6" t="s">
        <v>200</v>
      </c>
      <c r="U6" s="6"/>
      <c r="V6" s="6"/>
      <c r="W6" s="6" t="s">
        <v>199</v>
      </c>
      <c r="X6" s="6"/>
      <c r="Y6" s="6"/>
      <c r="Z6" s="1"/>
      <c r="AA6" s="6" t="s">
        <v>163</v>
      </c>
      <c r="AB6" s="6"/>
      <c r="AC6" s="1" t="s">
        <v>159</v>
      </c>
      <c r="AD6" s="6" t="s">
        <v>163</v>
      </c>
      <c r="AE6" s="6"/>
      <c r="AF6" s="1" t="s">
        <v>159</v>
      </c>
      <c r="AG6" s="6" t="s">
        <v>158</v>
      </c>
      <c r="AH6" s="6"/>
      <c r="AI6" s="1" t="s">
        <v>159</v>
      </c>
      <c r="AJ6" s="6" t="s">
        <v>158</v>
      </c>
      <c r="AK6" s="6"/>
      <c r="AL6" s="1" t="s">
        <v>159</v>
      </c>
      <c r="AM6" s="7"/>
      <c r="AP6" s="6" t="s">
        <v>154</v>
      </c>
      <c r="AQ6" s="6"/>
      <c r="AR6" s="6" t="s">
        <v>200</v>
      </c>
      <c r="AS6" s="6"/>
      <c r="AT6" s="6" t="s">
        <v>199</v>
      </c>
      <c r="AU6" s="6"/>
      <c r="AV6" s="6" t="s">
        <v>200</v>
      </c>
      <c r="AW6" s="6"/>
      <c r="AX6" s="6"/>
      <c r="AY6" s="6" t="s">
        <v>199</v>
      </c>
      <c r="AZ6" s="6"/>
      <c r="BA6" s="6"/>
      <c r="BB6" s="1"/>
      <c r="BC6" s="6" t="s">
        <v>163</v>
      </c>
      <c r="BD6" s="6"/>
      <c r="BE6" s="1" t="s">
        <v>159</v>
      </c>
      <c r="BF6" s="6" t="s">
        <v>163</v>
      </c>
      <c r="BG6" s="6"/>
      <c r="BH6" s="1" t="s">
        <v>159</v>
      </c>
      <c r="BI6" s="6" t="s">
        <v>158</v>
      </c>
      <c r="BJ6" s="6"/>
      <c r="BK6" s="1" t="s">
        <v>159</v>
      </c>
      <c r="BL6" s="6" t="s">
        <v>158</v>
      </c>
      <c r="BM6" s="6"/>
      <c r="BN6" s="1" t="s">
        <v>159</v>
      </c>
      <c r="BP6" s="6" t="s">
        <v>158</v>
      </c>
      <c r="BQ6" s="6"/>
      <c r="BR6" s="1" t="s">
        <v>159</v>
      </c>
      <c r="BS6" s="6" t="s">
        <v>158</v>
      </c>
      <c r="BT6" s="6"/>
      <c r="BU6" s="1" t="s">
        <v>159</v>
      </c>
      <c r="BW6" s="6" t="s">
        <v>158</v>
      </c>
      <c r="BX6" s="6"/>
      <c r="BY6" s="1" t="s">
        <v>159</v>
      </c>
      <c r="BZ6" s="6" t="s">
        <v>158</v>
      </c>
      <c r="CA6" s="6"/>
      <c r="CB6" s="1" t="s">
        <v>159</v>
      </c>
      <c r="CD6" s="6" t="s">
        <v>200</v>
      </c>
      <c r="CE6" s="6"/>
      <c r="CF6" s="6" t="s">
        <v>199</v>
      </c>
      <c r="CG6" s="6"/>
      <c r="CH6" s="6" t="s">
        <v>200</v>
      </c>
      <c r="CI6" s="6"/>
      <c r="CJ6" s="6" t="s">
        <v>199</v>
      </c>
      <c r="CK6" s="6"/>
      <c r="CM6" s="1" t="s">
        <v>229</v>
      </c>
    </row>
    <row r="7" spans="1:91" ht="12.75" customHeight="1" x14ac:dyDescent="0.2">
      <c r="A7" s="1" t="s">
        <v>1</v>
      </c>
      <c r="B7" s="1" t="s">
        <v>2</v>
      </c>
      <c r="C7" t="s">
        <v>3</v>
      </c>
      <c r="D7" s="1" t="s">
        <v>119</v>
      </c>
      <c r="E7" s="1" t="s">
        <v>4</v>
      </c>
      <c r="F7" s="1" t="s">
        <v>150</v>
      </c>
      <c r="G7" s="1" t="s">
        <v>116</v>
      </c>
      <c r="H7" s="1" t="s">
        <v>157</v>
      </c>
      <c r="I7" s="1" t="s">
        <v>196</v>
      </c>
      <c r="J7" s="1" t="s">
        <v>204</v>
      </c>
      <c r="K7" s="1" t="s">
        <v>107</v>
      </c>
      <c r="L7" s="1" t="s">
        <v>153</v>
      </c>
      <c r="M7" s="1" t="s">
        <v>203</v>
      </c>
      <c r="N7" s="1" t="s">
        <v>197</v>
      </c>
      <c r="O7" s="1" t="s">
        <v>198</v>
      </c>
      <c r="P7" s="1" t="s">
        <v>194</v>
      </c>
      <c r="Q7" s="1" t="s">
        <v>195</v>
      </c>
      <c r="R7" s="1" t="s">
        <v>194</v>
      </c>
      <c r="S7" s="1" t="s">
        <v>195</v>
      </c>
      <c r="T7" s="1" t="s">
        <v>194</v>
      </c>
      <c r="U7" s="1" t="s">
        <v>214</v>
      </c>
      <c r="V7" s="1" t="s">
        <v>195</v>
      </c>
      <c r="W7" s="1" t="s">
        <v>194</v>
      </c>
      <c r="X7" s="1" t="s">
        <v>214</v>
      </c>
      <c r="Y7" s="1" t="s">
        <v>195</v>
      </c>
      <c r="Z7" s="1" t="s">
        <v>190</v>
      </c>
      <c r="AA7" s="30" t="str">
        <f>"$"&amp;$AA3&amp;" drop"</f>
        <v>$1 drop</v>
      </c>
      <c r="AB7" s="31" t="str">
        <f>100*$AB3&amp;"% drop"</f>
        <v>1% drop</v>
      </c>
      <c r="AC7" s="32" t="str">
        <f>100*$AC3&amp;"¢ drop"</f>
        <v>0.1¢ drop</v>
      </c>
      <c r="AD7" s="30" t="str">
        <f>"$"&amp;$AA3&amp;" drop"</f>
        <v>$1 drop</v>
      </c>
      <c r="AE7" s="31" t="str">
        <f>100*$AB3&amp;"% drop"</f>
        <v>1% drop</v>
      </c>
      <c r="AF7" s="32" t="str">
        <f>100*$AC3&amp;"¢ drop"</f>
        <v>0.1¢ drop</v>
      </c>
      <c r="AG7" s="30" t="str">
        <f>"$"&amp;$AA3&amp;" drop"</f>
        <v>$1 drop</v>
      </c>
      <c r="AH7" s="31" t="str">
        <f>100*$AB3&amp;"% drop"</f>
        <v>1% drop</v>
      </c>
      <c r="AI7" s="32" t="str">
        <f>100*$AC3&amp;"¢ drop"</f>
        <v>0.1¢ drop</v>
      </c>
      <c r="AJ7" s="30" t="str">
        <f>"$"&amp;$AA3&amp;" drop"</f>
        <v>$1 drop</v>
      </c>
      <c r="AK7" s="31" t="str">
        <f>100*$AB3&amp;"% drop"</f>
        <v>1% drop</v>
      </c>
      <c r="AL7" s="32" t="str">
        <f>100*$AC3&amp;"¢ drop"</f>
        <v>0.1¢ drop</v>
      </c>
      <c r="AM7" s="8" t="s">
        <v>107</v>
      </c>
      <c r="AN7" s="1" t="s">
        <v>153</v>
      </c>
      <c r="AO7" s="1" t="s">
        <v>203</v>
      </c>
      <c r="AP7" s="1" t="s">
        <v>197</v>
      </c>
      <c r="AQ7" s="1" t="s">
        <v>198</v>
      </c>
      <c r="AR7" s="1" t="s">
        <v>194</v>
      </c>
      <c r="AS7" s="1" t="s">
        <v>195</v>
      </c>
      <c r="AT7" s="1" t="s">
        <v>194</v>
      </c>
      <c r="AU7" s="1" t="s">
        <v>195</v>
      </c>
      <c r="AV7" s="1" t="s">
        <v>194</v>
      </c>
      <c r="AW7" s="1" t="s">
        <v>214</v>
      </c>
      <c r="AX7" s="1" t="s">
        <v>195</v>
      </c>
      <c r="AY7" s="1" t="s">
        <v>194</v>
      </c>
      <c r="AZ7" s="1" t="s">
        <v>214</v>
      </c>
      <c r="BA7" s="1" t="s">
        <v>195</v>
      </c>
      <c r="BB7" s="1" t="s">
        <v>190</v>
      </c>
      <c r="BC7" s="30" t="str">
        <f>"$"&amp;$AA3&amp;" drop"</f>
        <v>$1 drop</v>
      </c>
      <c r="BD7" s="31" t="str">
        <f>100*$AB3&amp;"% drop"</f>
        <v>1% drop</v>
      </c>
      <c r="BE7" s="32" t="str">
        <f>100*$AC3&amp;"¢ drop"</f>
        <v>0.1¢ drop</v>
      </c>
      <c r="BF7" s="30" t="str">
        <f>"$"&amp;$AA3&amp;" drop"</f>
        <v>$1 drop</v>
      </c>
      <c r="BG7" s="31" t="str">
        <f>100*$AB3&amp;"% drop"</f>
        <v>1% drop</v>
      </c>
      <c r="BH7" s="32" t="str">
        <f>100*$AC3&amp;"¢ drop"</f>
        <v>0.1¢ drop</v>
      </c>
      <c r="BI7" s="30" t="str">
        <f>"$"&amp;$AA3&amp;" drop"</f>
        <v>$1 drop</v>
      </c>
      <c r="BJ7" s="31" t="str">
        <f>100*$AB3&amp;"% drop"</f>
        <v>1% drop</v>
      </c>
      <c r="BK7" s="32" t="str">
        <f>100*$AC3&amp;"¢ drop"</f>
        <v>0.1¢ drop</v>
      </c>
      <c r="BL7" s="30" t="str">
        <f>"$"&amp;$AA3&amp;" drop"</f>
        <v>$1 drop</v>
      </c>
      <c r="BM7" s="31" t="str">
        <f>100*$AB3&amp;"% drop"</f>
        <v>1% drop</v>
      </c>
      <c r="BN7" s="32" t="str">
        <f>100*$AC3&amp;"¢ drop"</f>
        <v>0.1¢ drop</v>
      </c>
      <c r="BP7" s="30" t="str">
        <f>"$"&amp;$AA3&amp;" drop"</f>
        <v>$1 drop</v>
      </c>
      <c r="BQ7" s="31" t="str">
        <f>100*$AB3&amp;"% drop"</f>
        <v>1% drop</v>
      </c>
      <c r="BR7" s="32" t="str">
        <f>100*$AC3&amp;"¢ drop"</f>
        <v>0.1¢ drop</v>
      </c>
      <c r="BS7" s="30" t="str">
        <f>"$"&amp;$AA3&amp;" drop"</f>
        <v>$1 drop</v>
      </c>
      <c r="BT7" s="31" t="str">
        <f>100*$AB3&amp;"% drop"</f>
        <v>1% drop</v>
      </c>
      <c r="BU7" s="32" t="str">
        <f>100*$AC3&amp;"¢ drop"</f>
        <v>0.1¢ drop</v>
      </c>
      <c r="BW7" s="30" t="str">
        <f>"$"&amp;$AA3&amp;" drop"</f>
        <v>$1 drop</v>
      </c>
      <c r="BX7" s="31" t="str">
        <f>100*$AB3&amp;"% drop"</f>
        <v>1% drop</v>
      </c>
      <c r="BY7" s="32" t="str">
        <f>100*$AC3&amp;"¢ drop"</f>
        <v>0.1¢ drop</v>
      </c>
      <c r="BZ7" s="30" t="str">
        <f>"$"&amp;$AA3&amp;" drop"</f>
        <v>$1 drop</v>
      </c>
      <c r="CA7" s="31" t="str">
        <f>100*$AB3&amp;"% drop"</f>
        <v>1% drop</v>
      </c>
      <c r="CB7" s="32" t="str">
        <f>100*$AC3&amp;"¢ drop"</f>
        <v>0.1¢ drop</v>
      </c>
      <c r="CD7" s="1" t="s">
        <v>194</v>
      </c>
      <c r="CE7" s="1" t="s">
        <v>195</v>
      </c>
      <c r="CF7" s="1" t="s">
        <v>194</v>
      </c>
      <c r="CG7" s="1" t="s">
        <v>195</v>
      </c>
      <c r="CH7" s="1" t="s">
        <v>194</v>
      </c>
      <c r="CI7" s="1" t="s">
        <v>195</v>
      </c>
      <c r="CJ7" s="1" t="s">
        <v>194</v>
      </c>
      <c r="CK7" s="1" t="s">
        <v>195</v>
      </c>
    </row>
    <row r="8" spans="1:91" x14ac:dyDescent="0.2">
      <c r="A8">
        <v>1</v>
      </c>
      <c r="B8" s="12">
        <v>1</v>
      </c>
      <c r="C8" t="s">
        <v>120</v>
      </c>
      <c r="D8" s="12">
        <v>2501546</v>
      </c>
      <c r="E8" s="3">
        <v>1.5791865985726437E-2</v>
      </c>
      <c r="F8" s="3">
        <v>1.5791865985726437E-2</v>
      </c>
      <c r="G8" s="3"/>
      <c r="H8" s="12">
        <v>3457</v>
      </c>
      <c r="I8" s="21">
        <v>0.66126625464613098</v>
      </c>
      <c r="J8" s="21">
        <v>0.78422234066904284</v>
      </c>
      <c r="K8" s="12">
        <v>1243896</v>
      </c>
      <c r="L8" s="12">
        <v>470807</v>
      </c>
      <c r="M8" s="12">
        <f>K8-L8</f>
        <v>773089</v>
      </c>
      <c r="N8" s="12">
        <v>490110</v>
      </c>
      <c r="O8" s="12">
        <v>36570</v>
      </c>
      <c r="P8" s="18">
        <v>0.58782722246026398</v>
      </c>
      <c r="Q8" s="18">
        <v>0.34131113423517168</v>
      </c>
      <c r="R8" s="18">
        <v>0.73213340264580584</v>
      </c>
      <c r="S8" s="18">
        <v>0.19645091154555738</v>
      </c>
      <c r="T8" s="46">
        <v>675.98465012148552</v>
      </c>
      <c r="U8" s="46">
        <v>452.01073568206579</v>
      </c>
      <c r="V8" s="46">
        <v>687.65883070301288</v>
      </c>
      <c r="W8" s="46">
        <v>769.68602510460255</v>
      </c>
      <c r="X8" s="46">
        <v>664.44632001498985</v>
      </c>
      <c r="Y8" s="46">
        <v>1319.7260066127844</v>
      </c>
      <c r="Z8">
        <f>1+$I$4</f>
        <v>-4.0000000000000036E-2</v>
      </c>
      <c r="AA8" s="43">
        <f t="shared" ref="AA8:AA21" si="0">(L8*P8*T8*(1-(1-$AA$3/(T8*$V$3))^Z8)+L8*Q8*V8*(1-(1-$AA$3/(U8*$V$3))^Z8)+M8*R8*W8*(1-(1-$AA$3/(W8*$V$3))^Z8)+M8*S8*Y8*(1-(1-$AA$3/(X8*$V$3))^Z8))*(1-I8)*J8*$V$3/(Z8*1000000)</f>
        <v>0.36925866003238544</v>
      </c>
      <c r="AB8" s="43">
        <f t="shared" ref="AB8:AB21" si="1">(L8*P8*T8+L8*Q8*V8+M8*R8*W8+M8*S8*Y8)*(1-I8)*J8*$V$3*(1-(1-$AB$3)^Z8)/(Z8*1000000)</f>
        <v>2.3485782748423163</v>
      </c>
      <c r="AC8" s="43">
        <f t="shared" ref="AC8:AC21" si="2">(L8*P8*T8*(1-(1-$AC$3*H8/(T8*$V$3))^Z8)+L8*Q8*V8*(1-(1-$AC$3*H8/(U8*$V$3))^Z8)+M8*R8*W8*(1-(1-$AC$3*H8/(W8*$V$3))^Z8)+M8*S8*Y8*(1-(1-$AC$3*H8/(X8*$V$3))^Z8))*(1-I8)*J8*$V$3/(Z8*1000000)</f>
        <v>1.2792059961865787</v>
      </c>
      <c r="AD8" s="43">
        <f>AA8*I8/(1-I8)</f>
        <v>0.72085611328796273</v>
      </c>
      <c r="AE8" s="43">
        <f>AB8*I8/(1-I8)</f>
        <v>4.584826817079656</v>
      </c>
      <c r="AF8" s="43">
        <f>AC8*I8/(1-I8)</f>
        <v>2.4972290762925904</v>
      </c>
      <c r="AG8" s="43">
        <f>-$Z8*AA8</f>
        <v>1.4770346401295431E-2</v>
      </c>
      <c r="AH8" s="43">
        <f t="shared" ref="AH8:AL8" si="3">-$Z8*AB8</f>
        <v>9.3943130993692739E-2</v>
      </c>
      <c r="AI8" s="43">
        <f t="shared" si="3"/>
        <v>5.1168239847463194E-2</v>
      </c>
      <c r="AJ8" s="43">
        <f t="shared" si="3"/>
        <v>2.8834244531518536E-2</v>
      </c>
      <c r="AK8" s="43">
        <f t="shared" si="3"/>
        <v>0.18339307268318641</v>
      </c>
      <c r="AL8" s="43">
        <f t="shared" si="3"/>
        <v>9.98891630517037E-2</v>
      </c>
      <c r="AM8" s="14">
        <v>1257650</v>
      </c>
      <c r="AN8" s="12">
        <v>465981</v>
      </c>
      <c r="AO8" s="12">
        <f>AM8-AN8</f>
        <v>791669</v>
      </c>
      <c r="AP8" s="12">
        <v>483510</v>
      </c>
      <c r="AQ8" s="12">
        <v>34550</v>
      </c>
      <c r="AR8" s="18">
        <v>0.59200430187586606</v>
      </c>
      <c r="AS8" s="18">
        <v>0.3520713118653182</v>
      </c>
      <c r="AT8" s="18">
        <v>0.72001027990921429</v>
      </c>
      <c r="AU8" s="18">
        <v>0.22279369759186526</v>
      </c>
      <c r="AV8" s="46">
        <v>689.29108195919514</v>
      </c>
      <c r="AW8" s="46">
        <v>457.04573539889361</v>
      </c>
      <c r="AX8" s="46">
        <v>688.4692369147624</v>
      </c>
      <c r="AY8" s="46">
        <v>840.89782692307699</v>
      </c>
      <c r="AZ8" s="46">
        <v>612.22425204487683</v>
      </c>
      <c r="BA8" s="46">
        <v>1192.31954527163</v>
      </c>
      <c r="BB8">
        <f t="shared" ref="BB8:BB37" si="4">1+$I$4</f>
        <v>-4.0000000000000036E-2</v>
      </c>
      <c r="BC8" s="43">
        <f t="shared" ref="BC8:BC21" si="5">(AN8*AR8*AV8*(1-(1-$AA$3/(AV8*$V$3))^BB8)+AN8*AS8*AX8*(1-(1-$AA$3/(AW8*$V$3))^BB8)+AO8*AT8*AY8*(1-(1-$AA$3/(AY8*$V$3))^BB8)+AO8*AU8*BA8*(1-(1-$AA$3/(AZ8*$V$3))^BB8))*(1-I8)*J8*$V$3/(BB8*1000000)</f>
        <v>0.38191640066915505</v>
      </c>
      <c r="BD8" s="43">
        <f t="shared" ref="BD8:BD21" si="6">(AN8*AR8*AV8+AN8*AS8*AX8+AO8*AT8*AY8+AO8*AU8*BA8)*(1-I8)*J8*$V$3*(1-(1-$AB$3)^BB8)/(BB8*1000000)</f>
        <v>2.4971393418059922</v>
      </c>
      <c r="BE8" s="43">
        <f t="shared" ref="BE8:BE21" si="7">(AN8*AR8*AV8*(1-(1-$AC$3*H8/(AV8*$V$3))^BB8)+AN8*AS8*AX8*(1-(1-$AC$3*H8/(AW8*$V$3))^BB8)+AO8*AT8*AY8*(1-(1-$AC$3*H8/(AY8*$V$3))^BB8)+AO8*AU8*BA8*(1-(1-$AC$3*H8/(AZ8*$V$3))^BB8))*(1-I8)*J8*$V$3/(BB8*1000000)</f>
        <v>1.3230141117976617</v>
      </c>
      <c r="BF8" s="43">
        <f>BC8*I8/(1-I8)</f>
        <v>0.74556618973580713</v>
      </c>
      <c r="BG8" s="43">
        <f>BD8*I8/(1-I8)</f>
        <v>4.8748434501572824</v>
      </c>
      <c r="BH8" s="43">
        <f>BE8*I8/(1-I8)</f>
        <v>2.5827500169446127</v>
      </c>
      <c r="BI8" s="43">
        <f>-$BB8*BC8</f>
        <v>1.5276656026766216E-2</v>
      </c>
      <c r="BJ8" s="43">
        <f t="shared" ref="BJ8:BN8" si="8">-$BB8*BD8</f>
        <v>9.9885573672239769E-2</v>
      </c>
      <c r="BK8" s="43">
        <f t="shared" si="8"/>
        <v>5.2920564471906517E-2</v>
      </c>
      <c r="BL8" s="43">
        <f t="shared" si="8"/>
        <v>2.9822647589432313E-2</v>
      </c>
      <c r="BM8" s="43">
        <f t="shared" si="8"/>
        <v>0.19499373800629147</v>
      </c>
      <c r="BN8" s="43">
        <f t="shared" si="8"/>
        <v>0.10331000067778461</v>
      </c>
      <c r="BQ8" s="43">
        <f>AH8+BJ8-BT8</f>
        <v>5.0143080704689087</v>
      </c>
      <c r="BT8" s="43">
        <f t="shared" ref="BT8:BT21" si="9">-(L8*P8*T8+L8*Q8*V8+M8*R8*W8+M8*S8*Y8+AN8*AR8*AV8+AN8*AS8*AX8+AO8*AT8*AY8+AO8*AU8*BA8)*(1-I8)*J8*$V$3*$AB$3/1000000</f>
        <v>-4.8204793658029761</v>
      </c>
      <c r="BU8" s="18"/>
      <c r="BX8" s="43">
        <f>AK8+BM8-CA8</f>
        <v>9.7887876920467249</v>
      </c>
      <c r="CA8" s="43">
        <f>BT8*I8/(1-I8)</f>
        <v>-9.4104008813572477</v>
      </c>
      <c r="CD8" s="12">
        <f>($L8*P8+$AN8*AR8)*$J8</f>
        <v>433373.75632543012</v>
      </c>
      <c r="CE8" s="12">
        <f>($L8*Q8+$AN8*AS8)*$J8</f>
        <v>254676.37228939793</v>
      </c>
      <c r="CF8" s="12">
        <f>($M8*R8+$AO8*AT8)*$J8</f>
        <v>890887.63528301811</v>
      </c>
      <c r="CG8" s="12">
        <f>($M8*S8+$AO8*AU8)*$J8</f>
        <v>257423.25955716788</v>
      </c>
      <c r="CH8" s="12">
        <f>($L8*P8*T8+$AN8*AR8*AV8)*$J8*$V$3</f>
        <v>278674394.34598041</v>
      </c>
      <c r="CI8" s="12">
        <f>($L8*Q8*V8+$AN8*AS8*AX8)*$J8*$V$3</f>
        <v>165071108.05008003</v>
      </c>
      <c r="CJ8" s="12">
        <f>($M8*R8*W8+$AO8*AT8*AY8)*$J8*$V$3</f>
        <v>675919351.05934238</v>
      </c>
      <c r="CK8" s="12">
        <f>($M8*S8*Y8+$AO8*AU8*BA8)*$J8*$V$3</f>
        <v>303423171.26061982</v>
      </c>
      <c r="CM8" s="12">
        <f>D8*J8</f>
        <v>1961768.2594112814</v>
      </c>
    </row>
    <row r="9" spans="1:91" x14ac:dyDescent="0.2">
      <c r="A9">
        <v>2</v>
      </c>
      <c r="B9" s="12">
        <v>2</v>
      </c>
      <c r="C9" t="s">
        <v>121</v>
      </c>
      <c r="D9" s="12">
        <v>1796314</v>
      </c>
      <c r="E9" s="3">
        <v>1.1339847420868614E-2</v>
      </c>
      <c r="F9" s="3">
        <v>2.7131713406595051E-2</v>
      </c>
      <c r="G9" s="3"/>
      <c r="H9" s="12">
        <v>3265</v>
      </c>
      <c r="I9" s="21">
        <v>0.86786637502485575</v>
      </c>
      <c r="J9" s="21">
        <v>0.82111980513024452</v>
      </c>
      <c r="K9" s="12">
        <v>927985</v>
      </c>
      <c r="L9" s="12">
        <v>335785</v>
      </c>
      <c r="M9" s="12">
        <f t="shared" ref="M9:M35" si="10">K9-L9</f>
        <v>592200</v>
      </c>
      <c r="N9" s="12">
        <v>334070</v>
      </c>
      <c r="O9" s="12">
        <v>24520</v>
      </c>
      <c r="P9" s="18">
        <v>0.70221809800341251</v>
      </c>
      <c r="Q9" s="18">
        <v>0.24315263268177328</v>
      </c>
      <c r="R9" s="18">
        <v>0.78521221046994238</v>
      </c>
      <c r="S9" s="18">
        <v>0.15479270187539546</v>
      </c>
      <c r="T9" s="46">
        <v>1211.0324097361354</v>
      </c>
      <c r="U9" s="46">
        <v>630.89483342127187</v>
      </c>
      <c r="V9" s="46">
        <v>1025.5571943863117</v>
      </c>
      <c r="W9" s="46">
        <v>812.5508527131783</v>
      </c>
      <c r="X9" s="46">
        <v>723.45638507428339</v>
      </c>
      <c r="Y9" s="46">
        <v>927.64504479019342</v>
      </c>
      <c r="Z9">
        <f t="shared" ref="Z9:Z37" si="11">1+$I$4</f>
        <v>-4.0000000000000036E-2</v>
      </c>
      <c r="AA9" s="43">
        <f t="shared" si="0"/>
        <v>0.10325597142125709</v>
      </c>
      <c r="AB9" s="43">
        <f t="shared" si="1"/>
        <v>0.85496157825388031</v>
      </c>
      <c r="AC9" s="43">
        <f t="shared" si="2"/>
        <v>0.33763754276974317</v>
      </c>
      <c r="AD9" s="43">
        <f t="shared" ref="AD9:AD37" si="12">AA9*I9/(1-I9)</f>
        <v>0.67819516518897849</v>
      </c>
      <c r="AE9" s="43">
        <f t="shared" ref="AE9:AE37" si="13">AB9*I9/(1-I9)</f>
        <v>5.615469989900765</v>
      </c>
      <c r="AF9" s="43">
        <f t="shared" ref="AF9:AF37" si="14">AC9*I9/(1-I9)</f>
        <v>2.2176358998021715</v>
      </c>
      <c r="AG9" s="43">
        <f t="shared" ref="AG9:AG37" si="15">-$Z9*AA9</f>
        <v>4.1302388568502874E-3</v>
      </c>
      <c r="AH9" s="43">
        <f t="shared" ref="AH9:AH37" si="16">-$Z9*AB9</f>
        <v>3.4198463130155239E-2</v>
      </c>
      <c r="AI9" s="43">
        <f t="shared" ref="AI9:AI37" si="17">-$Z9*AC9</f>
        <v>1.3505501710789739E-2</v>
      </c>
      <c r="AJ9" s="43">
        <f t="shared" ref="AJ9:AJ37" si="18">-$Z9*AD9</f>
        <v>2.7127806607559164E-2</v>
      </c>
      <c r="AK9" s="43">
        <f t="shared" ref="AK9:AK37" si="19">-$Z9*AE9</f>
        <v>0.22461879959603079</v>
      </c>
      <c r="AL9" s="43">
        <f t="shared" ref="AL9:AL37" si="20">-$Z9*AF9</f>
        <v>8.870543599208694E-2</v>
      </c>
      <c r="AM9" s="14">
        <v>868329</v>
      </c>
      <c r="AN9" s="12">
        <v>340105</v>
      </c>
      <c r="AO9" s="12">
        <f t="shared" ref="AO9:AO35" si="21">AM9-AN9</f>
        <v>528224</v>
      </c>
      <c r="AP9" s="12">
        <v>337750</v>
      </c>
      <c r="AQ9" s="12">
        <v>19510</v>
      </c>
      <c r="AR9" s="18">
        <v>0.68974093264248704</v>
      </c>
      <c r="AS9" s="18">
        <v>0.25643227239082161</v>
      </c>
      <c r="AT9" s="18">
        <v>0.78949102074731825</v>
      </c>
      <c r="AU9" s="18">
        <v>0.15158837140152001</v>
      </c>
      <c r="AV9" s="46">
        <v>1209.3231516140108</v>
      </c>
      <c r="AW9" s="46">
        <v>613.47547375782153</v>
      </c>
      <c r="AX9" s="46">
        <v>1020.4526197898626</v>
      </c>
      <c r="AY9" s="46">
        <v>806.23351851851851</v>
      </c>
      <c r="AZ9" s="46">
        <v>721.72102128372478</v>
      </c>
      <c r="BA9" s="46">
        <v>921.39673482032219</v>
      </c>
      <c r="BB9">
        <f t="shared" si="4"/>
        <v>-4.0000000000000036E-2</v>
      </c>
      <c r="BC9" s="43">
        <f t="shared" si="5"/>
        <v>9.7594789651818517E-2</v>
      </c>
      <c r="BD9" s="43">
        <f t="shared" si="6"/>
        <v>0.80413053943644275</v>
      </c>
      <c r="BE9" s="43">
        <f t="shared" si="7"/>
        <v>0.31913137572541728</v>
      </c>
      <c r="BF9" s="43">
        <f t="shared" ref="BF9:BF37" si="22">BC9*I9/(1-I9)</f>
        <v>0.64101197808180832</v>
      </c>
      <c r="BG9" s="43">
        <f t="shared" ref="BG9:BG37" si="23">BD9*I9/(1-I9)</f>
        <v>5.2816068312571129</v>
      </c>
      <c r="BH9" s="43">
        <f t="shared" ref="BH9:BH37" si="24">BE9*I9/(1-I9)</f>
        <v>2.0960856122702523</v>
      </c>
      <c r="BI9" s="43">
        <f t="shared" ref="BI9:BI37" si="25">-$BB9*BC9</f>
        <v>3.9037915860727444E-3</v>
      </c>
      <c r="BJ9" s="43">
        <f t="shared" ref="BJ9:BJ37" si="26">-$BB9*BD9</f>
        <v>3.2165221577457735E-2</v>
      </c>
      <c r="BK9" s="43">
        <f t="shared" ref="BK9:BK37" si="27">-$BB9*BE9</f>
        <v>1.2765255029016702E-2</v>
      </c>
      <c r="BL9" s="43">
        <f t="shared" ref="BL9:BL37" si="28">-$BB9*BF9</f>
        <v>2.5640479123272355E-2</v>
      </c>
      <c r="BM9" s="43">
        <f t="shared" ref="BM9:BM37" si="29">-$BB9*BG9</f>
        <v>0.21126427325028471</v>
      </c>
      <c r="BN9" s="43">
        <f t="shared" ref="BN9:BN37" si="30">-$BB9*BH9</f>
        <v>8.384342449081017E-2</v>
      </c>
      <c r="BQ9" s="43">
        <f t="shared" ref="BQ9:BQ37" si="31">AH9+BJ9-BT9</f>
        <v>1.7168146502808741</v>
      </c>
      <c r="BT9" s="43">
        <f t="shared" si="9"/>
        <v>-1.6504509655732611</v>
      </c>
      <c r="BU9" s="18"/>
      <c r="BX9" s="43">
        <f t="shared" ref="BX9:BX37" si="32">AK9+BM9-CA9</f>
        <v>11.276203974643897</v>
      </c>
      <c r="CA9" s="43">
        <f t="shared" ref="CA9:CA37" si="33">BT9*I9/(1-I9)</f>
        <v>-10.840320901797581</v>
      </c>
      <c r="CD9" s="12">
        <f t="shared" ref="CD9:CD21" si="34">($L9*P9+$AN9*AR9)*$J9</f>
        <v>386237.22044488339</v>
      </c>
      <c r="CE9" s="12">
        <f t="shared" ref="CE9:CE21" si="35">($L9*Q9+$AN9*AS9)*$J9</f>
        <v>138655.03321600959</v>
      </c>
      <c r="CF9" s="12">
        <f t="shared" ref="CF9:CF21" si="36">($M9*R9+$AO9*AT9)*$J9</f>
        <v>724252.93889447558</v>
      </c>
      <c r="CG9" s="12">
        <f t="shared" ref="CG9:CG21" si="37">($M9*S9+$AO9*AU9)*$J9</f>
        <v>141019.81652488175</v>
      </c>
      <c r="CH9" s="12">
        <f t="shared" ref="CH9:CH21" si="38">($L9*P9*T9+$AN9*AR9*AV9)*$J9*$V$3</f>
        <v>440306391.36970335</v>
      </c>
      <c r="CI9" s="12">
        <f t="shared" ref="CI9:CI21" si="39">($L9*Q9*V9+$AN9*AS9*AX9)*$J9*$V$3</f>
        <v>133606792.11738825</v>
      </c>
      <c r="CJ9" s="12">
        <f t="shared" ref="CJ9:CJ21" si="40">($M9*R9*W9+$AO9*AT9*AY9)*$J9*$V$3</f>
        <v>552322010.41147852</v>
      </c>
      <c r="CK9" s="12">
        <f t="shared" ref="CK9:CK21" si="41">($M9*S9*Y9+$AO9*AU9*BA9)*$J9*$V$3</f>
        <v>122841992.83851443</v>
      </c>
      <c r="CM9" s="12">
        <f t="shared" ref="CM9:CM22" si="42">D9*J9</f>
        <v>1474989.00163273</v>
      </c>
    </row>
    <row r="10" spans="1:91" x14ac:dyDescent="0.2">
      <c r="A10">
        <v>3</v>
      </c>
      <c r="B10" s="12">
        <v>3</v>
      </c>
      <c r="C10" t="s">
        <v>122</v>
      </c>
      <c r="D10" s="12">
        <v>1388367</v>
      </c>
      <c r="E10" s="3">
        <v>8.7645422482756884E-3</v>
      </c>
      <c r="F10" s="3">
        <v>3.5896255654870743E-2</v>
      </c>
      <c r="G10" s="3"/>
      <c r="H10" s="12">
        <v>2895</v>
      </c>
      <c r="I10" s="21">
        <v>0.66126625464613098</v>
      </c>
      <c r="J10" s="21">
        <v>0.78422234066904284</v>
      </c>
      <c r="K10" s="12">
        <v>717849</v>
      </c>
      <c r="L10" s="12">
        <v>149616</v>
      </c>
      <c r="M10" s="12">
        <f t="shared" si="10"/>
        <v>568233</v>
      </c>
      <c r="N10" s="12">
        <v>162630</v>
      </c>
      <c r="O10" s="12">
        <v>37680</v>
      </c>
      <c r="P10" s="18">
        <v>0.41394576646375209</v>
      </c>
      <c r="Q10" s="18">
        <v>0.50501137551497266</v>
      </c>
      <c r="R10" s="18">
        <v>0.52123589204003085</v>
      </c>
      <c r="S10" s="18">
        <v>0.39852869512482852</v>
      </c>
      <c r="T10" s="46">
        <v>799.53687611408202</v>
      </c>
      <c r="U10" s="46">
        <v>581.73089039413321</v>
      </c>
      <c r="V10" s="46">
        <v>727.23572872275645</v>
      </c>
      <c r="W10" s="46">
        <v>915.67774535809019</v>
      </c>
      <c r="X10" s="46">
        <v>607.66170115259922</v>
      </c>
      <c r="Y10" s="46">
        <v>833.04320547031341</v>
      </c>
      <c r="Z10">
        <f t="shared" si="11"/>
        <v>-4.0000000000000036E-2</v>
      </c>
      <c r="AA10" s="43">
        <f t="shared" si="0"/>
        <v>0.20284906745968137</v>
      </c>
      <c r="AB10" s="43">
        <f t="shared" si="1"/>
        <v>1.4195291290739482</v>
      </c>
      <c r="AC10" s="43">
        <f t="shared" si="2"/>
        <v>0.58811575978222941</v>
      </c>
      <c r="AD10" s="43">
        <f t="shared" si="12"/>
        <v>0.39599610294921495</v>
      </c>
      <c r="AE10" s="43">
        <f t="shared" si="13"/>
        <v>2.7711638519013952</v>
      </c>
      <c r="AF10" s="43">
        <f t="shared" si="14"/>
        <v>1.1481026354881783</v>
      </c>
      <c r="AG10" s="43">
        <f t="shared" si="15"/>
        <v>8.1139626983872618E-3</v>
      </c>
      <c r="AH10" s="43">
        <f t="shared" si="16"/>
        <v>5.6781165162957982E-2</v>
      </c>
      <c r="AI10" s="43">
        <f t="shared" si="17"/>
        <v>2.3524630391289197E-2</v>
      </c>
      <c r="AJ10" s="43">
        <f t="shared" si="18"/>
        <v>1.5839844117968613E-2</v>
      </c>
      <c r="AK10" s="43">
        <f t="shared" si="19"/>
        <v>0.11084655407605591</v>
      </c>
      <c r="AL10" s="43">
        <f t="shared" si="20"/>
        <v>4.592410541952717E-2</v>
      </c>
      <c r="AM10" s="14">
        <v>670518</v>
      </c>
      <c r="AN10" s="12">
        <v>146638</v>
      </c>
      <c r="AO10" s="12">
        <f t="shared" si="21"/>
        <v>523880</v>
      </c>
      <c r="AP10" s="12">
        <v>158460</v>
      </c>
      <c r="AQ10" s="12">
        <v>36430</v>
      </c>
      <c r="AR10" s="18">
        <v>0.42218856493752366</v>
      </c>
      <c r="AS10" s="18">
        <v>0.51893222264293826</v>
      </c>
      <c r="AT10" s="18">
        <v>0.58663564203782714</v>
      </c>
      <c r="AU10" s="18">
        <v>0.35382576610337324</v>
      </c>
      <c r="AV10" s="46">
        <v>834.46656352765172</v>
      </c>
      <c r="AW10" s="46">
        <v>601.34456031032869</v>
      </c>
      <c r="AX10" s="46">
        <v>763.29939073330786</v>
      </c>
      <c r="AY10" s="46">
        <v>739.87888020833327</v>
      </c>
      <c r="AZ10" s="46">
        <v>572.33834634259586</v>
      </c>
      <c r="BA10" s="46">
        <v>815.27582016157328</v>
      </c>
      <c r="BB10">
        <f t="shared" si="4"/>
        <v>-4.0000000000000036E-2</v>
      </c>
      <c r="BC10" s="43">
        <f t="shared" si="5"/>
        <v>0.19404686408262853</v>
      </c>
      <c r="BD10" s="43">
        <f t="shared" si="6"/>
        <v>1.2281710624352189</v>
      </c>
      <c r="BE10" s="43">
        <f t="shared" si="7"/>
        <v>0.56266377017885461</v>
      </c>
      <c r="BF10" s="43">
        <f t="shared" si="22"/>
        <v>0.37881269521492911</v>
      </c>
      <c r="BG10" s="43">
        <f t="shared" si="23"/>
        <v>2.3976001495595316</v>
      </c>
      <c r="BH10" s="43">
        <f t="shared" si="24"/>
        <v>1.0984159949654475</v>
      </c>
      <c r="BI10" s="43">
        <f t="shared" si="25"/>
        <v>7.7618745633051484E-3</v>
      </c>
      <c r="BJ10" s="43">
        <f t="shared" si="26"/>
        <v>4.9126842497408799E-2</v>
      </c>
      <c r="BK10" s="43">
        <f t="shared" si="27"/>
        <v>2.2506550807154205E-2</v>
      </c>
      <c r="BL10" s="43">
        <f t="shared" si="28"/>
        <v>1.5152507808597178E-2</v>
      </c>
      <c r="BM10" s="43">
        <f t="shared" si="29"/>
        <v>9.5904005982381343E-2</v>
      </c>
      <c r="BN10" s="43">
        <f t="shared" si="30"/>
        <v>4.3936639798617942E-2</v>
      </c>
      <c r="BQ10" s="43">
        <f t="shared" si="31"/>
        <v>2.7398180184609098</v>
      </c>
      <c r="BT10" s="43">
        <f t="shared" si="9"/>
        <v>-2.6339100108005429</v>
      </c>
      <c r="BU10" s="18"/>
      <c r="BX10" s="43">
        <f t="shared" si="32"/>
        <v>5.3485937682025995</v>
      </c>
      <c r="CA10" s="43">
        <f t="shared" si="33"/>
        <v>-5.1418432081441621</v>
      </c>
      <c r="CD10" s="12">
        <f t="shared" si="34"/>
        <v>97119.503587057858</v>
      </c>
      <c r="CE10" s="12">
        <f t="shared" si="35"/>
        <v>118929.64335655326</v>
      </c>
      <c r="CF10" s="12">
        <f t="shared" si="36"/>
        <v>473286.1148399071</v>
      </c>
      <c r="CG10" s="12">
        <f t="shared" si="37"/>
        <v>322957.97251722874</v>
      </c>
      <c r="CH10" s="12">
        <f t="shared" si="38"/>
        <v>74744377.030877158</v>
      </c>
      <c r="CI10" s="12">
        <f t="shared" si="39"/>
        <v>83500768.198074684</v>
      </c>
      <c r="CJ10" s="12">
        <f t="shared" si="40"/>
        <v>368329392.45807314</v>
      </c>
      <c r="CK10" s="12">
        <f t="shared" si="41"/>
        <v>251000784.20744544</v>
      </c>
      <c r="CM10" s="12">
        <f t="shared" si="42"/>
        <v>1088788.418447657</v>
      </c>
    </row>
    <row r="11" spans="1:91" x14ac:dyDescent="0.2">
      <c r="A11">
        <v>4</v>
      </c>
      <c r="B11" s="12">
        <v>4</v>
      </c>
      <c r="C11" t="s">
        <v>123</v>
      </c>
      <c r="D11" s="12">
        <v>1210267</v>
      </c>
      <c r="E11" s="3">
        <v>7.6402249932430487E-3</v>
      </c>
      <c r="F11" s="3">
        <v>4.3536480648113794E-2</v>
      </c>
      <c r="G11" s="3"/>
      <c r="H11" s="12">
        <v>3466</v>
      </c>
      <c r="I11" s="21">
        <v>0.86786637502485575</v>
      </c>
      <c r="J11" s="21">
        <v>0.82111980513024452</v>
      </c>
      <c r="K11" s="12">
        <v>597515</v>
      </c>
      <c r="L11" s="12">
        <v>279366</v>
      </c>
      <c r="M11" s="12">
        <f t="shared" si="10"/>
        <v>318149</v>
      </c>
      <c r="N11" s="12">
        <v>279770</v>
      </c>
      <c r="O11" s="12">
        <v>49500</v>
      </c>
      <c r="P11" s="18">
        <v>0.21892983522178933</v>
      </c>
      <c r="Q11" s="18">
        <v>0.70407835007327446</v>
      </c>
      <c r="R11" s="18">
        <v>0.34033717738990271</v>
      </c>
      <c r="S11" s="18">
        <v>0.55992991904083356</v>
      </c>
      <c r="T11" s="46">
        <v>966.36842775510206</v>
      </c>
      <c r="U11" s="46">
        <v>728.53666098140309</v>
      </c>
      <c r="V11" s="46">
        <v>965.1114300944248</v>
      </c>
      <c r="W11" s="46">
        <v>1509.8003676470589</v>
      </c>
      <c r="X11" s="46">
        <v>1265.1644134293356</v>
      </c>
      <c r="Y11" s="46">
        <v>1489.170412230412</v>
      </c>
      <c r="Z11">
        <f t="shared" si="11"/>
        <v>-4.0000000000000036E-2</v>
      </c>
      <c r="AA11" s="43">
        <f t="shared" si="0"/>
        <v>6.9444193356996448E-2</v>
      </c>
      <c r="AB11" s="43">
        <f t="shared" si="1"/>
        <v>0.69626578027365982</v>
      </c>
      <c r="AC11" s="43">
        <f t="shared" si="2"/>
        <v>0.24103183368247388</v>
      </c>
      <c r="AD11" s="43">
        <f t="shared" si="12"/>
        <v>0.45611615034854891</v>
      </c>
      <c r="AE11" s="43">
        <f t="shared" si="13"/>
        <v>4.5731407042955396</v>
      </c>
      <c r="AF11" s="43">
        <f t="shared" si="14"/>
        <v>1.5831202981296562</v>
      </c>
      <c r="AG11" s="43">
        <f t="shared" si="15"/>
        <v>2.7777677342798604E-3</v>
      </c>
      <c r="AH11" s="43">
        <f t="shared" si="16"/>
        <v>2.7850631210946417E-2</v>
      </c>
      <c r="AI11" s="43">
        <f t="shared" si="17"/>
        <v>9.6412733472989644E-3</v>
      </c>
      <c r="AJ11" s="43">
        <f t="shared" si="18"/>
        <v>1.8244646013941972E-2</v>
      </c>
      <c r="AK11" s="43">
        <f t="shared" si="19"/>
        <v>0.18292562817182176</v>
      </c>
      <c r="AL11" s="43">
        <f t="shared" si="20"/>
        <v>6.3324811925186297E-2</v>
      </c>
      <c r="AM11" s="14">
        <v>612752</v>
      </c>
      <c r="AN11" s="12">
        <v>288585</v>
      </c>
      <c r="AO11" s="12">
        <f t="shared" si="21"/>
        <v>324167</v>
      </c>
      <c r="AP11" s="12">
        <v>288320</v>
      </c>
      <c r="AQ11" s="12">
        <v>49310</v>
      </c>
      <c r="AR11" s="18">
        <v>0.21462264150943397</v>
      </c>
      <c r="AS11" s="18">
        <v>0.71195199778024421</v>
      </c>
      <c r="AT11" s="18">
        <v>0.34390350143799642</v>
      </c>
      <c r="AU11" s="18">
        <v>0.56553425912875555</v>
      </c>
      <c r="AV11" s="46">
        <v>997.73228345184236</v>
      </c>
      <c r="AW11" s="46">
        <v>714.06861693890414</v>
      </c>
      <c r="AX11" s="46">
        <v>957.08031568178546</v>
      </c>
      <c r="AY11" s="46">
        <v>1335.534661016949</v>
      </c>
      <c r="AZ11" s="46">
        <v>1183.2013640406999</v>
      </c>
      <c r="BA11" s="46">
        <v>1424.8763269230772</v>
      </c>
      <c r="BB11">
        <f t="shared" si="4"/>
        <v>-4.0000000000000036E-2</v>
      </c>
      <c r="BC11" s="43">
        <f t="shared" si="5"/>
        <v>7.2689992748004209E-2</v>
      </c>
      <c r="BD11" s="43">
        <f t="shared" si="6"/>
        <v>0.68686091744933675</v>
      </c>
      <c r="BE11" s="43">
        <f t="shared" si="7"/>
        <v>0.25231232173856616</v>
      </c>
      <c r="BF11" s="43">
        <f t="shared" si="22"/>
        <v>0.47743487336142082</v>
      </c>
      <c r="BG11" s="43">
        <f t="shared" si="23"/>
        <v>4.5113686594546696</v>
      </c>
      <c r="BH11" s="43">
        <f t="shared" si="24"/>
        <v>1.6572116301399116</v>
      </c>
      <c r="BI11" s="43">
        <f t="shared" si="25"/>
        <v>2.9075997099201711E-3</v>
      </c>
      <c r="BJ11" s="43">
        <f t="shared" si="26"/>
        <v>2.7474436697973493E-2</v>
      </c>
      <c r="BK11" s="43">
        <f t="shared" si="27"/>
        <v>1.0092492869542655E-2</v>
      </c>
      <c r="BL11" s="43">
        <f t="shared" si="28"/>
        <v>1.9097394934456849E-2</v>
      </c>
      <c r="BM11" s="43">
        <f t="shared" si="29"/>
        <v>0.18045474637818695</v>
      </c>
      <c r="BN11" s="43">
        <f t="shared" si="30"/>
        <v>6.6288465205596517E-2</v>
      </c>
      <c r="BQ11" s="43">
        <f t="shared" si="31"/>
        <v>1.4312479412843977</v>
      </c>
      <c r="BT11" s="43">
        <f t="shared" si="9"/>
        <v>-1.3759228733754778</v>
      </c>
      <c r="BU11" s="18"/>
      <c r="BX11" s="43">
        <f t="shared" si="32"/>
        <v>9.400574326163655</v>
      </c>
      <c r="CA11" s="43">
        <f t="shared" si="33"/>
        <v>-9.0371939516136468</v>
      </c>
      <c r="CD11" s="12">
        <f t="shared" si="34"/>
        <v>101078.55667465544</v>
      </c>
      <c r="CE11" s="12">
        <f t="shared" si="35"/>
        <v>330216.79445159202</v>
      </c>
      <c r="CF11" s="12">
        <f t="shared" si="36"/>
        <v>180449.36966634163</v>
      </c>
      <c r="CG11" s="12">
        <f t="shared" si="37"/>
        <v>296809.09864460508</v>
      </c>
      <c r="CH11" s="12">
        <f t="shared" si="38"/>
        <v>93516311.618620962</v>
      </c>
      <c r="CI11" s="12">
        <f t="shared" si="39"/>
        <v>298935320.05648863</v>
      </c>
      <c r="CJ11" s="12">
        <f t="shared" si="40"/>
        <v>241613772.60370025</v>
      </c>
      <c r="CK11" s="12">
        <f t="shared" si="41"/>
        <v>407246278.22010285</v>
      </c>
      <c r="CM11" s="12">
        <f t="shared" si="42"/>
        <v>993774.20319556561</v>
      </c>
    </row>
    <row r="12" spans="1:91" x14ac:dyDescent="0.2">
      <c r="A12">
        <v>5</v>
      </c>
      <c r="B12" s="12">
        <v>5</v>
      </c>
      <c r="C12" t="s">
        <v>124</v>
      </c>
      <c r="D12" s="12">
        <v>1159089</v>
      </c>
      <c r="E12" s="3">
        <v>7.3171463381163761E-3</v>
      </c>
      <c r="F12" s="3">
        <v>5.0853626986230173E-2</v>
      </c>
      <c r="G12" s="3"/>
      <c r="H12" s="12">
        <v>1558</v>
      </c>
      <c r="I12" s="21">
        <v>0.5606958808361957</v>
      </c>
      <c r="J12" s="21">
        <v>0.80235742600624349</v>
      </c>
      <c r="K12" s="12">
        <v>581755</v>
      </c>
      <c r="L12" s="12">
        <v>107206</v>
      </c>
      <c r="M12" s="12">
        <f t="shared" si="10"/>
        <v>474549</v>
      </c>
      <c r="N12" s="12">
        <v>111040</v>
      </c>
      <c r="O12" s="12">
        <v>80040</v>
      </c>
      <c r="P12" s="18">
        <v>0.60185518731988474</v>
      </c>
      <c r="Q12" s="18">
        <v>0.26206772334293948</v>
      </c>
      <c r="R12" s="18">
        <v>0.7110442858322148</v>
      </c>
      <c r="S12" s="18">
        <v>0.15703791541920104</v>
      </c>
      <c r="T12" s="46">
        <v>550.21737692652846</v>
      </c>
      <c r="U12" s="46">
        <v>481.47398202831539</v>
      </c>
      <c r="V12" s="46">
        <v>762.0640927835052</v>
      </c>
      <c r="W12" s="46">
        <v>705.72194013303874</v>
      </c>
      <c r="X12" s="46">
        <v>517.36686474638873</v>
      </c>
      <c r="Y12" s="46">
        <v>755.77598905394836</v>
      </c>
      <c r="Z12">
        <f t="shared" si="11"/>
        <v>-4.0000000000000036E-2</v>
      </c>
      <c r="AA12" s="43">
        <f t="shared" si="0"/>
        <v>0.19589917142427188</v>
      </c>
      <c r="AB12" s="43">
        <f t="shared" si="1"/>
        <v>1.1727545047791106</v>
      </c>
      <c r="AC12" s="43">
        <f t="shared" si="2"/>
        <v>0.30536330648237797</v>
      </c>
      <c r="AD12" s="43">
        <f t="shared" si="12"/>
        <v>0.25003147861642699</v>
      </c>
      <c r="AE12" s="43">
        <f t="shared" si="13"/>
        <v>1.4968186988853491</v>
      </c>
      <c r="AF12" s="43">
        <f t="shared" si="14"/>
        <v>0.38974355266481903</v>
      </c>
      <c r="AG12" s="43">
        <f t="shared" si="15"/>
        <v>7.8359668569708829E-3</v>
      </c>
      <c r="AH12" s="43">
        <f t="shared" si="16"/>
        <v>4.6910180191164462E-2</v>
      </c>
      <c r="AI12" s="43">
        <f t="shared" si="17"/>
        <v>1.2214532259295129E-2</v>
      </c>
      <c r="AJ12" s="43">
        <f t="shared" si="18"/>
        <v>1.0001259144657089E-2</v>
      </c>
      <c r="AK12" s="43">
        <f t="shared" si="19"/>
        <v>5.9872747955414016E-2</v>
      </c>
      <c r="AL12" s="43">
        <f t="shared" si="20"/>
        <v>1.5589742106592775E-2</v>
      </c>
      <c r="AM12" s="14">
        <v>577334</v>
      </c>
      <c r="AN12" s="12">
        <v>105294</v>
      </c>
      <c r="AO12" s="12">
        <f t="shared" si="21"/>
        <v>472040</v>
      </c>
      <c r="AP12" s="12">
        <v>114900</v>
      </c>
      <c r="AQ12" s="12">
        <v>79700</v>
      </c>
      <c r="AR12" s="18">
        <v>0.60382941688424718</v>
      </c>
      <c r="AS12" s="18">
        <v>0.27232375979112272</v>
      </c>
      <c r="AT12" s="18">
        <v>0.72414565969302769</v>
      </c>
      <c r="AU12" s="18">
        <v>0.15231245717970379</v>
      </c>
      <c r="AV12" s="46">
        <v>574.6773666762756</v>
      </c>
      <c r="AW12" s="46">
        <v>466.57641804338908</v>
      </c>
      <c r="AX12" s="46">
        <v>717.35519974432736</v>
      </c>
      <c r="AY12" s="46">
        <v>856.76249520153544</v>
      </c>
      <c r="AZ12" s="46">
        <v>564.45809174079375</v>
      </c>
      <c r="BA12" s="46">
        <v>810.91158783245589</v>
      </c>
      <c r="BB12">
        <f t="shared" si="4"/>
        <v>-4.0000000000000036E-2</v>
      </c>
      <c r="BC12" s="43">
        <f t="shared" si="5"/>
        <v>0.19499689047844729</v>
      </c>
      <c r="BD12" s="43">
        <f t="shared" si="6"/>
        <v>1.3627082507049617</v>
      </c>
      <c r="BE12" s="43">
        <f t="shared" si="7"/>
        <v>0.30393866667206532</v>
      </c>
      <c r="BF12" s="43">
        <f t="shared" si="22"/>
        <v>0.24887987272972645</v>
      </c>
      <c r="BG12" s="43">
        <f t="shared" si="23"/>
        <v>1.7392618680793004</v>
      </c>
      <c r="BH12" s="43">
        <f t="shared" si="24"/>
        <v>0.38792524585076499</v>
      </c>
      <c r="BI12" s="43">
        <f t="shared" si="25"/>
        <v>7.7998756191378985E-3</v>
      </c>
      <c r="BJ12" s="43">
        <f t="shared" si="26"/>
        <v>5.4508330028198514E-2</v>
      </c>
      <c r="BK12" s="43">
        <f t="shared" si="27"/>
        <v>1.2157546666882624E-2</v>
      </c>
      <c r="BL12" s="43">
        <f t="shared" si="28"/>
        <v>9.9551949091890666E-3</v>
      </c>
      <c r="BM12" s="43">
        <f t="shared" si="29"/>
        <v>6.9570474723172071E-2</v>
      </c>
      <c r="BN12" s="43">
        <f t="shared" si="30"/>
        <v>1.5517009834030614E-2</v>
      </c>
      <c r="BQ12" s="43">
        <f t="shared" si="31"/>
        <v>2.6236756581764809</v>
      </c>
      <c r="BT12" s="43">
        <f t="shared" si="9"/>
        <v>-2.5222571479571179</v>
      </c>
      <c r="BU12" s="18"/>
      <c r="BX12" s="43">
        <f t="shared" si="32"/>
        <v>3.3486691110247047</v>
      </c>
      <c r="CA12" s="43">
        <f t="shared" si="33"/>
        <v>-3.2192258883461187</v>
      </c>
      <c r="CD12" s="12">
        <f t="shared" si="34"/>
        <v>102783.67269289649</v>
      </c>
      <c r="CE12" s="12">
        <f t="shared" si="35"/>
        <v>45549.261651057568</v>
      </c>
      <c r="CF12" s="12">
        <f t="shared" si="36"/>
        <v>545002.14174100966</v>
      </c>
      <c r="CG12" s="12">
        <f t="shared" si="37"/>
        <v>117480.98015446294</v>
      </c>
      <c r="CH12" s="12">
        <f t="shared" si="38"/>
        <v>54448687.373590887</v>
      </c>
      <c r="CI12" s="12">
        <f t="shared" si="39"/>
        <v>31729241.175961986</v>
      </c>
      <c r="CJ12" s="12">
        <f t="shared" si="40"/>
        <v>401334690.05615169</v>
      </c>
      <c r="CK12" s="12">
        <f t="shared" si="41"/>
        <v>86635685.024619147</v>
      </c>
      <c r="CM12" s="12">
        <f t="shared" si="42"/>
        <v>930003.66655215074</v>
      </c>
    </row>
    <row r="13" spans="1:91" x14ac:dyDescent="0.2">
      <c r="A13">
        <v>6</v>
      </c>
      <c r="B13" s="12">
        <v>6</v>
      </c>
      <c r="C13" t="s">
        <v>125</v>
      </c>
      <c r="D13" s="12">
        <v>1110231</v>
      </c>
      <c r="E13" s="3">
        <v>7.0087134776650305E-3</v>
      </c>
      <c r="F13" s="3">
        <v>5.7862340463895205E-2</v>
      </c>
      <c r="G13" s="3"/>
      <c r="H13" s="12">
        <v>3818</v>
      </c>
      <c r="I13" s="21">
        <v>0.66126625464613098</v>
      </c>
      <c r="J13" s="21">
        <v>0.78422234066904284</v>
      </c>
      <c r="K13" s="12">
        <v>549242</v>
      </c>
      <c r="L13" s="12">
        <v>393149</v>
      </c>
      <c r="M13" s="12">
        <f t="shared" si="10"/>
        <v>156093</v>
      </c>
      <c r="N13" s="12">
        <v>416860</v>
      </c>
      <c r="O13" s="12">
        <v>49330</v>
      </c>
      <c r="P13" s="18">
        <v>0.25723264405315932</v>
      </c>
      <c r="Q13" s="18">
        <v>0.66379599865662331</v>
      </c>
      <c r="R13" s="18">
        <v>0.43277688669961578</v>
      </c>
      <c r="S13" s="18">
        <v>0.4855444578779356</v>
      </c>
      <c r="T13" s="46">
        <v>828.98358761540612</v>
      </c>
      <c r="U13" s="46">
        <v>534.27512607450251</v>
      </c>
      <c r="V13" s="46">
        <v>753.77030103718641</v>
      </c>
      <c r="W13" s="46">
        <v>1341.2790588235293</v>
      </c>
      <c r="X13" s="46">
        <v>599.83339448658023</v>
      </c>
      <c r="Y13" s="46">
        <v>974.47748174374874</v>
      </c>
      <c r="Z13">
        <f t="shared" si="11"/>
        <v>-4.0000000000000036E-2</v>
      </c>
      <c r="AA13" s="43">
        <f t="shared" si="0"/>
        <v>0.17547968111609133</v>
      </c>
      <c r="AB13" s="43">
        <f t="shared" si="1"/>
        <v>1.1194060923099831</v>
      </c>
      <c r="AC13" s="43">
        <f t="shared" si="2"/>
        <v>0.67167448132241869</v>
      </c>
      <c r="AD13" s="43">
        <f t="shared" si="12"/>
        <v>0.34256637577372601</v>
      </c>
      <c r="AE13" s="43">
        <f t="shared" si="13"/>
        <v>2.1852723097209683</v>
      </c>
      <c r="AF13" s="43">
        <f t="shared" si="14"/>
        <v>1.3112235633372078</v>
      </c>
      <c r="AG13" s="43">
        <f t="shared" si="15"/>
        <v>7.0191872446436591E-3</v>
      </c>
      <c r="AH13" s="43">
        <f t="shared" si="16"/>
        <v>4.4776243692399367E-2</v>
      </c>
      <c r="AI13" s="43">
        <f t="shared" si="17"/>
        <v>2.6866979252896772E-2</v>
      </c>
      <c r="AJ13" s="43">
        <f t="shared" si="18"/>
        <v>1.3702655030949052E-2</v>
      </c>
      <c r="AK13" s="43">
        <f t="shared" si="19"/>
        <v>8.7410892388838812E-2</v>
      </c>
      <c r="AL13" s="43">
        <f t="shared" si="20"/>
        <v>5.2448942533488356E-2</v>
      </c>
      <c r="AM13" s="14">
        <v>560989</v>
      </c>
      <c r="AN13" s="12">
        <v>399667</v>
      </c>
      <c r="AO13" s="12">
        <f t="shared" si="21"/>
        <v>161322</v>
      </c>
      <c r="AP13" s="12">
        <v>424060</v>
      </c>
      <c r="AQ13" s="12">
        <v>48220</v>
      </c>
      <c r="AR13" s="18">
        <v>0.26055275196906097</v>
      </c>
      <c r="AS13" s="18">
        <v>0.68011602131773807</v>
      </c>
      <c r="AT13" s="18">
        <v>0.46038980801313478</v>
      </c>
      <c r="AU13" s="18">
        <v>0.47431560631968067</v>
      </c>
      <c r="AV13" s="46">
        <v>847.69314960630015</v>
      </c>
      <c r="AW13" s="46">
        <v>539.14198922841229</v>
      </c>
      <c r="AX13" s="46">
        <v>761.11316181824486</v>
      </c>
      <c r="AY13" s="46">
        <v>887.02672645739915</v>
      </c>
      <c r="AZ13" s="46">
        <v>564.08578771348505</v>
      </c>
      <c r="BA13" s="46">
        <v>899.61760110294131</v>
      </c>
      <c r="BB13">
        <f t="shared" si="4"/>
        <v>-4.0000000000000036E-2</v>
      </c>
      <c r="BC13" s="43">
        <f t="shared" si="5"/>
        <v>0.18191094713387518</v>
      </c>
      <c r="BD13" s="43">
        <f t="shared" si="6"/>
        <v>1.08133495008721</v>
      </c>
      <c r="BE13" s="43">
        <f t="shared" si="7"/>
        <v>0.69633687501143671</v>
      </c>
      <c r="BF13" s="43">
        <f t="shared" si="22"/>
        <v>0.3551213079307512</v>
      </c>
      <c r="BG13" s="43">
        <f t="shared" si="23"/>
        <v>2.1109509231657158</v>
      </c>
      <c r="BH13" s="43">
        <f t="shared" si="24"/>
        <v>1.3593687774737804</v>
      </c>
      <c r="BI13" s="43">
        <f t="shared" si="25"/>
        <v>7.2764378853550134E-3</v>
      </c>
      <c r="BJ13" s="43">
        <f t="shared" si="26"/>
        <v>4.3253398003488437E-2</v>
      </c>
      <c r="BK13" s="43">
        <f t="shared" si="27"/>
        <v>2.7853475000457494E-2</v>
      </c>
      <c r="BL13" s="43">
        <f t="shared" si="28"/>
        <v>1.420485231723006E-2</v>
      </c>
      <c r="BM13" s="43">
        <f t="shared" si="29"/>
        <v>8.4438036926628698E-2</v>
      </c>
      <c r="BN13" s="43">
        <f t="shared" si="30"/>
        <v>5.4374751098951263E-2</v>
      </c>
      <c r="BQ13" s="43">
        <f t="shared" si="31"/>
        <v>2.2773084283721086</v>
      </c>
      <c r="BT13" s="43">
        <f t="shared" si="9"/>
        <v>-2.1892787866762209</v>
      </c>
      <c r="BU13" s="18"/>
      <c r="BX13" s="43">
        <f t="shared" si="32"/>
        <v>4.4456958769504853</v>
      </c>
      <c r="CA13" s="43">
        <f t="shared" si="33"/>
        <v>-4.2738469476350174</v>
      </c>
      <c r="CD13" s="12">
        <f t="shared" si="34"/>
        <v>160973.47208070967</v>
      </c>
      <c r="CE13" s="12">
        <f t="shared" si="35"/>
        <v>417826.34079925792</v>
      </c>
      <c r="CF13" s="12">
        <f t="shared" si="36"/>
        <v>111221.89993464958</v>
      </c>
      <c r="CG13" s="12">
        <f t="shared" si="37"/>
        <v>119443.04869318503</v>
      </c>
      <c r="CH13" s="12">
        <f t="shared" si="38"/>
        <v>127143881.0923374</v>
      </c>
      <c r="CI13" s="12">
        <f t="shared" si="39"/>
        <v>298152744.24673778</v>
      </c>
      <c r="CJ13" s="12">
        <f t="shared" si="40"/>
        <v>115603828.92953901</v>
      </c>
      <c r="CK13" s="12">
        <f t="shared" si="41"/>
        <v>105412119.16250969</v>
      </c>
      <c r="CM13" s="12">
        <f t="shared" si="42"/>
        <v>870667.9535033321</v>
      </c>
    </row>
    <row r="14" spans="1:91" x14ac:dyDescent="0.2">
      <c r="A14">
        <v>7</v>
      </c>
      <c r="B14" s="12">
        <v>7</v>
      </c>
      <c r="C14" t="s">
        <v>126</v>
      </c>
      <c r="D14" s="12">
        <v>1065842</v>
      </c>
      <c r="E14" s="3">
        <v>6.7284927104912864E-3</v>
      </c>
      <c r="F14" s="3">
        <v>6.4590833174386492E-2</v>
      </c>
      <c r="G14" s="3"/>
      <c r="H14" s="12">
        <v>4080</v>
      </c>
      <c r="I14" s="21">
        <v>0.66126625464613098</v>
      </c>
      <c r="J14" s="21">
        <v>0.78422234066904284</v>
      </c>
      <c r="K14" s="12">
        <v>531826</v>
      </c>
      <c r="L14" s="12">
        <v>219706</v>
      </c>
      <c r="M14" s="12">
        <f t="shared" si="10"/>
        <v>312120</v>
      </c>
      <c r="N14" s="12">
        <v>227090</v>
      </c>
      <c r="O14" s="12">
        <v>14670</v>
      </c>
      <c r="P14" s="18">
        <v>0.47765203223391606</v>
      </c>
      <c r="Q14" s="18">
        <v>0.41027786340217537</v>
      </c>
      <c r="R14" s="18">
        <v>0.69063345692811684</v>
      </c>
      <c r="S14" s="18">
        <v>0.17328810593219607</v>
      </c>
      <c r="T14" s="46">
        <v>672.94281921268544</v>
      </c>
      <c r="U14" s="46">
        <v>461.6226155341422</v>
      </c>
      <c r="V14" s="46">
        <v>660.11921863260716</v>
      </c>
      <c r="W14" s="46">
        <v>715.83616477272722</v>
      </c>
      <c r="X14" s="46">
        <v>654.59695344897079</v>
      </c>
      <c r="Y14" s="46">
        <v>1133.9605530973449</v>
      </c>
      <c r="Z14">
        <f t="shared" si="11"/>
        <v>-4.0000000000000036E-2</v>
      </c>
      <c r="AA14" s="43">
        <f t="shared" si="0"/>
        <v>0.14439927562078075</v>
      </c>
      <c r="AB14" s="43">
        <f t="shared" si="1"/>
        <v>0.8697493272114859</v>
      </c>
      <c r="AC14" s="43">
        <f t="shared" si="2"/>
        <v>0.59077965508474928</v>
      </c>
      <c r="AD14" s="43">
        <f t="shared" si="12"/>
        <v>0.28189210396978659</v>
      </c>
      <c r="AE14" s="43">
        <f t="shared" si="13"/>
        <v>1.6978995685395839</v>
      </c>
      <c r="AF14" s="43">
        <f t="shared" si="14"/>
        <v>1.1533030151185766</v>
      </c>
      <c r="AG14" s="43">
        <f t="shared" si="15"/>
        <v>5.7759710248312356E-3</v>
      </c>
      <c r="AH14" s="43">
        <f t="shared" si="16"/>
        <v>3.4789973088459464E-2</v>
      </c>
      <c r="AI14" s="43">
        <f t="shared" si="17"/>
        <v>2.3631186203389991E-2</v>
      </c>
      <c r="AJ14" s="43">
        <f t="shared" si="18"/>
        <v>1.1275684158791474E-2</v>
      </c>
      <c r="AK14" s="43">
        <f t="shared" si="19"/>
        <v>6.7915982741583419E-2</v>
      </c>
      <c r="AL14" s="43">
        <f t="shared" si="20"/>
        <v>4.6132120604743101E-2</v>
      </c>
      <c r="AM14" s="14">
        <v>534016</v>
      </c>
      <c r="AN14" s="12">
        <v>221261</v>
      </c>
      <c r="AO14" s="12">
        <f t="shared" si="21"/>
        <v>312755</v>
      </c>
      <c r="AP14" s="12">
        <v>225680</v>
      </c>
      <c r="AQ14" s="12">
        <v>12150</v>
      </c>
      <c r="AR14" s="18">
        <v>0.48227578872740162</v>
      </c>
      <c r="AS14" s="18">
        <v>0.41479085430698331</v>
      </c>
      <c r="AT14" s="18">
        <v>0.72174904600797674</v>
      </c>
      <c r="AU14" s="18">
        <v>0.14732564821553817</v>
      </c>
      <c r="AV14" s="46">
        <v>699.6042879456063</v>
      </c>
      <c r="AW14" s="46">
        <v>464.41257731643583</v>
      </c>
      <c r="AX14" s="46">
        <v>661.07976391411182</v>
      </c>
      <c r="AY14" s="46">
        <v>1176.3003717472118</v>
      </c>
      <c r="AZ14" s="46">
        <v>715.30921098535589</v>
      </c>
      <c r="BA14" s="46">
        <v>1207.6308894536216</v>
      </c>
      <c r="BB14">
        <f t="shared" si="4"/>
        <v>-4.0000000000000036E-2</v>
      </c>
      <c r="BC14" s="43">
        <f t="shared" si="5"/>
        <v>0.14378635913200619</v>
      </c>
      <c r="BD14" s="43">
        <f t="shared" si="6"/>
        <v>1.148296679258562</v>
      </c>
      <c r="BE14" s="43">
        <f t="shared" si="7"/>
        <v>0.58800953886874574</v>
      </c>
      <c r="BF14" s="43">
        <f t="shared" si="22"/>
        <v>0.28069558606596984</v>
      </c>
      <c r="BG14" s="43">
        <f t="shared" si="23"/>
        <v>2.2416716808732495</v>
      </c>
      <c r="BH14" s="43">
        <f t="shared" si="24"/>
        <v>1.1478952740823902</v>
      </c>
      <c r="BI14" s="43">
        <f t="shared" si="25"/>
        <v>5.7514543652802527E-3</v>
      </c>
      <c r="BJ14" s="43">
        <f t="shared" si="26"/>
        <v>4.5931867170342526E-2</v>
      </c>
      <c r="BK14" s="43">
        <f t="shared" si="27"/>
        <v>2.352038155474985E-2</v>
      </c>
      <c r="BL14" s="43">
        <f t="shared" si="28"/>
        <v>1.1227823442638804E-2</v>
      </c>
      <c r="BM14" s="43">
        <f t="shared" si="29"/>
        <v>8.9666867234930059E-2</v>
      </c>
      <c r="BN14" s="43">
        <f t="shared" si="30"/>
        <v>4.5915810963295653E-2</v>
      </c>
      <c r="BQ14" s="43">
        <f t="shared" si="31"/>
        <v>2.0882571328660098</v>
      </c>
      <c r="BT14" s="43">
        <f t="shared" si="9"/>
        <v>-2.0075352926072076</v>
      </c>
      <c r="BU14" s="18"/>
      <c r="BX14" s="43">
        <f t="shared" si="32"/>
        <v>4.0766353867276468</v>
      </c>
      <c r="CA14" s="43">
        <f t="shared" si="33"/>
        <v>-3.9190525367511335</v>
      </c>
      <c r="CD14" s="12">
        <f t="shared" si="34"/>
        <v>165982.10190780286</v>
      </c>
      <c r="CE14" s="12">
        <f t="shared" si="35"/>
        <v>142663.80488683676</v>
      </c>
      <c r="CF14" s="12">
        <f t="shared" si="36"/>
        <v>346070.3687358785</v>
      </c>
      <c r="CG14" s="12">
        <f t="shared" si="37"/>
        <v>78550.467540590529</v>
      </c>
      <c r="CH14" s="12">
        <f t="shared" si="38"/>
        <v>107319787.04841673</v>
      </c>
      <c r="CI14" s="12">
        <f t="shared" si="39"/>
        <v>88778086.622975826</v>
      </c>
      <c r="CJ14" s="12">
        <f t="shared" si="40"/>
        <v>310146378.13084394</v>
      </c>
      <c r="CK14" s="12">
        <f t="shared" si="41"/>
        <v>86414531.133597642</v>
      </c>
      <c r="CM14" s="12">
        <f t="shared" si="42"/>
        <v>835857.10802337399</v>
      </c>
    </row>
    <row r="15" spans="1:91" x14ac:dyDescent="0.2">
      <c r="A15">
        <v>8</v>
      </c>
      <c r="B15" s="12">
        <v>8</v>
      </c>
      <c r="C15" t="s">
        <v>127</v>
      </c>
      <c r="D15" s="12">
        <v>1057679</v>
      </c>
      <c r="E15" s="3">
        <v>6.6769609768987459E-3</v>
      </c>
      <c r="F15" s="3">
        <v>7.1267794151285244E-2</v>
      </c>
      <c r="G15" s="3"/>
      <c r="H15" s="12">
        <v>3677</v>
      </c>
      <c r="I15" s="21">
        <v>0.76027693883393754</v>
      </c>
      <c r="J15" s="21">
        <v>0.87532886204268601</v>
      </c>
      <c r="K15" s="12">
        <v>521910</v>
      </c>
      <c r="L15" s="12">
        <v>203812</v>
      </c>
      <c r="M15" s="12">
        <f t="shared" si="10"/>
        <v>318098</v>
      </c>
      <c r="N15" s="12">
        <v>163840</v>
      </c>
      <c r="O15" s="12">
        <v>104330</v>
      </c>
      <c r="P15" s="18">
        <v>0.2294921875</v>
      </c>
      <c r="Q15" s="18">
        <v>0.68426513671875</v>
      </c>
      <c r="R15" s="18">
        <v>0.50716212300359031</v>
      </c>
      <c r="S15" s="18">
        <v>0.36746855440883686</v>
      </c>
      <c r="T15" s="46">
        <v>912.25723138297872</v>
      </c>
      <c r="U15" s="46">
        <v>875.48106858216852</v>
      </c>
      <c r="V15" s="46">
        <v>1101.1251315672091</v>
      </c>
      <c r="W15" s="46">
        <v>1633.3171544715426</v>
      </c>
      <c r="X15" s="46">
        <v>1430.6851045004498</v>
      </c>
      <c r="Y15" s="46">
        <v>1854.3820068376046</v>
      </c>
      <c r="Z15">
        <f t="shared" si="11"/>
        <v>-4.0000000000000036E-2</v>
      </c>
      <c r="AA15" s="43">
        <f t="shared" si="0"/>
        <v>0.11231849181330698</v>
      </c>
      <c r="AB15" s="43">
        <f t="shared" si="1"/>
        <v>1.3441975299237905</v>
      </c>
      <c r="AC15" s="43">
        <f t="shared" si="2"/>
        <v>0.4135169782544284</v>
      </c>
      <c r="AD15" s="43">
        <f t="shared" si="12"/>
        <v>0.35621587140968314</v>
      </c>
      <c r="AE15" s="43">
        <f t="shared" si="13"/>
        <v>4.2630958334486619</v>
      </c>
      <c r="AF15" s="43">
        <f t="shared" si="14"/>
        <v>1.3114609034854277</v>
      </c>
      <c r="AG15" s="43">
        <f t="shared" si="15"/>
        <v>4.4927396725322833E-3</v>
      </c>
      <c r="AH15" s="43">
        <f t="shared" si="16"/>
        <v>5.376790119695167E-2</v>
      </c>
      <c r="AI15" s="43">
        <f t="shared" si="17"/>
        <v>1.6540679130177149E-2</v>
      </c>
      <c r="AJ15" s="43">
        <f t="shared" si="18"/>
        <v>1.4248634856387337E-2</v>
      </c>
      <c r="AK15" s="43">
        <f t="shared" si="19"/>
        <v>0.17052383333794663</v>
      </c>
      <c r="AL15" s="43">
        <f t="shared" si="20"/>
        <v>5.2458436139417156E-2</v>
      </c>
      <c r="AM15" s="14">
        <v>535769</v>
      </c>
      <c r="AN15" s="12">
        <v>214459</v>
      </c>
      <c r="AO15" s="12">
        <f t="shared" si="21"/>
        <v>321310</v>
      </c>
      <c r="AP15" s="12">
        <v>166820</v>
      </c>
      <c r="AQ15" s="12">
        <v>113250</v>
      </c>
      <c r="AR15" s="18">
        <v>0.23192662750269752</v>
      </c>
      <c r="AS15" s="18">
        <v>0.68145306318187271</v>
      </c>
      <c r="AT15" s="18">
        <v>0.49858989142663185</v>
      </c>
      <c r="AU15" s="18">
        <v>0.37143264898471939</v>
      </c>
      <c r="AV15" s="46">
        <v>918.11335745670704</v>
      </c>
      <c r="AW15" s="46">
        <v>872.31471738065568</v>
      </c>
      <c r="AX15" s="46">
        <v>1101.1338520408181</v>
      </c>
      <c r="AY15" s="46">
        <v>1489.3171999999979</v>
      </c>
      <c r="AZ15" s="46">
        <v>1444.4493432957463</v>
      </c>
      <c r="BA15" s="46">
        <v>1906.3461050555425</v>
      </c>
      <c r="BB15">
        <f t="shared" si="4"/>
        <v>-4.0000000000000036E-2</v>
      </c>
      <c r="BC15" s="43">
        <f t="shared" si="5"/>
        <v>0.11587058353009139</v>
      </c>
      <c r="BD15" s="43">
        <f t="shared" si="6"/>
        <v>1.3366491095573962</v>
      </c>
      <c r="BE15" s="43">
        <f t="shared" si="7"/>
        <v>0.42660774557831072</v>
      </c>
      <c r="BF15" s="43">
        <f t="shared" si="22"/>
        <v>0.36748125991155728</v>
      </c>
      <c r="BG15" s="43">
        <f t="shared" si="23"/>
        <v>4.2391561678141638</v>
      </c>
      <c r="BH15" s="43">
        <f t="shared" si="24"/>
        <v>1.3529780126845889</v>
      </c>
      <c r="BI15" s="43">
        <f t="shared" si="25"/>
        <v>4.6348233412036597E-3</v>
      </c>
      <c r="BJ15" s="43">
        <f t="shared" si="26"/>
        <v>5.3465964382295894E-2</v>
      </c>
      <c r="BK15" s="43">
        <f t="shared" si="27"/>
        <v>1.7064309823132444E-2</v>
      </c>
      <c r="BL15" s="43">
        <f t="shared" si="28"/>
        <v>1.4699250396462304E-2</v>
      </c>
      <c r="BM15" s="43">
        <f t="shared" si="29"/>
        <v>0.1695662467125667</v>
      </c>
      <c r="BN15" s="43">
        <f t="shared" si="30"/>
        <v>5.4119120507383607E-2</v>
      </c>
      <c r="BQ15" s="43">
        <f t="shared" si="31"/>
        <v>2.7741176856562171</v>
      </c>
      <c r="BT15" s="43">
        <f t="shared" si="9"/>
        <v>-2.6668838200769693</v>
      </c>
      <c r="BU15" s="18"/>
      <c r="BX15" s="43">
        <f t="shared" si="32"/>
        <v>8.7980592762194405</v>
      </c>
      <c r="CA15" s="43">
        <f t="shared" si="33"/>
        <v>-8.4579691961689267</v>
      </c>
      <c r="CD15" s="12">
        <f t="shared" si="34"/>
        <v>84479.751673732244</v>
      </c>
      <c r="CE15" s="12">
        <f t="shared" si="35"/>
        <v>249998.46466231174</v>
      </c>
      <c r="CF15" s="12">
        <f t="shared" si="36"/>
        <v>281443.76688158064</v>
      </c>
      <c r="CG15" s="12">
        <f t="shared" si="37"/>
        <v>206784.22114799349</v>
      </c>
      <c r="CH15" s="12">
        <f t="shared" si="38"/>
        <v>72837537.847962305</v>
      </c>
      <c r="CI15" s="12">
        <f t="shared" si="39"/>
        <v>259314426.7940616</v>
      </c>
      <c r="CJ15" s="12">
        <f t="shared" si="40"/>
        <v>414003263.82088393</v>
      </c>
      <c r="CK15" s="12">
        <f t="shared" si="41"/>
        <v>366330073.16168177</v>
      </c>
      <c r="CM15" s="12">
        <f t="shared" si="42"/>
        <v>925816.95547644608</v>
      </c>
    </row>
    <row r="16" spans="1:91" x14ac:dyDescent="0.2">
      <c r="A16">
        <v>9</v>
      </c>
      <c r="B16" s="12">
        <v>9</v>
      </c>
      <c r="C16" t="s">
        <v>128</v>
      </c>
      <c r="D16" s="12">
        <v>1040180</v>
      </c>
      <c r="E16" s="3">
        <v>6.5664925454230801E-3</v>
      </c>
      <c r="F16" s="3">
        <v>7.7834286696708319E-2</v>
      </c>
      <c r="G16" s="3"/>
      <c r="H16" s="12">
        <v>4267</v>
      </c>
      <c r="I16" s="21">
        <v>0.86786637502485575</v>
      </c>
      <c r="J16" s="21">
        <v>0.82111980513024452</v>
      </c>
      <c r="K16" s="12">
        <v>520998</v>
      </c>
      <c r="L16" s="12">
        <v>393147</v>
      </c>
      <c r="M16" s="12">
        <f t="shared" si="10"/>
        <v>127851</v>
      </c>
      <c r="N16" s="12">
        <v>391540</v>
      </c>
      <c r="O16" s="12">
        <v>1410</v>
      </c>
      <c r="P16" s="18">
        <v>0.84686111253000973</v>
      </c>
      <c r="Q16" s="18">
        <v>5.8282678653521991E-2</v>
      </c>
      <c r="R16" s="18">
        <v>0.85223265867892972</v>
      </c>
      <c r="S16" s="18">
        <v>5.4442750463262357E-2</v>
      </c>
      <c r="T16" s="46">
        <v>511.04290910187592</v>
      </c>
      <c r="U16" s="46">
        <v>239.7684879507255</v>
      </c>
      <c r="V16" s="46">
        <v>1069.636148115688</v>
      </c>
      <c r="W16" s="46">
        <v>811.46111111111111</v>
      </c>
      <c r="X16" s="46">
        <v>197.19513610446936</v>
      </c>
      <c r="Y16" s="46">
        <v>1044.980462962963</v>
      </c>
      <c r="Z16">
        <f t="shared" si="11"/>
        <v>-4.0000000000000036E-2</v>
      </c>
      <c r="AA16" s="43">
        <f t="shared" si="0"/>
        <v>6.3121682243160532E-2</v>
      </c>
      <c r="AB16" s="43">
        <f t="shared" si="1"/>
        <v>0.29830069732916092</v>
      </c>
      <c r="AC16" s="43">
        <f t="shared" si="2"/>
        <v>0.27052179441729057</v>
      </c>
      <c r="AD16" s="43">
        <f t="shared" si="12"/>
        <v>0.41458928841275239</v>
      </c>
      <c r="AE16" s="43">
        <f t="shared" si="13"/>
        <v>1.9592677102981517</v>
      </c>
      <c r="AF16" s="43">
        <f t="shared" si="14"/>
        <v>1.7768132005030306</v>
      </c>
      <c r="AG16" s="43">
        <f t="shared" si="15"/>
        <v>2.5248672897264235E-3</v>
      </c>
      <c r="AH16" s="43">
        <f t="shared" si="16"/>
        <v>1.1932027893166448E-2</v>
      </c>
      <c r="AI16" s="43">
        <f t="shared" si="17"/>
        <v>1.0820871776691632E-2</v>
      </c>
      <c r="AJ16" s="43">
        <f t="shared" si="18"/>
        <v>1.6583571536510109E-2</v>
      </c>
      <c r="AK16" s="43">
        <f t="shared" si="19"/>
        <v>7.8370708411926143E-2</v>
      </c>
      <c r="AL16" s="43">
        <f t="shared" si="20"/>
        <v>7.1072528020121289E-2</v>
      </c>
      <c r="AM16" s="14">
        <v>519182</v>
      </c>
      <c r="AN16" s="12">
        <v>392235</v>
      </c>
      <c r="AO16" s="12">
        <f t="shared" si="21"/>
        <v>126947</v>
      </c>
      <c r="AP16" s="12">
        <v>390710</v>
      </c>
      <c r="AQ16" s="12">
        <v>1260</v>
      </c>
      <c r="AR16" s="18">
        <v>0.84771313762125367</v>
      </c>
      <c r="AS16" s="18">
        <v>5.8176140871746308E-2</v>
      </c>
      <c r="AT16" s="18">
        <v>0.85521206251167248</v>
      </c>
      <c r="AU16" s="18">
        <v>5.2063988276032938E-2</v>
      </c>
      <c r="AV16" s="46">
        <v>512.33510189909725</v>
      </c>
      <c r="AW16" s="46">
        <v>240.06147033770353</v>
      </c>
      <c r="AX16" s="46">
        <v>1067.4308446986363</v>
      </c>
      <c r="AY16" s="46">
        <v>1181.0525</v>
      </c>
      <c r="AZ16" s="46">
        <v>199.61356132165926</v>
      </c>
      <c r="BA16" s="46">
        <v>1025.3374257425744</v>
      </c>
      <c r="BB16">
        <f t="shared" si="4"/>
        <v>-4.0000000000000036E-2</v>
      </c>
      <c r="BC16" s="43">
        <f t="shared" si="5"/>
        <v>6.2626958661556029E-2</v>
      </c>
      <c r="BD16" s="43">
        <f t="shared" si="6"/>
        <v>0.3387432775112561</v>
      </c>
      <c r="BE16" s="43">
        <f t="shared" si="7"/>
        <v>0.2683554480727256</v>
      </c>
      <c r="BF16" s="43">
        <f t="shared" si="22"/>
        <v>0.41133989628045309</v>
      </c>
      <c r="BG16" s="43">
        <f t="shared" si="23"/>
        <v>2.2248984720810778</v>
      </c>
      <c r="BH16" s="43">
        <f t="shared" si="24"/>
        <v>1.7625844290645749</v>
      </c>
      <c r="BI16" s="43">
        <f t="shared" si="25"/>
        <v>2.5050783464622434E-3</v>
      </c>
      <c r="BJ16" s="43">
        <f t="shared" si="26"/>
        <v>1.3549731100450256E-2</v>
      </c>
      <c r="BK16" s="43">
        <f t="shared" si="27"/>
        <v>1.0734217922909033E-2</v>
      </c>
      <c r="BL16" s="43">
        <f t="shared" si="28"/>
        <v>1.6453595851218139E-2</v>
      </c>
      <c r="BM16" s="43">
        <f t="shared" si="29"/>
        <v>8.8995938883243197E-2</v>
      </c>
      <c r="BN16" s="43">
        <f t="shared" si="30"/>
        <v>7.0503377162583064E-2</v>
      </c>
      <c r="BQ16" s="43">
        <f t="shared" si="31"/>
        <v>0.65920777828885457</v>
      </c>
      <c r="BT16" s="43">
        <f t="shared" si="9"/>
        <v>-0.63372601929523786</v>
      </c>
      <c r="BU16" s="18"/>
      <c r="BX16" s="43">
        <f t="shared" si="32"/>
        <v>4.3297401780913516</v>
      </c>
      <c r="CA16" s="43">
        <f t="shared" si="33"/>
        <v>-4.1623735307961827</v>
      </c>
      <c r="CD16" s="12">
        <f t="shared" si="34"/>
        <v>546408.97527471953</v>
      </c>
      <c r="CE16" s="12">
        <f t="shared" si="35"/>
        <v>37551.762033616476</v>
      </c>
      <c r="CF16" s="12">
        <f t="shared" si="36"/>
        <v>178614.41680505549</v>
      </c>
      <c r="CG16" s="12">
        <f t="shared" si="37"/>
        <v>11142.535985613868</v>
      </c>
      <c r="CH16" s="12">
        <f t="shared" si="38"/>
        <v>263374941.21279666</v>
      </c>
      <c r="CI16" s="12">
        <f t="shared" si="39"/>
        <v>37798128.253570929</v>
      </c>
      <c r="CJ16" s="12">
        <f t="shared" si="40"/>
        <v>167568910.93440413</v>
      </c>
      <c r="CK16" s="12">
        <f t="shared" si="41"/>
        <v>10867974.608370347</v>
      </c>
      <c r="CM16" s="12">
        <f t="shared" si="42"/>
        <v>854112.3989003778</v>
      </c>
    </row>
    <row r="17" spans="1:91" x14ac:dyDescent="0.2">
      <c r="A17">
        <v>10</v>
      </c>
      <c r="B17" s="12">
        <v>10</v>
      </c>
      <c r="C17" t="s">
        <v>129</v>
      </c>
      <c r="D17" s="12">
        <v>962908</v>
      </c>
      <c r="E17" s="3">
        <v>6.078686577254174E-3</v>
      </c>
      <c r="F17" s="3">
        <v>8.3912973273962493E-2</v>
      </c>
      <c r="G17" s="3"/>
      <c r="H17" s="12">
        <v>5016</v>
      </c>
      <c r="I17" s="21">
        <v>0.36307245227455803</v>
      </c>
      <c r="J17" s="21">
        <v>0.72619292048297157</v>
      </c>
      <c r="K17" s="12">
        <v>468831</v>
      </c>
      <c r="L17" s="12"/>
      <c r="M17" s="12">
        <f t="shared" si="10"/>
        <v>468831</v>
      </c>
      <c r="N17" s="12"/>
      <c r="O17" s="12">
        <v>89970</v>
      </c>
      <c r="P17" s="18"/>
      <c r="Q17" s="18"/>
      <c r="R17" s="18">
        <v>0.55347771962634196</v>
      </c>
      <c r="S17" s="18">
        <v>0.38845722613028999</v>
      </c>
      <c r="T17" s="47">
        <f>W17</f>
        <v>948.92802325581397</v>
      </c>
      <c r="U17" s="47">
        <f>X17</f>
        <v>815.58022883304113</v>
      </c>
      <c r="V17" s="47">
        <f>Y17</f>
        <v>1069.3356492190296</v>
      </c>
      <c r="W17" s="46">
        <v>948.92802325581397</v>
      </c>
      <c r="X17" s="46">
        <v>815.58022883304113</v>
      </c>
      <c r="Y17" s="46">
        <v>1069.3356492190296</v>
      </c>
      <c r="Z17">
        <f t="shared" si="11"/>
        <v>-4.0000000000000036E-2</v>
      </c>
      <c r="AA17" s="43">
        <f t="shared" si="0"/>
        <v>0.23061177167981889</v>
      </c>
      <c r="AB17" s="43">
        <f t="shared" si="1"/>
        <v>1.9314474215162205</v>
      </c>
      <c r="AC17" s="43">
        <f t="shared" si="2"/>
        <v>1.1596755010597584</v>
      </c>
      <c r="AD17" s="43">
        <f t="shared" si="12"/>
        <v>0.13145730902389072</v>
      </c>
      <c r="AE17" s="43">
        <f t="shared" si="13"/>
        <v>1.1009970510359426</v>
      </c>
      <c r="AF17" s="43">
        <f t="shared" si="14"/>
        <v>0.66105827816069307</v>
      </c>
      <c r="AG17" s="43">
        <f t="shared" si="15"/>
        <v>9.224470867192764E-3</v>
      </c>
      <c r="AH17" s="43">
        <f t="shared" si="16"/>
        <v>7.7257896860648892E-2</v>
      </c>
      <c r="AI17" s="43">
        <f t="shared" si="17"/>
        <v>4.6387020042390377E-2</v>
      </c>
      <c r="AJ17" s="43">
        <f t="shared" si="18"/>
        <v>5.2582923609556338E-3</v>
      </c>
      <c r="AK17" s="43">
        <f t="shared" si="19"/>
        <v>4.4039882041437745E-2</v>
      </c>
      <c r="AL17" s="43">
        <f t="shared" si="20"/>
        <v>2.6442331126427746E-2</v>
      </c>
      <c r="AM17" s="14">
        <v>494077</v>
      </c>
      <c r="AN17" s="12"/>
      <c r="AO17" s="12">
        <f t="shared" si="21"/>
        <v>494077</v>
      </c>
      <c r="AP17" s="12">
        <v>20</v>
      </c>
      <c r="AQ17" s="12">
        <v>100620</v>
      </c>
      <c r="AR17" s="18">
        <v>0.5</v>
      </c>
      <c r="AS17" s="18"/>
      <c r="AT17" s="18">
        <v>0.40377006013232758</v>
      </c>
      <c r="AU17" s="18">
        <v>0.18695466496112953</v>
      </c>
      <c r="AV17" s="46">
        <v>1865.8700000000001</v>
      </c>
      <c r="AW17" s="47">
        <f t="shared" ref="AW17:AX17" si="43">AZ17</f>
        <v>801.06201446131081</v>
      </c>
      <c r="AX17" s="47">
        <f t="shared" si="43"/>
        <v>1057.7021874668646</v>
      </c>
      <c r="AY17" s="46">
        <v>1020.509099099099</v>
      </c>
      <c r="AZ17" s="46">
        <v>801.06201446131081</v>
      </c>
      <c r="BA17" s="46">
        <v>1057.7021874668646</v>
      </c>
      <c r="BB17">
        <f t="shared" si="4"/>
        <v>-4.0000000000000036E-2</v>
      </c>
      <c r="BC17" s="43">
        <f t="shared" si="5"/>
        <v>0.14877287710143158</v>
      </c>
      <c r="BD17" s="43">
        <f t="shared" si="6"/>
        <v>1.3195874054922136</v>
      </c>
      <c r="BE17" s="43">
        <f t="shared" si="7"/>
        <v>0.74804184164374965</v>
      </c>
      <c r="BF17" s="43">
        <f t="shared" si="22"/>
        <v>8.4806087464821669E-2</v>
      </c>
      <c r="BG17" s="43">
        <f t="shared" si="23"/>
        <v>0.75221402656178726</v>
      </c>
      <c r="BH17" s="43">
        <f t="shared" si="24"/>
        <v>0.42641174309302687</v>
      </c>
      <c r="BI17" s="43">
        <f t="shared" si="25"/>
        <v>5.9509150840572683E-3</v>
      </c>
      <c r="BJ17" s="43">
        <f t="shared" si="26"/>
        <v>5.2783496219688593E-2</v>
      </c>
      <c r="BK17" s="43">
        <f t="shared" si="27"/>
        <v>2.9921673665750013E-2</v>
      </c>
      <c r="BL17" s="43">
        <f t="shared" si="28"/>
        <v>3.3922434985928698E-3</v>
      </c>
      <c r="BM17" s="43">
        <f t="shared" si="29"/>
        <v>3.0088561062471517E-2</v>
      </c>
      <c r="BN17" s="43">
        <f t="shared" si="30"/>
        <v>1.7056469723721091E-2</v>
      </c>
      <c r="BQ17" s="43">
        <f t="shared" si="31"/>
        <v>3.3641436542725032</v>
      </c>
      <c r="BT17" s="43">
        <f t="shared" si="9"/>
        <v>-3.2341022611921657</v>
      </c>
      <c r="BU17" s="18"/>
      <c r="BX17" s="43">
        <f t="shared" si="32"/>
        <v>1.9176873267964338</v>
      </c>
      <c r="CA17" s="43">
        <f t="shared" si="33"/>
        <v>-1.8435588836925245</v>
      </c>
      <c r="CD17" s="12">
        <f t="shared" si="34"/>
        <v>0</v>
      </c>
      <c r="CE17" s="12">
        <f t="shared" si="35"/>
        <v>0</v>
      </c>
      <c r="CF17" s="12">
        <f t="shared" si="36"/>
        <v>333308.76210977824</v>
      </c>
      <c r="CG17" s="12">
        <f t="shared" si="37"/>
        <v>199333.26827884049</v>
      </c>
      <c r="CH17" s="12">
        <f t="shared" si="38"/>
        <v>0</v>
      </c>
      <c r="CI17" s="12">
        <f t="shared" si="39"/>
        <v>0</v>
      </c>
      <c r="CJ17" s="12">
        <f t="shared" si="40"/>
        <v>307709980.401438</v>
      </c>
      <c r="CK17" s="12">
        <f t="shared" si="41"/>
        <v>200056134.08703089</v>
      </c>
      <c r="CM17" s="12">
        <f t="shared" si="42"/>
        <v>699256.97267641721</v>
      </c>
    </row>
    <row r="18" spans="1:91" x14ac:dyDescent="0.2">
      <c r="A18">
        <v>11</v>
      </c>
      <c r="B18" s="12">
        <v>11</v>
      </c>
      <c r="C18" t="s">
        <v>130</v>
      </c>
      <c r="D18" s="12">
        <v>901765</v>
      </c>
      <c r="E18" s="3">
        <v>5.6927004462914528E-3</v>
      </c>
      <c r="F18" s="3">
        <v>8.960567372025395E-2</v>
      </c>
      <c r="G18" s="3"/>
      <c r="H18" s="12">
        <v>922</v>
      </c>
      <c r="I18" s="21">
        <v>0.17719000883006689</v>
      </c>
      <c r="J18" s="21">
        <v>0.75712197615667354</v>
      </c>
      <c r="K18" s="12">
        <v>448043</v>
      </c>
      <c r="L18" s="12">
        <v>113547</v>
      </c>
      <c r="M18" s="12">
        <f t="shared" si="10"/>
        <v>334496</v>
      </c>
      <c r="N18" s="12">
        <v>101180</v>
      </c>
      <c r="O18" s="12">
        <v>28630</v>
      </c>
      <c r="P18" s="18">
        <v>0.22020162087369044</v>
      </c>
      <c r="Q18" s="18">
        <v>0.63461158331686107</v>
      </c>
      <c r="R18" s="18">
        <v>0.46031771755655843</v>
      </c>
      <c r="S18" s="18">
        <v>0.33790655011865373</v>
      </c>
      <c r="T18" s="46">
        <v>1203.4316247755835</v>
      </c>
      <c r="U18" s="46">
        <v>924.26468905627075</v>
      </c>
      <c r="V18" s="46">
        <v>1146.3558402118051</v>
      </c>
      <c r="W18" s="46">
        <v>2452.8843636363636</v>
      </c>
      <c r="X18" s="46">
        <v>1147.9197775563462</v>
      </c>
      <c r="Y18" s="46">
        <v>1566.2806374501993</v>
      </c>
      <c r="Z18">
        <f t="shared" si="11"/>
        <v>-4.0000000000000036E-2</v>
      </c>
      <c r="AA18" s="43">
        <f t="shared" si="0"/>
        <v>0.26335718779368833</v>
      </c>
      <c r="AB18" s="43">
        <f t="shared" si="1"/>
        <v>3.9371024807722659</v>
      </c>
      <c r="AC18" s="43">
        <f t="shared" si="2"/>
        <v>0.24280753778804526</v>
      </c>
      <c r="AD18" s="43">
        <f t="shared" si="12"/>
        <v>5.6713290955879694E-2</v>
      </c>
      <c r="AE18" s="43">
        <f t="shared" si="13"/>
        <v>0.84784486189939701</v>
      </c>
      <c r="AF18" s="43">
        <f t="shared" si="14"/>
        <v>5.2287976843228536E-2</v>
      </c>
      <c r="AG18" s="43">
        <f t="shared" si="15"/>
        <v>1.0534287511747542E-2</v>
      </c>
      <c r="AH18" s="43">
        <f t="shared" si="16"/>
        <v>0.15748409923089077</v>
      </c>
      <c r="AI18" s="43">
        <f t="shared" si="17"/>
        <v>9.7123015115218193E-3</v>
      </c>
      <c r="AJ18" s="43">
        <f t="shared" si="18"/>
        <v>2.2685316382351898E-3</v>
      </c>
      <c r="AK18" s="43">
        <f t="shared" si="19"/>
        <v>3.3913794475975909E-2</v>
      </c>
      <c r="AL18" s="43">
        <f t="shared" si="20"/>
        <v>2.0915190737291435E-3</v>
      </c>
      <c r="AM18" s="14">
        <v>453722</v>
      </c>
      <c r="AN18" s="12">
        <v>121152</v>
      </c>
      <c r="AO18" s="12">
        <f t="shared" si="21"/>
        <v>332570</v>
      </c>
      <c r="AP18" s="12">
        <v>109450</v>
      </c>
      <c r="AQ18" s="12">
        <v>29580</v>
      </c>
      <c r="AR18" s="18">
        <v>0.23152124257651896</v>
      </c>
      <c r="AS18" s="18">
        <v>0.64047510278666053</v>
      </c>
      <c r="AT18" s="18">
        <v>0.52606215182610017</v>
      </c>
      <c r="AU18" s="18">
        <v>0.27161302410083482</v>
      </c>
      <c r="AV18" s="46">
        <v>1246.5205130228887</v>
      </c>
      <c r="AW18" s="46">
        <v>953.74963701398326</v>
      </c>
      <c r="AX18" s="46">
        <v>1192.0849800285305</v>
      </c>
      <c r="AY18" s="46">
        <v>2402.782368421053</v>
      </c>
      <c r="AZ18" s="46">
        <v>1199.8054592031863</v>
      </c>
      <c r="BA18" s="46">
        <v>1631.6786827531646</v>
      </c>
      <c r="BB18">
        <f t="shared" si="4"/>
        <v>-4.0000000000000036E-2</v>
      </c>
      <c r="BC18" s="43">
        <f t="shared" si="5"/>
        <v>0.26351361695311243</v>
      </c>
      <c r="BD18" s="43">
        <f t="shared" si="6"/>
        <v>4.1011956545044574</v>
      </c>
      <c r="BE18" s="43">
        <f t="shared" si="7"/>
        <v>0.24295214232515638</v>
      </c>
      <c r="BF18" s="43">
        <f t="shared" si="22"/>
        <v>5.6746977571789911E-2</v>
      </c>
      <c r="BG18" s="43">
        <f t="shared" si="23"/>
        <v>0.88318190351846959</v>
      </c>
      <c r="BH18" s="43">
        <f t="shared" si="24"/>
        <v>5.2319117057230011E-2</v>
      </c>
      <c r="BI18" s="43">
        <f t="shared" si="25"/>
        <v>1.0540544678124507E-2</v>
      </c>
      <c r="BJ18" s="43">
        <f t="shared" si="26"/>
        <v>0.16404782618017844</v>
      </c>
      <c r="BK18" s="43">
        <f t="shared" si="27"/>
        <v>9.7180856930062648E-3</v>
      </c>
      <c r="BL18" s="43">
        <f t="shared" si="28"/>
        <v>2.2698791028715986E-3</v>
      </c>
      <c r="BM18" s="43">
        <f t="shared" si="29"/>
        <v>3.5327276140738814E-2</v>
      </c>
      <c r="BN18" s="43">
        <f t="shared" si="30"/>
        <v>2.0927646822892021E-3</v>
      </c>
      <c r="BQ18" s="43">
        <f t="shared" si="31"/>
        <v>8.3179636952168305</v>
      </c>
      <c r="BT18" s="43">
        <f t="shared" si="9"/>
        <v>-7.9964317698057616</v>
      </c>
      <c r="BU18" s="18"/>
      <c r="BX18" s="43">
        <f t="shared" si="32"/>
        <v>1.7912520222414909</v>
      </c>
      <c r="CA18" s="43">
        <f t="shared" si="33"/>
        <v>-1.7220109516247761</v>
      </c>
      <c r="CD18" s="12">
        <f t="shared" si="34"/>
        <v>40167.20987410855</v>
      </c>
      <c r="CE18" s="12">
        <f t="shared" si="35"/>
        <v>113305.63650316004</v>
      </c>
      <c r="CF18" s="12">
        <f t="shared" si="36"/>
        <v>249037.80353119402</v>
      </c>
      <c r="CG18" s="12">
        <f t="shared" si="37"/>
        <v>153967.36565662842</v>
      </c>
      <c r="CH18" s="12">
        <f t="shared" si="38"/>
        <v>46396850.662932649</v>
      </c>
      <c r="CI18" s="12">
        <f t="shared" si="39"/>
        <v>124885752.03592125</v>
      </c>
      <c r="CJ18" s="12">
        <f t="shared" si="40"/>
        <v>569179389.66992509</v>
      </c>
      <c r="CK18" s="12">
        <f t="shared" si="41"/>
        <v>231382279.77427474</v>
      </c>
      <c r="CM18" s="12">
        <f t="shared" si="42"/>
        <v>682746.09882892272</v>
      </c>
    </row>
    <row r="19" spans="1:91" x14ac:dyDescent="0.2">
      <c r="A19">
        <v>12</v>
      </c>
      <c r="B19" s="12">
        <v>12</v>
      </c>
      <c r="C19" t="s">
        <v>131</v>
      </c>
      <c r="D19" s="12">
        <v>897747</v>
      </c>
      <c r="E19" s="3">
        <v>5.6673354449959948E-3</v>
      </c>
      <c r="F19" s="3">
        <v>9.5273009165249944E-2</v>
      </c>
      <c r="G19" s="3"/>
      <c r="H19" s="12">
        <v>3635</v>
      </c>
      <c r="I19" s="21">
        <v>0.66126625464613098</v>
      </c>
      <c r="J19" s="21">
        <v>0.78422234066904284</v>
      </c>
      <c r="K19" s="12">
        <v>448773</v>
      </c>
      <c r="L19" s="12">
        <v>201148</v>
      </c>
      <c r="M19" s="12">
        <f t="shared" si="10"/>
        <v>247625</v>
      </c>
      <c r="N19" s="12">
        <v>213070</v>
      </c>
      <c r="O19" s="12">
        <v>9720</v>
      </c>
      <c r="P19" s="18">
        <v>0.38414605528699486</v>
      </c>
      <c r="Q19" s="18">
        <v>0.54723799690242647</v>
      </c>
      <c r="R19" s="18">
        <v>0.70411356196287422</v>
      </c>
      <c r="S19" s="18">
        <v>0.22307907628211068</v>
      </c>
      <c r="T19" s="46">
        <v>804.3276310323763</v>
      </c>
      <c r="U19" s="46">
        <v>576.5578684123841</v>
      </c>
      <c r="V19" s="46">
        <v>814.85502058319037</v>
      </c>
      <c r="W19" s="46">
        <v>1300.1607575757575</v>
      </c>
      <c r="X19" s="46">
        <v>798.61526968727912</v>
      </c>
      <c r="Y19" s="46">
        <v>1344.2954421768707</v>
      </c>
      <c r="Z19">
        <f t="shared" si="11"/>
        <v>-4.0000000000000036E-2</v>
      </c>
      <c r="AA19" s="43">
        <f t="shared" si="0"/>
        <v>0.1329601350098483</v>
      </c>
      <c r="AB19" s="43">
        <f t="shared" si="1"/>
        <v>1.1389882359943979</v>
      </c>
      <c r="AC19" s="43">
        <f t="shared" si="2"/>
        <v>0.48417984377195245</v>
      </c>
      <c r="AD19" s="43">
        <f t="shared" si="12"/>
        <v>0.25956094336971275</v>
      </c>
      <c r="AE19" s="43">
        <f t="shared" si="13"/>
        <v>2.2235000062222654</v>
      </c>
      <c r="AF19" s="43">
        <f t="shared" si="14"/>
        <v>0.9452019359091316</v>
      </c>
      <c r="AG19" s="43">
        <f t="shared" si="15"/>
        <v>5.3184054003939368E-3</v>
      </c>
      <c r="AH19" s="43">
        <f t="shared" si="16"/>
        <v>4.555952943977596E-2</v>
      </c>
      <c r="AI19" s="43">
        <f t="shared" si="17"/>
        <v>1.9367193750878114E-2</v>
      </c>
      <c r="AJ19" s="43">
        <f t="shared" si="18"/>
        <v>1.038243773478852E-2</v>
      </c>
      <c r="AK19" s="43">
        <f t="shared" si="19"/>
        <v>8.8940000248890691E-2</v>
      </c>
      <c r="AL19" s="43">
        <f t="shared" si="20"/>
        <v>3.78080774363653E-2</v>
      </c>
      <c r="AM19" s="14">
        <v>448974</v>
      </c>
      <c r="AN19" s="12">
        <v>197829</v>
      </c>
      <c r="AO19" s="12">
        <f t="shared" si="21"/>
        <v>251145</v>
      </c>
      <c r="AP19" s="12">
        <v>203730</v>
      </c>
      <c r="AQ19" s="12">
        <v>9950</v>
      </c>
      <c r="AR19" s="18">
        <v>0.40342610317577188</v>
      </c>
      <c r="AS19" s="18">
        <v>0.54047023020664609</v>
      </c>
      <c r="AT19" s="18">
        <v>0.71512131605704654</v>
      </c>
      <c r="AU19" s="18">
        <v>0.22405098448389529</v>
      </c>
      <c r="AV19" s="46">
        <v>836.06605669789519</v>
      </c>
      <c r="AW19" s="46">
        <v>602.84894367261484</v>
      </c>
      <c r="AX19" s="46">
        <v>853.202256834075</v>
      </c>
      <c r="AY19" s="46">
        <v>1225.5164</v>
      </c>
      <c r="AZ19" s="46">
        <v>823.86518841802945</v>
      </c>
      <c r="BA19" s="46">
        <v>1359.9467076502731</v>
      </c>
      <c r="BB19">
        <f t="shared" si="4"/>
        <v>-4.0000000000000036E-2</v>
      </c>
      <c r="BC19" s="43">
        <f t="shared" si="5"/>
        <v>0.13387044602454284</v>
      </c>
      <c r="BD19" s="43">
        <f t="shared" si="6"/>
        <v>1.1434647243038136</v>
      </c>
      <c r="BE19" s="43">
        <f t="shared" si="7"/>
        <v>0.48747360470067097</v>
      </c>
      <c r="BF19" s="43">
        <f t="shared" si="22"/>
        <v>0.26133802629548186</v>
      </c>
      <c r="BG19" s="43">
        <f t="shared" si="23"/>
        <v>2.2322388776779043</v>
      </c>
      <c r="BH19" s="43">
        <f t="shared" si="24"/>
        <v>0.95163192106091532</v>
      </c>
      <c r="BI19" s="43">
        <f t="shared" si="25"/>
        <v>5.3548178409817187E-3</v>
      </c>
      <c r="BJ19" s="43">
        <f t="shared" si="26"/>
        <v>4.5738588972152584E-2</v>
      </c>
      <c r="BK19" s="43">
        <f t="shared" si="27"/>
        <v>1.9498944188026855E-2</v>
      </c>
      <c r="BL19" s="43">
        <f t="shared" si="28"/>
        <v>1.0453521051819284E-2</v>
      </c>
      <c r="BM19" s="43">
        <f t="shared" si="29"/>
        <v>8.9289555107116253E-2</v>
      </c>
      <c r="BN19" s="43">
        <f t="shared" si="30"/>
        <v>3.8065276842436643E-2</v>
      </c>
      <c r="BQ19" s="43">
        <f t="shared" si="31"/>
        <v>2.3618632377520195</v>
      </c>
      <c r="BT19" s="43">
        <f t="shared" si="9"/>
        <v>-2.2705651193400911</v>
      </c>
      <c r="BU19" s="18"/>
      <c r="BX19" s="43">
        <f t="shared" si="32"/>
        <v>4.6107613387708302</v>
      </c>
      <c r="CA19" s="43">
        <f t="shared" si="33"/>
        <v>-4.4325317834148228</v>
      </c>
      <c r="CD19" s="12">
        <f t="shared" si="34"/>
        <v>123185.32632438408</v>
      </c>
      <c r="CE19" s="12">
        <f t="shared" si="35"/>
        <v>170173.51394767634</v>
      </c>
      <c r="CF19" s="12">
        <f t="shared" si="36"/>
        <v>277579.62539267045</v>
      </c>
      <c r="CG19" s="12">
        <f t="shared" si="37"/>
        <v>87448.037797047</v>
      </c>
      <c r="CH19" s="12">
        <f t="shared" si="38"/>
        <v>95205882.51468274</v>
      </c>
      <c r="CI19" s="12">
        <f t="shared" si="39"/>
        <v>133652977.99712515</v>
      </c>
      <c r="CJ19" s="12">
        <f t="shared" si="40"/>
        <v>330062483.68360919</v>
      </c>
      <c r="CK19" s="12">
        <f t="shared" si="41"/>
        <v>111388346.08007425</v>
      </c>
      <c r="CM19" s="12">
        <f t="shared" si="42"/>
        <v>704033.25366861117</v>
      </c>
    </row>
    <row r="20" spans="1:91" x14ac:dyDescent="0.2">
      <c r="A20">
        <v>13</v>
      </c>
      <c r="B20" s="12">
        <v>13</v>
      </c>
      <c r="C20" t="s">
        <v>132</v>
      </c>
      <c r="D20" s="12">
        <v>892273</v>
      </c>
      <c r="E20" s="3">
        <v>5.6327789449732626E-3</v>
      </c>
      <c r="F20" s="3">
        <v>0.1009057881102232</v>
      </c>
      <c r="G20" s="3"/>
      <c r="H20" s="12">
        <v>1555</v>
      </c>
      <c r="I20" s="21">
        <v>0.72099530225594965</v>
      </c>
      <c r="J20" s="21">
        <v>0.7238154937614254</v>
      </c>
      <c r="K20" s="12">
        <v>469015</v>
      </c>
      <c r="L20" s="12"/>
      <c r="M20" s="12">
        <f t="shared" si="10"/>
        <v>469015</v>
      </c>
      <c r="N20" s="12">
        <v>2870</v>
      </c>
      <c r="O20" s="12">
        <v>107690</v>
      </c>
      <c r="P20" s="18">
        <v>0.37282229965156793</v>
      </c>
      <c r="Q20" s="18">
        <v>0.51567944250871078</v>
      </c>
      <c r="R20" s="18">
        <v>0.66264196973977374</v>
      </c>
      <c r="S20" s="18">
        <v>0.2224509910397322</v>
      </c>
      <c r="T20" s="46">
        <v>710.35831775700933</v>
      </c>
      <c r="U20" s="46">
        <v>661.37192224622049</v>
      </c>
      <c r="V20" s="46">
        <v>827.6086486486488</v>
      </c>
      <c r="W20" s="46">
        <v>1022.292380952381</v>
      </c>
      <c r="X20" s="46">
        <v>744.82865302719119</v>
      </c>
      <c r="Y20" s="46">
        <v>967.76745841939362</v>
      </c>
      <c r="Z20">
        <f t="shared" si="11"/>
        <v>-4.0000000000000036E-2</v>
      </c>
      <c r="AA20" s="43">
        <f t="shared" si="0"/>
        <v>9.0193744232122813E-2</v>
      </c>
      <c r="AB20" s="43">
        <f t="shared" si="1"/>
        <v>0.80065946236660845</v>
      </c>
      <c r="AC20" s="43">
        <f t="shared" si="2"/>
        <v>0.14029812756691643</v>
      </c>
      <c r="AD20" s="43">
        <f t="shared" si="12"/>
        <v>0.2330758815534027</v>
      </c>
      <c r="AE20" s="43">
        <f t="shared" si="13"/>
        <v>2.0690393951813277</v>
      </c>
      <c r="AF20" s="43">
        <f t="shared" si="14"/>
        <v>0.36255407779494908</v>
      </c>
      <c r="AG20" s="43">
        <f t="shared" si="15"/>
        <v>3.6077497692849157E-3</v>
      </c>
      <c r="AH20" s="43">
        <f t="shared" si="16"/>
        <v>3.2026378494664366E-2</v>
      </c>
      <c r="AI20" s="43">
        <f t="shared" si="17"/>
        <v>5.6119251026766617E-3</v>
      </c>
      <c r="AJ20" s="43">
        <f t="shared" si="18"/>
        <v>9.323035262136117E-3</v>
      </c>
      <c r="AK20" s="43">
        <f t="shared" si="19"/>
        <v>8.2761575807253185E-2</v>
      </c>
      <c r="AL20" s="43">
        <f t="shared" si="20"/>
        <v>1.4502163111797976E-2</v>
      </c>
      <c r="AM20" s="14">
        <v>423258</v>
      </c>
      <c r="AN20" s="12"/>
      <c r="AO20" s="12">
        <f t="shared" si="21"/>
        <v>423258</v>
      </c>
      <c r="AP20" s="12">
        <v>2360</v>
      </c>
      <c r="AQ20" s="12">
        <v>88490</v>
      </c>
      <c r="AR20" s="18">
        <v>0.32627118644067798</v>
      </c>
      <c r="AS20" s="18">
        <v>0.55084745762711862</v>
      </c>
      <c r="AT20" s="18">
        <v>0.61613605614420786</v>
      </c>
      <c r="AU20" s="18">
        <v>0.28025118120731457</v>
      </c>
      <c r="AV20" s="46">
        <v>784.08675324675335</v>
      </c>
      <c r="AW20" s="46">
        <v>817.12649339718166</v>
      </c>
      <c r="AX20" s="46">
        <v>1050.0885384615385</v>
      </c>
      <c r="AY20" s="46">
        <v>1057.5395532646048</v>
      </c>
      <c r="AZ20" s="46">
        <v>712.43334518790891</v>
      </c>
      <c r="BA20" s="46">
        <v>929.18848508737369</v>
      </c>
      <c r="BB20">
        <f t="shared" si="4"/>
        <v>-4.0000000000000036E-2</v>
      </c>
      <c r="BC20" s="43">
        <f t="shared" si="5"/>
        <v>8.3959551400888843E-2</v>
      </c>
      <c r="BD20" s="43">
        <f t="shared" si="6"/>
        <v>0.73816852686964596</v>
      </c>
      <c r="BE20" s="43">
        <f t="shared" si="7"/>
        <v>0.13060181490535144</v>
      </c>
      <c r="BF20" s="43">
        <f t="shared" si="22"/>
        <v>0.2169656734421371</v>
      </c>
      <c r="BG20" s="43">
        <f t="shared" si="23"/>
        <v>1.9075522543152548</v>
      </c>
      <c r="BH20" s="43">
        <f t="shared" si="24"/>
        <v>0.33749716680126202</v>
      </c>
      <c r="BI20" s="43">
        <f t="shared" si="25"/>
        <v>3.3583820560355569E-3</v>
      </c>
      <c r="BJ20" s="43">
        <f t="shared" si="26"/>
        <v>2.9526741074785864E-2</v>
      </c>
      <c r="BK20" s="43">
        <f t="shared" si="27"/>
        <v>5.2240725962140622E-3</v>
      </c>
      <c r="BL20" s="43">
        <f t="shared" si="28"/>
        <v>8.6786269376854918E-3</v>
      </c>
      <c r="BM20" s="43">
        <f t="shared" si="29"/>
        <v>7.6302090172610262E-2</v>
      </c>
      <c r="BN20" s="43">
        <f t="shared" si="30"/>
        <v>1.3499886672050493E-2</v>
      </c>
      <c r="BQ20" s="43">
        <f t="shared" si="31"/>
        <v>1.5923663357890663</v>
      </c>
      <c r="BT20" s="43">
        <f t="shared" si="9"/>
        <v>-1.530813216219616</v>
      </c>
      <c r="BU20" s="18"/>
      <c r="BX20" s="43">
        <f t="shared" si="32"/>
        <v>4.1149437871747061</v>
      </c>
      <c r="CA20" s="43">
        <f t="shared" si="33"/>
        <v>-3.9558801211948431</v>
      </c>
      <c r="CD20" s="12">
        <f t="shared" si="34"/>
        <v>0</v>
      </c>
      <c r="CE20" s="12">
        <f t="shared" si="35"/>
        <v>0</v>
      </c>
      <c r="CF20" s="12">
        <f t="shared" si="36"/>
        <v>413713.78283760679</v>
      </c>
      <c r="CG20" s="12">
        <f t="shared" si="37"/>
        <v>161375.6820316833</v>
      </c>
      <c r="CH20" s="12">
        <f t="shared" si="38"/>
        <v>0</v>
      </c>
      <c r="CI20" s="12">
        <f t="shared" si="39"/>
        <v>0</v>
      </c>
      <c r="CJ20" s="12">
        <f t="shared" si="40"/>
        <v>404673497.24680704</v>
      </c>
      <c r="CK20" s="12">
        <f t="shared" si="41"/>
        <v>143995836.4946388</v>
      </c>
      <c r="CM20" s="12">
        <f t="shared" si="42"/>
        <v>645841.02206498827</v>
      </c>
    </row>
    <row r="21" spans="1:91" x14ac:dyDescent="0.2">
      <c r="A21">
        <v>14</v>
      </c>
      <c r="B21" s="12">
        <v>14</v>
      </c>
      <c r="C21" t="s">
        <v>133</v>
      </c>
      <c r="D21" s="12">
        <v>866733</v>
      </c>
      <c r="E21" s="3">
        <v>5.4715489466940171E-3</v>
      </c>
      <c r="F21" s="3">
        <v>0.10637733705691722</v>
      </c>
      <c r="G21" s="3"/>
      <c r="H21" s="12">
        <v>6906</v>
      </c>
      <c r="I21" s="21">
        <v>0.6079202346994147</v>
      </c>
      <c r="J21" s="21">
        <v>0.79741857320856591</v>
      </c>
      <c r="K21" s="12">
        <v>426049</v>
      </c>
      <c r="L21" s="12">
        <v>214133</v>
      </c>
      <c r="M21" s="12">
        <f t="shared" si="10"/>
        <v>211916</v>
      </c>
      <c r="N21" s="12">
        <v>218890</v>
      </c>
      <c r="O21" s="12">
        <v>92150</v>
      </c>
      <c r="P21" s="18">
        <v>0.12380647813970487</v>
      </c>
      <c r="Q21" s="18">
        <v>0.77024989720864356</v>
      </c>
      <c r="R21" s="18">
        <v>0.21120181455483791</v>
      </c>
      <c r="S21" s="18">
        <v>0.66423448200301305</v>
      </c>
      <c r="T21" s="46">
        <v>846.48981918819197</v>
      </c>
      <c r="U21" s="46">
        <v>626.026846535858</v>
      </c>
      <c r="V21" s="46">
        <v>859.64646026097262</v>
      </c>
      <c r="W21" s="46">
        <v>973.32077809798272</v>
      </c>
      <c r="X21" s="46">
        <v>589.8798676483234</v>
      </c>
      <c r="Y21" s="46">
        <v>911.74090861822197</v>
      </c>
      <c r="Z21">
        <f t="shared" si="11"/>
        <v>-4.0000000000000036E-2</v>
      </c>
      <c r="AA21" s="43">
        <f t="shared" si="0"/>
        <v>0.16125574224416223</v>
      </c>
      <c r="AB21" s="43">
        <f t="shared" si="1"/>
        <v>0.9951439105854466</v>
      </c>
      <c r="AC21" s="43">
        <f t="shared" si="2"/>
        <v>1.1193715900097658</v>
      </c>
      <c r="AD21" s="43">
        <f t="shared" si="12"/>
        <v>0.25002725809261006</v>
      </c>
      <c r="AE21" s="43">
        <f t="shared" si="13"/>
        <v>1.5429720511564868</v>
      </c>
      <c r="AF21" s="43">
        <f t="shared" si="14"/>
        <v>1.7355872450925944</v>
      </c>
      <c r="AG21" s="43">
        <f t="shared" si="15"/>
        <v>6.4502296897664948E-3</v>
      </c>
      <c r="AH21" s="43">
        <f t="shared" si="16"/>
        <v>3.9805756423417903E-2</v>
      </c>
      <c r="AI21" s="43">
        <f t="shared" si="17"/>
        <v>4.4774863600390673E-2</v>
      </c>
      <c r="AJ21" s="43">
        <f t="shared" si="18"/>
        <v>1.0001090323704411E-2</v>
      </c>
      <c r="AK21" s="43">
        <f t="shared" si="19"/>
        <v>6.1718882046259527E-2</v>
      </c>
      <c r="AL21" s="43">
        <f t="shared" si="20"/>
        <v>6.9423489803703844E-2</v>
      </c>
      <c r="AM21" s="14">
        <v>440684</v>
      </c>
      <c r="AN21" s="12">
        <v>213300</v>
      </c>
      <c r="AO21" s="12">
        <f t="shared" si="21"/>
        <v>227384</v>
      </c>
      <c r="AP21" s="12">
        <v>218000</v>
      </c>
      <c r="AQ21" s="12">
        <v>91700</v>
      </c>
      <c r="AR21" s="18">
        <v>0.12857798165137616</v>
      </c>
      <c r="AS21" s="18">
        <v>0.77027522935779813</v>
      </c>
      <c r="AT21" s="18">
        <v>0.27222532231035507</v>
      </c>
      <c r="AU21" s="18">
        <v>0.60803217354736339</v>
      </c>
      <c r="AV21" s="46">
        <v>838.40226542989649</v>
      </c>
      <c r="AW21" s="46">
        <v>635.07271471174465</v>
      </c>
      <c r="AX21" s="46">
        <v>875.01274654597466</v>
      </c>
      <c r="AY21" s="46">
        <v>1235.425726744186</v>
      </c>
      <c r="AZ21" s="46">
        <v>685.44881356809947</v>
      </c>
      <c r="BA21" s="46">
        <v>1076.0873591731279</v>
      </c>
      <c r="BB21">
        <f t="shared" si="4"/>
        <v>-4.0000000000000036E-2</v>
      </c>
      <c r="BC21" s="43">
        <f t="shared" si="5"/>
        <v>0.16669565089733357</v>
      </c>
      <c r="BD21" s="43">
        <f t="shared" si="6"/>
        <v>1.1605752451593732</v>
      </c>
      <c r="BE21" s="43">
        <f t="shared" si="7"/>
        <v>1.1565660659268937</v>
      </c>
      <c r="BF21" s="43">
        <f t="shared" si="22"/>
        <v>0.2584618442096569</v>
      </c>
      <c r="BG21" s="43">
        <f t="shared" si="23"/>
        <v>1.7994735711054144</v>
      </c>
      <c r="BH21" s="43">
        <f t="shared" si="24"/>
        <v>1.7932573329935277</v>
      </c>
      <c r="BI21" s="43">
        <f t="shared" si="25"/>
        <v>6.667826035893349E-3</v>
      </c>
      <c r="BJ21" s="43">
        <f t="shared" si="26"/>
        <v>4.6423009806374968E-2</v>
      </c>
      <c r="BK21" s="43">
        <f t="shared" si="27"/>
        <v>4.6262642637075788E-2</v>
      </c>
      <c r="BL21" s="43">
        <f t="shared" si="28"/>
        <v>1.0338473768386286E-2</v>
      </c>
      <c r="BM21" s="43">
        <f t="shared" si="29"/>
        <v>7.1978942844216645E-2</v>
      </c>
      <c r="BN21" s="43">
        <f t="shared" si="30"/>
        <v>7.1730293319741179E-2</v>
      </c>
      <c r="BQ21" s="43">
        <f t="shared" si="31"/>
        <v>2.2307201565311923</v>
      </c>
      <c r="BT21" s="43">
        <f t="shared" si="9"/>
        <v>-2.1444913903013996</v>
      </c>
      <c r="BU21" s="18"/>
      <c r="BX21" s="43">
        <f t="shared" si="32"/>
        <v>3.4587347808360187</v>
      </c>
      <c r="CA21" s="43">
        <f t="shared" si="33"/>
        <v>-3.3250369559455426</v>
      </c>
      <c r="CD21" s="12">
        <f t="shared" si="34"/>
        <v>43010.155120249452</v>
      </c>
      <c r="CE21" s="12">
        <f t="shared" si="35"/>
        <v>262538.60445885878</v>
      </c>
      <c r="CF21" s="12">
        <f t="shared" si="36"/>
        <v>85050.054606065736</v>
      </c>
      <c r="CG21" s="12">
        <f t="shared" si="37"/>
        <v>222494.69543716687</v>
      </c>
      <c r="CH21" s="12">
        <f t="shared" si="38"/>
        <v>34129400.088973708</v>
      </c>
      <c r="CI21" s="12">
        <f t="shared" si="39"/>
        <v>214496796.66185296</v>
      </c>
      <c r="CJ21" s="12">
        <f t="shared" si="40"/>
        <v>90166802.724396273</v>
      </c>
      <c r="CK21" s="12">
        <f t="shared" si="41"/>
        <v>208159835.14947125</v>
      </c>
      <c r="CM21" s="12">
        <f t="shared" si="42"/>
        <v>691148.99221277994</v>
      </c>
    </row>
    <row r="22" spans="1:91" x14ac:dyDescent="0.2">
      <c r="A22" s="15">
        <v>15</v>
      </c>
      <c r="B22" s="16">
        <v>15</v>
      </c>
      <c r="C22" s="15" t="s">
        <v>134</v>
      </c>
      <c r="D22" s="16">
        <v>851728</v>
      </c>
      <c r="E22" s="4">
        <v>5.376824744494327E-3</v>
      </c>
      <c r="F22" s="4">
        <v>0.11175416180141155</v>
      </c>
      <c r="G22" s="17">
        <f>1+(F23-F22)/(2*E17)</f>
        <v>5.8524041756844953</v>
      </c>
      <c r="H22" s="26">
        <v>3452</v>
      </c>
      <c r="I22" s="21">
        <v>0.66126625464613098</v>
      </c>
      <c r="J22" s="21">
        <v>0.78422234066904284</v>
      </c>
      <c r="K22" s="12">
        <v>420044</v>
      </c>
      <c r="L22" s="12">
        <v>128760</v>
      </c>
      <c r="M22" s="12">
        <f t="shared" si="10"/>
        <v>291284</v>
      </c>
      <c r="N22" s="12">
        <v>136750</v>
      </c>
      <c r="O22" s="12">
        <v>11810</v>
      </c>
      <c r="P22" s="18">
        <v>0.5296526508226691</v>
      </c>
      <c r="Q22" s="18">
        <v>0.4160877513711152</v>
      </c>
      <c r="R22" s="18">
        <v>0.62594781651152764</v>
      </c>
      <c r="S22" s="18">
        <v>0.32336097656028395</v>
      </c>
      <c r="T22" s="46">
        <v>581.9084743890653</v>
      </c>
      <c r="U22" s="46">
        <v>430.43258674916501</v>
      </c>
      <c r="V22" s="46">
        <v>699.09811247803168</v>
      </c>
      <c r="W22" s="46">
        <v>735.28163636363638</v>
      </c>
      <c r="X22" s="46">
        <v>756.35906530627051</v>
      </c>
      <c r="Y22" s="46">
        <v>1416.5343791574278</v>
      </c>
      <c r="Z22">
        <f t="shared" si="11"/>
        <v>-4.0000000000000036E-2</v>
      </c>
      <c r="AA22" s="43">
        <f t="shared" ref="AA22:AA37" si="44">(L22*P22*T22*(1-(1-$AA$3/(T22*$V$3))^Z22)+L22*Q22*V22*(1-(1-$AA$3/(U22*$V$3))^Z22)+M22*R22*W22*(1-(1-$AA$3/(W22*$V$3))^Z22)+M22*S22*Y22*(1-(1-$AA$3/(X22*$V$3))^Z22))*(1-I22)*J22*$V$3*$G22/(Z22*1000000)</f>
        <v>0.79969054635037462</v>
      </c>
      <c r="AB22" s="43">
        <f t="shared" ref="AB22:AB37" si="45">(L22*P22*T22+L22*Q22*V22+M22*R22*W22+M22*S22*Y22)*(1-I22)*J22*$V$3*$G22*(1-(1-$AB$3)^Z22)/(Z22*1000000)</f>
        <v>5.073390588110084</v>
      </c>
      <c r="AC22" s="43">
        <f t="shared" ref="AC22:AC37" si="46">(L22*P22*T22*(1-(1-$AC$3*H22/(T22*$V$3))^Z22)+L22*Q22*V22*(1-(1-$AC$3*H22/(U22*$V$3))^Z22)+M22*R22*W22*(1-(1-$AC$3*H22/(W22*$V$3))^Z22)+M22*S22*Y22*(1-(1-$AC$3*H22/(X22*$V$3))^Z22))*(1-I22)*J22*$V$3*$G22/(Z22*1000000)</f>
        <v>2.7663778768164464</v>
      </c>
      <c r="AD22" s="43">
        <f t="shared" si="12"/>
        <v>1.5611328357869803</v>
      </c>
      <c r="AE22" s="43">
        <f t="shared" si="13"/>
        <v>9.9041268801008382</v>
      </c>
      <c r="AF22" s="43">
        <f t="shared" si="14"/>
        <v>5.4004431581721439</v>
      </c>
      <c r="AG22" s="43">
        <f t="shared" si="15"/>
        <v>3.1987621854015012E-2</v>
      </c>
      <c r="AH22" s="43">
        <f t="shared" si="16"/>
        <v>0.20293562352440353</v>
      </c>
      <c r="AI22" s="43">
        <f t="shared" si="17"/>
        <v>0.11065511507265796</v>
      </c>
      <c r="AJ22" s="43">
        <f t="shared" si="18"/>
        <v>6.2445313431479264E-2</v>
      </c>
      <c r="AK22" s="43">
        <f t="shared" si="19"/>
        <v>0.39616507520403388</v>
      </c>
      <c r="AL22" s="43">
        <f t="shared" si="20"/>
        <v>0.21601772632688596</v>
      </c>
      <c r="AM22" s="14">
        <v>431684</v>
      </c>
      <c r="AN22" s="12">
        <v>131094</v>
      </c>
      <c r="AO22" s="12">
        <f t="shared" si="21"/>
        <v>300590</v>
      </c>
      <c r="AP22" s="12">
        <v>137060</v>
      </c>
      <c r="AQ22" s="12">
        <v>11540</v>
      </c>
      <c r="AR22" s="18">
        <v>0.53319713993871298</v>
      </c>
      <c r="AS22" s="18">
        <v>0.41748139500948489</v>
      </c>
      <c r="AT22" s="18">
        <v>0.59994189071359261</v>
      </c>
      <c r="AU22" s="18">
        <v>0.35160601566911398</v>
      </c>
      <c r="AV22" s="46">
        <v>584.74871784345919</v>
      </c>
      <c r="AW22" s="46">
        <v>450.41000921261565</v>
      </c>
      <c r="AX22" s="46">
        <v>726.67236106256553</v>
      </c>
      <c r="AY22" s="46">
        <v>733.5846017699115</v>
      </c>
      <c r="AZ22" s="46">
        <v>878.75771937036438</v>
      </c>
      <c r="BA22" s="46">
        <v>1641.6177560975609</v>
      </c>
      <c r="BB22">
        <f t="shared" si="4"/>
        <v>-4.0000000000000036E-2</v>
      </c>
      <c r="BC22" s="43">
        <f t="shared" ref="BC22:BC37" si="47">(AN22*AR22*AV22*(1-(1-$AA$3/(AV22*$V$3))^BB22)+AN22*AS22*AX22*(1-(1-$AA$3/(AW22*$V$3))^BB22)+AO22*AT22*AY22*(1-(1-$AA$3/(AY22*$V$3))^BB22)+AO22*AU22*BA22*(1-(1-$AA$3/(AZ22*$V$3))^BB22))*(1-I22)*J22*$V$3*$G22/(BB22*1000000)</f>
        <v>0.83392419546677754</v>
      </c>
      <c r="BD22" s="43">
        <f t="shared" ref="BD22:BD37" si="48">(AN22*AR22*AV22+AN22*AS22*AX22+AO22*AT22*AY22+AO22*AU22*BA22)*(1-I22)*J22*$V$3*$G22*(1-(1-$AB$3)^BB22)/(BB22*1000000)</f>
        <v>5.6889159891604466</v>
      </c>
      <c r="BE22" s="43">
        <f t="shared" ref="BE22:BE37" si="49">(AN22*AR22*AV22*(1-(1-$AC$3*H22/(AV22*$V$3))^BB22)+AN22*AS22*AX22*(1-(1-$AC$3*H22/(AW22*$V$3))^BB22)+AO22*AT22*AY22*(1-(1-$AC$3*H22/(AY22*$V$3))^BB22)+AO22*AU22*BA22*(1-(1-$AC$3*H22/(AZ22*$V$3))^BB22))*(1-I22)*J22*$V$3*$G22/(BB22*1000000)</f>
        <v>2.8844453107661763</v>
      </c>
      <c r="BF22" s="43">
        <f t="shared" si="22"/>
        <v>1.6279627789047662</v>
      </c>
      <c r="BG22" s="43">
        <f t="shared" si="23"/>
        <v>11.105737827267967</v>
      </c>
      <c r="BH22" s="43">
        <f t="shared" si="24"/>
        <v>5.630930999771909</v>
      </c>
      <c r="BI22" s="43">
        <f t="shared" si="25"/>
        <v>3.3356967818671132E-2</v>
      </c>
      <c r="BJ22" s="43">
        <f t="shared" si="26"/>
        <v>0.22755663956641806</v>
      </c>
      <c r="BK22" s="43">
        <f t="shared" si="27"/>
        <v>0.11537781243064715</v>
      </c>
      <c r="BL22" s="43">
        <f t="shared" si="28"/>
        <v>6.5118511156190703E-2</v>
      </c>
      <c r="BM22" s="43">
        <f t="shared" si="29"/>
        <v>0.44422951309071912</v>
      </c>
      <c r="BN22" s="43">
        <f t="shared" si="30"/>
        <v>0.22523723999087655</v>
      </c>
      <c r="BQ22" s="43">
        <f t="shared" si="31"/>
        <v>11.13674485319992</v>
      </c>
      <c r="BT22" s="43">
        <f t="shared" ref="BT22:BT37" si="50">-(L22*P22*T22+L22*Q22*V22+M22*R22*W22+M22*S22*Y22+AN22*AR22*AV22+AN22*AS22*AX22+AO22*AT22*AY22+AO22*AU22*BA22)*(1-I22)*J22*$V$3*$AB$3*$G22/1000000</f>
        <v>-10.706252590109099</v>
      </c>
      <c r="BU22" s="18"/>
      <c r="BX22" s="43">
        <f t="shared" si="32"/>
        <v>21.74083231752325</v>
      </c>
      <c r="CA22" s="43">
        <f t="shared" si="33"/>
        <v>-20.900437729228496</v>
      </c>
      <c r="CD22" s="12">
        <f>($L22*P22+$AN22*AR22)*$J22*$G22</f>
        <v>633808.16903838678</v>
      </c>
      <c r="CE22" s="12">
        <f>($L22*Q22+$AN22*AS22)*$J22*$G22</f>
        <v>497074.04351280222</v>
      </c>
      <c r="CF22" s="12">
        <f>($M22*R22+$AO22*AT22)*$J22*$G22</f>
        <v>1664482.7790609805</v>
      </c>
      <c r="CG22" s="12">
        <f>($M22*S22+$AO22*AU22)*$J22*$G22</f>
        <v>917362.48131068575</v>
      </c>
      <c r="CH22" s="12">
        <f>($L22*P22*T22+$AN22*AR22*AV22)*$J22*$V$3*$G22</f>
        <v>348285203.44724864</v>
      </c>
      <c r="CI22" s="12">
        <f>($L22*Q22*V22+$AN22*AS22*AX22)*$J22*$V$3*$G22</f>
        <v>333872833.36494428</v>
      </c>
      <c r="CJ22" s="12">
        <f>($M22*R22*W22+$AO22*AT22*AY22)*$J22*$V$3*$G22</f>
        <v>1151556412.6546485</v>
      </c>
      <c r="CK22" s="12">
        <f>($M22*S22*Y22+$AO22*AU22*BA22)*$J22*$V$3*$G22</f>
        <v>1326954582.4669185</v>
      </c>
      <c r="CM22" s="12">
        <f t="shared" si="42"/>
        <v>667944.12577336247</v>
      </c>
    </row>
    <row r="23" spans="1:91" x14ac:dyDescent="0.2">
      <c r="A23">
        <v>16</v>
      </c>
      <c r="B23" s="12">
        <v>27</v>
      </c>
      <c r="C23" t="s">
        <v>135</v>
      </c>
      <c r="D23" s="12">
        <v>659532</v>
      </c>
      <c r="E23" s="3">
        <v>4.1635216611240122E-3</v>
      </c>
      <c r="F23" s="3">
        <v>0.17074665006170245</v>
      </c>
      <c r="G23" s="11">
        <f>(F24-F22)/(2*E23)</f>
        <v>14.168891880909513</v>
      </c>
      <c r="H23" s="12">
        <v>1507</v>
      </c>
      <c r="I23" s="21">
        <v>0.6079202346994147</v>
      </c>
      <c r="J23" s="21">
        <v>0.79741857320856591</v>
      </c>
      <c r="K23" s="12">
        <v>333507</v>
      </c>
      <c r="L23" s="12">
        <v>209524</v>
      </c>
      <c r="M23" s="12">
        <f t="shared" si="10"/>
        <v>123983</v>
      </c>
      <c r="N23" s="12">
        <v>212560</v>
      </c>
      <c r="O23" s="12">
        <v>60310</v>
      </c>
      <c r="P23" s="18">
        <v>0.14847572450131727</v>
      </c>
      <c r="Q23" s="18">
        <v>0.76623071132856602</v>
      </c>
      <c r="R23" s="18">
        <v>0.18962013428276198</v>
      </c>
      <c r="S23" s="18">
        <v>0.71154549193575201</v>
      </c>
      <c r="T23" s="46">
        <v>844.27287705956905</v>
      </c>
      <c r="U23" s="46">
        <v>739.33916887368048</v>
      </c>
      <c r="V23" s="46">
        <v>1056.3919297599311</v>
      </c>
      <c r="W23" s="46">
        <v>847.25174757281547</v>
      </c>
      <c r="X23" s="46">
        <v>561.17635993703982</v>
      </c>
      <c r="Y23" s="46">
        <v>876.97635374698029</v>
      </c>
      <c r="Z23">
        <f t="shared" si="11"/>
        <v>-4.0000000000000036E-2</v>
      </c>
      <c r="AA23" s="43">
        <f t="shared" si="44"/>
        <v>1.8703895877727781</v>
      </c>
      <c r="AB23" s="43">
        <f t="shared" si="45"/>
        <v>12.297041894908459</v>
      </c>
      <c r="AC23" s="43">
        <f t="shared" si="46"/>
        <v>2.8198396737543177</v>
      </c>
      <c r="AD23" s="43">
        <f t="shared" si="12"/>
        <v>2.9000417206087103</v>
      </c>
      <c r="AE23" s="43">
        <f t="shared" si="13"/>
        <v>19.066580977802186</v>
      </c>
      <c r="AF23" s="43">
        <f t="shared" si="14"/>
        <v>4.3721654316162866</v>
      </c>
      <c r="AG23" s="43">
        <f t="shared" si="15"/>
        <v>7.4815583510911193E-2</v>
      </c>
      <c r="AH23" s="43">
        <f t="shared" si="16"/>
        <v>0.49188167579633879</v>
      </c>
      <c r="AI23" s="43">
        <f t="shared" si="17"/>
        <v>0.1127935869501728</v>
      </c>
      <c r="AJ23" s="43">
        <f t="shared" si="18"/>
        <v>0.11600166882434852</v>
      </c>
      <c r="AK23" s="43">
        <f t="shared" si="19"/>
        <v>0.76266323911208811</v>
      </c>
      <c r="AL23" s="43">
        <f t="shared" si="20"/>
        <v>0.17488661726465163</v>
      </c>
      <c r="AM23" s="14">
        <v>326025</v>
      </c>
      <c r="AN23" s="12">
        <v>201341</v>
      </c>
      <c r="AO23" s="12">
        <f t="shared" si="21"/>
        <v>124684</v>
      </c>
      <c r="AP23" s="12">
        <v>200810</v>
      </c>
      <c r="AQ23" s="12">
        <v>60360</v>
      </c>
      <c r="AR23" s="18">
        <v>0.14834918579752004</v>
      </c>
      <c r="AS23" s="18">
        <v>0.75618744086449874</v>
      </c>
      <c r="AT23" s="18">
        <v>0.20801903751825285</v>
      </c>
      <c r="AU23" s="18">
        <v>0.6926749937044695</v>
      </c>
      <c r="AV23" s="46">
        <v>870.53355152735821</v>
      </c>
      <c r="AW23" s="46">
        <v>728.65480383751481</v>
      </c>
      <c r="AX23" s="46">
        <v>1029.7590747448148</v>
      </c>
      <c r="AY23" s="46">
        <v>735.32314990512339</v>
      </c>
      <c r="AZ23" s="46">
        <v>583.73922631880293</v>
      </c>
      <c r="BA23" s="46">
        <v>894.19556815838325</v>
      </c>
      <c r="BB23">
        <f t="shared" si="4"/>
        <v>-4.0000000000000036E-2</v>
      </c>
      <c r="BC23" s="43">
        <f t="shared" si="47"/>
        <v>1.7879073345049366</v>
      </c>
      <c r="BD23" s="43">
        <f t="shared" si="48"/>
        <v>11.707112506643695</v>
      </c>
      <c r="BE23" s="43">
        <f t="shared" si="49"/>
        <v>2.6954845279617148</v>
      </c>
      <c r="BF23" s="43">
        <f t="shared" si="22"/>
        <v>2.7721528694034427</v>
      </c>
      <c r="BG23" s="43">
        <f t="shared" si="23"/>
        <v>18.151894620818023</v>
      </c>
      <c r="BH23" s="43">
        <f t="shared" si="24"/>
        <v>4.1793526008945516</v>
      </c>
      <c r="BI23" s="43">
        <f t="shared" si="25"/>
        <v>7.1516293380197521E-2</v>
      </c>
      <c r="BJ23" s="43">
        <f t="shared" si="26"/>
        <v>0.46828450026574819</v>
      </c>
      <c r="BK23" s="43">
        <f t="shared" si="27"/>
        <v>0.10781938111846869</v>
      </c>
      <c r="BL23" s="43">
        <f t="shared" si="28"/>
        <v>0.11088611477613781</v>
      </c>
      <c r="BM23" s="43">
        <f t="shared" si="29"/>
        <v>0.72607578483272162</v>
      </c>
      <c r="BN23" s="43">
        <f t="shared" si="30"/>
        <v>0.1671741040357822</v>
      </c>
      <c r="BQ23" s="43">
        <f t="shared" si="31"/>
        <v>24.839298255216622</v>
      </c>
      <c r="BT23" s="43">
        <f t="shared" si="50"/>
        <v>-23.879132079154534</v>
      </c>
      <c r="BU23" s="18"/>
      <c r="BX23" s="43">
        <f t="shared" si="32"/>
        <v>38.513367333566677</v>
      </c>
      <c r="CA23" s="43">
        <f t="shared" si="33"/>
        <v>-37.024628309621868</v>
      </c>
      <c r="CD23" s="12">
        <f t="shared" ref="CD23:CD37" si="51">($L23*P23+$AN23*AR23)*$J23*$G23</f>
        <v>688962.23521143547</v>
      </c>
      <c r="CE23" s="12">
        <f t="shared" ref="CE23:CE37" si="52">($L23*Q23+$AN23*AS23)*$J23*$G23</f>
        <v>3534128.9795633075</v>
      </c>
      <c r="CF23" s="12">
        <f t="shared" ref="CF23:CF37" si="53">($M23*R23+$AO23*AT23)*$J23*$G23</f>
        <v>558671.08935805061</v>
      </c>
      <c r="CG23" s="12">
        <f t="shared" ref="CG23:CG37" si="54">($M23*S23+$AO23*AU23)*$J23*$G23</f>
        <v>1972555.5578536831</v>
      </c>
      <c r="CH23" s="12">
        <f t="shared" ref="CH23:CH37" si="55">($L23*P23*T23+$AN23*AR23*AV23)*$J23*$V$3*$G23</f>
        <v>556283413.39893198</v>
      </c>
      <c r="CI23" s="12">
        <f t="shared" ref="CI23:CI37" si="56">($L23*Q23*V23+$AN23*AS23*AX23)*$J23*$V$3*$G23</f>
        <v>3473729534.795033</v>
      </c>
      <c r="CJ23" s="12">
        <f t="shared" ref="CJ23:CJ37" si="57">($M23*R23*W23+$AO23*AT23*AY23)*$J23*$V$3*$G23</f>
        <v>414983791.46837103</v>
      </c>
      <c r="CK23" s="12">
        <f t="shared" ref="CK23:CK37" si="58">($M23*S23*Y23+$AO23*AU23*BA23)*$J23*$V$3*$G23</f>
        <v>1645379299.2153015</v>
      </c>
      <c r="CM23" s="12">
        <f>D23*G23*J23</f>
        <v>7451747.065857769</v>
      </c>
    </row>
    <row r="24" spans="1:91" x14ac:dyDescent="0.2">
      <c r="A24">
        <v>17</v>
      </c>
      <c r="B24" s="12">
        <v>43</v>
      </c>
      <c r="C24" t="s">
        <v>136</v>
      </c>
      <c r="D24" s="12">
        <v>551870</v>
      </c>
      <c r="E24" s="3">
        <v>3.4838684083933888E-3</v>
      </c>
      <c r="F24" s="3">
        <v>0.22973913832199336</v>
      </c>
      <c r="G24" s="11">
        <f>(F25-F23)/(2*E24)</f>
        <v>16.933041477159499</v>
      </c>
      <c r="H24" s="12">
        <v>5995</v>
      </c>
      <c r="I24" s="21">
        <v>0.72099530225594965</v>
      </c>
      <c r="J24" s="21">
        <v>0.7238154937614254</v>
      </c>
      <c r="K24" s="12">
        <v>276707</v>
      </c>
      <c r="L24" s="12"/>
      <c r="M24" s="12">
        <f t="shared" si="10"/>
        <v>276707</v>
      </c>
      <c r="N24" s="12">
        <v>190</v>
      </c>
      <c r="O24" s="12">
        <v>32580</v>
      </c>
      <c r="P24" s="18">
        <v>0.73684210526315785</v>
      </c>
      <c r="Q24" s="18">
        <v>0.21052631578947367</v>
      </c>
      <c r="R24" s="18">
        <v>0.85605785180714622</v>
      </c>
      <c r="S24" s="18">
        <v>7.5820271984445645E-2</v>
      </c>
      <c r="T24" s="46">
        <v>725.97500000000002</v>
      </c>
      <c r="U24" s="46">
        <v>971.50765961395689</v>
      </c>
      <c r="V24" s="46">
        <v>1136.9424999999999</v>
      </c>
      <c r="W24" s="46">
        <v>1414.1952941176471</v>
      </c>
      <c r="X24" s="46">
        <v>1043.8254836290971</v>
      </c>
      <c r="Y24" s="46">
        <v>1217.3693638676848</v>
      </c>
      <c r="Z24">
        <f t="shared" si="11"/>
        <v>-4.0000000000000036E-2</v>
      </c>
      <c r="AA24" s="43">
        <f t="shared" si="44"/>
        <v>0.89405501211184613</v>
      </c>
      <c r="AB24" s="43">
        <f t="shared" si="45"/>
        <v>11.674432813079857</v>
      </c>
      <c r="AC24" s="43">
        <f t="shared" si="46"/>
        <v>5.3706933416901492</v>
      </c>
      <c r="AD24" s="43">
        <f t="shared" si="12"/>
        <v>2.3103892834176238</v>
      </c>
      <c r="AE24" s="43">
        <f t="shared" si="13"/>
        <v>30.168707848980233</v>
      </c>
      <c r="AF24" s="43">
        <f t="shared" si="14"/>
        <v>13.878779463305577</v>
      </c>
      <c r="AG24" s="43">
        <f t="shared" si="15"/>
        <v>3.5762200484473879E-2</v>
      </c>
      <c r="AH24" s="43">
        <f t="shared" si="16"/>
        <v>0.46697731252319469</v>
      </c>
      <c r="AI24" s="43">
        <f t="shared" si="17"/>
        <v>0.21482773366760616</v>
      </c>
      <c r="AJ24" s="43">
        <f t="shared" si="18"/>
        <v>9.2415571336705041E-2</v>
      </c>
      <c r="AK24" s="43">
        <f t="shared" si="19"/>
        <v>1.2067483139592103</v>
      </c>
      <c r="AL24" s="43">
        <f t="shared" si="20"/>
        <v>0.55515117853222351</v>
      </c>
      <c r="AM24" s="14">
        <v>275163</v>
      </c>
      <c r="AN24" s="12"/>
      <c r="AO24" s="12">
        <f t="shared" si="21"/>
        <v>275163</v>
      </c>
      <c r="AP24" s="12">
        <v>230</v>
      </c>
      <c r="AQ24" s="12">
        <v>29430</v>
      </c>
      <c r="AR24" s="18">
        <v>0.82608695652173914</v>
      </c>
      <c r="AS24" s="18">
        <v>8.6956521739130432E-2</v>
      </c>
      <c r="AT24" s="18">
        <v>0.83383770970038018</v>
      </c>
      <c r="AU24" s="18">
        <v>7.2575164538836986E-2</v>
      </c>
      <c r="AV24" s="46">
        <v>562.83000000000004</v>
      </c>
      <c r="AW24" s="46">
        <v>663.69611639890866</v>
      </c>
      <c r="AX24" s="46">
        <v>792.62</v>
      </c>
      <c r="AY24" s="46">
        <v>1450.9315844155842</v>
      </c>
      <c r="AZ24" s="46">
        <v>1039.2585395019789</v>
      </c>
      <c r="BA24" s="46">
        <v>1229.081594982079</v>
      </c>
      <c r="BB24">
        <f t="shared" si="4"/>
        <v>-4.0000000000000036E-2</v>
      </c>
      <c r="BC24" s="43">
        <f t="shared" si="47"/>
        <v>0.86569975491082729</v>
      </c>
      <c r="BD24" s="43">
        <f t="shared" si="48"/>
        <v>11.574612436082777</v>
      </c>
      <c r="BE24" s="43">
        <f t="shared" si="49"/>
        <v>5.2001308385575618</v>
      </c>
      <c r="BF24" s="43">
        <f t="shared" si="22"/>
        <v>2.2371145056038522</v>
      </c>
      <c r="BG24" s="43">
        <f t="shared" si="23"/>
        <v>29.910755121064746</v>
      </c>
      <c r="BH24" s="43">
        <f t="shared" si="24"/>
        <v>13.438017123122959</v>
      </c>
      <c r="BI24" s="43">
        <f t="shared" si="25"/>
        <v>3.4627990196433124E-2</v>
      </c>
      <c r="BJ24" s="43">
        <f t="shared" si="26"/>
        <v>0.46298449744331149</v>
      </c>
      <c r="BK24" s="43">
        <f t="shared" si="27"/>
        <v>0.20800523354230266</v>
      </c>
      <c r="BL24" s="43">
        <f t="shared" si="28"/>
        <v>8.9484580224154162E-2</v>
      </c>
      <c r="BM24" s="43">
        <f t="shared" si="29"/>
        <v>1.196430204842591</v>
      </c>
      <c r="BN24" s="43">
        <f t="shared" si="30"/>
        <v>0.53752068492491889</v>
      </c>
      <c r="BQ24" s="43">
        <f t="shared" si="31"/>
        <v>24.057917618445074</v>
      </c>
      <c r="BT24" s="43">
        <f t="shared" si="50"/>
        <v>-23.127955808478568</v>
      </c>
      <c r="BU24" s="18"/>
      <c r="BX24" s="43">
        <f t="shared" si="32"/>
        <v>62.169725905016342</v>
      </c>
      <c r="CA24" s="43">
        <f t="shared" si="33"/>
        <v>-59.76654738621454</v>
      </c>
      <c r="CD24" s="12">
        <f t="shared" si="51"/>
        <v>0</v>
      </c>
      <c r="CE24" s="12">
        <f t="shared" si="52"/>
        <v>0</v>
      </c>
      <c r="CF24" s="12">
        <f t="shared" si="53"/>
        <v>5715384.8519963631</v>
      </c>
      <c r="CG24" s="12">
        <f t="shared" si="54"/>
        <v>501899.48899570521</v>
      </c>
      <c r="CH24" s="12">
        <f t="shared" si="55"/>
        <v>0</v>
      </c>
      <c r="CI24" s="12">
        <f t="shared" si="56"/>
        <v>0</v>
      </c>
      <c r="CJ24" s="12">
        <f t="shared" si="57"/>
        <v>7711190666.5742769</v>
      </c>
      <c r="CK24" s="12">
        <f t="shared" si="58"/>
        <v>578259652.89503407</v>
      </c>
      <c r="CM24" s="12">
        <f t="shared" ref="CM24:CM37" si="59">D24*G24*J24</f>
        <v>6763938.2415643428</v>
      </c>
    </row>
    <row r="25" spans="1:91" x14ac:dyDescent="0.2">
      <c r="A25">
        <v>18</v>
      </c>
      <c r="B25" s="12">
        <v>61</v>
      </c>
      <c r="C25" t="s">
        <v>137</v>
      </c>
      <c r="D25" s="12">
        <v>474242</v>
      </c>
      <c r="E25" s="3">
        <v>2.9938150682829244E-3</v>
      </c>
      <c r="F25" s="3">
        <v>0.28873162658228424</v>
      </c>
      <c r="G25" s="11">
        <f t="shared" ref="G25:G36" si="60">(F26-F24)/(2*E25)</f>
        <v>19.704787007477222</v>
      </c>
      <c r="H25" s="12">
        <v>5456</v>
      </c>
      <c r="I25" s="21">
        <v>0.93</v>
      </c>
      <c r="J25" s="21">
        <v>0.86670000000000003</v>
      </c>
      <c r="K25" s="12">
        <v>237410</v>
      </c>
      <c r="L25" s="12">
        <v>127330</v>
      </c>
      <c r="M25" s="12">
        <f t="shared" si="10"/>
        <v>110080</v>
      </c>
      <c r="N25" s="12">
        <v>131910</v>
      </c>
      <c r="O25" s="12">
        <v>8890</v>
      </c>
      <c r="P25" s="18">
        <v>0.40868774164202865</v>
      </c>
      <c r="Q25" s="18">
        <v>0.10294898036540065</v>
      </c>
      <c r="R25" s="18">
        <v>0.44688448058976543</v>
      </c>
      <c r="S25" s="18">
        <v>2.5791538319040515E-2</v>
      </c>
      <c r="T25" s="46">
        <v>211.78321647189759</v>
      </c>
      <c r="U25" s="46">
        <v>218.48728890206041</v>
      </c>
      <c r="V25" s="46">
        <v>439.93824742268038</v>
      </c>
      <c r="W25" s="46">
        <v>214.94688888888888</v>
      </c>
      <c r="X25" s="46">
        <v>176.16504387716429</v>
      </c>
      <c r="Y25" s="46">
        <v>549.40345622119821</v>
      </c>
      <c r="Z25">
        <f t="shared" si="11"/>
        <v>-4.0000000000000036E-2</v>
      </c>
      <c r="AA25" s="43">
        <f t="shared" si="44"/>
        <v>0.16358574124962486</v>
      </c>
      <c r="AB25" s="43">
        <f t="shared" si="45"/>
        <v>0.32739926025041133</v>
      </c>
      <c r="AC25" s="43">
        <f t="shared" si="46"/>
        <v>0.90311656375757421</v>
      </c>
      <c r="AD25" s="43">
        <f t="shared" si="12"/>
        <v>2.1733534194593034</v>
      </c>
      <c r="AE25" s="43">
        <f t="shared" si="13"/>
        <v>4.3497330290411824</v>
      </c>
      <c r="AF25" s="43">
        <f t="shared" si="14"/>
        <v>11.99854863277921</v>
      </c>
      <c r="AG25" s="43">
        <f t="shared" si="15"/>
        <v>6.5434296499849998E-3</v>
      </c>
      <c r="AH25" s="43">
        <f t="shared" si="16"/>
        <v>1.3095970410016465E-2</v>
      </c>
      <c r="AI25" s="43">
        <f t="shared" si="17"/>
        <v>3.6124662550302999E-2</v>
      </c>
      <c r="AJ25" s="43">
        <f t="shared" si="18"/>
        <v>8.6934136778372209E-2</v>
      </c>
      <c r="AK25" s="43">
        <f t="shared" si="19"/>
        <v>0.17398932116164745</v>
      </c>
      <c r="AL25" s="43">
        <f t="shared" si="20"/>
        <v>0.47994194531116885</v>
      </c>
      <c r="AM25" s="14">
        <v>236832</v>
      </c>
      <c r="AN25" s="12">
        <v>126952</v>
      </c>
      <c r="AO25" s="12">
        <f t="shared" si="21"/>
        <v>109880</v>
      </c>
      <c r="AP25" s="12">
        <v>129170</v>
      </c>
      <c r="AQ25" s="12">
        <v>8010</v>
      </c>
      <c r="AR25" s="18">
        <v>0.38848029728265077</v>
      </c>
      <c r="AS25" s="18">
        <v>0.13671905241155066</v>
      </c>
      <c r="AT25" s="18">
        <v>0.43839330815872329</v>
      </c>
      <c r="AU25" s="18">
        <v>3.1906913546030216E-2</v>
      </c>
      <c r="AV25" s="46">
        <v>209.56500996412913</v>
      </c>
      <c r="AW25" s="46">
        <v>200.72470743026111</v>
      </c>
      <c r="AX25" s="46">
        <v>464.69511891279734</v>
      </c>
      <c r="AY25" s="46">
        <v>193.66579310344829</v>
      </c>
      <c r="AZ25" s="46">
        <v>225.47691201222491</v>
      </c>
      <c r="BA25" s="46">
        <v>570.79481375358159</v>
      </c>
      <c r="BB25">
        <f t="shared" si="4"/>
        <v>-4.0000000000000036E-2</v>
      </c>
      <c r="BC25" s="43">
        <f t="shared" si="47"/>
        <v>0.17567135083707311</v>
      </c>
      <c r="BD25" s="43">
        <f t="shared" si="48"/>
        <v>0.33656539522537537</v>
      </c>
      <c r="BE25" s="43">
        <f t="shared" si="49"/>
        <v>0.97034630162640723</v>
      </c>
      <c r="BF25" s="43">
        <f t="shared" si="22"/>
        <v>2.3339193754068299</v>
      </c>
      <c r="BG25" s="43">
        <f t="shared" si="23"/>
        <v>4.4715116794228473</v>
      </c>
      <c r="BH25" s="43">
        <f t="shared" si="24"/>
        <v>12.891743721607991</v>
      </c>
      <c r="BI25" s="43">
        <f t="shared" si="25"/>
        <v>7.0268540334829308E-3</v>
      </c>
      <c r="BJ25" s="43">
        <f t="shared" si="26"/>
        <v>1.3462615809015028E-2</v>
      </c>
      <c r="BK25" s="43">
        <f t="shared" si="27"/>
        <v>3.8813852065056324E-2</v>
      </c>
      <c r="BL25" s="43">
        <f t="shared" si="28"/>
        <v>9.3356775016273277E-2</v>
      </c>
      <c r="BM25" s="43">
        <f t="shared" si="29"/>
        <v>0.17886046717691406</v>
      </c>
      <c r="BN25" s="43">
        <f t="shared" si="30"/>
        <v>0.51566974886432015</v>
      </c>
      <c r="BQ25" s="43">
        <f t="shared" si="31"/>
        <v>0.68706507350322576</v>
      </c>
      <c r="BT25" s="43">
        <f t="shared" si="50"/>
        <v>-0.66050648728419425</v>
      </c>
      <c r="BU25" s="18"/>
      <c r="BX25" s="43">
        <f t="shared" si="32"/>
        <v>9.1281502622571491</v>
      </c>
      <c r="CA25" s="43">
        <f t="shared" si="33"/>
        <v>-8.7753004739185876</v>
      </c>
      <c r="CD25" s="12">
        <f t="shared" si="51"/>
        <v>1730981.4244557486</v>
      </c>
      <c r="CE25" s="12">
        <f t="shared" si="52"/>
        <v>520289.78496629564</v>
      </c>
      <c r="CF25" s="12">
        <f t="shared" si="53"/>
        <v>1662790.7978875479</v>
      </c>
      <c r="CG25" s="12">
        <f t="shared" si="54"/>
        <v>108361.88770913935</v>
      </c>
      <c r="CH25" s="12">
        <f t="shared" si="55"/>
        <v>343570473.90617728</v>
      </c>
      <c r="CI25" s="12">
        <f t="shared" si="56"/>
        <v>222532273.00344437</v>
      </c>
      <c r="CJ25" s="12">
        <f t="shared" si="57"/>
        <v>320190032.10634977</v>
      </c>
      <c r="CK25" s="12">
        <f t="shared" si="58"/>
        <v>57287917.104306646</v>
      </c>
      <c r="CM25" s="12">
        <f t="shared" si="59"/>
        <v>8099170.7479200112</v>
      </c>
    </row>
    <row r="26" spans="1:91" x14ac:dyDescent="0.2">
      <c r="A26">
        <v>19</v>
      </c>
      <c r="B26" s="12">
        <v>83</v>
      </c>
      <c r="C26" t="s">
        <v>138</v>
      </c>
      <c r="D26" s="12">
        <v>395503</v>
      </c>
      <c r="E26" s="3">
        <v>2.4967481601188874E-3</v>
      </c>
      <c r="F26" s="3">
        <v>0.34772411484257515</v>
      </c>
      <c r="G26" s="11">
        <f t="shared" si="60"/>
        <v>23.627728740363573</v>
      </c>
      <c r="H26" s="12">
        <v>5451</v>
      </c>
      <c r="I26" s="21">
        <v>0.43867613516056153</v>
      </c>
      <c r="J26" s="21">
        <v>0.81214934265316152</v>
      </c>
      <c r="K26" s="12">
        <v>202201</v>
      </c>
      <c r="L26" s="12">
        <v>69647</v>
      </c>
      <c r="M26" s="12">
        <f t="shared" si="10"/>
        <v>132554</v>
      </c>
      <c r="N26" s="12">
        <v>75270</v>
      </c>
      <c r="O26" s="12">
        <v>29620</v>
      </c>
      <c r="P26" s="18">
        <v>0.18905274345688852</v>
      </c>
      <c r="Q26" s="18">
        <v>0.56131260794473226</v>
      </c>
      <c r="R26" s="18">
        <v>0.22021420973519859</v>
      </c>
      <c r="S26" s="18">
        <v>0.50702132210401729</v>
      </c>
      <c r="T26" s="46">
        <v>735.36373858046386</v>
      </c>
      <c r="U26" s="46">
        <v>515.82435427523262</v>
      </c>
      <c r="V26" s="46">
        <v>656.30299644970387</v>
      </c>
      <c r="W26" s="46">
        <v>620.45617577197152</v>
      </c>
      <c r="X26" s="46">
        <v>520.94067240228719</v>
      </c>
      <c r="Y26" s="46">
        <v>660.9840480678605</v>
      </c>
      <c r="Z26">
        <f t="shared" si="11"/>
        <v>-4.0000000000000036E-2</v>
      </c>
      <c r="AA26" s="43">
        <f t="shared" si="44"/>
        <v>1.9124843188898748</v>
      </c>
      <c r="AB26" s="43">
        <f t="shared" si="45"/>
        <v>9.9829531780067366</v>
      </c>
      <c r="AC26" s="43">
        <f t="shared" si="46"/>
        <v>10.472256048946242</v>
      </c>
      <c r="AD26" s="43">
        <f t="shared" si="12"/>
        <v>1.4946117243844002</v>
      </c>
      <c r="AE26" s="43">
        <f t="shared" si="13"/>
        <v>7.8017052043021433</v>
      </c>
      <c r="AF26" s="43">
        <f t="shared" si="14"/>
        <v>8.1840967358079464</v>
      </c>
      <c r="AG26" s="43">
        <f t="shared" si="15"/>
        <v>7.6499372755595055E-2</v>
      </c>
      <c r="AH26" s="43">
        <f t="shared" si="16"/>
        <v>0.39931812712026982</v>
      </c>
      <c r="AI26" s="43">
        <f t="shared" si="17"/>
        <v>0.41889024195785007</v>
      </c>
      <c r="AJ26" s="43">
        <f t="shared" si="18"/>
        <v>5.9784468975376058E-2</v>
      </c>
      <c r="AK26" s="43">
        <f t="shared" si="19"/>
        <v>0.31206820817208603</v>
      </c>
      <c r="AL26" s="43">
        <f t="shared" si="20"/>
        <v>0.32736386943231816</v>
      </c>
      <c r="AM26" s="14">
        <v>193302</v>
      </c>
      <c r="AN26" s="12">
        <v>65979</v>
      </c>
      <c r="AO26" s="12">
        <f t="shared" si="21"/>
        <v>127323</v>
      </c>
      <c r="AP26" s="12">
        <v>72290</v>
      </c>
      <c r="AQ26" s="12">
        <v>27060</v>
      </c>
      <c r="AR26" s="18">
        <v>0.22451238068889195</v>
      </c>
      <c r="AS26" s="18">
        <v>0.50961405450269748</v>
      </c>
      <c r="AT26" s="18">
        <v>0.31066750129974896</v>
      </c>
      <c r="AU26" s="18">
        <v>0.35761272570861929</v>
      </c>
      <c r="AV26" s="46">
        <v>734.13683302526192</v>
      </c>
      <c r="AW26" s="46">
        <v>548.80400109119307</v>
      </c>
      <c r="AX26" s="46">
        <v>694.81963083604751</v>
      </c>
      <c r="AY26" s="46">
        <v>630.95698952879582</v>
      </c>
      <c r="AZ26" s="46">
        <v>503.57123872567519</v>
      </c>
      <c r="BA26" s="46">
        <v>656.29011419249593</v>
      </c>
      <c r="BB26">
        <f t="shared" si="4"/>
        <v>-4.0000000000000036E-2</v>
      </c>
      <c r="BC26" s="43">
        <f t="shared" si="47"/>
        <v>1.6849978489205062</v>
      </c>
      <c r="BD26" s="43">
        <f t="shared" si="48"/>
        <v>9.0856782818219166</v>
      </c>
      <c r="BE26" s="43">
        <f t="shared" si="49"/>
        <v>9.2254087686131392</v>
      </c>
      <c r="BF26" s="43">
        <f t="shared" si="22"/>
        <v>1.3168304261030122</v>
      </c>
      <c r="BG26" s="43">
        <f t="shared" si="23"/>
        <v>7.1004824195777845</v>
      </c>
      <c r="BH26" s="43">
        <f t="shared" si="24"/>
        <v>7.2096821770604107</v>
      </c>
      <c r="BI26" s="43">
        <f t="shared" si="25"/>
        <v>6.7399913956820309E-2</v>
      </c>
      <c r="BJ26" s="43">
        <f t="shared" si="26"/>
        <v>0.36342713127287701</v>
      </c>
      <c r="BK26" s="43">
        <f t="shared" si="27"/>
        <v>0.36901635074452588</v>
      </c>
      <c r="BL26" s="43">
        <f t="shared" si="28"/>
        <v>5.2673217044120535E-2</v>
      </c>
      <c r="BM26" s="43">
        <f t="shared" si="29"/>
        <v>0.28401929678311161</v>
      </c>
      <c r="BN26" s="43">
        <f t="shared" si="30"/>
        <v>0.28838728708241668</v>
      </c>
      <c r="BQ26" s="43">
        <f t="shared" si="31"/>
        <v>19.732060385299935</v>
      </c>
      <c r="BT26" s="43">
        <f t="shared" si="50"/>
        <v>-18.969315126906789</v>
      </c>
      <c r="BU26" s="18"/>
      <c r="BX26" s="43">
        <f t="shared" si="32"/>
        <v>15.420659143102993</v>
      </c>
      <c r="CA26" s="43">
        <f t="shared" si="33"/>
        <v>-14.824571638147795</v>
      </c>
      <c r="CD26" s="12">
        <f t="shared" si="51"/>
        <v>536916.18544592196</v>
      </c>
      <c r="CE26" s="12">
        <f t="shared" si="52"/>
        <v>1395395.1226297223</v>
      </c>
      <c r="CF26" s="12">
        <f t="shared" si="53"/>
        <v>1319172.1380446614</v>
      </c>
      <c r="CG26" s="12">
        <f t="shared" si="54"/>
        <v>2163395.9739665906</v>
      </c>
      <c r="CH26" s="12">
        <f t="shared" si="55"/>
        <v>371600106.0989477</v>
      </c>
      <c r="CI26" s="12">
        <f t="shared" si="56"/>
        <v>886095636.17356372</v>
      </c>
      <c r="CJ26" s="12">
        <f t="shared" si="57"/>
        <v>778524342.52681708</v>
      </c>
      <c r="CK26" s="12">
        <f t="shared" si="58"/>
        <v>1343168591.70613</v>
      </c>
      <c r="CM26" s="12">
        <f t="shared" si="59"/>
        <v>7589403.7140405597</v>
      </c>
    </row>
    <row r="27" spans="1:91" x14ac:dyDescent="0.2">
      <c r="A27">
        <v>20</v>
      </c>
      <c r="B27" s="12">
        <v>109</v>
      </c>
      <c r="C27" t="s">
        <v>139</v>
      </c>
      <c r="D27" s="12">
        <v>327196</v>
      </c>
      <c r="E27" s="3">
        <v>2.0655368252535619E-3</v>
      </c>
      <c r="F27" s="3">
        <v>0.40671660310286606</v>
      </c>
      <c r="G27" s="11">
        <f t="shared" si="60"/>
        <v>28.560366263646298</v>
      </c>
      <c r="H27" s="12">
        <v>7487</v>
      </c>
      <c r="I27" s="21">
        <v>0.03</v>
      </c>
      <c r="J27" s="21">
        <v>1</v>
      </c>
      <c r="K27" s="12">
        <v>166875</v>
      </c>
      <c r="L27" s="12">
        <v>139832</v>
      </c>
      <c r="M27" s="12">
        <f t="shared" si="10"/>
        <v>27043</v>
      </c>
      <c r="N27" s="12">
        <v>140580</v>
      </c>
      <c r="O27" s="12">
        <v>3020</v>
      </c>
      <c r="P27" s="18">
        <v>0.76134585289514867</v>
      </c>
      <c r="Q27" s="18">
        <v>7.7322520984492812E-2</v>
      </c>
      <c r="R27" s="18">
        <v>0.80961371880847</v>
      </c>
      <c r="S27" s="18">
        <v>2.9357876812395552E-2</v>
      </c>
      <c r="T27" s="46">
        <v>249.53404092310566</v>
      </c>
      <c r="U27" s="46">
        <v>232.46655349018286</v>
      </c>
      <c r="V27" s="46">
        <v>377.64068077276909</v>
      </c>
      <c r="W27" s="46">
        <v>238.02674208144796</v>
      </c>
      <c r="X27" s="46">
        <v>167.28086843090202</v>
      </c>
      <c r="Y27" s="46">
        <v>390.8972</v>
      </c>
      <c r="Z27">
        <f t="shared" si="11"/>
        <v>-4.0000000000000036E-2</v>
      </c>
      <c r="AA27" s="43">
        <f t="shared" si="44"/>
        <v>4.1031605999874907</v>
      </c>
      <c r="AB27" s="43">
        <f t="shared" si="45"/>
        <v>9.488726164692558</v>
      </c>
      <c r="AC27" s="43">
        <f t="shared" si="46"/>
        <v>31.181536011776032</v>
      </c>
      <c r="AD27" s="43">
        <f t="shared" si="12"/>
        <v>0.12690187422641724</v>
      </c>
      <c r="AE27" s="43">
        <f t="shared" si="13"/>
        <v>0.29346575767090383</v>
      </c>
      <c r="AF27" s="43">
        <f t="shared" si="14"/>
        <v>0.96437740242606285</v>
      </c>
      <c r="AG27" s="43">
        <f t="shared" si="15"/>
        <v>0.16412642399949978</v>
      </c>
      <c r="AH27" s="43">
        <f t="shared" si="16"/>
        <v>0.37954904658770267</v>
      </c>
      <c r="AI27" s="43">
        <f t="shared" si="17"/>
        <v>1.2472614404710425</v>
      </c>
      <c r="AJ27" s="43">
        <f t="shared" si="18"/>
        <v>5.0760749690566941E-3</v>
      </c>
      <c r="AK27" s="43">
        <f t="shared" si="19"/>
        <v>1.1738630306836164E-2</v>
      </c>
      <c r="AL27" s="43">
        <f t="shared" si="20"/>
        <v>3.8575096097042551E-2</v>
      </c>
      <c r="AM27" s="14">
        <v>160321</v>
      </c>
      <c r="AN27" s="12">
        <v>134833</v>
      </c>
      <c r="AO27" s="12">
        <f t="shared" si="21"/>
        <v>25488</v>
      </c>
      <c r="AP27" s="12">
        <v>137860</v>
      </c>
      <c r="AQ27" s="12">
        <v>3730</v>
      </c>
      <c r="AR27" s="18">
        <v>0.7995067459741767</v>
      </c>
      <c r="AS27" s="18">
        <v>7.0651385463513711E-2</v>
      </c>
      <c r="AT27" s="18">
        <v>0.85339067156674531</v>
      </c>
      <c r="AU27" s="18">
        <v>1.6301171996416362E-2</v>
      </c>
      <c r="AV27" s="46">
        <v>250.22160043549266</v>
      </c>
      <c r="AW27" s="46">
        <v>210.84177874422548</v>
      </c>
      <c r="AX27" s="46">
        <v>401.78098562628333</v>
      </c>
      <c r="AY27" s="46">
        <v>226.63790163934425</v>
      </c>
      <c r="AZ27" s="46">
        <v>166.8744426229508</v>
      </c>
      <c r="BA27" s="46">
        <v>279.70127272727268</v>
      </c>
      <c r="BB27">
        <f t="shared" si="4"/>
        <v>-4.0000000000000036E-2</v>
      </c>
      <c r="BC27" s="43">
        <f t="shared" si="47"/>
        <v>4.1206884378135307</v>
      </c>
      <c r="BD27" s="43">
        <f t="shared" si="48"/>
        <v>9.4039186616487971</v>
      </c>
      <c r="BE27" s="43">
        <f t="shared" si="49"/>
        <v>31.321958829043638</v>
      </c>
      <c r="BF27" s="43">
        <f t="shared" si="22"/>
        <v>0.12744397230351126</v>
      </c>
      <c r="BG27" s="43">
        <f t="shared" si="23"/>
        <v>0.29084284520563292</v>
      </c>
      <c r="BH27" s="43">
        <f t="shared" si="24"/>
        <v>0.96872037615598872</v>
      </c>
      <c r="BI27" s="43">
        <f t="shared" si="25"/>
        <v>0.16482753751254137</v>
      </c>
      <c r="BJ27" s="43">
        <f t="shared" si="26"/>
        <v>0.37615674646595221</v>
      </c>
      <c r="BK27" s="43">
        <f t="shared" si="27"/>
        <v>1.2528783531617467</v>
      </c>
      <c r="BL27" s="43">
        <f t="shared" si="28"/>
        <v>5.0977588921404552E-3</v>
      </c>
      <c r="BM27" s="43">
        <f t="shared" si="29"/>
        <v>1.1633713808225327E-2</v>
      </c>
      <c r="BN27" s="43">
        <f t="shared" si="30"/>
        <v>3.8748815046239581E-2</v>
      </c>
      <c r="BQ27" s="43">
        <f t="shared" si="31"/>
        <v>19.549950888543837</v>
      </c>
      <c r="BT27" s="43">
        <f t="shared" si="50"/>
        <v>-18.794245095490183</v>
      </c>
      <c r="BU27" s="18"/>
      <c r="BX27" s="43">
        <f t="shared" si="32"/>
        <v>0.60463765634671662</v>
      </c>
      <c r="CA27" s="43">
        <f t="shared" si="33"/>
        <v>-0.58126531223165512</v>
      </c>
      <c r="CD27" s="12">
        <f t="shared" si="51"/>
        <v>6119355.6820667787</v>
      </c>
      <c r="CE27" s="12">
        <f t="shared" si="52"/>
        <v>580869.32604032592</v>
      </c>
      <c r="CF27" s="12">
        <f t="shared" si="53"/>
        <v>1246534.4712995696</v>
      </c>
      <c r="CG27" s="12">
        <f t="shared" si="54"/>
        <v>34541.173555486435</v>
      </c>
      <c r="CH27" s="12">
        <f t="shared" si="55"/>
        <v>1440416356.5412798</v>
      </c>
      <c r="CI27" s="12">
        <f t="shared" si="56"/>
        <v>212823931.46741059</v>
      </c>
      <c r="CJ27" s="12">
        <f t="shared" si="57"/>
        <v>272834786.35982978</v>
      </c>
      <c r="CK27" s="12">
        <f t="shared" si="58"/>
        <v>11475966.403663605</v>
      </c>
      <c r="CM27" s="12">
        <f t="shared" si="59"/>
        <v>9344837.6000000145</v>
      </c>
    </row>
    <row r="28" spans="1:91" x14ac:dyDescent="0.2">
      <c r="A28">
        <v>21</v>
      </c>
      <c r="B28" s="12">
        <v>140</v>
      </c>
      <c r="C28" t="s">
        <v>140</v>
      </c>
      <c r="D28" s="12">
        <v>284627</v>
      </c>
      <c r="E28" s="3">
        <v>1.7968054314889106E-3</v>
      </c>
      <c r="F28" s="3">
        <v>0.46570909136315697</v>
      </c>
      <c r="G28" s="11">
        <f t="shared" si="60"/>
        <v>32.831873293819676</v>
      </c>
      <c r="H28" s="12">
        <v>6799</v>
      </c>
      <c r="I28" s="21">
        <v>0.03</v>
      </c>
      <c r="J28" s="21">
        <v>1</v>
      </c>
      <c r="K28" s="12">
        <v>140907</v>
      </c>
      <c r="L28" s="12">
        <v>140907</v>
      </c>
      <c r="M28" s="12"/>
      <c r="N28" s="12">
        <v>148650</v>
      </c>
      <c r="O28" s="12"/>
      <c r="P28" s="18">
        <v>0.47130844265052135</v>
      </c>
      <c r="Q28" s="18">
        <v>0.39367642112344431</v>
      </c>
      <c r="R28" s="18"/>
      <c r="S28" s="18"/>
      <c r="T28" s="46">
        <v>255.62073080216956</v>
      </c>
      <c r="U28" s="46">
        <v>201.47681571723189</v>
      </c>
      <c r="V28" s="46">
        <v>244.54178571428571</v>
      </c>
      <c r="W28" s="47">
        <f>T28</f>
        <v>255.62073080216956</v>
      </c>
      <c r="X28" s="47">
        <f>U28</f>
        <v>201.47681571723189</v>
      </c>
      <c r="Y28" s="47">
        <f>V28</f>
        <v>244.54178571428571</v>
      </c>
      <c r="Z28">
        <f t="shared" si="11"/>
        <v>-4.0000000000000036E-2</v>
      </c>
      <c r="AA28" s="43">
        <f t="shared" si="44"/>
        <v>4.2696612231922746</v>
      </c>
      <c r="AB28" s="43">
        <f t="shared" si="45"/>
        <v>9.2102394907746064</v>
      </c>
      <c r="AC28" s="43">
        <f t="shared" si="46"/>
        <v>29.451845355366771</v>
      </c>
      <c r="AD28" s="43">
        <f t="shared" si="12"/>
        <v>0.13205137803687447</v>
      </c>
      <c r="AE28" s="43">
        <f t="shared" si="13"/>
        <v>0.28485276775591567</v>
      </c>
      <c r="AF28" s="43">
        <f t="shared" si="14"/>
        <v>0.91088181511443622</v>
      </c>
      <c r="AG28" s="43">
        <f t="shared" si="15"/>
        <v>0.17078644892769113</v>
      </c>
      <c r="AH28" s="43">
        <f t="shared" si="16"/>
        <v>0.36840957963098458</v>
      </c>
      <c r="AI28" s="43">
        <f t="shared" si="17"/>
        <v>1.1780738142146718</v>
      </c>
      <c r="AJ28" s="43">
        <f t="shared" si="18"/>
        <v>5.2820551214749836E-3</v>
      </c>
      <c r="AK28" s="43">
        <f t="shared" si="19"/>
        <v>1.1394110710236638E-2</v>
      </c>
      <c r="AL28" s="43">
        <f t="shared" si="20"/>
        <v>3.6435272604577483E-2</v>
      </c>
      <c r="AM28" s="14">
        <v>143720</v>
      </c>
      <c r="AN28" s="12">
        <v>143720</v>
      </c>
      <c r="AO28" s="12"/>
      <c r="AP28" s="12">
        <v>153100</v>
      </c>
      <c r="AQ28" s="12" t="s">
        <v>202</v>
      </c>
      <c r="AR28" s="18">
        <v>0.46864794252122793</v>
      </c>
      <c r="AS28" s="18">
        <v>0.40444154147615935</v>
      </c>
      <c r="AT28" s="18"/>
      <c r="AU28" s="18"/>
      <c r="AV28" s="46">
        <v>259.11751637630664</v>
      </c>
      <c r="AW28" s="46">
        <v>207.24269509841321</v>
      </c>
      <c r="AX28" s="46">
        <v>258.96360788113697</v>
      </c>
      <c r="AY28" s="47">
        <f>AV28</f>
        <v>259.11751637630664</v>
      </c>
      <c r="AZ28" s="47">
        <f>AW28</f>
        <v>207.24269509841321</v>
      </c>
      <c r="BA28" s="47">
        <f>AX28</f>
        <v>258.96360788113697</v>
      </c>
      <c r="BB28">
        <f t="shared" si="4"/>
        <v>-4.0000000000000036E-2</v>
      </c>
      <c r="BC28" s="43">
        <f t="shared" si="47"/>
        <v>4.468914272828755</v>
      </c>
      <c r="BD28" s="43">
        <f t="shared" si="48"/>
        <v>9.8025575688458257</v>
      </c>
      <c r="BE28" s="43">
        <f t="shared" si="49"/>
        <v>30.818026960202463</v>
      </c>
      <c r="BF28" s="43">
        <f t="shared" si="22"/>
        <v>0.13821384348954913</v>
      </c>
      <c r="BG28" s="43">
        <f t="shared" si="23"/>
        <v>0.30317188357255132</v>
      </c>
      <c r="BH28" s="43">
        <f t="shared" si="24"/>
        <v>0.95313485443925139</v>
      </c>
      <c r="BI28" s="43">
        <f t="shared" si="25"/>
        <v>0.17875657091315036</v>
      </c>
      <c r="BJ28" s="43">
        <f t="shared" si="26"/>
        <v>0.3921023027538334</v>
      </c>
      <c r="BK28" s="43">
        <f t="shared" si="27"/>
        <v>1.2327210784080995</v>
      </c>
      <c r="BL28" s="43">
        <f t="shared" si="28"/>
        <v>5.5285537395819697E-3</v>
      </c>
      <c r="BM28" s="43">
        <f t="shared" si="29"/>
        <v>1.2126875342902063E-2</v>
      </c>
      <c r="BN28" s="43">
        <f t="shared" si="30"/>
        <v>3.8125394177570091E-2</v>
      </c>
      <c r="BQ28" s="43">
        <f t="shared" si="31"/>
        <v>19.674283414844222</v>
      </c>
      <c r="BT28" s="43">
        <f t="shared" si="50"/>
        <v>-18.913771532459403</v>
      </c>
      <c r="BU28" s="18"/>
      <c r="BX28" s="43">
        <f t="shared" si="32"/>
        <v>0.60848299221167701</v>
      </c>
      <c r="CA28" s="43">
        <f t="shared" si="33"/>
        <v>-0.58496200615853833</v>
      </c>
      <c r="CD28" s="12">
        <f t="shared" si="51"/>
        <v>4391747.0286023077</v>
      </c>
      <c r="CE28" s="12">
        <f t="shared" si="52"/>
        <v>3729638.4851164063</v>
      </c>
      <c r="CF28" s="12">
        <f t="shared" si="53"/>
        <v>0</v>
      </c>
      <c r="CG28" s="12">
        <f t="shared" si="54"/>
        <v>0</v>
      </c>
      <c r="CH28" s="12">
        <f t="shared" si="55"/>
        <v>1064793693.260555</v>
      </c>
      <c r="CI28" s="12">
        <f t="shared" si="56"/>
        <v>885079660.60123885</v>
      </c>
      <c r="CJ28" s="12">
        <f t="shared" si="57"/>
        <v>0</v>
      </c>
      <c r="CK28" s="12">
        <f t="shared" si="58"/>
        <v>0</v>
      </c>
      <c r="CM28" s="12">
        <f t="shared" si="59"/>
        <v>9344837.6000000127</v>
      </c>
    </row>
    <row r="29" spans="1:91" x14ac:dyDescent="0.2">
      <c r="A29">
        <v>22</v>
      </c>
      <c r="B29" s="12">
        <v>175</v>
      </c>
      <c r="C29" t="s">
        <v>141</v>
      </c>
      <c r="D29" s="12">
        <v>249881</v>
      </c>
      <c r="E29" s="3">
        <v>1.5774594048557603E-3</v>
      </c>
      <c r="F29" s="3">
        <v>0.52470157962344788</v>
      </c>
      <c r="G29" s="11">
        <f t="shared" si="60"/>
        <v>37.397151444087442</v>
      </c>
      <c r="H29" s="12">
        <v>4424</v>
      </c>
      <c r="I29" s="21">
        <v>0.6079202346994147</v>
      </c>
      <c r="J29" s="21">
        <v>0.79741857320856591</v>
      </c>
      <c r="K29" s="12">
        <v>124119</v>
      </c>
      <c r="L29" s="12">
        <v>77165</v>
      </c>
      <c r="M29" s="12">
        <f t="shared" si="10"/>
        <v>46954</v>
      </c>
      <c r="N29" s="12">
        <v>76950</v>
      </c>
      <c r="O29" s="12">
        <v>23100</v>
      </c>
      <c r="P29" s="18">
        <v>0.14710851202079273</v>
      </c>
      <c r="Q29" s="18">
        <v>0.767511371020143</v>
      </c>
      <c r="R29" s="18">
        <v>0.22326102790234326</v>
      </c>
      <c r="S29" s="18">
        <v>0.68149867424940613</v>
      </c>
      <c r="T29" s="46">
        <v>805.63484982332159</v>
      </c>
      <c r="U29" s="46">
        <v>693.67617498469883</v>
      </c>
      <c r="V29" s="46">
        <v>891.19686420589221</v>
      </c>
      <c r="W29" s="46">
        <v>824.56587234042559</v>
      </c>
      <c r="X29" s="46">
        <v>613.77058378232925</v>
      </c>
      <c r="Y29" s="46">
        <v>824.07645569620308</v>
      </c>
      <c r="Z29">
        <f t="shared" si="11"/>
        <v>-4.0000000000000036E-2</v>
      </c>
      <c r="AA29" s="43">
        <f t="shared" si="44"/>
        <v>1.6486259329433097</v>
      </c>
      <c r="AB29" s="43">
        <f t="shared" si="45"/>
        <v>10.733002750256883</v>
      </c>
      <c r="AC29" s="43">
        <f t="shared" si="46"/>
        <v>7.313827092990751</v>
      </c>
      <c r="AD29" s="43">
        <f t="shared" si="12"/>
        <v>2.5561968578462166</v>
      </c>
      <c r="AE29" s="43">
        <f t="shared" si="13"/>
        <v>16.641536055714141</v>
      </c>
      <c r="AF29" s="43">
        <f t="shared" si="14"/>
        <v>11.340099327781449</v>
      </c>
      <c r="AG29" s="43">
        <f t="shared" si="15"/>
        <v>6.5945037317732449E-2</v>
      </c>
      <c r="AH29" s="43">
        <f t="shared" si="16"/>
        <v>0.4293201100102757</v>
      </c>
      <c r="AI29" s="43">
        <f t="shared" si="17"/>
        <v>0.29255308371963029</v>
      </c>
      <c r="AJ29" s="43">
        <f t="shared" si="18"/>
        <v>0.10224787431384876</v>
      </c>
      <c r="AK29" s="43">
        <f t="shared" si="19"/>
        <v>0.66566144222856627</v>
      </c>
      <c r="AL29" s="43">
        <f t="shared" si="20"/>
        <v>0.45360397311125833</v>
      </c>
      <c r="AM29" s="14">
        <v>125762</v>
      </c>
      <c r="AN29" s="12">
        <v>77670</v>
      </c>
      <c r="AO29" s="12">
        <f t="shared" si="21"/>
        <v>48092</v>
      </c>
      <c r="AP29" s="12">
        <v>79130</v>
      </c>
      <c r="AQ29" s="12">
        <v>23370</v>
      </c>
      <c r="AR29" s="18">
        <v>0.165044862883862</v>
      </c>
      <c r="AS29" s="18">
        <v>0.74535574371287749</v>
      </c>
      <c r="AT29" s="18">
        <v>0.25998037409256586</v>
      </c>
      <c r="AU29" s="18">
        <v>0.64989300642062964</v>
      </c>
      <c r="AV29" s="46">
        <v>805.91403522205212</v>
      </c>
      <c r="AW29" s="46">
        <v>726.40208155008486</v>
      </c>
      <c r="AX29" s="46">
        <v>940.84794506612423</v>
      </c>
      <c r="AY29" s="46">
        <v>849.98838888888895</v>
      </c>
      <c r="AZ29" s="46">
        <v>623.78930665868756</v>
      </c>
      <c r="BA29" s="46">
        <v>806.87991159646435</v>
      </c>
      <c r="BB29">
        <f t="shared" si="4"/>
        <v>-4.0000000000000036E-2</v>
      </c>
      <c r="BC29" s="43">
        <f t="shared" si="47"/>
        <v>1.6467701684011067</v>
      </c>
      <c r="BD29" s="43">
        <f t="shared" si="48"/>
        <v>11.143158182920757</v>
      </c>
      <c r="BE29" s="43">
        <f t="shared" si="49"/>
        <v>7.3048420436543839</v>
      </c>
      <c r="BF29" s="43">
        <f t="shared" si="22"/>
        <v>2.5533194922796008</v>
      </c>
      <c r="BG29" s="43">
        <f t="shared" si="23"/>
        <v>17.277482638412959</v>
      </c>
      <c r="BH29" s="43">
        <f t="shared" si="24"/>
        <v>11.326167995984301</v>
      </c>
      <c r="BI29" s="43">
        <f t="shared" si="25"/>
        <v>6.5870806736044327E-2</v>
      </c>
      <c r="BJ29" s="43">
        <f t="shared" si="26"/>
        <v>0.44572632731683071</v>
      </c>
      <c r="BK29" s="43">
        <f t="shared" si="27"/>
        <v>0.2921936817461756</v>
      </c>
      <c r="BL29" s="43">
        <f t="shared" si="28"/>
        <v>0.10213277969118412</v>
      </c>
      <c r="BM29" s="43">
        <f t="shared" si="29"/>
        <v>0.69109930553651899</v>
      </c>
      <c r="BN29" s="43">
        <f t="shared" si="30"/>
        <v>0.45304671983937245</v>
      </c>
      <c r="BQ29" s="43">
        <f t="shared" si="31"/>
        <v>22.637268408137746</v>
      </c>
      <c r="BT29" s="43">
        <f t="shared" si="50"/>
        <v>-21.762221970810639</v>
      </c>
      <c r="BU29" s="18"/>
      <c r="BX29" s="43">
        <f t="shared" si="32"/>
        <v>35.099116918411909</v>
      </c>
      <c r="CA29" s="43">
        <f t="shared" si="33"/>
        <v>-33.742356170646822</v>
      </c>
      <c r="CD29" s="12">
        <f t="shared" si="51"/>
        <v>720797.76303653338</v>
      </c>
      <c r="CE29" s="12">
        <f t="shared" si="52"/>
        <v>3492561.4099073526</v>
      </c>
      <c r="CF29" s="12">
        <f t="shared" si="53"/>
        <v>685468.95402541955</v>
      </c>
      <c r="CG29" s="12">
        <f t="shared" si="54"/>
        <v>1886301.4611376219</v>
      </c>
      <c r="CH29" s="12">
        <f t="shared" si="55"/>
        <v>547119745.82401359</v>
      </c>
      <c r="CI29" s="12">
        <f t="shared" si="56"/>
        <v>3012777378.3283582</v>
      </c>
      <c r="CJ29" s="12">
        <f t="shared" si="57"/>
        <v>541360976.85201943</v>
      </c>
      <c r="CK29" s="12">
        <f t="shared" si="58"/>
        <v>1449199713.1413543</v>
      </c>
      <c r="CM29" s="12">
        <f t="shared" si="59"/>
        <v>7451747.0658577709</v>
      </c>
    </row>
    <row r="30" spans="1:91" x14ac:dyDescent="0.2">
      <c r="A30">
        <v>23</v>
      </c>
      <c r="B30" s="12">
        <v>216</v>
      </c>
      <c r="C30" t="s">
        <v>142</v>
      </c>
      <c r="D30" s="12">
        <v>210420</v>
      </c>
      <c r="E30" s="3">
        <v>1.3283483256820209E-3</v>
      </c>
      <c r="F30" s="3">
        <v>0.58369406788373879</v>
      </c>
      <c r="G30" s="11">
        <f t="shared" si="60"/>
        <v>44.410405854956821</v>
      </c>
      <c r="H30" s="12">
        <v>1234</v>
      </c>
      <c r="I30" s="21">
        <v>0.60361721477396069</v>
      </c>
      <c r="J30" s="21">
        <v>0.81803395116019917</v>
      </c>
      <c r="K30" s="12">
        <v>104721</v>
      </c>
      <c r="L30" s="12">
        <v>104721</v>
      </c>
      <c r="M30" s="12"/>
      <c r="N30" s="12">
        <v>105770</v>
      </c>
      <c r="O30" s="12"/>
      <c r="P30" s="18">
        <v>0.25375815448614919</v>
      </c>
      <c r="Q30" s="18">
        <v>0.68743500047272388</v>
      </c>
      <c r="R30" s="18"/>
      <c r="S30" s="18"/>
      <c r="T30" s="46">
        <v>782.14807004470936</v>
      </c>
      <c r="U30" s="46">
        <v>475.80119955756868</v>
      </c>
      <c r="V30" s="46">
        <v>710.15516022555221</v>
      </c>
      <c r="W30" s="47">
        <f>T30</f>
        <v>782.14807004470936</v>
      </c>
      <c r="X30" s="47">
        <f>U30</f>
        <v>475.80119955756868</v>
      </c>
      <c r="Y30" s="47">
        <f>V30</f>
        <v>710.15516022555221</v>
      </c>
      <c r="Z30">
        <f t="shared" si="11"/>
        <v>-4.0000000000000036E-2</v>
      </c>
      <c r="AA30" s="43">
        <f t="shared" si="44"/>
        <v>1.9320008336607339</v>
      </c>
      <c r="AB30" s="43">
        <f t="shared" si="45"/>
        <v>9.8054245975081376</v>
      </c>
      <c r="AC30" s="43">
        <f t="shared" si="46"/>
        <v>2.3846872867276145</v>
      </c>
      <c r="AD30" s="43">
        <f t="shared" si="12"/>
        <v>2.9420777229017077</v>
      </c>
      <c r="AE30" s="43">
        <f t="shared" si="13"/>
        <v>14.931836865339053</v>
      </c>
      <c r="AF30" s="43">
        <f t="shared" si="14"/>
        <v>3.6314349456436381</v>
      </c>
      <c r="AG30" s="43">
        <f t="shared" si="15"/>
        <v>7.7280033346429425E-2</v>
      </c>
      <c r="AH30" s="43">
        <f t="shared" si="16"/>
        <v>0.39221698390032583</v>
      </c>
      <c r="AI30" s="43">
        <f t="shared" si="17"/>
        <v>9.5387491469104663E-2</v>
      </c>
      <c r="AJ30" s="43">
        <f t="shared" si="18"/>
        <v>0.11768310891606841</v>
      </c>
      <c r="AK30" s="43">
        <f t="shared" si="19"/>
        <v>0.59727347461356262</v>
      </c>
      <c r="AL30" s="43">
        <f t="shared" si="20"/>
        <v>0.14525739782574565</v>
      </c>
      <c r="AM30" s="14">
        <v>105699</v>
      </c>
      <c r="AN30" s="12">
        <v>105382</v>
      </c>
      <c r="AO30" s="12">
        <f t="shared" si="21"/>
        <v>317</v>
      </c>
      <c r="AP30" s="12">
        <v>106640</v>
      </c>
      <c r="AQ30" s="12" t="s">
        <v>202</v>
      </c>
      <c r="AR30" s="18">
        <v>0.25318829707426854</v>
      </c>
      <c r="AS30" s="18">
        <v>0.6797636909227307</v>
      </c>
      <c r="AT30" s="18"/>
      <c r="AU30" s="18"/>
      <c r="AV30" s="46">
        <v>737.4364888888889</v>
      </c>
      <c r="AW30" s="46">
        <v>474.80824694790346</v>
      </c>
      <c r="AX30" s="46">
        <v>691.57517864533031</v>
      </c>
      <c r="AY30" s="47">
        <f>AV30</f>
        <v>737.4364888888889</v>
      </c>
      <c r="AZ30" s="47">
        <f>AW30</f>
        <v>474.80824694790346</v>
      </c>
      <c r="BA30" s="47">
        <f>AX30</f>
        <v>691.57517864533031</v>
      </c>
      <c r="BB30">
        <f t="shared" si="4"/>
        <v>-4.0000000000000036E-2</v>
      </c>
      <c r="BC30" s="43">
        <f t="shared" si="47"/>
        <v>1.8887648669138628</v>
      </c>
      <c r="BD30" s="43">
        <f t="shared" si="48"/>
        <v>9.4384592493983721</v>
      </c>
      <c r="BE30" s="43">
        <f t="shared" si="49"/>
        <v>2.3313252034183924</v>
      </c>
      <c r="BF30" s="43">
        <f t="shared" si="22"/>
        <v>2.8762373917911535</v>
      </c>
      <c r="BG30" s="43">
        <f t="shared" si="23"/>
        <v>14.373016932686687</v>
      </c>
      <c r="BH30" s="43">
        <f t="shared" si="24"/>
        <v>3.5501744234862986</v>
      </c>
      <c r="BI30" s="43">
        <f t="shared" si="25"/>
        <v>7.5550594676554575E-2</v>
      </c>
      <c r="BJ30" s="43">
        <f t="shared" si="26"/>
        <v>0.37753836997593521</v>
      </c>
      <c r="BK30" s="43">
        <f t="shared" si="27"/>
        <v>9.3253008136735774E-2</v>
      </c>
      <c r="BL30" s="43">
        <f t="shared" si="28"/>
        <v>0.11504949567164624</v>
      </c>
      <c r="BM30" s="43">
        <f t="shared" si="29"/>
        <v>0.57492067730746799</v>
      </c>
      <c r="BN30" s="43">
        <f t="shared" si="30"/>
        <v>0.14200697693945208</v>
      </c>
      <c r="BQ30" s="43">
        <f t="shared" si="31"/>
        <v>19.913410090011222</v>
      </c>
      <c r="BT30" s="43">
        <f t="shared" si="50"/>
        <v>-19.143654736134962</v>
      </c>
      <c r="BU30" s="18"/>
      <c r="BX30" s="43">
        <f t="shared" si="32"/>
        <v>30.324417666952286</v>
      </c>
      <c r="CA30" s="43">
        <f t="shared" si="33"/>
        <v>-29.152223515031256</v>
      </c>
      <c r="CD30" s="12">
        <f t="shared" si="51"/>
        <v>1934723.3822473185</v>
      </c>
      <c r="CE30" s="12">
        <f t="shared" si="52"/>
        <v>5217738.3411830477</v>
      </c>
      <c r="CF30" s="12">
        <f t="shared" si="53"/>
        <v>0</v>
      </c>
      <c r="CG30" s="12">
        <f t="shared" si="54"/>
        <v>0</v>
      </c>
      <c r="CH30" s="12">
        <f t="shared" si="55"/>
        <v>1384646208.1502604</v>
      </c>
      <c r="CI30" s="12">
        <f t="shared" si="56"/>
        <v>3444941616.9663615</v>
      </c>
      <c r="CJ30" s="12">
        <f t="shared" si="57"/>
        <v>0</v>
      </c>
      <c r="CK30" s="12">
        <f t="shared" si="58"/>
        <v>0</v>
      </c>
      <c r="CM30" s="12">
        <f t="shared" si="59"/>
        <v>7644394.4248784045</v>
      </c>
    </row>
    <row r="31" spans="1:91" x14ac:dyDescent="0.2">
      <c r="A31">
        <v>24</v>
      </c>
      <c r="B31" s="12">
        <v>264</v>
      </c>
      <c r="C31" t="s">
        <v>143</v>
      </c>
      <c r="D31" s="12">
        <v>180930</v>
      </c>
      <c r="E31" s="3">
        <v>1.1421825993995249E-3</v>
      </c>
      <c r="F31" s="3">
        <v>0.6426865561440297</v>
      </c>
      <c r="G31" s="11">
        <f t="shared" si="60"/>
        <v>51.648911733819794</v>
      </c>
      <c r="H31" s="12">
        <v>4342</v>
      </c>
      <c r="I31" s="21">
        <v>0.67</v>
      </c>
      <c r="J31" s="21">
        <v>0.50120000000000009</v>
      </c>
      <c r="K31" s="12">
        <v>97056</v>
      </c>
      <c r="L31" s="12">
        <v>96983</v>
      </c>
      <c r="M31" s="12">
        <f t="shared" si="10"/>
        <v>73</v>
      </c>
      <c r="N31" s="12">
        <v>80400</v>
      </c>
      <c r="O31" s="12">
        <v>19200</v>
      </c>
      <c r="P31" s="18">
        <v>0.11417910447761194</v>
      </c>
      <c r="Q31" s="18">
        <v>0.6968905472636816</v>
      </c>
      <c r="R31" s="18"/>
      <c r="S31" s="18"/>
      <c r="T31" s="46">
        <v>400.64279956427015</v>
      </c>
      <c r="U31" s="46">
        <v>114.07553302110395</v>
      </c>
      <c r="V31" s="46">
        <v>404.53961984651079</v>
      </c>
      <c r="W31" s="46">
        <v>346.90427272727271</v>
      </c>
      <c r="X31" s="46">
        <v>106.57153640458259</v>
      </c>
      <c r="Y31" s="46">
        <v>388.80036929761047</v>
      </c>
      <c r="Z31">
        <f t="shared" si="11"/>
        <v>-4.0000000000000036E-2</v>
      </c>
      <c r="AA31" s="43">
        <f t="shared" si="44"/>
        <v>2.1521541296305768</v>
      </c>
      <c r="AB31" s="43">
        <f t="shared" si="45"/>
        <v>2.5705760335556449</v>
      </c>
      <c r="AC31" s="43">
        <f t="shared" si="46"/>
        <v>9.4953548808488115</v>
      </c>
      <c r="AD31" s="43">
        <f t="shared" si="12"/>
        <v>4.3695250510681412</v>
      </c>
      <c r="AE31" s="43">
        <f t="shared" si="13"/>
        <v>5.2190483105523713</v>
      </c>
      <c r="AF31" s="43">
        <f t="shared" si="14"/>
        <v>19.278447788390014</v>
      </c>
      <c r="AG31" s="43">
        <f t="shared" si="15"/>
        <v>8.6086165185223149E-2</v>
      </c>
      <c r="AH31" s="43">
        <f t="shared" si="16"/>
        <v>0.10282304134222589</v>
      </c>
      <c r="AI31" s="43">
        <f t="shared" si="17"/>
        <v>0.37981419523395282</v>
      </c>
      <c r="AJ31" s="43">
        <f t="shared" si="18"/>
        <v>0.17478100204272581</v>
      </c>
      <c r="AK31" s="43">
        <f t="shared" si="19"/>
        <v>0.20876193242209504</v>
      </c>
      <c r="AL31" s="43">
        <f t="shared" si="20"/>
        <v>0.77113791153560129</v>
      </c>
      <c r="AM31" s="14">
        <v>83874</v>
      </c>
      <c r="AN31" s="12">
        <v>83874</v>
      </c>
      <c r="AO31" s="12"/>
      <c r="AP31" s="12">
        <v>72000</v>
      </c>
      <c r="AQ31" s="12">
        <v>16230</v>
      </c>
      <c r="AR31" s="18">
        <v>0.10861111111111112</v>
      </c>
      <c r="AS31" s="18">
        <v>0.71972222222222226</v>
      </c>
      <c r="AT31" s="18"/>
      <c r="AU31" s="18"/>
      <c r="AV31" s="46">
        <v>394.03624040920715</v>
      </c>
      <c r="AW31" s="46">
        <v>110.27609368656464</v>
      </c>
      <c r="AX31" s="46">
        <v>424.22550366653797</v>
      </c>
      <c r="AY31" s="46">
        <v>436.32556701030927</v>
      </c>
      <c r="AZ31" s="46">
        <v>105.70753508439442</v>
      </c>
      <c r="BA31" s="46">
        <v>396.95721723518847</v>
      </c>
      <c r="BB31">
        <f t="shared" si="4"/>
        <v>-4.0000000000000036E-2</v>
      </c>
      <c r="BC31" s="43">
        <f t="shared" si="47"/>
        <v>2.0717059876794925</v>
      </c>
      <c r="BD31" s="43">
        <f t="shared" si="48"/>
        <v>2.3619071795019337</v>
      </c>
      <c r="BE31" s="43">
        <f t="shared" si="49"/>
        <v>9.1462559146295508</v>
      </c>
      <c r="BF31" s="43">
        <f t="shared" si="22"/>
        <v>4.2061909446826062</v>
      </c>
      <c r="BG31" s="43">
        <f t="shared" si="23"/>
        <v>4.7953873038372601</v>
      </c>
      <c r="BH31" s="43">
        <f t="shared" si="24"/>
        <v>18.569671099399393</v>
      </c>
      <c r="BI31" s="43">
        <f t="shared" si="25"/>
        <v>8.2868239507179781E-2</v>
      </c>
      <c r="BJ31" s="43">
        <f t="shared" si="26"/>
        <v>9.4476287180077431E-2</v>
      </c>
      <c r="BK31" s="43">
        <f t="shared" si="27"/>
        <v>0.36585023658518234</v>
      </c>
      <c r="BL31" s="43">
        <f t="shared" si="28"/>
        <v>0.16824763778730439</v>
      </c>
      <c r="BM31" s="43">
        <f t="shared" si="29"/>
        <v>0.19181549215349059</v>
      </c>
      <c r="BN31" s="43">
        <f t="shared" si="30"/>
        <v>0.74278684397597639</v>
      </c>
      <c r="BQ31" s="43">
        <f t="shared" si="31"/>
        <v>5.1040923841109782</v>
      </c>
      <c r="BT31" s="43">
        <f t="shared" si="50"/>
        <v>-4.9067930555886745</v>
      </c>
      <c r="BU31" s="18"/>
      <c r="BX31" s="43">
        <f t="shared" si="32"/>
        <v>10.362854234407138</v>
      </c>
      <c r="CA31" s="43">
        <f t="shared" si="33"/>
        <v>-9.9622768098315522</v>
      </c>
      <c r="CD31" s="12">
        <f t="shared" si="51"/>
        <v>522467.99060623551</v>
      </c>
      <c r="CE31" s="12">
        <f t="shared" si="52"/>
        <v>3312234.4740754752</v>
      </c>
      <c r="CF31" s="12">
        <f t="shared" si="53"/>
        <v>0</v>
      </c>
      <c r="CG31" s="12">
        <f t="shared" si="54"/>
        <v>0</v>
      </c>
      <c r="CH31" s="12">
        <f t="shared" si="55"/>
        <v>195714727.96933958</v>
      </c>
      <c r="CI31" s="12">
        <f t="shared" si="56"/>
        <v>1291192258.5726831</v>
      </c>
      <c r="CJ31" s="12">
        <f t="shared" si="57"/>
        <v>0</v>
      </c>
      <c r="CK31" s="12">
        <f t="shared" si="58"/>
        <v>0</v>
      </c>
      <c r="CM31" s="12">
        <f t="shared" si="59"/>
        <v>4683632.6051200079</v>
      </c>
    </row>
    <row r="32" spans="1:91" x14ac:dyDescent="0.2">
      <c r="A32">
        <v>25</v>
      </c>
      <c r="B32" s="12">
        <v>320</v>
      </c>
      <c r="C32" t="s">
        <v>144</v>
      </c>
      <c r="D32" s="12">
        <v>157582</v>
      </c>
      <c r="E32" s="3">
        <v>9.9479035195145058E-4</v>
      </c>
      <c r="F32" s="3">
        <v>0.70167904440432061</v>
      </c>
      <c r="G32" s="11">
        <f t="shared" si="60"/>
        <v>59.301427828051516</v>
      </c>
      <c r="H32" s="12">
        <v>3953</v>
      </c>
      <c r="I32" s="21">
        <v>0.19</v>
      </c>
      <c r="J32" s="21">
        <v>0.95140000000000002</v>
      </c>
      <c r="K32" s="12">
        <v>78807</v>
      </c>
      <c r="L32" s="12"/>
      <c r="M32" s="12">
        <f t="shared" si="10"/>
        <v>78807</v>
      </c>
      <c r="N32" s="12">
        <v>800</v>
      </c>
      <c r="O32" s="12">
        <v>3290</v>
      </c>
      <c r="P32" s="18">
        <v>0.85</v>
      </c>
      <c r="Q32" s="18">
        <v>0.13750000000000001</v>
      </c>
      <c r="R32" s="18">
        <v>0.97175138749353351</v>
      </c>
      <c r="S32" s="18">
        <v>1.2816120395396348E-2</v>
      </c>
      <c r="T32" s="46">
        <v>382.18308823529412</v>
      </c>
      <c r="U32" s="46">
        <v>272.29093445050137</v>
      </c>
      <c r="V32" s="46">
        <v>488.14272727272726</v>
      </c>
      <c r="W32" s="46">
        <v>352.63212765957451</v>
      </c>
      <c r="X32" s="46">
        <v>232.49196407187691</v>
      </c>
      <c r="Y32" s="46">
        <v>400.87383928571433</v>
      </c>
      <c r="Z32">
        <f t="shared" si="11"/>
        <v>-4.0000000000000036E-2</v>
      </c>
      <c r="AA32" s="43">
        <f t="shared" si="44"/>
        <v>3.5849847644583224</v>
      </c>
      <c r="AB32" s="43">
        <f t="shared" si="45"/>
        <v>11.861427618731458</v>
      </c>
      <c r="AC32" s="43">
        <f t="shared" si="46"/>
        <v>14.238291652529833</v>
      </c>
      <c r="AD32" s="43">
        <f t="shared" si="12"/>
        <v>0.84092235215689037</v>
      </c>
      <c r="AE32" s="43">
        <f t="shared" si="13"/>
        <v>2.7823101821715763</v>
      </c>
      <c r="AF32" s="43">
        <f t="shared" si="14"/>
        <v>3.3398461900995904</v>
      </c>
      <c r="AG32" s="43">
        <f t="shared" si="15"/>
        <v>0.14339939057833304</v>
      </c>
      <c r="AH32" s="43">
        <f t="shared" si="16"/>
        <v>0.47445710474925873</v>
      </c>
      <c r="AI32" s="43">
        <f t="shared" si="17"/>
        <v>0.56953166610119388</v>
      </c>
      <c r="AJ32" s="43">
        <f t="shared" si="18"/>
        <v>3.3636894086275647E-2</v>
      </c>
      <c r="AK32" s="43">
        <f t="shared" si="19"/>
        <v>0.11129240728686315</v>
      </c>
      <c r="AL32" s="43">
        <f t="shared" si="20"/>
        <v>0.13359384760398374</v>
      </c>
      <c r="AM32" s="14">
        <v>78775</v>
      </c>
      <c r="AN32" s="12"/>
      <c r="AO32" s="12">
        <f t="shared" si="21"/>
        <v>78775</v>
      </c>
      <c r="AP32" s="12">
        <v>3320</v>
      </c>
      <c r="AQ32" s="12">
        <v>3270</v>
      </c>
      <c r="AR32" s="18">
        <v>0.68674698795180722</v>
      </c>
      <c r="AS32" s="18">
        <v>0.30722891566265059</v>
      </c>
      <c r="AT32" s="18">
        <v>0.72943402156196369</v>
      </c>
      <c r="AU32" s="18">
        <v>0.26378660290717798</v>
      </c>
      <c r="AV32" s="46">
        <v>305.31548245614039</v>
      </c>
      <c r="AW32" s="46">
        <v>192.6060172662815</v>
      </c>
      <c r="AX32" s="46">
        <v>305.37490196078426</v>
      </c>
      <c r="AY32" s="46">
        <v>328.86740384615382</v>
      </c>
      <c r="AZ32" s="46">
        <v>227.66759853532648</v>
      </c>
      <c r="BA32" s="46">
        <v>395.88395348837207</v>
      </c>
      <c r="BB32">
        <f t="shared" si="4"/>
        <v>-4.0000000000000036E-2</v>
      </c>
      <c r="BC32" s="43">
        <f t="shared" si="47"/>
        <v>4.2856733933771336</v>
      </c>
      <c r="BD32" s="43">
        <f t="shared" si="48"/>
        <v>11.737555365515711</v>
      </c>
      <c r="BE32" s="43">
        <f t="shared" si="49"/>
        <v>17.040767097865878</v>
      </c>
      <c r="BF32" s="43">
        <f t="shared" si="22"/>
        <v>1.0052814132613028</v>
      </c>
      <c r="BG32" s="43">
        <f t="shared" si="23"/>
        <v>2.7532537277135614</v>
      </c>
      <c r="BH32" s="43">
        <f t="shared" si="24"/>
        <v>3.9972169735734773</v>
      </c>
      <c r="BI32" s="43">
        <f t="shared" si="25"/>
        <v>0.17142693573508549</v>
      </c>
      <c r="BJ32" s="43">
        <f t="shared" si="26"/>
        <v>0.46950221462062885</v>
      </c>
      <c r="BK32" s="43">
        <f t="shared" si="27"/>
        <v>0.68163068391463577</v>
      </c>
      <c r="BL32" s="43">
        <f t="shared" si="28"/>
        <v>4.0211256530452148E-2</v>
      </c>
      <c r="BM32" s="43">
        <f t="shared" si="29"/>
        <v>0.11013014910854255</v>
      </c>
      <c r="BN32" s="43">
        <f t="shared" si="30"/>
        <v>0.15988867894293923</v>
      </c>
      <c r="BQ32" s="43">
        <f t="shared" si="31"/>
        <v>24.420030260578297</v>
      </c>
      <c r="BT32" s="43">
        <f t="shared" si="50"/>
        <v>-23.476070941208409</v>
      </c>
      <c r="BU32" s="18"/>
      <c r="BX32" s="43">
        <f t="shared" si="32"/>
        <v>5.7281552463084884</v>
      </c>
      <c r="CA32" s="43">
        <f t="shared" si="33"/>
        <v>-5.5067326899130826</v>
      </c>
      <c r="CD32" s="12">
        <f t="shared" si="51"/>
        <v>0</v>
      </c>
      <c r="CE32" s="12">
        <f t="shared" si="52"/>
        <v>0</v>
      </c>
      <c r="CF32" s="12">
        <f t="shared" si="53"/>
        <v>7562565.0064640772</v>
      </c>
      <c r="CG32" s="12">
        <f t="shared" si="54"/>
        <v>1229366.387957863</v>
      </c>
      <c r="CH32" s="12">
        <f t="shared" si="55"/>
        <v>0</v>
      </c>
      <c r="CI32" s="12">
        <f t="shared" si="56"/>
        <v>0</v>
      </c>
      <c r="CJ32" s="12">
        <f t="shared" si="57"/>
        <v>2439553900.1571226</v>
      </c>
      <c r="CK32" s="12">
        <f t="shared" si="58"/>
        <v>458726462.95502633</v>
      </c>
      <c r="CM32" s="12">
        <f t="shared" si="59"/>
        <v>8890678.4926400147</v>
      </c>
    </row>
    <row r="33" spans="1:91" x14ac:dyDescent="0.2">
      <c r="A33">
        <v>26</v>
      </c>
      <c r="B33" s="12">
        <v>385</v>
      </c>
      <c r="C33" t="s">
        <v>145</v>
      </c>
      <c r="D33" s="12">
        <v>135049</v>
      </c>
      <c r="E33" s="3">
        <v>8.5254307116733785E-4</v>
      </c>
      <c r="F33" s="3">
        <v>0.76067153266461152</v>
      </c>
      <c r="G33" s="11">
        <f t="shared" si="60"/>
        <v>69.195903709024236</v>
      </c>
      <c r="H33" s="12">
        <v>654</v>
      </c>
      <c r="I33" s="21">
        <v>0.80674188332853813</v>
      </c>
      <c r="J33" s="21">
        <v>0.79657077596682968</v>
      </c>
      <c r="K33" s="12">
        <v>66956</v>
      </c>
      <c r="L33" s="12">
        <v>66956</v>
      </c>
      <c r="M33" s="12"/>
      <c r="N33" s="12">
        <v>71390</v>
      </c>
      <c r="O33" s="12">
        <v>10</v>
      </c>
      <c r="P33" s="18">
        <v>0.26068076761451181</v>
      </c>
      <c r="Q33" s="18">
        <v>0.53775038520801233</v>
      </c>
      <c r="R33" s="18"/>
      <c r="S33" s="18"/>
      <c r="T33" s="46">
        <v>1488.5196399785061</v>
      </c>
      <c r="U33" s="46">
        <v>707.65436093853918</v>
      </c>
      <c r="V33" s="46">
        <v>877.04789268038553</v>
      </c>
      <c r="W33" s="47">
        <f>T33</f>
        <v>1488.5196399785061</v>
      </c>
      <c r="X33" s="46">
        <v>857.16667079591207</v>
      </c>
      <c r="Y33" s="46">
        <v>2207.17</v>
      </c>
      <c r="Z33">
        <f t="shared" si="11"/>
        <v>-4.0000000000000036E-2</v>
      </c>
      <c r="AA33" s="43">
        <f t="shared" si="44"/>
        <v>0.66171801847737455</v>
      </c>
      <c r="AB33" s="43">
        <f t="shared" si="45"/>
        <v>5.8060148685602249</v>
      </c>
      <c r="AC33" s="43">
        <f t="shared" si="46"/>
        <v>0.43266392000007997</v>
      </c>
      <c r="AD33" s="43">
        <f t="shared" si="12"/>
        <v>2.7622935049418094</v>
      </c>
      <c r="AE33" s="43">
        <f t="shared" si="13"/>
        <v>24.236784722778186</v>
      </c>
      <c r="AF33" s="43">
        <f t="shared" si="14"/>
        <v>1.8061239117969523</v>
      </c>
      <c r="AG33" s="43">
        <f t="shared" si="15"/>
        <v>2.6468720739095005E-2</v>
      </c>
      <c r="AH33" s="43">
        <f t="shared" si="16"/>
        <v>0.23224059474240921</v>
      </c>
      <c r="AI33" s="43">
        <f t="shared" si="17"/>
        <v>1.7306556800003214E-2</v>
      </c>
      <c r="AJ33" s="43">
        <f t="shared" si="18"/>
        <v>0.11049174019767247</v>
      </c>
      <c r="AK33" s="43">
        <f t="shared" si="19"/>
        <v>0.96947138891112827</v>
      </c>
      <c r="AL33" s="43">
        <f t="shared" si="20"/>
        <v>7.2244956471878161E-2</v>
      </c>
      <c r="AM33" s="14">
        <v>68093</v>
      </c>
      <c r="AN33" s="12">
        <v>68093</v>
      </c>
      <c r="AO33" s="12"/>
      <c r="AP33" s="12">
        <v>72470</v>
      </c>
      <c r="AQ33" s="12" t="s">
        <v>202</v>
      </c>
      <c r="AR33" s="18">
        <v>0.26893887125707189</v>
      </c>
      <c r="AS33" s="18">
        <v>0.53925762384434939</v>
      </c>
      <c r="AT33" s="18"/>
      <c r="AU33" s="18"/>
      <c r="AV33" s="46">
        <v>1592.485094920472</v>
      </c>
      <c r="AW33" s="46">
        <v>709.46567688792879</v>
      </c>
      <c r="AX33" s="46">
        <v>889.85051944728752</v>
      </c>
      <c r="AY33" s="47">
        <f>AV33</f>
        <v>1592.485094920472</v>
      </c>
      <c r="AZ33" s="47">
        <f>AW33</f>
        <v>709.46567688792879</v>
      </c>
      <c r="BA33" s="47">
        <f>AX33</f>
        <v>889.85051944728752</v>
      </c>
      <c r="BB33">
        <f t="shared" si="4"/>
        <v>-4.0000000000000036E-2</v>
      </c>
      <c r="BC33" s="43">
        <f t="shared" si="47"/>
        <v>0.68612268778788965</v>
      </c>
      <c r="BD33" s="43">
        <f t="shared" si="48"/>
        <v>6.2375847920065306</v>
      </c>
      <c r="BE33" s="43">
        <f t="shared" si="49"/>
        <v>0.44862240168050815</v>
      </c>
      <c r="BF33" s="43">
        <f t="shared" si="22"/>
        <v>2.8641690133068485</v>
      </c>
      <c r="BG33" s="43">
        <f t="shared" si="23"/>
        <v>26.038341825918671</v>
      </c>
      <c r="BH33" s="43">
        <f t="shared" si="24"/>
        <v>1.8727414272093525</v>
      </c>
      <c r="BI33" s="43">
        <f t="shared" si="25"/>
        <v>2.7444907511515612E-2</v>
      </c>
      <c r="BJ33" s="43">
        <f t="shared" si="26"/>
        <v>0.24950339168026145</v>
      </c>
      <c r="BK33" s="43">
        <f t="shared" si="27"/>
        <v>1.7944896067220342E-2</v>
      </c>
      <c r="BL33" s="43">
        <f t="shared" si="28"/>
        <v>0.11456676053227403</v>
      </c>
      <c r="BM33" s="43">
        <f t="shared" si="29"/>
        <v>1.0415336730367477</v>
      </c>
      <c r="BN33" s="43">
        <f t="shared" si="30"/>
        <v>7.4909657088374174E-2</v>
      </c>
      <c r="BQ33" s="43">
        <f t="shared" si="31"/>
        <v>12.462616221794478</v>
      </c>
      <c r="BT33" s="43">
        <f t="shared" si="50"/>
        <v>-11.980872235371807</v>
      </c>
      <c r="BU33" s="18"/>
      <c r="BX33" s="43">
        <f t="shared" si="32"/>
        <v>52.024280558747385</v>
      </c>
      <c r="CA33" s="43">
        <f t="shared" si="33"/>
        <v>-50.013275496799508</v>
      </c>
      <c r="CD33" s="12">
        <f t="shared" si="51"/>
        <v>1971456.6028727766</v>
      </c>
      <c r="CE33" s="12">
        <f t="shared" si="52"/>
        <v>4008576.5527969301</v>
      </c>
      <c r="CF33" s="12">
        <f t="shared" si="53"/>
        <v>0</v>
      </c>
      <c r="CG33" s="12">
        <f t="shared" si="54"/>
        <v>0</v>
      </c>
      <c r="CH33" s="12">
        <f t="shared" si="55"/>
        <v>2863203347.1128387</v>
      </c>
      <c r="CI33" s="12">
        <f t="shared" si="56"/>
        <v>3336211426.1042929</v>
      </c>
      <c r="CJ33" s="12">
        <f t="shared" si="57"/>
        <v>0</v>
      </c>
      <c r="CK33" s="12">
        <f t="shared" si="58"/>
        <v>0</v>
      </c>
      <c r="CM33" s="12">
        <f t="shared" si="59"/>
        <v>7443824.5383160179</v>
      </c>
    </row>
    <row r="34" spans="1:91" x14ac:dyDescent="0.2">
      <c r="A34">
        <v>27</v>
      </c>
      <c r="B34" s="12">
        <v>461</v>
      </c>
      <c r="C34" t="s">
        <v>146</v>
      </c>
      <c r="D34" s="12">
        <v>112557</v>
      </c>
      <c r="E34" s="3">
        <v>7.1055461692705649E-4</v>
      </c>
      <c r="F34" s="3">
        <v>0.81966402092490243</v>
      </c>
      <c r="G34" s="11">
        <f t="shared" si="60"/>
        <v>83.023158044368756</v>
      </c>
      <c r="H34" s="12">
        <v>1468</v>
      </c>
      <c r="I34" s="21">
        <v>0.66126625464613098</v>
      </c>
      <c r="J34" s="21">
        <v>0.78422234066904284</v>
      </c>
      <c r="K34" s="12">
        <v>56277</v>
      </c>
      <c r="L34" s="12"/>
      <c r="M34" s="12">
        <f t="shared" si="10"/>
        <v>56277</v>
      </c>
      <c r="N34" s="12" t="s">
        <v>202</v>
      </c>
      <c r="O34" s="12">
        <v>850</v>
      </c>
      <c r="P34" s="18"/>
      <c r="Q34" s="18"/>
      <c r="R34" s="18">
        <v>0.46164507702969243</v>
      </c>
      <c r="S34" s="18">
        <v>0.49183503029656878</v>
      </c>
      <c r="T34" s="47">
        <f t="shared" ref="T34:T35" si="61">W34</f>
        <v>1310.991</v>
      </c>
      <c r="U34" s="47">
        <f t="shared" ref="U34:V35" si="62">X34</f>
        <v>718.47562050034344</v>
      </c>
      <c r="V34" s="47">
        <f t="shared" si="62"/>
        <v>1014.7845901639344</v>
      </c>
      <c r="W34" s="46">
        <v>1310.991</v>
      </c>
      <c r="X34" s="46">
        <v>718.47562050034344</v>
      </c>
      <c r="Y34" s="46">
        <v>1014.7845901639344</v>
      </c>
      <c r="Z34">
        <f t="shared" si="11"/>
        <v>-4.0000000000000036E-2</v>
      </c>
      <c r="AA34" s="43">
        <f t="shared" si="44"/>
        <v>1.4360822689644848</v>
      </c>
      <c r="AB34" s="43">
        <f t="shared" si="45"/>
        <v>12.97900028215221</v>
      </c>
      <c r="AC34" s="43">
        <f t="shared" si="46"/>
        <v>2.1087909953175892</v>
      </c>
      <c r="AD34" s="43">
        <f t="shared" si="12"/>
        <v>2.8034784144986746</v>
      </c>
      <c r="AE34" s="43">
        <f t="shared" si="13"/>
        <v>25.337230268167726</v>
      </c>
      <c r="AF34" s="43">
        <f t="shared" si="14"/>
        <v>4.116721001175625</v>
      </c>
      <c r="AG34" s="43">
        <f t="shared" si="15"/>
        <v>5.7443290758579443E-2</v>
      </c>
      <c r="AH34" s="43">
        <f t="shared" si="16"/>
        <v>0.51916001128608891</v>
      </c>
      <c r="AI34" s="43">
        <f t="shared" si="17"/>
        <v>8.4351639812703647E-2</v>
      </c>
      <c r="AJ34" s="43">
        <f t="shared" si="18"/>
        <v>0.11213913657994709</v>
      </c>
      <c r="AK34" s="43">
        <f t="shared" si="19"/>
        <v>1.0134892107267099</v>
      </c>
      <c r="AL34" s="43">
        <f t="shared" si="20"/>
        <v>0.16466884004702514</v>
      </c>
      <c r="AM34" s="14">
        <v>56280</v>
      </c>
      <c r="AN34" s="12"/>
      <c r="AO34" s="12">
        <f t="shared" si="21"/>
        <v>56280</v>
      </c>
      <c r="AP34" s="12" t="s">
        <v>202</v>
      </c>
      <c r="AQ34" s="12">
        <v>1100</v>
      </c>
      <c r="AR34" s="18"/>
      <c r="AS34" s="18"/>
      <c r="AT34" s="18">
        <v>0.51793825901548163</v>
      </c>
      <c r="AU34" s="18">
        <v>0.43854485337288712</v>
      </c>
      <c r="AV34" s="47">
        <f t="shared" ref="AV34:AV35" si="63">AY34</f>
        <v>666.80222222222221</v>
      </c>
      <c r="AW34" s="47">
        <f t="shared" ref="AW34:AX35" si="64">AZ34</f>
        <v>704.81961249179119</v>
      </c>
      <c r="AX34" s="47">
        <f t="shared" si="64"/>
        <v>1008.378695652174</v>
      </c>
      <c r="AY34" s="46">
        <v>666.80222222222221</v>
      </c>
      <c r="AZ34" s="46">
        <v>704.81961249179119</v>
      </c>
      <c r="BA34" s="46">
        <v>1008.378695652174</v>
      </c>
      <c r="BB34">
        <f t="shared" si="4"/>
        <v>-4.0000000000000036E-2</v>
      </c>
      <c r="BC34" s="43">
        <f t="shared" si="47"/>
        <v>1.4227946915222609</v>
      </c>
      <c r="BD34" s="43">
        <f t="shared" si="48"/>
        <v>9.2568960825980611</v>
      </c>
      <c r="BE34" s="43">
        <f t="shared" si="49"/>
        <v>2.0894493315349885</v>
      </c>
      <c r="BF34" s="43">
        <f t="shared" si="22"/>
        <v>2.7775387887924712</v>
      </c>
      <c r="BG34" s="43">
        <f t="shared" si="23"/>
        <v>18.071045728831294</v>
      </c>
      <c r="BH34" s="43">
        <f t="shared" si="24"/>
        <v>4.0789627626075022</v>
      </c>
      <c r="BI34" s="43">
        <f t="shared" si="25"/>
        <v>5.6911787660890487E-2</v>
      </c>
      <c r="BJ34" s="43">
        <f t="shared" si="26"/>
        <v>0.37027584330392277</v>
      </c>
      <c r="BK34" s="43">
        <f t="shared" si="27"/>
        <v>8.357797326139961E-2</v>
      </c>
      <c r="BL34" s="43">
        <f t="shared" si="28"/>
        <v>0.11110155155169894</v>
      </c>
      <c r="BM34" s="43">
        <f t="shared" si="29"/>
        <v>0.72284182915325235</v>
      </c>
      <c r="BN34" s="43">
        <f t="shared" si="30"/>
        <v>0.16315851050430025</v>
      </c>
      <c r="BQ34" s="43">
        <f t="shared" si="31"/>
        <v>23.009519624669824</v>
      </c>
      <c r="BT34" s="43">
        <f t="shared" si="50"/>
        <v>-22.120083770079813</v>
      </c>
      <c r="BU34" s="18"/>
      <c r="BX34" s="43">
        <f t="shared" si="32"/>
        <v>44.918521027530907</v>
      </c>
      <c r="CA34" s="43">
        <f t="shared" si="33"/>
        <v>-43.182189987650943</v>
      </c>
      <c r="CD34" s="12">
        <f t="shared" si="51"/>
        <v>0</v>
      </c>
      <c r="CE34" s="12">
        <f t="shared" si="52"/>
        <v>0</v>
      </c>
      <c r="CF34" s="12">
        <f t="shared" si="53"/>
        <v>3589409.6551204366</v>
      </c>
      <c r="CG34" s="12">
        <f t="shared" si="54"/>
        <v>3409106.9144119187</v>
      </c>
      <c r="CH34" s="12">
        <f t="shared" si="55"/>
        <v>0</v>
      </c>
      <c r="CI34" s="12">
        <f t="shared" si="56"/>
        <v>0</v>
      </c>
      <c r="CJ34" s="12">
        <f t="shared" si="57"/>
        <v>3281066741.0556536</v>
      </c>
      <c r="CK34" s="12">
        <f t="shared" si="58"/>
        <v>3249160634.7174215</v>
      </c>
      <c r="CM34" s="12">
        <f t="shared" si="59"/>
        <v>7328430.4158440921</v>
      </c>
    </row>
    <row r="35" spans="1:91" x14ac:dyDescent="0.2">
      <c r="A35">
        <v>28</v>
      </c>
      <c r="B35" s="12">
        <v>555</v>
      </c>
      <c r="C35" t="s">
        <v>147</v>
      </c>
      <c r="D35" s="12">
        <v>87212</v>
      </c>
      <c r="E35" s="3">
        <v>5.5055562294164249E-4</v>
      </c>
      <c r="F35" s="3">
        <v>0.87865650918519334</v>
      </c>
      <c r="G35" s="11">
        <f t="shared" si="60"/>
        <v>107.15082328119999</v>
      </c>
      <c r="H35" s="12">
        <v>6927</v>
      </c>
      <c r="I35" s="21">
        <v>0.44051687437483744</v>
      </c>
      <c r="J35" s="21">
        <v>0.81215638273992985</v>
      </c>
      <c r="K35" s="12">
        <v>42914</v>
      </c>
      <c r="L35" s="12"/>
      <c r="M35" s="12">
        <f t="shared" si="10"/>
        <v>42914</v>
      </c>
      <c r="N35" s="12" t="s">
        <v>202</v>
      </c>
      <c r="O35" s="12">
        <v>3680</v>
      </c>
      <c r="P35" s="18"/>
      <c r="Q35" s="18"/>
      <c r="R35" s="18">
        <v>0.71271224619782203</v>
      </c>
      <c r="S35" s="18">
        <v>0.28565658448680303</v>
      </c>
      <c r="T35" s="47">
        <f t="shared" si="61"/>
        <v>382.19285714285712</v>
      </c>
      <c r="U35" s="47">
        <f t="shared" si="62"/>
        <v>431.40881467557551</v>
      </c>
      <c r="V35" s="47">
        <f t="shared" si="62"/>
        <v>615.84878531073457</v>
      </c>
      <c r="W35" s="46">
        <v>382.19285714285712</v>
      </c>
      <c r="X35" s="46">
        <v>431.40881467557551</v>
      </c>
      <c r="Y35" s="46">
        <v>615.84878531073457</v>
      </c>
      <c r="Z35">
        <f t="shared" si="11"/>
        <v>-4.0000000000000036E-2</v>
      </c>
      <c r="AA35" s="43">
        <f t="shared" si="44"/>
        <v>2.3444077963501577</v>
      </c>
      <c r="AB35" s="43">
        <f t="shared" si="45"/>
        <v>8.8699874811550821</v>
      </c>
      <c r="AC35" s="43">
        <f t="shared" si="46"/>
        <v>16.374721988152114</v>
      </c>
      <c r="AD35" s="43">
        <f t="shared" si="12"/>
        <v>1.8459023112702158</v>
      </c>
      <c r="AE35" s="43">
        <f t="shared" si="13"/>
        <v>6.9839088651267112</v>
      </c>
      <c r="AF35" s="43">
        <f t="shared" si="14"/>
        <v>12.892866681041641</v>
      </c>
      <c r="AG35" s="43">
        <f t="shared" si="15"/>
        <v>9.3776311854006394E-2</v>
      </c>
      <c r="AH35" s="43">
        <f t="shared" si="16"/>
        <v>0.35479949924620358</v>
      </c>
      <c r="AI35" s="43">
        <f t="shared" si="17"/>
        <v>0.65498887952608509</v>
      </c>
      <c r="AJ35" s="43">
        <f t="shared" si="18"/>
        <v>7.3836092450808702E-2</v>
      </c>
      <c r="AK35" s="43">
        <f t="shared" si="19"/>
        <v>0.27935635460506869</v>
      </c>
      <c r="AL35" s="43">
        <f t="shared" si="20"/>
        <v>0.51571466724166604</v>
      </c>
      <c r="AM35" s="14">
        <v>44298</v>
      </c>
      <c r="AN35" s="12"/>
      <c r="AO35" s="12">
        <f t="shared" si="21"/>
        <v>44298</v>
      </c>
      <c r="AP35" s="12" t="s">
        <v>202</v>
      </c>
      <c r="AQ35" s="12">
        <v>4110</v>
      </c>
      <c r="AR35" s="18"/>
      <c r="AS35" s="18"/>
      <c r="AT35" s="18">
        <v>0.731193281863741</v>
      </c>
      <c r="AU35" s="18">
        <v>0.17515011964422775</v>
      </c>
      <c r="AV35" s="47">
        <f t="shared" si="63"/>
        <v>389.69416666666672</v>
      </c>
      <c r="AW35" s="47">
        <f t="shared" si="64"/>
        <v>407.91066463764139</v>
      </c>
      <c r="AX35" s="47">
        <f t="shared" si="64"/>
        <v>585.62435828876994</v>
      </c>
      <c r="AY35" s="46">
        <v>389.69416666666672</v>
      </c>
      <c r="AZ35" s="46">
        <v>407.91066463764139</v>
      </c>
      <c r="BA35" s="46">
        <v>585.62435828876994</v>
      </c>
      <c r="BB35">
        <f t="shared" si="4"/>
        <v>-4.0000000000000036E-2</v>
      </c>
      <c r="BC35" s="43">
        <f t="shared" si="47"/>
        <v>2.122336886797108</v>
      </c>
      <c r="BD35" s="43">
        <f t="shared" si="48"/>
        <v>7.9142977319465677</v>
      </c>
      <c r="BE35" s="43">
        <f t="shared" si="49"/>
        <v>14.825072181866304</v>
      </c>
      <c r="BF35" s="43">
        <f t="shared" si="22"/>
        <v>1.6710516705890035</v>
      </c>
      <c r="BG35" s="43">
        <f t="shared" si="23"/>
        <v>6.2314331569040773</v>
      </c>
      <c r="BH35" s="43">
        <f t="shared" si="24"/>
        <v>11.672728203624986</v>
      </c>
      <c r="BI35" s="43">
        <f t="shared" si="25"/>
        <v>8.4893475471884389E-2</v>
      </c>
      <c r="BJ35" s="43">
        <f t="shared" si="26"/>
        <v>0.316571909277863</v>
      </c>
      <c r="BK35" s="43">
        <f t="shared" si="27"/>
        <v>0.59300288727465267</v>
      </c>
      <c r="BL35" s="43">
        <f t="shared" si="28"/>
        <v>6.6842066823560198E-2</v>
      </c>
      <c r="BM35" s="43">
        <f t="shared" si="29"/>
        <v>0.24925732627616332</v>
      </c>
      <c r="BN35" s="43">
        <f t="shared" si="30"/>
        <v>0.46690912814499985</v>
      </c>
      <c r="BQ35" s="43">
        <f t="shared" si="31"/>
        <v>17.368237990582813</v>
      </c>
      <c r="BT35" s="43">
        <f t="shared" si="50"/>
        <v>-16.696866582058746</v>
      </c>
      <c r="BU35" s="18"/>
      <c r="BX35" s="43">
        <f t="shared" si="32"/>
        <v>13.675125419485479</v>
      </c>
      <c r="CA35" s="43">
        <f t="shared" si="33"/>
        <v>-13.146511738604246</v>
      </c>
      <c r="CD35" s="12">
        <f t="shared" si="51"/>
        <v>0</v>
      </c>
      <c r="CE35" s="12">
        <f t="shared" si="52"/>
        <v>0</v>
      </c>
      <c r="CF35" s="12">
        <f t="shared" si="53"/>
        <v>5480351.4141564928</v>
      </c>
      <c r="CG35" s="12">
        <f t="shared" si="54"/>
        <v>1741984.506537393</v>
      </c>
      <c r="CH35" s="12">
        <f t="shared" si="55"/>
        <v>0</v>
      </c>
      <c r="CI35" s="12">
        <f t="shared" si="56"/>
        <v>0</v>
      </c>
      <c r="CJ35" s="12">
        <f t="shared" si="57"/>
        <v>1992984910.7236826</v>
      </c>
      <c r="CK35" s="12">
        <f t="shared" si="58"/>
        <v>991352921.34261632</v>
      </c>
      <c r="CM35" s="12">
        <f t="shared" si="59"/>
        <v>7589469.5025080973</v>
      </c>
    </row>
    <row r="36" spans="1:91" x14ac:dyDescent="0.2">
      <c r="A36">
        <v>29</v>
      </c>
      <c r="B36" s="12">
        <v>691</v>
      </c>
      <c r="C36" t="s">
        <v>148</v>
      </c>
      <c r="D36" s="12">
        <v>52114</v>
      </c>
      <c r="E36" s="3">
        <v>3.2898747573706317E-4</v>
      </c>
      <c r="F36" s="3">
        <v>0.93764899744548424</v>
      </c>
      <c r="G36" s="11">
        <f t="shared" si="60"/>
        <v>179.31530107072984</v>
      </c>
      <c r="H36" s="12">
        <v>2005</v>
      </c>
      <c r="I36" s="21">
        <v>0.03</v>
      </c>
      <c r="J36" s="21">
        <v>1</v>
      </c>
      <c r="K36" s="12">
        <v>26738</v>
      </c>
      <c r="L36" s="12">
        <v>26738</v>
      </c>
      <c r="M36" s="12"/>
      <c r="N36" s="12">
        <v>26260</v>
      </c>
      <c r="O36" s="12" t="s">
        <v>202</v>
      </c>
      <c r="P36" s="18">
        <v>0.48324447829398326</v>
      </c>
      <c r="Q36" s="18">
        <v>0.43373952779893377</v>
      </c>
      <c r="R36" s="18"/>
      <c r="S36" s="18"/>
      <c r="T36" s="46">
        <v>246.54122143420017</v>
      </c>
      <c r="U36" s="46">
        <v>208.5176683349635</v>
      </c>
      <c r="V36" s="46">
        <v>266.79417910447756</v>
      </c>
      <c r="W36" s="47">
        <f t="shared" ref="W36:Y37" si="65">T36</f>
        <v>246.54122143420017</v>
      </c>
      <c r="X36" s="47">
        <f t="shared" si="65"/>
        <v>208.5176683349635</v>
      </c>
      <c r="Y36" s="47">
        <f t="shared" si="65"/>
        <v>266.79417910447756</v>
      </c>
      <c r="Z36">
        <f t="shared" si="11"/>
        <v>-4.0000000000000036E-2</v>
      </c>
      <c r="AA36" s="43">
        <f t="shared" si="44"/>
        <v>4.8402820736070655</v>
      </c>
      <c r="AB36" s="43">
        <f t="shared" si="45"/>
        <v>10.342933627536855</v>
      </c>
      <c r="AC36" s="43">
        <f t="shared" si="46"/>
        <v>9.7289077590550583</v>
      </c>
      <c r="AD36" s="43">
        <f t="shared" si="12"/>
        <v>0.14969944557547624</v>
      </c>
      <c r="AE36" s="43">
        <f t="shared" si="13"/>
        <v>0.31988454518155218</v>
      </c>
      <c r="AF36" s="43">
        <f t="shared" si="14"/>
        <v>0.30089405440376465</v>
      </c>
      <c r="AG36" s="43">
        <f t="shared" si="15"/>
        <v>0.19361128294428279</v>
      </c>
      <c r="AH36" s="43">
        <f t="shared" si="16"/>
        <v>0.41371734510147457</v>
      </c>
      <c r="AI36" s="43">
        <f t="shared" si="17"/>
        <v>0.38915631036220266</v>
      </c>
      <c r="AJ36" s="43">
        <f t="shared" si="18"/>
        <v>5.987977823019055E-3</v>
      </c>
      <c r="AK36" s="43">
        <f t="shared" si="19"/>
        <v>1.2795381807262099E-2</v>
      </c>
      <c r="AL36" s="43">
        <f t="shared" si="20"/>
        <v>1.2035762176150596E-2</v>
      </c>
      <c r="AM36" s="14">
        <v>25376</v>
      </c>
      <c r="AN36" s="12">
        <v>25376</v>
      </c>
      <c r="AO36" s="12"/>
      <c r="AP36" s="12">
        <v>24730</v>
      </c>
      <c r="AQ36" s="12" t="s">
        <v>202</v>
      </c>
      <c r="AR36" s="18">
        <v>0.50950262838657501</v>
      </c>
      <c r="AS36" s="18">
        <v>0.40598463404771534</v>
      </c>
      <c r="AT36" s="18"/>
      <c r="AU36" s="18"/>
      <c r="AV36" s="46">
        <v>245.88196031746034</v>
      </c>
      <c r="AW36" s="46">
        <v>211.79497189023439</v>
      </c>
      <c r="AX36" s="46">
        <v>270.44455179282869</v>
      </c>
      <c r="AY36" s="47">
        <f t="shared" ref="AY36:AY37" si="66">AV36</f>
        <v>245.88196031746034</v>
      </c>
      <c r="AZ36" s="47">
        <f t="shared" ref="AZ36:BA37" si="67">AW36</f>
        <v>211.79497189023439</v>
      </c>
      <c r="BA36" s="47">
        <f t="shared" si="67"/>
        <v>270.44455179282869</v>
      </c>
      <c r="BB36">
        <f t="shared" si="4"/>
        <v>-4.0000000000000036E-2</v>
      </c>
      <c r="BC36" s="43">
        <f t="shared" si="47"/>
        <v>4.5480381491602788</v>
      </c>
      <c r="BD36" s="43">
        <f t="shared" si="48"/>
        <v>9.8250625360392814</v>
      </c>
      <c r="BE36" s="43">
        <f t="shared" si="49"/>
        <v>9.1412216464298606</v>
      </c>
      <c r="BF36" s="43">
        <f t="shared" si="22"/>
        <v>0.14066097368536942</v>
      </c>
      <c r="BG36" s="43">
        <f t="shared" si="23"/>
        <v>0.30386791348575098</v>
      </c>
      <c r="BH36" s="43">
        <f t="shared" si="24"/>
        <v>0.28271819525040809</v>
      </c>
      <c r="BI36" s="43">
        <f t="shared" si="25"/>
        <v>0.18192152596641131</v>
      </c>
      <c r="BJ36" s="43">
        <f t="shared" si="26"/>
        <v>0.39300250144157162</v>
      </c>
      <c r="BK36" s="43">
        <f t="shared" si="27"/>
        <v>0.36564886585719475</v>
      </c>
      <c r="BL36" s="43">
        <f t="shared" si="28"/>
        <v>5.6264389474147821E-3</v>
      </c>
      <c r="BM36" s="43">
        <f t="shared" si="29"/>
        <v>1.215471653943005E-2</v>
      </c>
      <c r="BN36" s="43">
        <f t="shared" si="30"/>
        <v>1.1308727810016333E-2</v>
      </c>
      <c r="BQ36" s="43">
        <f t="shared" si="31"/>
        <v>20.869673787998096</v>
      </c>
      <c r="BT36" s="43">
        <f t="shared" si="50"/>
        <v>-20.062953941455049</v>
      </c>
      <c r="BU36" s="18"/>
      <c r="BX36" s="43">
        <f t="shared" si="32"/>
        <v>0.6454538284947865</v>
      </c>
      <c r="CA36" s="43">
        <f t="shared" si="33"/>
        <v>-0.62050373014809435</v>
      </c>
      <c r="CD36" s="12">
        <f t="shared" si="51"/>
        <v>4635323.7645109631</v>
      </c>
      <c r="CE36" s="12">
        <f t="shared" si="52"/>
        <v>3926932.213951508</v>
      </c>
      <c r="CF36" s="12">
        <f t="shared" si="53"/>
        <v>0</v>
      </c>
      <c r="CG36" s="12">
        <f t="shared" si="54"/>
        <v>0</v>
      </c>
      <c r="CH36" s="12">
        <f t="shared" si="55"/>
        <v>1075076299.1963518</v>
      </c>
      <c r="CI36" s="12">
        <f t="shared" si="56"/>
        <v>993269467.96396244</v>
      </c>
      <c r="CJ36" s="12">
        <f t="shared" si="57"/>
        <v>0</v>
      </c>
      <c r="CK36" s="12">
        <f t="shared" si="58"/>
        <v>0</v>
      </c>
      <c r="CM36" s="12">
        <f t="shared" si="59"/>
        <v>9344837.6000000145</v>
      </c>
    </row>
    <row r="37" spans="1:91" x14ac:dyDescent="0.2">
      <c r="A37">
        <v>30</v>
      </c>
      <c r="B37" s="12">
        <v>1087</v>
      </c>
      <c r="C37" t="s">
        <v>149</v>
      </c>
      <c r="D37" s="16">
        <v>5219</v>
      </c>
      <c r="E37" s="4">
        <v>3.294672517695308E-5</v>
      </c>
      <c r="F37" s="3">
        <v>0.99664148570577515</v>
      </c>
      <c r="G37" s="11">
        <f>(1-(F36+F37)/2)/E37</f>
        <v>997.20862234140782</v>
      </c>
      <c r="H37" s="12">
        <v>4427</v>
      </c>
      <c r="I37" s="21">
        <v>0.03</v>
      </c>
      <c r="J37" s="21">
        <v>1</v>
      </c>
      <c r="K37" s="16">
        <v>2739</v>
      </c>
      <c r="L37" s="16">
        <v>2739</v>
      </c>
      <c r="M37" s="16"/>
      <c r="N37" s="16">
        <v>3030</v>
      </c>
      <c r="O37" s="16" t="s">
        <v>202</v>
      </c>
      <c r="P37" s="18">
        <v>0.20462046204620463</v>
      </c>
      <c r="Q37" s="18">
        <v>0.74917491749174914</v>
      </c>
      <c r="R37" s="18"/>
      <c r="S37" s="18"/>
      <c r="T37" s="46">
        <v>254.8243548387097</v>
      </c>
      <c r="U37" s="46">
        <v>166.49696099888928</v>
      </c>
      <c r="V37" s="46">
        <v>364.5608370044053</v>
      </c>
      <c r="W37" s="47">
        <f t="shared" si="65"/>
        <v>254.8243548387097</v>
      </c>
      <c r="X37" s="47">
        <f t="shared" si="65"/>
        <v>166.49696099888928</v>
      </c>
      <c r="Y37" s="47">
        <f t="shared" si="65"/>
        <v>364.5608370044053</v>
      </c>
      <c r="Z37">
        <f t="shared" si="11"/>
        <v>-4.0000000000000036E-2</v>
      </c>
      <c r="AA37" s="44">
        <f t="shared" si="44"/>
        <v>4.9038441206355516</v>
      </c>
      <c r="AB37" s="44">
        <f t="shared" si="45"/>
        <v>8.1602233558528443</v>
      </c>
      <c r="AC37" s="44">
        <f t="shared" si="46"/>
        <v>21.951282457721842</v>
      </c>
      <c r="AD37" s="44">
        <f t="shared" si="12"/>
        <v>0.15166528208151189</v>
      </c>
      <c r="AE37" s="44">
        <f t="shared" si="13"/>
        <v>0.25237804193359314</v>
      </c>
      <c r="AF37" s="44">
        <f t="shared" si="14"/>
        <v>0.67890564302232492</v>
      </c>
      <c r="AG37" s="44">
        <f t="shared" si="15"/>
        <v>0.19615376482542224</v>
      </c>
      <c r="AH37" s="44">
        <f t="shared" si="16"/>
        <v>0.32640893423411405</v>
      </c>
      <c r="AI37" s="44">
        <f t="shared" si="17"/>
        <v>0.87805129830887441</v>
      </c>
      <c r="AJ37" s="44">
        <f t="shared" si="18"/>
        <v>6.0666112832604814E-3</v>
      </c>
      <c r="AK37" s="44">
        <f t="shared" si="19"/>
        <v>1.0095121677343735E-2</v>
      </c>
      <c r="AL37" s="48">
        <f t="shared" si="20"/>
        <v>2.7156225720893021E-2</v>
      </c>
      <c r="AM37" s="45">
        <v>2480</v>
      </c>
      <c r="AN37" s="16">
        <v>2480</v>
      </c>
      <c r="AO37" s="16"/>
      <c r="AP37" s="16">
        <v>2800</v>
      </c>
      <c r="AQ37" s="16" t="s">
        <v>202</v>
      </c>
      <c r="AR37" s="18">
        <v>0.22142857142857142</v>
      </c>
      <c r="AS37" s="18">
        <v>0.72499999999999998</v>
      </c>
      <c r="AT37" s="18"/>
      <c r="AU37" s="18"/>
      <c r="AV37" s="46">
        <v>230.94209677419354</v>
      </c>
      <c r="AW37" s="46">
        <v>160.29565423295648</v>
      </c>
      <c r="AX37" s="46">
        <v>351.19689655172414</v>
      </c>
      <c r="AY37" s="47">
        <f t="shared" si="66"/>
        <v>230.94209677419354</v>
      </c>
      <c r="AZ37" s="47">
        <f t="shared" si="67"/>
        <v>160.29565423295648</v>
      </c>
      <c r="BA37" s="47">
        <f t="shared" si="67"/>
        <v>351.19689655172414</v>
      </c>
      <c r="BB37">
        <f t="shared" si="4"/>
        <v>-4.0000000000000036E-2</v>
      </c>
      <c r="BC37" s="44">
        <f t="shared" si="47"/>
        <v>4.3560878363173856</v>
      </c>
      <c r="BD37" s="44">
        <f t="shared" si="48"/>
        <v>6.9454706923915284</v>
      </c>
      <c r="BE37" s="44">
        <f t="shared" si="49"/>
        <v>19.508058201015622</v>
      </c>
      <c r="BF37" s="44">
        <f t="shared" si="22"/>
        <v>0.13472436607167174</v>
      </c>
      <c r="BG37" s="44">
        <f t="shared" si="23"/>
        <v>0.21480837192963489</v>
      </c>
      <c r="BH37" s="44">
        <f t="shared" si="24"/>
        <v>0.60334200621697798</v>
      </c>
      <c r="BI37" s="44">
        <f t="shared" si="25"/>
        <v>0.17424351345269559</v>
      </c>
      <c r="BJ37" s="44">
        <f t="shared" si="26"/>
        <v>0.27781882769566141</v>
      </c>
      <c r="BK37" s="44">
        <f t="shared" si="27"/>
        <v>0.78032232804062562</v>
      </c>
      <c r="BL37" s="44">
        <f t="shared" si="28"/>
        <v>5.3889746428668738E-3</v>
      </c>
      <c r="BM37" s="44">
        <f t="shared" si="29"/>
        <v>8.5923348771854043E-3</v>
      </c>
      <c r="BN37" s="44">
        <f t="shared" si="30"/>
        <v>2.4133680248679141E-2</v>
      </c>
      <c r="BQ37" s="44">
        <f t="shared" si="31"/>
        <v>15.631245889341983</v>
      </c>
      <c r="BT37" s="44">
        <f t="shared" si="50"/>
        <v>-15.027018127412207</v>
      </c>
      <c r="BU37" s="18"/>
      <c r="BX37" s="44">
        <f t="shared" si="32"/>
        <v>0.4834405945157314</v>
      </c>
      <c r="CA37" s="44">
        <f t="shared" si="33"/>
        <v>-0.46475313796120227</v>
      </c>
      <c r="CD37" s="16">
        <f t="shared" si="51"/>
        <v>1106500.994775278</v>
      </c>
      <c r="CE37" s="16">
        <f t="shared" si="52"/>
        <v>3839243.3226617235</v>
      </c>
      <c r="CF37" s="16">
        <f t="shared" si="53"/>
        <v>0</v>
      </c>
      <c r="CG37" s="16">
        <f t="shared" si="54"/>
        <v>0</v>
      </c>
      <c r="CH37" s="16">
        <f t="shared" si="55"/>
        <v>253289895.11293578</v>
      </c>
      <c r="CI37" s="16">
        <f t="shared" si="56"/>
        <v>1295887231.4244051</v>
      </c>
      <c r="CJ37" s="16">
        <f t="shared" si="57"/>
        <v>0</v>
      </c>
      <c r="CK37" s="16">
        <f t="shared" si="58"/>
        <v>0</v>
      </c>
      <c r="CM37" s="16">
        <f t="shared" si="59"/>
        <v>5204431.799999807</v>
      </c>
    </row>
    <row r="38" spans="1:91" x14ac:dyDescent="0.2">
      <c r="A38" s="2"/>
      <c r="B38" s="2"/>
      <c r="D38" s="12">
        <f>SUM(D8:D37)</f>
        <v>21586603</v>
      </c>
      <c r="E38" s="3">
        <f>SUM(E8:E37)</f>
        <v>0.13627282554991205</v>
      </c>
      <c r="I38" s="5"/>
      <c r="J38" s="3"/>
      <c r="K38" s="12">
        <f>SUM(K8:K37)</f>
        <v>10831665</v>
      </c>
      <c r="L38" s="12">
        <f>SUM(L8:L37)</f>
        <v>4272724</v>
      </c>
      <c r="M38" s="12">
        <f>SUM(M8:M37)</f>
        <v>6558941</v>
      </c>
      <c r="N38" s="12">
        <f t="shared" ref="N38:O38" si="68">SUM(N8:N37)</f>
        <v>4323470</v>
      </c>
      <c r="O38" s="12">
        <f t="shared" si="68"/>
        <v>922570</v>
      </c>
      <c r="S38" s="12"/>
      <c r="V38" s="10"/>
      <c r="W38" s="10"/>
      <c r="X38" s="10"/>
      <c r="Y38" s="10"/>
      <c r="AA38" s="43">
        <f>SUM(AA8:AA37)</f>
        <v>39.831531743729414</v>
      </c>
      <c r="AB38" s="43">
        <f t="shared" ref="AB38:AL38" si="69">SUM(AB8:AB37)</f>
        <v>158.10985843036434</v>
      </c>
      <c r="AC38" s="43">
        <f t="shared" si="69"/>
        <v>174.83837285362995</v>
      </c>
      <c r="AD38" s="43">
        <f t="shared" si="69"/>
        <v>33.947536511213535</v>
      </c>
      <c r="AE38" s="43">
        <f t="shared" si="69"/>
        <v>205.50539917218387</v>
      </c>
      <c r="AF38" s="43">
        <f t="shared" si="69"/>
        <v>120.23995384119891</v>
      </c>
      <c r="AG38" s="43">
        <f t="shared" si="69"/>
        <v>1.5932612697491781</v>
      </c>
      <c r="AH38" s="43">
        <f t="shared" si="69"/>
        <v>6.3243943372145779</v>
      </c>
      <c r="AI38" s="43">
        <f t="shared" si="69"/>
        <v>6.9935349141452061</v>
      </c>
      <c r="AJ38" s="43">
        <f t="shared" si="69"/>
        <v>1.3579014604485424</v>
      </c>
      <c r="AK38" s="43">
        <f t="shared" si="69"/>
        <v>8.2202159668873591</v>
      </c>
      <c r="AL38" s="43">
        <f t="shared" si="69"/>
        <v>4.8095981536479622</v>
      </c>
      <c r="AM38" s="49">
        <f>SUM(AM8:AM37)</f>
        <v>10754938</v>
      </c>
      <c r="AN38" s="12">
        <f>SUM(AN8:AN37)</f>
        <v>4273300</v>
      </c>
      <c r="AO38" s="12">
        <f>SUM(AO8:AO37)</f>
        <v>6481638</v>
      </c>
      <c r="AP38" s="12">
        <f t="shared" ref="AP38:AQ38" si="70">SUM(AP8:AP37)</f>
        <v>4315380</v>
      </c>
      <c r="AQ38" s="12">
        <f t="shared" si="70"/>
        <v>902930</v>
      </c>
      <c r="AU38" s="12"/>
      <c r="BA38" s="10"/>
      <c r="BC38" s="43">
        <f>SUM(BC8:BC37)</f>
        <v>39.208349791703817</v>
      </c>
      <c r="BD38" s="43">
        <f t="shared" ref="BD38" si="71">SUM(BD8:BD37)</f>
        <v>151.40677833632344</v>
      </c>
      <c r="BE38" s="43">
        <f t="shared" ref="BE38" si="72">SUM(BE8:BE37)</f>
        <v>172.45742088201217</v>
      </c>
      <c r="BF38" s="43">
        <f t="shared" ref="BF38" si="73">SUM(BF8:BF37)</f>
        <v>33.567474093971306</v>
      </c>
      <c r="BG38" s="43">
        <f t="shared" ref="BG38" si="74">SUM(BG8:BG37)</f>
        <v>198.5890528322704</v>
      </c>
      <c r="BH38" s="43">
        <f t="shared" ref="BH38" si="75">SUM(BH8:BH37)</f>
        <v>118.23163721488804</v>
      </c>
      <c r="BI38" s="43">
        <f t="shared" ref="BI38" si="76">SUM(BI8:BI37)</f>
        <v>1.568333991668154</v>
      </c>
      <c r="BJ38" s="43">
        <f t="shared" ref="BJ38" si="77">SUM(BJ8:BJ37)</f>
        <v>6.0562711334529444</v>
      </c>
      <c r="BK38" s="43">
        <f t="shared" ref="BK38" si="78">SUM(BK8:BK37)</f>
        <v>6.8982968352804948</v>
      </c>
      <c r="BL38" s="43">
        <f t="shared" ref="BL38" si="79">SUM(BL8:BL37)</f>
        <v>1.3426989637588531</v>
      </c>
      <c r="BM38" s="43">
        <f t="shared" ref="BM38" si="80">SUM(BM8:BM37)</f>
        <v>7.943562113290823</v>
      </c>
      <c r="BN38" s="43">
        <f t="shared" ref="BN38" si="81">SUM(BN8:BN37)</f>
        <v>4.7292654885955265</v>
      </c>
      <c r="BQ38" s="43">
        <f t="shared" ref="BQ38" si="82">SUM(BQ8:BQ37)</f>
        <v>320.28522758969467</v>
      </c>
      <c r="BT38" s="43">
        <f t="shared" ref="BT38" si="83">SUM(BT8:BT37)</f>
        <v>-307.90456211902716</v>
      </c>
      <c r="BX38" s="43">
        <f t="shared" ref="BX38" si="84">SUM(BX8:BX37)</f>
        <v>418.15355995076891</v>
      </c>
      <c r="CA38" s="43">
        <f t="shared" ref="CA38" si="85">SUM(CA8:CA37)</f>
        <v>-401.98978187059072</v>
      </c>
      <c r="CD38" s="12">
        <f t="shared" ref="CD38:CM38" si="86">SUM(CD8:CD37)</f>
        <v>27277840.924850315</v>
      </c>
      <c r="CE38" s="12">
        <f t="shared" si="86"/>
        <v>36336767.288661227</v>
      </c>
      <c r="CF38" s="12">
        <f t="shared" si="86"/>
        <v>34574749.838672832</v>
      </c>
      <c r="CG38" s="12">
        <f t="shared" si="86"/>
        <v>16341106.283403182</v>
      </c>
      <c r="CH38" s="12">
        <f t="shared" si="86"/>
        <v>12132097912.225756</v>
      </c>
      <c r="CI38" s="12">
        <f t="shared" si="86"/>
        <v>21258335390.975937</v>
      </c>
      <c r="CJ38" s="12">
        <f t="shared" si="86"/>
        <v>23852880312.609364</v>
      </c>
      <c r="CK38" s="12">
        <f t="shared" si="86"/>
        <v>13746120783.150726</v>
      </c>
      <c r="CM38" s="12">
        <f t="shared" si="86"/>
        <v>128202129.84491493</v>
      </c>
    </row>
    <row r="39" spans="1:91" x14ac:dyDescent="0.2">
      <c r="A39" s="2"/>
      <c r="B39" s="2"/>
      <c r="I39" s="5"/>
      <c r="J39" s="3"/>
      <c r="K39" s="12"/>
      <c r="L39" s="12"/>
      <c r="M39" s="12"/>
      <c r="N39" s="18">
        <f>N38/L38</f>
        <v>1.0118767325013269</v>
      </c>
      <c r="O39" s="12"/>
      <c r="S39" s="12"/>
      <c r="V39" s="10"/>
      <c r="W39" s="10"/>
      <c r="X39" s="10"/>
      <c r="Y39" s="10"/>
      <c r="AM39" s="14"/>
      <c r="AN39" s="12"/>
      <c r="AO39" s="12"/>
      <c r="AP39" s="18">
        <f>AP38/AN38</f>
        <v>1.0098471906957152</v>
      </c>
      <c r="AQ39" s="12"/>
      <c r="AU39" s="12"/>
      <c r="BA39" s="10"/>
      <c r="BO39" s="13" t="s">
        <v>213</v>
      </c>
      <c r="BQ39" s="43">
        <f>BQ38+BT38</f>
        <v>12.380665470667509</v>
      </c>
      <c r="BX39" s="43">
        <f>BX38+CA38</f>
        <v>16.16377808017819</v>
      </c>
    </row>
    <row r="40" spans="1:91" x14ac:dyDescent="0.2">
      <c r="A40" t="s">
        <v>152</v>
      </c>
      <c r="D40" s="12">
        <v>158407246</v>
      </c>
      <c r="I40" s="5"/>
      <c r="J40" s="13" t="s">
        <v>220</v>
      </c>
      <c r="K40" s="12"/>
      <c r="L40" s="12"/>
      <c r="M40" s="12"/>
      <c r="N40" s="12"/>
      <c r="O40" s="12"/>
      <c r="S40" s="12"/>
      <c r="V40" s="10"/>
      <c r="W40" s="10"/>
      <c r="X40" s="10"/>
      <c r="Y40" s="10"/>
      <c r="AM40" s="14"/>
      <c r="AN40" s="12"/>
      <c r="AO40" s="12"/>
      <c r="AP40" s="12"/>
      <c r="AQ40" s="12"/>
      <c r="AU40" s="12"/>
      <c r="BA40" s="10"/>
      <c r="CC40" s="53" t="s">
        <v>219</v>
      </c>
      <c r="CH40" s="46">
        <f>CH38/CD38</f>
        <v>444.76019732094431</v>
      </c>
      <c r="CI40" s="46">
        <f t="shared" ref="CI40:CK40" si="87">CI38/CE38</f>
        <v>585.03650647011557</v>
      </c>
      <c r="CJ40" s="46">
        <f t="shared" si="87"/>
        <v>689.89307005568685</v>
      </c>
      <c r="CK40" s="46">
        <f t="shared" si="87"/>
        <v>841.19890934874775</v>
      </c>
      <c r="CL40" s="46">
        <f>SUM(CH38:CK38)/SUM(CD38:CG38)</f>
        <v>619.83014572397519</v>
      </c>
      <c r="CM40" s="18">
        <f>CM38/D40</f>
        <v>0.80931985803802764</v>
      </c>
    </row>
    <row r="41" spans="1:91" x14ac:dyDescent="0.2">
      <c r="A41" s="2"/>
      <c r="B41" s="2"/>
      <c r="I41" s="5"/>
      <c r="K41" s="12"/>
      <c r="L41" s="12"/>
      <c r="M41" s="12"/>
      <c r="N41" s="12"/>
      <c r="O41" s="12"/>
      <c r="S41" s="12"/>
      <c r="V41" s="10"/>
      <c r="W41" s="10"/>
      <c r="X41" s="10"/>
      <c r="Y41" s="10"/>
      <c r="AM41" s="14"/>
      <c r="AN41" s="12"/>
      <c r="AO41" s="12"/>
      <c r="AP41" s="12"/>
      <c r="AQ41" s="12"/>
      <c r="AU41" s="12"/>
      <c r="BA41" s="10"/>
      <c r="CC41" s="9" t="s">
        <v>223</v>
      </c>
      <c r="CH41" s="46">
        <f>SUM(CH8:CH21,CH22/$G22)/SUM(CD8:CD21,CD22/$G22)</f>
        <v>730.27079245978621</v>
      </c>
      <c r="CI41" s="46">
        <f t="shared" ref="CI41:CK41" si="88">SUM(CI8:CI21,CI22/$G22)/SUM(CE8:CE21,CE22/$G22)</f>
        <v>814.09146258802127</v>
      </c>
      <c r="CJ41" s="46">
        <f t="shared" si="88"/>
        <v>957.40330731226561</v>
      </c>
      <c r="CK41" s="46">
        <f t="shared" si="88"/>
        <v>1129.8516196705609</v>
      </c>
      <c r="CL41" s="46">
        <f>(SUM(CH8:CK21)+SUM(CH22:CK22)/$G22)/(SUM(CD8:CG21)+SUM(CD22:CG22)/$G22)</f>
        <v>922.19770936579073</v>
      </c>
    </row>
    <row r="42" spans="1:91" x14ac:dyDescent="0.2">
      <c r="C42" t="s">
        <v>151</v>
      </c>
      <c r="E42" s="3">
        <f>SUM(E8:E22)</f>
        <v>0.11175416180141155</v>
      </c>
      <c r="J42" s="3"/>
      <c r="CC42" s="9" t="s">
        <v>225</v>
      </c>
      <c r="CH42" s="46">
        <f>SUM(CH8:CH34)/SUM(CD8:CD34)</f>
        <v>501.65878567604125</v>
      </c>
      <c r="CI42" s="46">
        <f t="shared" ref="CI42:CK42" si="89">SUM(CI8:CI34)/SUM(CE8:CE34)</f>
        <v>663.9407001511554</v>
      </c>
      <c r="CJ42" s="46">
        <f t="shared" si="89"/>
        <v>751.34378387646893</v>
      </c>
      <c r="CK42" s="46">
        <f t="shared" si="89"/>
        <v>873.66679015032946</v>
      </c>
      <c r="CL42" s="46">
        <f>SUM(CH8:CK34)/SUM(CD8:CG34)</f>
        <v>686.43374976541827</v>
      </c>
    </row>
    <row r="43" spans="1:91" x14ac:dyDescent="0.2">
      <c r="C43" t="s">
        <v>115</v>
      </c>
      <c r="E43" s="3">
        <f>SUM(E23:E37)</f>
        <v>2.451866374850049E-2</v>
      </c>
      <c r="J43" s="3"/>
    </row>
    <row r="44" spans="1:91" x14ac:dyDescent="0.2">
      <c r="C44" s="9"/>
      <c r="D44" s="9"/>
      <c r="E44" s="9"/>
      <c r="F44" s="9"/>
      <c r="G44" s="9"/>
      <c r="H44" s="9"/>
      <c r="J44" s="10"/>
      <c r="CC44" s="12">
        <f>SUM(CD38:CG38)</f>
        <v>114530464.33558756</v>
      </c>
    </row>
  </sheetData>
  <sheetProtection algorithmName="SHA-512" hashValue="KULkA92B4Jhuifx+r0n8wS1T/qRrp5I7N9U9CWKTZ0SKPIck04nLu/MuD5GmjBY7Cl+5zQafD4QPaINwZ07thA==" saltValue="Ct4qV1fB4T4RGwtydNBAJQ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Domestic</vt:lpstr>
      <vt:lpstr>International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Gosling</dc:creator>
  <cp:lastModifiedBy>Steven Landau</cp:lastModifiedBy>
  <dcterms:created xsi:type="dcterms:W3CDTF">2014-03-17T00:16:13Z</dcterms:created>
  <dcterms:modified xsi:type="dcterms:W3CDTF">2014-09-18T13:38:48Z</dcterms:modified>
</cp:coreProperties>
</file>