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105" windowWidth="14340" windowHeight="10935" tabRatio="704"/>
  </bookViews>
  <sheets>
    <sheet name="Instructions" sheetId="1" r:id="rId1"/>
    <sheet name="Step 1 and 2" sheetId="2" r:id="rId2"/>
    <sheet name="Step 3 to 6" sheetId="3" r:id="rId3"/>
    <sheet name="Steps 10 - 11  Pop Conseq" sheetId="4" r:id="rId4"/>
    <sheet name="Steps 12 - 13 Env Conseq" sheetId="5" r:id="rId5"/>
    <sheet name="Step 14 Max Conseq" sheetId="6" r:id="rId6"/>
    <sheet name="Step 16  ERC" sheetId="7" r:id="rId7"/>
    <sheet name="Step 17 RTF" sheetId="8" r:id="rId8"/>
    <sheet name="Step 19 Vulnerability" sheetId="9" r:id="rId9"/>
    <sheet name="Step 20 Risk " sheetId="10" r:id="rId10"/>
  </sheets>
  <calcPr calcId="125725"/>
  <customWorkbookViews>
    <customWorkbookView name="Mark Lepofsky - Personal View" guid="{3DB30FED-CC59-45C7-A6C7-CEC6DAE12EDE}" mergeInterval="0" personalView="1" maximized="1" windowWidth="1903" windowHeight="941" activeSheetId="1"/>
  </customWorkbookViews>
</workbook>
</file>

<file path=xl/calcChain.xml><?xml version="1.0" encoding="utf-8"?>
<calcChain xmlns="http://schemas.openxmlformats.org/spreadsheetml/2006/main">
  <c r="C128" i="8"/>
  <c r="B128"/>
  <c r="A128"/>
  <c r="E36" i="5"/>
  <c r="E35"/>
  <c r="E34"/>
  <c r="E33"/>
  <c r="E52"/>
  <c r="E51"/>
  <c r="E50"/>
  <c r="E49"/>
  <c r="E48"/>
  <c r="E47"/>
  <c r="E46"/>
  <c r="E45"/>
  <c r="E44"/>
  <c r="E43"/>
  <c r="E42"/>
  <c r="E41"/>
  <c r="E40"/>
  <c r="E39"/>
  <c r="E38"/>
  <c r="D52"/>
  <c r="D51"/>
  <c r="D50"/>
  <c r="D49"/>
  <c r="D48"/>
  <c r="D47"/>
  <c r="D46"/>
  <c r="D45"/>
  <c r="D44"/>
  <c r="D43"/>
  <c r="D42"/>
  <c r="D41"/>
  <c r="D40"/>
  <c r="D39"/>
  <c r="D38"/>
  <c r="D36"/>
  <c r="D35"/>
  <c r="D34"/>
  <c r="D33"/>
  <c r="I60" i="9"/>
  <c r="J60" s="1"/>
  <c r="I59"/>
  <c r="C60"/>
  <c r="B60"/>
  <c r="F40"/>
  <c r="B40"/>
  <c r="B39"/>
  <c r="B38"/>
  <c r="B37"/>
  <c r="C62" i="8"/>
  <c r="B62"/>
  <c r="A62"/>
  <c r="A78"/>
  <c r="C78"/>
  <c r="B78"/>
  <c r="C112"/>
  <c r="B112"/>
  <c r="A112"/>
  <c r="C103"/>
  <c r="B103"/>
  <c r="A103"/>
  <c r="C53" i="7"/>
  <c r="B53"/>
  <c r="C37"/>
  <c r="B37"/>
  <c r="B35" i="6"/>
  <c r="A35"/>
  <c r="B51"/>
  <c r="A51"/>
  <c r="B37" i="5"/>
  <c r="A37"/>
  <c r="B53"/>
  <c r="A53"/>
  <c r="A87" i="8"/>
  <c r="C87"/>
  <c r="B87"/>
  <c r="C35" i="6"/>
  <c r="F35" s="1"/>
  <c r="D37" i="7" s="1"/>
  <c r="N53" i="5"/>
  <c r="E51" i="6" s="1"/>
  <c r="C53" i="5"/>
  <c r="J53"/>
  <c r="D51" i="6" s="1"/>
  <c r="E53" i="5"/>
  <c r="K53" s="1"/>
  <c r="D53"/>
  <c r="J37"/>
  <c r="D35" i="6" s="1"/>
  <c r="E37" i="5"/>
  <c r="K37" s="1"/>
  <c r="N37" s="1"/>
  <c r="E35" i="6" s="1"/>
  <c r="D37" i="5"/>
  <c r="C37"/>
  <c r="G46" i="4"/>
  <c r="C51" i="6" s="1"/>
  <c r="F51" s="1"/>
  <c r="D53" i="7" s="1"/>
  <c r="G30" i="4"/>
  <c r="I95" i="2"/>
  <c r="I94"/>
  <c r="I92"/>
  <c r="I91"/>
  <c r="G71"/>
  <c r="I70"/>
  <c r="I69"/>
  <c r="D89" l="1"/>
  <c r="B102" i="8"/>
  <c r="A102"/>
  <c r="B101"/>
  <c r="A101"/>
  <c r="B100"/>
  <c r="A100"/>
  <c r="B99"/>
  <c r="A99"/>
  <c r="B98"/>
  <c r="A98"/>
  <c r="B97"/>
  <c r="A97"/>
  <c r="B96"/>
  <c r="A96"/>
  <c r="B95"/>
  <c r="A95"/>
  <c r="B94"/>
  <c r="A94"/>
  <c r="B93"/>
  <c r="A93"/>
  <c r="B92"/>
  <c r="A92"/>
  <c r="B91"/>
  <c r="A91"/>
  <c r="B90"/>
  <c r="A90"/>
  <c r="B89"/>
  <c r="A89"/>
  <c r="B88"/>
  <c r="A88"/>
  <c r="B86"/>
  <c r="A86"/>
  <c r="B85"/>
  <c r="A85"/>
  <c r="B84"/>
  <c r="A84"/>
  <c r="B83"/>
  <c r="A83"/>
  <c r="C102"/>
  <c r="C101"/>
  <c r="C100"/>
  <c r="C99"/>
  <c r="C98"/>
  <c r="C97"/>
  <c r="C96"/>
  <c r="C95"/>
  <c r="C94"/>
  <c r="C93"/>
  <c r="C92"/>
  <c r="C91"/>
  <c r="C90"/>
  <c r="C89"/>
  <c r="C88"/>
  <c r="C86"/>
  <c r="C85"/>
  <c r="C84"/>
  <c r="C83"/>
  <c r="C36"/>
  <c r="B77"/>
  <c r="A77"/>
  <c r="B76"/>
  <c r="A76"/>
  <c r="B75"/>
  <c r="A75"/>
  <c r="B74"/>
  <c r="A74"/>
  <c r="B73"/>
  <c r="A73"/>
  <c r="B72"/>
  <c r="A72"/>
  <c r="B71"/>
  <c r="A71"/>
  <c r="B70"/>
  <c r="A70"/>
  <c r="B69"/>
  <c r="A69"/>
  <c r="B68"/>
  <c r="A68"/>
  <c r="B67"/>
  <c r="A67"/>
  <c r="B66"/>
  <c r="A66"/>
  <c r="B65"/>
  <c r="A65"/>
  <c r="B64"/>
  <c r="A64"/>
  <c r="B63"/>
  <c r="A63"/>
  <c r="B61"/>
  <c r="A61"/>
  <c r="B60"/>
  <c r="A60"/>
  <c r="B59"/>
  <c r="B58"/>
  <c r="A59"/>
  <c r="A58"/>
  <c r="B52"/>
  <c r="A52"/>
  <c r="B51"/>
  <c r="A51"/>
  <c r="B50"/>
  <c r="A50"/>
  <c r="B49"/>
  <c r="A49"/>
  <c r="B48"/>
  <c r="A48"/>
  <c r="B47"/>
  <c r="A47"/>
  <c r="B46"/>
  <c r="A46"/>
  <c r="B45"/>
  <c r="A45"/>
  <c r="B44"/>
  <c r="A44"/>
  <c r="B43"/>
  <c r="A43"/>
  <c r="B42"/>
  <c r="A42"/>
  <c r="B41"/>
  <c r="A41"/>
  <c r="B40"/>
  <c r="A40"/>
  <c r="B39"/>
  <c r="A39"/>
  <c r="B38"/>
  <c r="A38"/>
  <c r="B35"/>
  <c r="A35"/>
  <c r="B34"/>
  <c r="A34"/>
  <c r="B33"/>
  <c r="B32"/>
  <c r="A33"/>
  <c r="A32"/>
  <c r="C30" i="10"/>
  <c r="B30"/>
  <c r="C29"/>
  <c r="B29"/>
  <c r="C28"/>
  <c r="B28"/>
  <c r="C27"/>
  <c r="B27"/>
  <c r="C26"/>
  <c r="B26"/>
  <c r="C25"/>
  <c r="B25"/>
  <c r="C24"/>
  <c r="B24"/>
  <c r="C23"/>
  <c r="B23"/>
  <c r="C22"/>
  <c r="B22"/>
  <c r="C21"/>
  <c r="B21"/>
  <c r="C20"/>
  <c r="B20"/>
  <c r="C19"/>
  <c r="B19"/>
  <c r="C18"/>
  <c r="B18"/>
  <c r="C17"/>
  <c r="B17"/>
  <c r="C16"/>
  <c r="B16"/>
  <c r="B15"/>
  <c r="C14"/>
  <c r="B14"/>
  <c r="C13"/>
  <c r="B13"/>
  <c r="C12"/>
  <c r="C11"/>
  <c r="B12"/>
  <c r="B11"/>
  <c r="C59" i="9"/>
  <c r="B59"/>
  <c r="C58"/>
  <c r="B58"/>
  <c r="C57"/>
  <c r="B57"/>
  <c r="C56"/>
  <c r="B56"/>
  <c r="C55"/>
  <c r="B55"/>
  <c r="C54"/>
  <c r="B54"/>
  <c r="C53"/>
  <c r="B53"/>
  <c r="C52"/>
  <c r="B52"/>
  <c r="C51"/>
  <c r="B51"/>
  <c r="C50"/>
  <c r="B50"/>
  <c r="C49"/>
  <c r="B49"/>
  <c r="C48"/>
  <c r="B48"/>
  <c r="C47"/>
  <c r="B47"/>
  <c r="C46"/>
  <c r="C45"/>
  <c r="B46"/>
  <c r="B45"/>
  <c r="B36"/>
  <c r="B127" i="8"/>
  <c r="A127"/>
  <c r="B126"/>
  <c r="A126"/>
  <c r="B125"/>
  <c r="A125"/>
  <c r="B124"/>
  <c r="A124"/>
  <c r="B123"/>
  <c r="A123"/>
  <c r="B122"/>
  <c r="A122"/>
  <c r="B121"/>
  <c r="A121"/>
  <c r="B120"/>
  <c r="A120"/>
  <c r="B119"/>
  <c r="A119"/>
  <c r="B118"/>
  <c r="A118"/>
  <c r="B117"/>
  <c r="A117"/>
  <c r="B116"/>
  <c r="A116"/>
  <c r="B115"/>
  <c r="A115"/>
  <c r="B114"/>
  <c r="A114"/>
  <c r="B113"/>
  <c r="A113"/>
  <c r="B111"/>
  <c r="A111"/>
  <c r="B110"/>
  <c r="A110"/>
  <c r="B109"/>
  <c r="B108"/>
  <c r="A109"/>
  <c r="A108"/>
  <c r="C52" i="7"/>
  <c r="B52"/>
  <c r="C51"/>
  <c r="B51"/>
  <c r="C50"/>
  <c r="B50"/>
  <c r="C49"/>
  <c r="B49"/>
  <c r="C48"/>
  <c r="B48"/>
  <c r="C47"/>
  <c r="B47"/>
  <c r="C46"/>
  <c r="B46"/>
  <c r="C45"/>
  <c r="B45"/>
  <c r="C44"/>
  <c r="B44"/>
  <c r="C43"/>
  <c r="B43"/>
  <c r="C42"/>
  <c r="B42"/>
  <c r="C41"/>
  <c r="B41"/>
  <c r="C40"/>
  <c r="B40"/>
  <c r="C39"/>
  <c r="B39"/>
  <c r="C38"/>
  <c r="B38"/>
  <c r="C36"/>
  <c r="B36"/>
  <c r="C35"/>
  <c r="B35"/>
  <c r="C34"/>
  <c r="B34"/>
  <c r="C33"/>
  <c r="B33"/>
  <c r="B50" i="6"/>
  <c r="A50"/>
  <c r="B49"/>
  <c r="A49"/>
  <c r="B48"/>
  <c r="A48"/>
  <c r="B47"/>
  <c r="A47"/>
  <c r="B46"/>
  <c r="A46"/>
  <c r="B45"/>
  <c r="A45"/>
  <c r="B44"/>
  <c r="A44"/>
  <c r="B43"/>
  <c r="A43"/>
  <c r="B42"/>
  <c r="A42"/>
  <c r="B41"/>
  <c r="A41"/>
  <c r="B40"/>
  <c r="A40"/>
  <c r="B39"/>
  <c r="A39"/>
  <c r="B38"/>
  <c r="A38"/>
  <c r="B37"/>
  <c r="A37"/>
  <c r="B36"/>
  <c r="A36"/>
  <c r="B34"/>
  <c r="A34"/>
  <c r="B33"/>
  <c r="A33"/>
  <c r="B32"/>
  <c r="A32"/>
  <c r="B31"/>
  <c r="A31"/>
  <c r="C36" i="5"/>
  <c r="B36"/>
  <c r="A36"/>
  <c r="C35"/>
  <c r="B35"/>
  <c r="A35"/>
  <c r="C34"/>
  <c r="B34"/>
  <c r="A34"/>
  <c r="C33"/>
  <c r="B33"/>
  <c r="A33"/>
  <c r="C52"/>
  <c r="B52"/>
  <c r="A52"/>
  <c r="C51"/>
  <c r="B51"/>
  <c r="A51"/>
  <c r="C50"/>
  <c r="B50"/>
  <c r="A50"/>
  <c r="C49"/>
  <c r="B49"/>
  <c r="A49"/>
  <c r="C48"/>
  <c r="B48"/>
  <c r="A48"/>
  <c r="C47"/>
  <c r="B47"/>
  <c r="A47"/>
  <c r="C46"/>
  <c r="B46"/>
  <c r="A46"/>
  <c r="C45"/>
  <c r="B45"/>
  <c r="A45"/>
  <c r="C44"/>
  <c r="B44"/>
  <c r="A44"/>
  <c r="C43"/>
  <c r="B43"/>
  <c r="A43"/>
  <c r="C42"/>
  <c r="B42"/>
  <c r="A42"/>
  <c r="C41"/>
  <c r="B41"/>
  <c r="A41"/>
  <c r="C40"/>
  <c r="B40"/>
  <c r="A40"/>
  <c r="C39"/>
  <c r="B39"/>
  <c r="A39"/>
  <c r="C38"/>
  <c r="B38"/>
  <c r="A38"/>
  <c r="D30" i="10"/>
  <c r="D29"/>
  <c r="D28"/>
  <c r="D27"/>
  <c r="D26"/>
  <c r="D25"/>
  <c r="D24"/>
  <c r="D23"/>
  <c r="D22"/>
  <c r="D21"/>
  <c r="D20"/>
  <c r="E13"/>
  <c r="D19"/>
  <c r="D18"/>
  <c r="D17"/>
  <c r="D16"/>
  <c r="D14"/>
  <c r="D13"/>
  <c r="D12"/>
  <c r="D11"/>
  <c r="C127" i="8"/>
  <c r="C126"/>
  <c r="C125"/>
  <c r="C124"/>
  <c r="C123"/>
  <c r="C122"/>
  <c r="C121"/>
  <c r="C120"/>
  <c r="C119"/>
  <c r="C118"/>
  <c r="C117"/>
  <c r="C116"/>
  <c r="C115"/>
  <c r="C114"/>
  <c r="C113"/>
  <c r="C111"/>
  <c r="C110"/>
  <c r="C109"/>
  <c r="C108"/>
  <c r="H81" i="2"/>
  <c r="G81"/>
  <c r="F81"/>
  <c r="D27" i="8"/>
  <c r="C22" i="7"/>
  <c r="C21"/>
  <c r="E37" s="1"/>
  <c r="C77" i="8"/>
  <c r="C76"/>
  <c r="C75"/>
  <c r="C74"/>
  <c r="C73"/>
  <c r="C72"/>
  <c r="C71"/>
  <c r="C70"/>
  <c r="C69"/>
  <c r="C68"/>
  <c r="C67"/>
  <c r="C66"/>
  <c r="C65"/>
  <c r="C64"/>
  <c r="C63"/>
  <c r="C61"/>
  <c r="C60"/>
  <c r="C59"/>
  <c r="C58"/>
  <c r="C52"/>
  <c r="D52" s="1"/>
  <c r="F52" s="1"/>
  <c r="G52" s="1"/>
  <c r="C51"/>
  <c r="D51" s="1"/>
  <c r="F51" s="1"/>
  <c r="G51" s="1"/>
  <c r="C50"/>
  <c r="D50" s="1"/>
  <c r="F50" s="1"/>
  <c r="G50" s="1"/>
  <c r="C49"/>
  <c r="D49" s="1"/>
  <c r="F49" s="1"/>
  <c r="G49" s="1"/>
  <c r="C48"/>
  <c r="C47"/>
  <c r="C46"/>
  <c r="C45"/>
  <c r="C44"/>
  <c r="C43"/>
  <c r="C42"/>
  <c r="C41"/>
  <c r="C40"/>
  <c r="C39"/>
  <c r="C38"/>
  <c r="C35"/>
  <c r="C34"/>
  <c r="C33"/>
  <c r="D48"/>
  <c r="D47"/>
  <c r="F48"/>
  <c r="G48" s="1"/>
  <c r="F47"/>
  <c r="G47" s="1"/>
  <c r="D46"/>
  <c r="D45"/>
  <c r="F45" s="1"/>
  <c r="G45" s="1"/>
  <c r="D44"/>
  <c r="F46"/>
  <c r="G46" s="1"/>
  <c r="F44"/>
  <c r="G44" s="1"/>
  <c r="D43"/>
  <c r="F43" s="1"/>
  <c r="G43" s="1"/>
  <c r="D42"/>
  <c r="F42" s="1"/>
  <c r="G42" s="1"/>
  <c r="D41"/>
  <c r="D40"/>
  <c r="F40" s="1"/>
  <c r="G40" s="1"/>
  <c r="D39"/>
  <c r="F39" s="1"/>
  <c r="G39" s="1"/>
  <c r="D38"/>
  <c r="F38" s="1"/>
  <c r="G38" s="1"/>
  <c r="F41"/>
  <c r="G41" s="1"/>
  <c r="C32"/>
  <c r="H96" i="2"/>
  <c r="G95"/>
  <c r="F95"/>
  <c r="E94"/>
  <c r="D94"/>
  <c r="H93"/>
  <c r="G92"/>
  <c r="F91"/>
  <c r="E90"/>
  <c r="H87"/>
  <c r="G87"/>
  <c r="F87"/>
  <c r="E87"/>
  <c r="D87"/>
  <c r="H85"/>
  <c r="G85"/>
  <c r="F85"/>
  <c r="E85"/>
  <c r="H84"/>
  <c r="G84"/>
  <c r="F84"/>
  <c r="E84"/>
  <c r="D84"/>
  <c r="H83"/>
  <c r="G83"/>
  <c r="F83"/>
  <c r="E83"/>
  <c r="D83"/>
  <c r="H80"/>
  <c r="G80"/>
  <c r="F80"/>
  <c r="E80"/>
  <c r="H79"/>
  <c r="D79"/>
  <c r="H78"/>
  <c r="G78"/>
  <c r="F78"/>
  <c r="E78"/>
  <c r="D78"/>
  <c r="H77"/>
  <c r="G77"/>
  <c r="F77"/>
  <c r="E77"/>
  <c r="D77"/>
  <c r="H75"/>
  <c r="H74"/>
  <c r="G74"/>
  <c r="H73"/>
  <c r="G73"/>
  <c r="F73"/>
  <c r="E73"/>
  <c r="D73"/>
  <c r="H71"/>
  <c r="H70"/>
  <c r="G70"/>
  <c r="H69"/>
  <c r="G69"/>
  <c r="F69"/>
  <c r="H68"/>
  <c r="H67"/>
  <c r="G67"/>
  <c r="H66"/>
  <c r="G66"/>
  <c r="F66"/>
  <c r="E66"/>
  <c r="D66"/>
  <c r="H64"/>
  <c r="H63"/>
  <c r="G63"/>
  <c r="H62"/>
  <c r="G62"/>
  <c r="H61"/>
  <c r="G61"/>
  <c r="H60"/>
  <c r="G60"/>
  <c r="F60"/>
  <c r="E60"/>
  <c r="D60"/>
  <c r="H58"/>
  <c r="H57"/>
  <c r="G57"/>
  <c r="H56"/>
  <c r="G56"/>
  <c r="H55"/>
  <c r="G55"/>
  <c r="F55"/>
  <c r="H53"/>
  <c r="G53"/>
  <c r="F53"/>
  <c r="H52"/>
  <c r="G52"/>
  <c r="F52"/>
  <c r="E52"/>
  <c r="D52"/>
  <c r="H48"/>
  <c r="G48"/>
  <c r="F48"/>
  <c r="E48"/>
  <c r="D48"/>
  <c r="H47"/>
  <c r="H46"/>
  <c r="G46"/>
  <c r="H45"/>
  <c r="G45"/>
  <c r="F45"/>
  <c r="E45"/>
  <c r="D45"/>
  <c r="H43"/>
  <c r="G43"/>
  <c r="F43"/>
  <c r="H42"/>
  <c r="H41"/>
  <c r="G41"/>
  <c r="H40"/>
  <c r="G40"/>
  <c r="F40"/>
  <c r="E40"/>
  <c r="H38"/>
  <c r="H37"/>
  <c r="G37"/>
  <c r="H36"/>
  <c r="G36"/>
  <c r="F36"/>
  <c r="E36"/>
  <c r="H34"/>
  <c r="H33"/>
  <c r="G33"/>
  <c r="H32"/>
  <c r="G32"/>
  <c r="F32"/>
  <c r="H31"/>
  <c r="G31"/>
  <c r="F31"/>
  <c r="E31"/>
  <c r="D31"/>
  <c r="H30"/>
  <c r="G30"/>
  <c r="F30"/>
  <c r="E30"/>
  <c r="D30"/>
  <c r="H29"/>
  <c r="G29"/>
  <c r="F29"/>
  <c r="E29"/>
  <c r="D29"/>
  <c r="H28"/>
  <c r="G28"/>
  <c r="F28"/>
  <c r="E28"/>
  <c r="D28"/>
  <c r="H26"/>
  <c r="H25"/>
  <c r="G25"/>
  <c r="H24"/>
  <c r="G24"/>
  <c r="F24"/>
  <c r="E24"/>
  <c r="H23"/>
  <c r="G23"/>
  <c r="F23"/>
  <c r="E23"/>
  <c r="F51" i="7" l="1"/>
  <c r="F53"/>
  <c r="F37"/>
  <c r="G37" s="1"/>
  <c r="E53"/>
  <c r="G53" s="1"/>
  <c r="D126" i="8"/>
  <c r="F126" s="1"/>
  <c r="G126" s="1"/>
  <c r="D62"/>
  <c r="F62" s="1"/>
  <c r="G62" s="1"/>
  <c r="D112"/>
  <c r="F112" s="1"/>
  <c r="G112" s="1"/>
  <c r="D103"/>
  <c r="F103" s="1"/>
  <c r="G103" s="1"/>
  <c r="D128"/>
  <c r="F128" s="1"/>
  <c r="G128" s="1"/>
  <c r="D78"/>
  <c r="F78" s="1"/>
  <c r="G78" s="1"/>
  <c r="H128" s="1"/>
  <c r="D87"/>
  <c r="F87" s="1"/>
  <c r="G87" s="1"/>
  <c r="E97" i="2"/>
  <c r="E99" s="1"/>
  <c r="D97"/>
  <c r="D99" s="1"/>
  <c r="E106" i="8"/>
  <c r="E81"/>
  <c r="E56"/>
  <c r="F97" i="2"/>
  <c r="F99" s="1"/>
  <c r="D83" i="8"/>
  <c r="F83" s="1"/>
  <c r="G83" s="1"/>
  <c r="D84"/>
  <c r="F84" s="1"/>
  <c r="G84" s="1"/>
  <c r="D85"/>
  <c r="F85" s="1"/>
  <c r="G85" s="1"/>
  <c r="D86"/>
  <c r="F86" s="1"/>
  <c r="G86" s="1"/>
  <c r="D88"/>
  <c r="F88" s="1"/>
  <c r="G88" s="1"/>
  <c r="D89"/>
  <c r="F89" s="1"/>
  <c r="G89" s="1"/>
  <c r="D90"/>
  <c r="F90" s="1"/>
  <c r="G90" s="1"/>
  <c r="D91"/>
  <c r="F91" s="1"/>
  <c r="G91" s="1"/>
  <c r="D92"/>
  <c r="F92" s="1"/>
  <c r="G92" s="1"/>
  <c r="D93"/>
  <c r="F93" s="1"/>
  <c r="G93" s="1"/>
  <c r="D94"/>
  <c r="F94" s="1"/>
  <c r="G94" s="1"/>
  <c r="D95"/>
  <c r="F95" s="1"/>
  <c r="G95" s="1"/>
  <c r="D96"/>
  <c r="F96" s="1"/>
  <c r="G96" s="1"/>
  <c r="D97"/>
  <c r="F97" s="1"/>
  <c r="G97" s="1"/>
  <c r="D98"/>
  <c r="F98" s="1"/>
  <c r="G98" s="1"/>
  <c r="D99"/>
  <c r="F99" s="1"/>
  <c r="G99" s="1"/>
  <c r="D100"/>
  <c r="F100" s="1"/>
  <c r="G100" s="1"/>
  <c r="D101"/>
  <c r="F101" s="1"/>
  <c r="G101" s="1"/>
  <c r="D102"/>
  <c r="F102" s="1"/>
  <c r="G102" s="1"/>
  <c r="D108"/>
  <c r="F108" s="1"/>
  <c r="G108" s="1"/>
  <c r="D110"/>
  <c r="F110" s="1"/>
  <c r="G110" s="1"/>
  <c r="D113"/>
  <c r="F113" s="1"/>
  <c r="G113" s="1"/>
  <c r="D115"/>
  <c r="F115" s="1"/>
  <c r="G115" s="1"/>
  <c r="D117"/>
  <c r="F117" s="1"/>
  <c r="G117" s="1"/>
  <c r="D119"/>
  <c r="F119" s="1"/>
  <c r="G119" s="1"/>
  <c r="D121"/>
  <c r="F121" s="1"/>
  <c r="G121" s="1"/>
  <c r="D123"/>
  <c r="F123" s="1"/>
  <c r="G123" s="1"/>
  <c r="D125"/>
  <c r="F125" s="1"/>
  <c r="G125" s="1"/>
  <c r="D127"/>
  <c r="F127" s="1"/>
  <c r="G127" s="1"/>
  <c r="D109"/>
  <c r="F109" s="1"/>
  <c r="G109" s="1"/>
  <c r="D111"/>
  <c r="F111" s="1"/>
  <c r="G111" s="1"/>
  <c r="D114"/>
  <c r="D116"/>
  <c r="F116" s="1"/>
  <c r="G116" s="1"/>
  <c r="D118"/>
  <c r="F118" s="1"/>
  <c r="G118" s="1"/>
  <c r="D120"/>
  <c r="F120" s="1"/>
  <c r="G120" s="1"/>
  <c r="D122"/>
  <c r="F122" s="1"/>
  <c r="G122" s="1"/>
  <c r="D124"/>
  <c r="F124" s="1"/>
  <c r="G124" s="1"/>
  <c r="D32"/>
  <c r="F32" s="1"/>
  <c r="G32" s="1"/>
  <c r="D34"/>
  <c r="F34" s="1"/>
  <c r="G34" s="1"/>
  <c r="D36"/>
  <c r="F36" s="1"/>
  <c r="G36" s="1"/>
  <c r="H112" s="1"/>
  <c r="D59"/>
  <c r="F59" s="1"/>
  <c r="G59" s="1"/>
  <c r="D61"/>
  <c r="F61" s="1"/>
  <c r="G61" s="1"/>
  <c r="D64"/>
  <c r="D66"/>
  <c r="F66" s="1"/>
  <c r="G66" s="1"/>
  <c r="D68"/>
  <c r="F68" s="1"/>
  <c r="G68" s="1"/>
  <c r="D70"/>
  <c r="F70" s="1"/>
  <c r="G70" s="1"/>
  <c r="D72"/>
  <c r="D74"/>
  <c r="F74" s="1"/>
  <c r="G74" s="1"/>
  <c r="D76"/>
  <c r="F76" s="1"/>
  <c r="G76" s="1"/>
  <c r="D33"/>
  <c r="F33" s="1"/>
  <c r="G33" s="1"/>
  <c r="D35"/>
  <c r="F35" s="1"/>
  <c r="G35" s="1"/>
  <c r="D58"/>
  <c r="F58" s="1"/>
  <c r="G58" s="1"/>
  <c r="D60"/>
  <c r="F60" s="1"/>
  <c r="G60" s="1"/>
  <c r="D63"/>
  <c r="F63" s="1"/>
  <c r="G63" s="1"/>
  <c r="D65"/>
  <c r="F65" s="1"/>
  <c r="G65" s="1"/>
  <c r="D67"/>
  <c r="F67" s="1"/>
  <c r="G67" s="1"/>
  <c r="D69"/>
  <c r="F69" s="1"/>
  <c r="G69" s="1"/>
  <c r="D71"/>
  <c r="F71" s="1"/>
  <c r="G71" s="1"/>
  <c r="D73"/>
  <c r="F73" s="1"/>
  <c r="G73" s="1"/>
  <c r="D75"/>
  <c r="F75" s="1"/>
  <c r="G75" s="1"/>
  <c r="D77"/>
  <c r="F77" s="1"/>
  <c r="G77" s="1"/>
  <c r="F114"/>
  <c r="G114" s="1"/>
  <c r="F64"/>
  <c r="G64" s="1"/>
  <c r="F42" i="7"/>
  <c r="F72" i="8"/>
  <c r="G72" s="1"/>
  <c r="H97" i="2"/>
  <c r="H99" s="1"/>
  <c r="G97"/>
  <c r="G99" s="1"/>
  <c r="F34" i="7"/>
  <c r="F36"/>
  <c r="F39"/>
  <c r="F41"/>
  <c r="F44"/>
  <c r="F46"/>
  <c r="F48"/>
  <c r="F50"/>
  <c r="F52"/>
  <c r="F33"/>
  <c r="F35"/>
  <c r="F38"/>
  <c r="F40"/>
  <c r="F43"/>
  <c r="F45"/>
  <c r="F47"/>
  <c r="F49"/>
  <c r="M50" i="5"/>
  <c r="N50" s="1"/>
  <c r="E48" i="6" s="1"/>
  <c r="M49" i="5"/>
  <c r="M48"/>
  <c r="M47"/>
  <c r="M46"/>
  <c r="M45"/>
  <c r="M44"/>
  <c r="N44" s="1"/>
  <c r="E42" i="6" s="1"/>
  <c r="M43" i="5"/>
  <c r="M42"/>
  <c r="M41"/>
  <c r="M40"/>
  <c r="M39"/>
  <c r="M38"/>
  <c r="N38" s="1"/>
  <c r="E36" i="6" s="1"/>
  <c r="G48" i="5"/>
  <c r="G39"/>
  <c r="G46"/>
  <c r="K48"/>
  <c r="K49" s="1"/>
  <c r="K39"/>
  <c r="K40" s="1"/>
  <c r="G40"/>
  <c r="N40" s="1"/>
  <c r="E38" i="6" s="1"/>
  <c r="G51" i="5"/>
  <c r="K52"/>
  <c r="K51"/>
  <c r="G52"/>
  <c r="M52"/>
  <c r="M51"/>
  <c r="I52"/>
  <c r="J52" s="1"/>
  <c r="D50" i="6" s="1"/>
  <c r="I51" i="5"/>
  <c r="J51" s="1"/>
  <c r="D49" i="6" s="1"/>
  <c r="I50" i="5"/>
  <c r="J50" s="1"/>
  <c r="D48" i="6" s="1"/>
  <c r="I49" i="5"/>
  <c r="J49" s="1"/>
  <c r="D47" i="6" s="1"/>
  <c r="I48" i="5"/>
  <c r="J48" s="1"/>
  <c r="D46" i="6" s="1"/>
  <c r="I47" i="5"/>
  <c r="J47" s="1"/>
  <c r="D45" i="6" s="1"/>
  <c r="I46" i="5"/>
  <c r="J46" s="1"/>
  <c r="D44" i="6" s="1"/>
  <c r="I45" i="5"/>
  <c r="J45" s="1"/>
  <c r="D43" i="6" s="1"/>
  <c r="I44" i="5"/>
  <c r="J44" s="1"/>
  <c r="D42" i="6" s="1"/>
  <c r="I43" i="5"/>
  <c r="J43" s="1"/>
  <c r="D41" i="6" s="1"/>
  <c r="I42" i="5"/>
  <c r="J42" s="1"/>
  <c r="D40" i="6" s="1"/>
  <c r="I41" i="5"/>
  <c r="J41" s="1"/>
  <c r="D39" i="6" s="1"/>
  <c r="I40" i="5"/>
  <c r="J40" s="1"/>
  <c r="D38" i="6" s="1"/>
  <c r="I39" i="5"/>
  <c r="J39" s="1"/>
  <c r="D37" i="6" s="1"/>
  <c r="I38" i="5"/>
  <c r="J38" s="1"/>
  <c r="D36" i="6" s="1"/>
  <c r="N51" i="5"/>
  <c r="E49" i="6" s="1"/>
  <c r="N47" i="5"/>
  <c r="E45" i="6" s="1"/>
  <c r="N45" i="5"/>
  <c r="E43" i="6" s="1"/>
  <c r="N43" i="5"/>
  <c r="E41" i="6" s="1"/>
  <c r="N41" i="5"/>
  <c r="E39" i="6" s="1"/>
  <c r="N39" i="5"/>
  <c r="E37" i="6" s="1"/>
  <c r="G49" i="5"/>
  <c r="N49" s="1"/>
  <c r="E47" i="6" s="1"/>
  <c r="E45" i="4"/>
  <c r="G45" s="1"/>
  <c r="C50" i="6" s="1"/>
  <c r="E44" i="4"/>
  <c r="G44" s="1"/>
  <c r="C49" i="6" s="1"/>
  <c r="E39" i="4"/>
  <c r="E38"/>
  <c r="E43"/>
  <c r="G43" s="1"/>
  <c r="C48" i="6" s="1"/>
  <c r="E40" i="4"/>
  <c r="G40" s="1"/>
  <c r="C45" i="6" s="1"/>
  <c r="E41" i="4"/>
  <c r="G41" s="1"/>
  <c r="C46" i="6" s="1"/>
  <c r="E42" i="4"/>
  <c r="G42" s="1"/>
  <c r="C47" i="6" s="1"/>
  <c r="G39" i="4"/>
  <c r="C44" i="6" s="1"/>
  <c r="G38" i="4"/>
  <c r="C43" i="6" s="1"/>
  <c r="E37" i="4"/>
  <c r="G37" s="1"/>
  <c r="C42" i="6" s="1"/>
  <c r="E36" i="4"/>
  <c r="G36" s="1"/>
  <c r="C41" i="6" s="1"/>
  <c r="I36" i="5"/>
  <c r="J36" s="1"/>
  <c r="D34" i="6" s="1"/>
  <c r="I35" i="5"/>
  <c r="J35" s="1"/>
  <c r="D33" i="6" s="1"/>
  <c r="I34" i="5"/>
  <c r="J34" s="1"/>
  <c r="D32" i="6" s="1"/>
  <c r="I33" i="5"/>
  <c r="J33" s="1"/>
  <c r="D31" i="6" s="1"/>
  <c r="D52" s="1"/>
  <c r="M36" i="5"/>
  <c r="M35"/>
  <c r="M34"/>
  <c r="M33"/>
  <c r="G42"/>
  <c r="K36"/>
  <c r="N36" s="1"/>
  <c r="E34" i="6" s="1"/>
  <c r="K35" i="5"/>
  <c r="K34"/>
  <c r="N34" s="1"/>
  <c r="E32" i="6" s="1"/>
  <c r="K33" i="5"/>
  <c r="E35" i="4"/>
  <c r="E34"/>
  <c r="G34" s="1"/>
  <c r="C39" i="6" s="1"/>
  <c r="E33" i="4"/>
  <c r="G33" s="1"/>
  <c r="E32"/>
  <c r="G32" s="1"/>
  <c r="E31"/>
  <c r="G31" s="1"/>
  <c r="C36" i="6" s="1"/>
  <c r="E29" i="4"/>
  <c r="E28"/>
  <c r="E27"/>
  <c r="E26"/>
  <c r="J59" i="9"/>
  <c r="E30" i="10" s="1"/>
  <c r="I58" i="9"/>
  <c r="J58" s="1"/>
  <c r="E29" i="10" s="1"/>
  <c r="I57" i="9"/>
  <c r="J57" s="1"/>
  <c r="E28" i="10" s="1"/>
  <c r="I56" i="9"/>
  <c r="J56" s="1"/>
  <c r="E27" i="10" s="1"/>
  <c r="I55" i="9"/>
  <c r="J55" s="1"/>
  <c r="E26" i="10" s="1"/>
  <c r="I54" i="9"/>
  <c r="J54" s="1"/>
  <c r="E25" i="10" s="1"/>
  <c r="I53" i="9"/>
  <c r="J53" s="1"/>
  <c r="E24" i="10" s="1"/>
  <c r="I52" i="9"/>
  <c r="J52" s="1"/>
  <c r="E23" i="10" s="1"/>
  <c r="I51" i="9"/>
  <c r="J51" s="1"/>
  <c r="E22" i="10" s="1"/>
  <c r="I50" i="9"/>
  <c r="J50" s="1"/>
  <c r="E21" i="10" s="1"/>
  <c r="I49" i="9"/>
  <c r="J49" s="1"/>
  <c r="E20" i="10" s="1"/>
  <c r="I48" i="9"/>
  <c r="J48" s="1"/>
  <c r="E19" i="10" s="1"/>
  <c r="I47" i="9"/>
  <c r="J47" s="1"/>
  <c r="E18" i="10" s="1"/>
  <c r="I46" i="9"/>
  <c r="J46" s="1"/>
  <c r="E17" i="10" s="1"/>
  <c r="I45" i="9"/>
  <c r="J45" s="1"/>
  <c r="E16" i="10" s="1"/>
  <c r="F39" i="9"/>
  <c r="E14" i="10" s="1"/>
  <c r="F37" i="9"/>
  <c r="E12" i="10" s="1"/>
  <c r="F36" i="9"/>
  <c r="E11" i="10" s="1"/>
  <c r="H126" i="8" l="1"/>
  <c r="N33" i="5"/>
  <c r="E52" i="6" s="1"/>
  <c r="N35" i="5"/>
  <c r="E33" i="6" s="1"/>
  <c r="N52" i="5"/>
  <c r="E50" i="6" s="1"/>
  <c r="F50" s="1"/>
  <c r="F30" i="10" s="1"/>
  <c r="N42" i="5"/>
  <c r="E40" i="6" s="1"/>
  <c r="N46" i="5"/>
  <c r="E44" i="6" s="1"/>
  <c r="F44" s="1"/>
  <c r="F24" i="10" s="1"/>
  <c r="N48" i="5"/>
  <c r="E46" i="6" s="1"/>
  <c r="F46" s="1"/>
  <c r="F26" i="10" s="1"/>
  <c r="F42" i="6"/>
  <c r="F22" i="10" s="1"/>
  <c r="F48" i="6"/>
  <c r="F28" i="10" s="1"/>
  <c r="E31" i="6"/>
  <c r="F41"/>
  <c r="F21" i="10" s="1"/>
  <c r="F43" i="6"/>
  <c r="F23" i="10" s="1"/>
  <c r="F47" i="6"/>
  <c r="F27" i="10" s="1"/>
  <c r="F45" i="6"/>
  <c r="F25" i="10" s="1"/>
  <c r="F49" i="6"/>
  <c r="F29" i="10" s="1"/>
  <c r="H122" i="8"/>
  <c r="G25" i="10" s="1"/>
  <c r="H118" i="8"/>
  <c r="G21" i="10" s="1"/>
  <c r="H114" i="8"/>
  <c r="G17" i="10" s="1"/>
  <c r="H125" i="8"/>
  <c r="G28" i="10" s="1"/>
  <c r="H121" i="8"/>
  <c r="G24" i="10" s="1"/>
  <c r="H117" i="8"/>
  <c r="G20" i="10" s="1"/>
  <c r="H113" i="8"/>
  <c r="G16" i="10" s="1"/>
  <c r="H109" i="8"/>
  <c r="G12" i="10" s="1"/>
  <c r="H108" i="8"/>
  <c r="G11" i="10" s="1"/>
  <c r="H124" i="8"/>
  <c r="G27" i="10" s="1"/>
  <c r="H120" i="8"/>
  <c r="G23" i="10" s="1"/>
  <c r="H116" i="8"/>
  <c r="G19" i="10" s="1"/>
  <c r="H127" i="8"/>
  <c r="G30" i="10" s="1"/>
  <c r="H123" i="8"/>
  <c r="G26" i="10" s="1"/>
  <c r="H119" i="8"/>
  <c r="G22" i="10" s="1"/>
  <c r="H115" i="8"/>
  <c r="G18" i="10" s="1"/>
  <c r="H111" i="8"/>
  <c r="G14" i="10" s="1"/>
  <c r="H110" i="8"/>
  <c r="G13" i="10" s="1"/>
  <c r="G29"/>
  <c r="G35" i="4"/>
  <c r="C40" i="6" s="1"/>
  <c r="F37"/>
  <c r="G29" i="4"/>
  <c r="C34" i="6" s="1"/>
  <c r="F34" s="1"/>
  <c r="G28" i="4"/>
  <c r="C33" i="6" s="1"/>
  <c r="F33" s="1"/>
  <c r="F36"/>
  <c r="F39"/>
  <c r="G27" i="4"/>
  <c r="C32" i="6" s="1"/>
  <c r="F32" s="1"/>
  <c r="G26" i="4"/>
  <c r="C31" i="6" s="1"/>
  <c r="F40" l="1"/>
  <c r="F20" i="10" s="1"/>
  <c r="F31" i="6"/>
  <c r="D33" i="7" s="1"/>
  <c r="D34"/>
  <c r="F12" i="10"/>
  <c r="F16"/>
  <c r="D38" i="7"/>
  <c r="D36"/>
  <c r="F14" i="10"/>
  <c r="D51" i="7"/>
  <c r="D45"/>
  <c r="D50"/>
  <c r="D47"/>
  <c r="D41"/>
  <c r="F19" i="10"/>
  <c r="F13"/>
  <c r="D35" i="7"/>
  <c r="D39"/>
  <c r="F17" i="10"/>
  <c r="D49" i="7"/>
  <c r="D52"/>
  <c r="D48"/>
  <c r="D46"/>
  <c r="F38" i="6"/>
  <c r="F11" i="10" l="1"/>
  <c r="E46" i="7"/>
  <c r="G46" s="1"/>
  <c r="H24" i="10" s="1"/>
  <c r="I24" s="1"/>
  <c r="E52" i="7"/>
  <c r="G52" s="1"/>
  <c r="H30" i="10" s="1"/>
  <c r="I30" s="1"/>
  <c r="E35" i="7"/>
  <c r="G35" s="1"/>
  <c r="H13" i="10" s="1"/>
  <c r="I13" s="1"/>
  <c r="E50" i="7"/>
  <c r="G50" s="1"/>
  <c r="H28" i="10" s="1"/>
  <c r="I28" s="1"/>
  <c r="E51" i="7"/>
  <c r="G51" s="1"/>
  <c r="H29" i="10" s="1"/>
  <c r="I29" s="1"/>
  <c r="E36" i="7"/>
  <c r="G36" s="1"/>
  <c r="H14" i="10" s="1"/>
  <c r="I14" s="1"/>
  <c r="E34" i="7"/>
  <c r="G34" s="1"/>
  <c r="H12" i="10" s="1"/>
  <c r="I12" s="1"/>
  <c r="E48" i="7"/>
  <c r="G48" s="1"/>
  <c r="H26" i="10" s="1"/>
  <c r="I26" s="1"/>
  <c r="E49" i="7"/>
  <c r="G49" s="1"/>
  <c r="H27" i="10" s="1"/>
  <c r="I27" s="1"/>
  <c r="E39" i="7"/>
  <c r="G39" s="1"/>
  <c r="H17" i="10" s="1"/>
  <c r="I17" s="1"/>
  <c r="E41" i="7"/>
  <c r="G41" s="1"/>
  <c r="H19" i="10" s="1"/>
  <c r="I19" s="1"/>
  <c r="E47" i="7"/>
  <c r="G47" s="1"/>
  <c r="H25" i="10" s="1"/>
  <c r="I25" s="1"/>
  <c r="E45" i="7"/>
  <c r="G45" s="1"/>
  <c r="H23" i="10" s="1"/>
  <c r="I23" s="1"/>
  <c r="E38" i="7"/>
  <c r="G38" s="1"/>
  <c r="H16" i="10" s="1"/>
  <c r="I16" s="1"/>
  <c r="E33" i="7"/>
  <c r="G33" s="1"/>
  <c r="H11" i="10" s="1"/>
  <c r="D42" i="7"/>
  <c r="D43"/>
  <c r="F18" i="10"/>
  <c r="D40" i="7"/>
  <c r="D44"/>
  <c r="I11" i="10" l="1"/>
  <c r="E40" i="7"/>
  <c r="G40" s="1"/>
  <c r="H18" i="10" s="1"/>
  <c r="I18" s="1"/>
  <c r="E43" i="7"/>
  <c r="G43" s="1"/>
  <c r="H21" i="10" s="1"/>
  <c r="I21" s="1"/>
  <c r="E44" i="7"/>
  <c r="G44" s="1"/>
  <c r="H22" i="10" s="1"/>
  <c r="I22" s="1"/>
  <c r="E42" i="7"/>
  <c r="G42" s="1"/>
  <c r="H20" i="10" s="1"/>
  <c r="I20" s="1"/>
</calcChain>
</file>

<file path=xl/comments1.xml><?xml version="1.0" encoding="utf-8"?>
<comments xmlns="http://schemas.openxmlformats.org/spreadsheetml/2006/main">
  <authors>
    <author>greenberg</author>
    <author>mcsweeney</author>
  </authors>
  <commentList>
    <comment ref="B2" authorId="0">
      <text>
        <r>
          <rPr>
            <b/>
            <sz val="10"/>
            <color indexed="81"/>
            <rFont val="Tahoma"/>
            <family val="2"/>
          </rPr>
          <t>greenberg:</t>
        </r>
        <r>
          <rPr>
            <sz val="10"/>
            <color indexed="81"/>
            <rFont val="Tahoma"/>
            <family val="2"/>
          </rPr>
          <t xml:space="preserve">
</t>
        </r>
      </text>
    </comment>
    <comment ref="E24" authorId="1">
      <text>
        <r>
          <rPr>
            <b/>
            <sz val="8"/>
            <color indexed="81"/>
            <rFont val="Tahoma"/>
            <family val="2"/>
          </rPr>
          <t>mcsweeney:</t>
        </r>
        <r>
          <rPr>
            <sz val="8"/>
            <color indexed="81"/>
            <rFont val="Tahoma"/>
            <family val="2"/>
          </rPr>
          <t xml:space="preserve">
Use this number to calculate the damaged land value and then use economic damage table to get the consequence value</t>
        </r>
      </text>
    </comment>
  </commentList>
</comments>
</file>

<file path=xl/sharedStrings.xml><?xml version="1.0" encoding="utf-8"?>
<sst xmlns="http://schemas.openxmlformats.org/spreadsheetml/2006/main" count="627" uniqueCount="401">
  <si>
    <t>Facility or Route</t>
  </si>
  <si>
    <t>Hazard</t>
  </si>
  <si>
    <t>Y/N</t>
  </si>
  <si>
    <t>[H]</t>
  </si>
  <si>
    <t>Vulner-ability</t>
  </si>
  <si>
    <t>[V]</t>
  </si>
  <si>
    <t>Consequence (Population / Environment)</t>
  </si>
  <si>
    <t>[C]</t>
  </si>
  <si>
    <t>Risk Measure</t>
  </si>
  <si>
    <t>Facility z</t>
  </si>
  <si>
    <t>Fire  (Gasoline)</t>
  </si>
  <si>
    <t>Railroad s</t>
  </si>
  <si>
    <t>Toxic Gas (Chlorine) (L)</t>
  </si>
  <si>
    <t>Toxic Gas (Chlorine) (S)</t>
  </si>
  <si>
    <t>Toxic Gas (Chlorine)  (S)</t>
  </si>
  <si>
    <t>Toxic Gas (Ammonia) (L)</t>
  </si>
  <si>
    <t>Toxic Gas (Ammonia) (S)</t>
  </si>
  <si>
    <t>Toxic Liquid (37% HCl) (L)</t>
  </si>
  <si>
    <t>Toxic Liquid (37% HCl) (S)</t>
  </si>
  <si>
    <t>Fire (Ethylene Oxide)</t>
  </si>
  <si>
    <t>BLEVE (Ethylene Oxide)</t>
  </si>
  <si>
    <t>Explosion (Ethylene Oxide)</t>
  </si>
  <si>
    <t>Accident Release Probability</t>
  </si>
  <si>
    <t>1/year</t>
  </si>
  <si>
    <t>meters</t>
  </si>
  <si>
    <t>infrastructure damage</t>
  </si>
  <si>
    <t>kgs</t>
  </si>
  <si>
    <t>Population Consequence</t>
  </si>
  <si>
    <t>$</t>
  </si>
  <si>
    <t>Acres</t>
  </si>
  <si>
    <t>Damaged Area</t>
  </si>
  <si>
    <t>people</t>
  </si>
  <si>
    <t>Maximum Consequences</t>
  </si>
  <si>
    <t>Consequence Calculation</t>
  </si>
  <si>
    <t>Consequence Measure</t>
  </si>
  <si>
    <t xml:space="preserve"> 525 - 4000</t>
  </si>
  <si>
    <t>142 - 1000</t>
  </si>
  <si>
    <t>Population Measures</t>
  </si>
  <si>
    <t>None</t>
  </si>
  <si>
    <t>Economic Damage</t>
  </si>
  <si>
    <t>Less than a Million</t>
  </si>
  <si>
    <t>1 to 10 Million</t>
  </si>
  <si>
    <t>&gt; 10 to 100 Million</t>
  </si>
  <si>
    <t>&gt; 100 to 1 Billion</t>
  </si>
  <si>
    <t>&gt; 1 Billion</t>
  </si>
  <si>
    <t>Land Damage / acre</t>
  </si>
  <si>
    <t>Fallow Land</t>
  </si>
  <si>
    <t>Low Crop Value</t>
  </si>
  <si>
    <t>High Crop Value</t>
  </si>
  <si>
    <t>Wetland / Acre</t>
  </si>
  <si>
    <t>Unused</t>
  </si>
  <si>
    <t xml:space="preserve">Low Value </t>
  </si>
  <si>
    <t>High Value</t>
  </si>
  <si>
    <t>Residential</t>
  </si>
  <si>
    <t>Commercial</t>
  </si>
  <si>
    <t>Industrial</t>
  </si>
  <si>
    <t>Rural</t>
  </si>
  <si>
    <t>Suburban</t>
  </si>
  <si>
    <t>Urban</t>
  </si>
  <si>
    <t>&gt; this value</t>
  </si>
  <si>
    <t>Potential Consequences</t>
  </si>
  <si>
    <t xml:space="preserve">Total Population </t>
  </si>
  <si>
    <t>Roads u</t>
  </si>
  <si>
    <t>Roads x</t>
  </si>
  <si>
    <t>Annual Number of Shipments</t>
  </si>
  <si>
    <t>#</t>
  </si>
  <si>
    <t>miles</t>
  </si>
  <si>
    <t>Accident Rate</t>
  </si>
  <si>
    <r>
      <t>1/10</t>
    </r>
    <r>
      <rPr>
        <vertAlign val="superscript"/>
        <sz val="11"/>
        <color theme="1"/>
        <rFont val="Calibri"/>
        <family val="2"/>
        <scheme val="minor"/>
      </rPr>
      <t>6</t>
    </r>
    <r>
      <rPr>
        <sz val="11"/>
        <color theme="1"/>
        <rFont val="Calibri"/>
        <family val="2"/>
        <scheme val="minor"/>
      </rPr>
      <t xml:space="preserve"> miles</t>
    </r>
  </si>
  <si>
    <t>Total Trip Distance in Region</t>
  </si>
  <si>
    <t>1/accident</t>
  </si>
  <si>
    <t>Release (L or S) per Accident</t>
  </si>
  <si>
    <t>Vulnerability Level</t>
  </si>
  <si>
    <t>Numerical  Value</t>
  </si>
  <si>
    <t>Approximate Likelihood Range/Year</t>
  </si>
  <si>
    <t>Very High</t>
  </si>
  <si>
    <t>&gt;1 per year</t>
  </si>
  <si>
    <t>High</t>
  </si>
  <si>
    <r>
      <t>1 to 10</t>
    </r>
    <r>
      <rPr>
        <vertAlign val="superscript"/>
        <sz val="11"/>
        <color theme="1"/>
        <rFont val="Calibri"/>
        <family val="2"/>
        <scheme val="minor"/>
      </rPr>
      <t>-2</t>
    </r>
  </si>
  <si>
    <t>Moderate</t>
  </si>
  <si>
    <r>
      <t>10</t>
    </r>
    <r>
      <rPr>
        <vertAlign val="superscript"/>
        <sz val="11"/>
        <color theme="1"/>
        <rFont val="Calibri"/>
        <family val="2"/>
        <scheme val="minor"/>
      </rPr>
      <t>-2</t>
    </r>
    <r>
      <rPr>
        <sz val="11"/>
        <color theme="1"/>
        <rFont val="Calibri"/>
        <family val="2"/>
        <scheme val="minor"/>
      </rPr>
      <t xml:space="preserve"> to 10</t>
    </r>
    <r>
      <rPr>
        <vertAlign val="superscript"/>
        <sz val="11"/>
        <color theme="1"/>
        <rFont val="Calibri"/>
        <family val="2"/>
        <scheme val="minor"/>
      </rPr>
      <t>-4</t>
    </r>
  </si>
  <si>
    <t>Low</t>
  </si>
  <si>
    <r>
      <t>10</t>
    </r>
    <r>
      <rPr>
        <vertAlign val="superscript"/>
        <sz val="11"/>
        <color theme="1"/>
        <rFont val="Calibri"/>
        <family val="2"/>
        <scheme val="minor"/>
      </rPr>
      <t>-4</t>
    </r>
    <r>
      <rPr>
        <sz val="11"/>
        <color theme="1"/>
        <rFont val="Calibri"/>
        <family val="2"/>
        <scheme val="minor"/>
      </rPr>
      <t xml:space="preserve"> to 10</t>
    </r>
    <r>
      <rPr>
        <vertAlign val="superscript"/>
        <sz val="11"/>
        <color theme="1"/>
        <rFont val="Calibri"/>
        <family val="2"/>
        <scheme val="minor"/>
      </rPr>
      <t>-6</t>
    </r>
  </si>
  <si>
    <t>Very Low</t>
  </si>
  <si>
    <r>
      <t>&lt;10</t>
    </r>
    <r>
      <rPr>
        <vertAlign val="superscript"/>
        <sz val="11"/>
        <color theme="1"/>
        <rFont val="Calibri"/>
        <family val="2"/>
        <scheme val="minor"/>
      </rPr>
      <t>-6</t>
    </r>
  </si>
  <si>
    <t>1 to 9</t>
  </si>
  <si>
    <t>10 to 99</t>
  </si>
  <si>
    <t>100 to 999</t>
  </si>
  <si>
    <t>&gt; 999</t>
  </si>
  <si>
    <t>$ Value</t>
  </si>
  <si>
    <t>Typical Type of Land Damaged</t>
  </si>
  <si>
    <t>Typical Type  Infrastructure Damaged</t>
  </si>
  <si>
    <t>Commercial/Rural</t>
  </si>
  <si>
    <t>Resident / Rural</t>
  </si>
  <si>
    <t>Roads y</t>
  </si>
  <si>
    <t>Road w</t>
  </si>
  <si>
    <t>Land Area Damaged</t>
  </si>
  <si>
    <t>min</t>
  </si>
  <si>
    <t>&lt; 10,000</t>
  </si>
  <si>
    <t>10,000 - &lt; 100,000</t>
  </si>
  <si>
    <t>100,000 - &lt; 500,000</t>
  </si>
  <si>
    <t>500,000 - 1.5 million</t>
  </si>
  <si>
    <t>&gt; 1.5 million</t>
  </si>
  <si>
    <t>minutes</t>
  </si>
  <si>
    <t>Control Team Tier</t>
  </si>
  <si>
    <t>Access to Tier 3/4 Teams (#)</t>
  </si>
  <si>
    <t>Time</t>
  </si>
  <si>
    <t>Number of Accident Sites</t>
  </si>
  <si>
    <t>Required Tier Level Response</t>
  </si>
  <si>
    <t>%</t>
  </si>
  <si>
    <t>First Responder Performance</t>
  </si>
  <si>
    <t>Required non-Ambulatory rescues</t>
  </si>
  <si>
    <t>Response Time Factor [RTF]</t>
  </si>
  <si>
    <t>Description</t>
  </si>
  <si>
    <t>people/mi2</t>
  </si>
  <si>
    <t>Minimum Tier Level Response and Access Additional Number of Tier 3/4 Teams Required</t>
  </si>
  <si>
    <t>Incident Commander Tier</t>
  </si>
  <si>
    <t>First Responder Time Goal based on CARVER Scale for Accident</t>
  </si>
  <si>
    <t>Incident Commander Response Time Goal based on Tier Level</t>
  </si>
  <si>
    <t>Incident Commander Performance</t>
  </si>
  <si>
    <t>[ERC]</t>
  </si>
  <si>
    <t>First Responder [RTF]</t>
  </si>
  <si>
    <t>[RCF]</t>
  </si>
  <si>
    <t>Emergency Response Capacity</t>
  </si>
  <si>
    <t>Response Time Factor</t>
  </si>
  <si>
    <t>Route Vulnerability</t>
  </si>
  <si>
    <t>Vulnerability Calculation</t>
  </si>
  <si>
    <t>Facility Vulnerability Calculation</t>
  </si>
  <si>
    <t>Basis for Assigning Value</t>
  </si>
  <si>
    <t>Emergency Response Capability [ERC] </t>
  </si>
  <si>
    <t xml:space="preserve">Response meets Required Desired Tier Level Response </t>
  </si>
  <si>
    <t xml:space="preserve">Response is one Tier Level below the Required Desired Tier Level Response </t>
  </si>
  <si>
    <t xml:space="preserve">Response is two or more Tier Levels below Desired Tier Level Response </t>
  </si>
  <si>
    <t>Meets or exceeds desired response time</t>
  </si>
  <si>
    <t>Response time is within 125 percent of desired response time</t>
  </si>
  <si>
    <t>Response time is within 150 percent of desired response time</t>
  </si>
  <si>
    <t xml:space="preserve">Response time is within 200 percent of the desired response time </t>
  </si>
  <si>
    <t xml:space="preserve">Response time is more than double the desired response time </t>
  </si>
  <si>
    <t>Percentage of Response Time Goal</t>
  </si>
  <si>
    <t>Assess</t>
  </si>
  <si>
    <t>Manage</t>
  </si>
  <si>
    <t>Rescue</t>
  </si>
  <si>
    <t xml:space="preserve">Control  </t>
  </si>
  <si>
    <t>Jurisdiction Type</t>
  </si>
  <si>
    <t>Average Response Time For First Responder (assessor) to Arrive on Scene</t>
  </si>
  <si>
    <t>Population Density</t>
  </si>
  <si>
    <t>64 - 688</t>
  </si>
  <si>
    <t>73 - 781</t>
  </si>
  <si>
    <t>24 - 287</t>
  </si>
  <si>
    <t>Wetland/Low Value</t>
  </si>
  <si>
    <t>Environmentally Sensitive Land Area Damaged</t>
  </si>
  <si>
    <t>Land Damage Value from Table B Above</t>
  </si>
  <si>
    <t>Land Damage Value from Table A Above</t>
  </si>
  <si>
    <t>Table B  Value per Acre for Damaged Land by Land Type</t>
  </si>
  <si>
    <t>1000 - 14000</t>
  </si>
  <si>
    <t>330 - 4200</t>
  </si>
  <si>
    <r>
      <t>Capability</t>
    </r>
    <r>
      <rPr>
        <b/>
        <vertAlign val="superscript"/>
        <sz val="10"/>
        <color theme="1"/>
        <rFont val="Calibri"/>
        <family val="2"/>
      </rPr>
      <t>1</t>
    </r>
    <r>
      <rPr>
        <b/>
        <sz val="10"/>
        <color theme="1"/>
        <rFont val="Calibri"/>
        <family val="2"/>
      </rPr>
      <t xml:space="preserve"> Tier</t>
    </r>
  </si>
  <si>
    <t>Capability Level</t>
  </si>
  <si>
    <t>Base</t>
  </si>
  <si>
    <t>FEMA Resource Type (Equivalent)</t>
  </si>
  <si>
    <t>N/A</t>
  </si>
  <si>
    <t>III</t>
  </si>
  <si>
    <t>II</t>
  </si>
  <si>
    <t>I</t>
  </si>
  <si>
    <r>
      <t>Highest Team Certification</t>
    </r>
    <r>
      <rPr>
        <vertAlign val="superscript"/>
        <sz val="10"/>
        <color theme="1"/>
        <rFont val="Calibri"/>
        <family val="2"/>
      </rPr>
      <t>2</t>
    </r>
  </si>
  <si>
    <t>Ops</t>
  </si>
  <si>
    <t>Ops/ Tech</t>
  </si>
  <si>
    <t>Tech</t>
  </si>
  <si>
    <t>(Operations or Technician)</t>
  </si>
  <si>
    <t>Assessor Determined</t>
  </si>
  <si>
    <r>
      <t>Field Testing</t>
    </r>
    <r>
      <rPr>
        <vertAlign val="superscript"/>
        <sz val="10"/>
        <color theme="1"/>
        <rFont val="Calibri"/>
        <family val="2"/>
      </rPr>
      <t>3</t>
    </r>
  </si>
  <si>
    <t>Presumptive Identification – Chemical</t>
  </si>
  <si>
    <t>Y</t>
  </si>
  <si>
    <t>Presumptive Identification – Radiological</t>
  </si>
  <si>
    <t>Presumptive Identification – Biological</t>
  </si>
  <si>
    <t>N</t>
  </si>
  <si>
    <r>
      <t>Presumptive Identification – Spec. Chemicals</t>
    </r>
    <r>
      <rPr>
        <vertAlign val="superscript"/>
        <sz val="10"/>
        <color theme="1"/>
        <rFont val="Calibri"/>
        <family val="2"/>
      </rPr>
      <t>6</t>
    </r>
  </si>
  <si>
    <r>
      <t>Air Monitoring</t>
    </r>
    <r>
      <rPr>
        <vertAlign val="superscript"/>
        <sz val="10"/>
        <color theme="1"/>
        <rFont val="Calibri"/>
        <family val="2"/>
      </rPr>
      <t>3</t>
    </r>
  </si>
  <si>
    <t>Atmospheric Monitoring – Oxygen</t>
  </si>
  <si>
    <t>Atmospheric Monitoring – Explosive Gas</t>
  </si>
  <si>
    <t xml:space="preserve">Atmospheric Monitoring – CO </t>
  </si>
  <si>
    <t>Atmospheric Monitoring – H2S</t>
  </si>
  <si>
    <r>
      <t>Atmospheric Monitoring – Flammable Diff.</t>
    </r>
    <r>
      <rPr>
        <vertAlign val="superscript"/>
        <sz val="10"/>
        <color theme="1"/>
        <rFont val="Calibri"/>
        <family val="2"/>
      </rPr>
      <t xml:space="preserve"> 7</t>
    </r>
  </si>
  <si>
    <r>
      <t>Atmospheric Monitoring – Identify TIC</t>
    </r>
    <r>
      <rPr>
        <vertAlign val="superscript"/>
        <sz val="10"/>
        <color theme="1"/>
        <rFont val="Calibri"/>
        <family val="2"/>
      </rPr>
      <t>8</t>
    </r>
  </si>
  <si>
    <r>
      <t>Atmospheric Monitoring – Identify Conc.</t>
    </r>
    <r>
      <rPr>
        <vertAlign val="superscript"/>
        <sz val="10"/>
        <color theme="1"/>
        <rFont val="Calibri"/>
        <family val="2"/>
      </rPr>
      <t>9</t>
    </r>
  </si>
  <si>
    <r>
      <t>Sampling</t>
    </r>
    <r>
      <rPr>
        <vertAlign val="superscript"/>
        <sz val="10"/>
        <color theme="1"/>
        <rFont val="Calibri"/>
        <family val="2"/>
      </rPr>
      <t>3</t>
    </r>
  </si>
  <si>
    <t>Sampling – Solid</t>
  </si>
  <si>
    <t>Sampling – Liquid</t>
  </si>
  <si>
    <t>O</t>
  </si>
  <si>
    <t>Sampling – Air/Vapor</t>
  </si>
  <si>
    <r>
      <t>Radiation Monitoring</t>
    </r>
    <r>
      <rPr>
        <vertAlign val="superscript"/>
        <sz val="10"/>
        <color theme="1"/>
        <rFont val="Calibri"/>
        <family val="2"/>
      </rPr>
      <t>3</t>
    </r>
  </si>
  <si>
    <t>Survey – Gamma</t>
  </si>
  <si>
    <t>Survey – Gamma + Beta</t>
  </si>
  <si>
    <t>Survey – Gamma, Beta, &amp; Alpha</t>
  </si>
  <si>
    <r>
      <t>Personal Dosimeters</t>
    </r>
    <r>
      <rPr>
        <vertAlign val="superscript"/>
        <sz val="10"/>
        <color theme="1"/>
        <rFont val="Calibri"/>
        <family val="2"/>
      </rPr>
      <t>10</t>
    </r>
  </si>
  <si>
    <r>
      <t>Protective Ensembles</t>
    </r>
    <r>
      <rPr>
        <vertAlign val="superscript"/>
        <sz val="10"/>
        <color theme="1"/>
        <rFont val="Calibri"/>
        <family val="2"/>
      </rPr>
      <t>3</t>
    </r>
  </si>
  <si>
    <r>
      <t>Liquid Splash-Protective CPC</t>
    </r>
    <r>
      <rPr>
        <vertAlign val="superscript"/>
        <sz val="10"/>
        <color theme="1"/>
        <rFont val="Calibri"/>
        <family val="2"/>
      </rPr>
      <t>11</t>
    </r>
  </si>
  <si>
    <r>
      <t>Vapor-Protective CPC</t>
    </r>
    <r>
      <rPr>
        <vertAlign val="superscript"/>
        <sz val="10"/>
        <color theme="1"/>
        <rFont val="Calibri"/>
        <family val="2"/>
      </rPr>
      <t>12</t>
    </r>
  </si>
  <si>
    <r>
      <t>Flash Fire Vapor-Protective CPC</t>
    </r>
    <r>
      <rPr>
        <vertAlign val="superscript"/>
        <sz val="10"/>
        <color theme="1"/>
        <rFont val="Calibri"/>
        <family val="2"/>
      </rPr>
      <t>13</t>
    </r>
  </si>
  <si>
    <r>
      <t>Level C PPE</t>
    </r>
    <r>
      <rPr>
        <vertAlign val="superscript"/>
        <sz val="10"/>
        <color theme="1"/>
        <rFont val="Calibri"/>
        <family val="2"/>
      </rPr>
      <t>14</t>
    </r>
  </si>
  <si>
    <r>
      <t>Level B PPE</t>
    </r>
    <r>
      <rPr>
        <vertAlign val="superscript"/>
        <sz val="10"/>
        <color theme="1"/>
        <rFont val="Calibri"/>
        <family val="2"/>
      </rPr>
      <t>14</t>
    </r>
  </si>
  <si>
    <t>X</t>
  </si>
  <si>
    <r>
      <t>Level A PPE</t>
    </r>
    <r>
      <rPr>
        <vertAlign val="superscript"/>
        <sz val="10"/>
        <color theme="1"/>
        <rFont val="Calibri"/>
        <family val="2"/>
      </rPr>
      <t>14</t>
    </r>
  </si>
  <si>
    <r>
      <t>Technical Reference</t>
    </r>
    <r>
      <rPr>
        <vertAlign val="superscript"/>
        <sz val="10"/>
        <color theme="1"/>
        <rFont val="Calibri"/>
        <family val="2"/>
      </rPr>
      <t>3</t>
    </r>
  </si>
  <si>
    <t>Printed &amp; Electronic</t>
  </si>
  <si>
    <t>Dispersion Modeling with Map Overlays</t>
  </si>
  <si>
    <r>
      <t>Special Capabilities</t>
    </r>
    <r>
      <rPr>
        <vertAlign val="superscript"/>
        <sz val="10"/>
        <color theme="1"/>
        <rFont val="Calibri"/>
        <family val="2"/>
      </rPr>
      <t>3</t>
    </r>
  </si>
  <si>
    <t>Specialized Equipment based upon Local Risk</t>
  </si>
  <si>
    <t>Heat Sensing Capability</t>
  </si>
  <si>
    <t>Light Amplification Capability</t>
  </si>
  <si>
    <t>Digital Imaging Documentation Capability</t>
  </si>
  <si>
    <r>
      <t>Intervention</t>
    </r>
    <r>
      <rPr>
        <vertAlign val="superscript"/>
        <sz val="10"/>
        <color theme="1"/>
        <rFont val="Calibri"/>
        <family val="2"/>
      </rPr>
      <t>3</t>
    </r>
  </si>
  <si>
    <t>Dike, Dam, &amp; Absorption Capability</t>
  </si>
  <si>
    <t>Liquid Leak Intervention</t>
  </si>
  <si>
    <t>Neutralize, Plug, &amp; Patch Capability</t>
  </si>
  <si>
    <t>Vapor Leak Intervention</t>
  </si>
  <si>
    <r>
      <t>Advanced Intervention Capabilities</t>
    </r>
    <r>
      <rPr>
        <vertAlign val="superscript"/>
        <sz val="10"/>
        <color theme="1"/>
        <rFont val="Calibri"/>
        <family val="2"/>
      </rPr>
      <t>15</t>
    </r>
  </si>
  <si>
    <r>
      <t>Decontamination</t>
    </r>
    <r>
      <rPr>
        <vertAlign val="superscript"/>
        <sz val="10"/>
        <color theme="1"/>
        <rFont val="Calibri"/>
        <family val="2"/>
      </rPr>
      <t>3</t>
    </r>
  </si>
  <si>
    <t>Team Decontamination – Known</t>
  </si>
  <si>
    <t>Team Decontamination – Known &amp; Unknown</t>
  </si>
  <si>
    <t>Team Decontamination – Advanced</t>
  </si>
  <si>
    <t>Casualty Decontamination (100 patients/hr)</t>
  </si>
  <si>
    <t>Casualty Decontamination (250 patients/hr)</t>
  </si>
  <si>
    <t>Casualty Decontamination (500+ patients/hr)</t>
  </si>
  <si>
    <r>
      <t>Communications</t>
    </r>
    <r>
      <rPr>
        <vertAlign val="superscript"/>
        <sz val="10"/>
        <color theme="1"/>
        <rFont val="Calibri"/>
        <family val="2"/>
      </rPr>
      <t>3</t>
    </r>
  </si>
  <si>
    <t>In-Suit, Wireless Voice</t>
  </si>
  <si>
    <t>Wireless Data</t>
  </si>
  <si>
    <t>Secure Wireless Voice</t>
  </si>
  <si>
    <r>
      <t>Staffing</t>
    </r>
    <r>
      <rPr>
        <vertAlign val="superscript"/>
        <sz val="10"/>
        <color theme="1"/>
        <rFont val="Calibri"/>
        <family val="2"/>
      </rPr>
      <t>4</t>
    </r>
  </si>
  <si>
    <t>Hazmat Incident Commander</t>
  </si>
  <si>
    <t>Hazmat Safety Officer</t>
  </si>
  <si>
    <t>Technician Level Capability</t>
  </si>
  <si>
    <t>Minimum of 2 out, 2 in, 2 to decon</t>
  </si>
  <si>
    <t>More than 6 Hazmat Technicians</t>
  </si>
  <si>
    <r>
      <t>Training</t>
    </r>
    <r>
      <rPr>
        <vertAlign val="superscript"/>
        <sz val="10"/>
        <color theme="1"/>
        <rFont val="Calibri"/>
        <family val="2"/>
      </rPr>
      <t>3</t>
    </r>
  </si>
  <si>
    <t>Awareness Level (NFPA 472)</t>
  </si>
  <si>
    <t>Operations Level (NFPA 472)</t>
  </si>
  <si>
    <t>Technician Level (NFPA 472)</t>
  </si>
  <si>
    <t>Specialist Level (NFPA 472)</t>
  </si>
  <si>
    <t>Incident Commander (NFPA 472)</t>
  </si>
  <si>
    <r>
      <t>Sustainability</t>
    </r>
    <r>
      <rPr>
        <vertAlign val="superscript"/>
        <sz val="10"/>
        <color theme="1"/>
        <rFont val="Calibri"/>
        <family val="2"/>
      </rPr>
      <t>5</t>
    </r>
  </si>
  <si>
    <t>No Technician-level Entries</t>
  </si>
  <si>
    <t>Less than 3 Entries within 24 hour period</t>
  </si>
  <si>
    <t>3 Entries within 24 hour period</t>
  </si>
  <si>
    <r>
      <t>5 Entries within 24 hour period</t>
    </r>
    <r>
      <rPr>
        <vertAlign val="superscript"/>
        <sz val="10"/>
        <color theme="1"/>
        <rFont val="Calibri"/>
        <family val="2"/>
      </rPr>
      <t>16</t>
    </r>
  </si>
  <si>
    <r>
      <t>10 Entries within 24 hour period</t>
    </r>
    <r>
      <rPr>
        <vertAlign val="superscript"/>
        <sz val="10"/>
        <color theme="1"/>
        <rFont val="Calibri"/>
        <family val="2"/>
      </rPr>
      <t>16</t>
    </r>
  </si>
  <si>
    <r>
      <t>Casualty Decon for 6 hour period</t>
    </r>
    <r>
      <rPr>
        <vertAlign val="superscript"/>
        <sz val="10"/>
        <color theme="1"/>
        <rFont val="Calibri"/>
        <family val="2"/>
      </rPr>
      <t>17</t>
    </r>
  </si>
  <si>
    <r>
      <t>Casualty Decon for 12 hour period</t>
    </r>
    <r>
      <rPr>
        <vertAlign val="superscript"/>
        <sz val="10"/>
        <color theme="1"/>
        <rFont val="Calibri"/>
        <family val="2"/>
      </rPr>
      <t>17</t>
    </r>
  </si>
  <si>
    <r>
      <t>Casualty Decon for 12+ hour period</t>
    </r>
    <r>
      <rPr>
        <vertAlign val="superscript"/>
        <sz val="10"/>
        <color theme="1"/>
        <rFont val="Calibri"/>
        <family val="2"/>
      </rPr>
      <t>17</t>
    </r>
  </si>
  <si>
    <t>Number met</t>
  </si>
  <si>
    <t>Number for full compliance with Tire Level</t>
  </si>
  <si>
    <t>Meets Tier level requirements</t>
  </si>
  <si>
    <t>Key</t>
  </si>
  <si>
    <t>X – Required minimum capability</t>
  </si>
  <si>
    <t>O – Optional capability</t>
  </si>
  <si>
    <t>Notes</t>
  </si>
  <si>
    <r>
      <t>1</t>
    </r>
    <r>
      <rPr>
        <sz val="10"/>
        <color theme="1"/>
        <rFont val="Calibri"/>
        <family val="2"/>
      </rPr>
      <t>Capability Value – the value to insert into the risk equation for capability.  The higher the value, the greater the capability mitigates the risk.</t>
    </r>
  </si>
  <si>
    <r>
      <t>2</t>
    </r>
    <r>
      <rPr>
        <sz val="10"/>
        <color theme="1"/>
        <rFont val="Calibri"/>
        <family val="2"/>
      </rPr>
      <t>Certification – Based upon 29 CFR 1910.120Q or NFPA Standard 472 (2008 Edition) as determined by jurisdiction.</t>
    </r>
  </si>
  <si>
    <r>
      <t>3</t>
    </r>
    <r>
      <rPr>
        <sz val="10"/>
        <color theme="1"/>
        <rFont val="Calibri"/>
        <family val="2"/>
      </rPr>
      <t xml:space="preserve">Metric – From FEMA 508-4 Typed Resource Definitions for Fire and Hazardous Materials Resources (20 July 2005).  Limitations include (1) focused solely on Hazmat Entry Team vice complete Hazmat Response Capability required to manage casualties as well as conduct testing, monitoring, and sampling and (2) focused on National level resources </t>
    </r>
    <r>
      <rPr>
        <u/>
        <sz val="10"/>
        <color theme="1"/>
        <rFont val="Calibri"/>
        <family val="2"/>
      </rPr>
      <t>exceeding</t>
    </r>
    <r>
      <rPr>
        <sz val="10"/>
        <color theme="1"/>
        <rFont val="Calibri"/>
        <family val="2"/>
      </rPr>
      <t xml:space="preserve"> minimum standards (hence the addition of Baseline and Tier 1 capability sets).  </t>
    </r>
  </si>
  <si>
    <r>
      <t>4</t>
    </r>
    <r>
      <rPr>
        <sz val="10"/>
        <color theme="1"/>
        <rFont val="Calibri"/>
        <family val="2"/>
      </rPr>
      <t>Staffing – Additional details provided due to the increase of scope to include Operations-level units, casualty decontamination operations, &amp; Hazmat Response Teams below the FEMA Type III resource definition.</t>
    </r>
  </si>
  <si>
    <r>
      <t>5</t>
    </r>
    <r>
      <rPr>
        <sz val="10"/>
        <color theme="1"/>
        <rFont val="Calibri"/>
        <family val="2"/>
      </rPr>
      <t>Sustainability – Additional capabilities listed to include Operations-level capability &amp; sustained entries over FEMA 508-4 minimum.</t>
    </r>
  </si>
  <si>
    <r>
      <t>6</t>
    </r>
    <r>
      <rPr>
        <sz val="10"/>
        <color theme="1"/>
        <rFont val="Calibri"/>
        <family val="2"/>
      </rPr>
      <t>Specialized Chemicals – As defined by FEMA 508-4 (20 July 2005).</t>
    </r>
  </si>
  <si>
    <r>
      <t>7</t>
    </r>
    <r>
      <rPr>
        <sz val="10"/>
        <color theme="1"/>
        <rFont val="Calibri"/>
        <family val="2"/>
      </rPr>
      <t>Flammable Gas Differentiation – As defined by FEMA 508-4 (20 July 2005).</t>
    </r>
  </si>
  <si>
    <r>
      <t>8</t>
    </r>
    <r>
      <rPr>
        <sz val="10"/>
        <color theme="1"/>
        <rFont val="Calibri"/>
        <family val="2"/>
      </rPr>
      <t>Presumptive Identification of Toxic Industrial Chemicals (TIC) – As defined by FEMA 508-4 (20 July 2005).</t>
    </r>
  </si>
  <si>
    <r>
      <t>9</t>
    </r>
    <r>
      <rPr>
        <sz val="10"/>
        <color theme="1"/>
        <rFont val="Calibri"/>
        <family val="2"/>
      </rPr>
      <t>Presumptive Identification of Hazardous Material Concentration – As defined by FEMA 508-4 (20 July 2005).</t>
    </r>
  </si>
  <si>
    <r>
      <t>11</t>
    </r>
    <r>
      <rPr>
        <sz val="10"/>
        <color theme="1"/>
        <rFont val="Calibri"/>
        <family val="2"/>
      </rPr>
      <t>Liquid Splash-Protective CPC – As defined by FEMA 508-4 (20 July 2005).</t>
    </r>
  </si>
  <si>
    <r>
      <t>12</t>
    </r>
    <r>
      <rPr>
        <sz val="10"/>
        <color theme="1"/>
        <rFont val="Calibri"/>
        <family val="2"/>
      </rPr>
      <t>Vapor-Protective CPC – As defined by FEMA 508-4 (20 July 2005).</t>
    </r>
  </si>
  <si>
    <r>
      <t>13</t>
    </r>
    <r>
      <rPr>
        <sz val="10"/>
        <color theme="1"/>
        <rFont val="Calibri"/>
        <family val="2"/>
      </rPr>
      <t>Flash Fire Vapor-Protective CPC – As defined by FEMA 508-4 (20 July 2005).</t>
    </r>
  </si>
  <si>
    <r>
      <t>14</t>
    </r>
    <r>
      <rPr>
        <sz val="10"/>
        <color theme="1"/>
        <rFont val="Calibri"/>
        <family val="2"/>
      </rPr>
      <t>Level A-C PPE – As defined by 29 CFR 1910.120Q.</t>
    </r>
  </si>
  <si>
    <r>
      <t>15</t>
    </r>
    <r>
      <rPr>
        <sz val="10"/>
        <color theme="1"/>
        <rFont val="Calibri"/>
        <family val="2"/>
      </rPr>
      <t>Advanced Intervention Capabilities – As defined by FEMA 508-4 (20 July 2005).</t>
    </r>
  </si>
  <si>
    <r>
      <t>16</t>
    </r>
    <r>
      <rPr>
        <sz val="10"/>
        <color theme="1"/>
        <rFont val="Calibri"/>
        <family val="2"/>
      </rPr>
      <t>Entry Capabilities – Expanded beyond FEMA 508-4 minimum.</t>
    </r>
  </si>
  <si>
    <r>
      <t>17</t>
    </r>
    <r>
      <rPr>
        <sz val="10"/>
        <color theme="1"/>
        <rFont val="Calibri"/>
        <family val="2"/>
      </rPr>
      <t>Casualty Decontamination Capabilities – Additional metric due to expansion of scope from Hazmat Entry to Hazmat Response.</t>
    </r>
  </si>
  <si>
    <t xml:space="preserve">Selected Jurisdiction Level </t>
  </si>
  <si>
    <t>From Step 14</t>
  </si>
  <si>
    <t>Tier Level Response</t>
  </si>
  <si>
    <t>Tier Level Capability</t>
  </si>
  <si>
    <t>Capability Gap</t>
  </si>
  <si>
    <t>From Table Above</t>
  </si>
  <si>
    <t>Jurisdictional Class</t>
  </si>
  <si>
    <t>Population Threshold</t>
  </si>
  <si>
    <t>Population Density Threshold</t>
  </si>
  <si>
    <t>&gt; 1.5 Million</t>
  </si>
  <si>
    <r>
      <t>&gt; 10,000 people/mi</t>
    </r>
    <r>
      <rPr>
        <u/>
        <vertAlign val="superscript"/>
        <sz val="11"/>
        <color theme="1"/>
        <rFont val="Calibri"/>
        <family val="2"/>
        <scheme val="minor"/>
      </rPr>
      <t>2</t>
    </r>
  </si>
  <si>
    <r>
      <t>&gt; 5,000 people/mi</t>
    </r>
    <r>
      <rPr>
        <u/>
        <vertAlign val="superscript"/>
        <sz val="11"/>
        <color theme="1"/>
        <rFont val="Calibri"/>
        <family val="2"/>
        <scheme val="minor"/>
      </rPr>
      <t>2</t>
    </r>
  </si>
  <si>
    <r>
      <t>&gt; 2,500 people/mi</t>
    </r>
    <r>
      <rPr>
        <u/>
        <vertAlign val="superscript"/>
        <sz val="11"/>
        <color theme="1"/>
        <rFont val="Calibri"/>
        <family val="2"/>
        <scheme val="minor"/>
      </rPr>
      <t>2</t>
    </r>
  </si>
  <si>
    <r>
      <t>&gt; 1,000 people/mi</t>
    </r>
    <r>
      <rPr>
        <u/>
        <vertAlign val="superscript"/>
        <sz val="11"/>
        <color theme="1"/>
        <rFont val="Calibri"/>
        <family val="2"/>
        <scheme val="minor"/>
      </rPr>
      <t>2</t>
    </r>
  </si>
  <si>
    <t>500,000 to 1.5 Million</t>
  </si>
  <si>
    <t>100,000 to 500,000</t>
  </si>
  <si>
    <t>10,000 to 100,000</t>
  </si>
  <si>
    <t>Step 4</t>
  </si>
  <si>
    <t>Step 5</t>
  </si>
  <si>
    <t>Target Outcome</t>
  </si>
  <si>
    <t>Control</t>
  </si>
  <si>
    <t>Class 5</t>
  </si>
  <si>
    <t>Class 4</t>
  </si>
  <si>
    <t>Class 3</t>
  </si>
  <si>
    <t>Class 2</t>
  </si>
  <si>
    <t>Class 1</t>
  </si>
  <si>
    <t>Required Capability Tier Level</t>
  </si>
  <si>
    <t>Step 6</t>
  </si>
  <si>
    <t>Gaps</t>
  </si>
  <si>
    <t xml:space="preserve">Yes </t>
  </si>
  <si>
    <t>Jurisdictional Class Assigned in Step 6</t>
  </si>
  <si>
    <t xml:space="preserve">Maximum Consequences </t>
  </si>
  <si>
    <t>From Jurisdictional Class Table above</t>
  </si>
  <si>
    <t>Tier Level Capability from Step 2</t>
  </si>
  <si>
    <t>From Step 1</t>
  </si>
  <si>
    <t>Jurisdiction Level Selected Step 6</t>
  </si>
  <si>
    <t>Rescue Time Performance</t>
  </si>
  <si>
    <t>Control Team Response Time Goal based on Tier Level</t>
  </si>
  <si>
    <t>Control Team [RTF]</t>
  </si>
  <si>
    <t>Rescue Team [RTF]</t>
  </si>
  <si>
    <t>Maximum [RTF]</t>
  </si>
  <si>
    <t>Control Team Time Performance</t>
  </si>
  <si>
    <t>Rescue Team Response Time Goal based on Tier Level</t>
  </si>
  <si>
    <t>Table 3 in Guide</t>
  </si>
  <si>
    <t>Table 9  Response Capability Tiers Based on Jurisdictional Type</t>
  </si>
  <si>
    <t>See Table C-3 and C-4 for additional details regarding the Environmental Consequence Calculation</t>
  </si>
  <si>
    <t>For more details see discussion of Table 13 - the environmental damage columns</t>
  </si>
  <si>
    <t>The Vulnerability Calculation Discussion can be found in Appendix B of the Guide</t>
  </si>
  <si>
    <t>Assigned Jurisdictional Class (Table Above)</t>
  </si>
  <si>
    <t>Adjusted Jurisdictional Class (other factors)</t>
  </si>
  <si>
    <t xml:space="preserve">quantity of material </t>
  </si>
  <si>
    <t>damage radius or radii for ellipse</t>
  </si>
  <si>
    <t>Consequence Environmental</t>
  </si>
  <si>
    <t>For more details see discussion of Table 16 Required Tier Response Capabilities in Chapter VI</t>
  </si>
  <si>
    <t>Jurisdiction Class</t>
  </si>
  <si>
    <t>See discussion of Table 17 in Planning Guide</t>
  </si>
  <si>
    <t>See Discussion of Table 20 Vulnerability Levels in the Guide for additional details</t>
  </si>
  <si>
    <t>Vulnerability</t>
  </si>
  <si>
    <r>
      <t>10</t>
    </r>
    <r>
      <rPr>
        <sz val="10"/>
        <color theme="1"/>
        <rFont val="Calibri"/>
        <family val="2"/>
      </rPr>
      <t>Personal Dosimeters – As defined by FEMA 508-4 (20 July 2005).</t>
    </r>
  </si>
  <si>
    <t>Population Type</t>
  </si>
  <si>
    <t xml:space="preserve">Quantity of Material </t>
  </si>
  <si>
    <t>Damage Radius or Radii for Ellipse</t>
  </si>
  <si>
    <t>Selected Jurisdiciton Level</t>
  </si>
  <si>
    <t>Can you perform at the Tier Level Specified in the above table based on the Step 5 Jurisdictional Class assigned (Yes/No)?</t>
  </si>
  <si>
    <t>(This value will be carried to Steps 16 and 17)</t>
  </si>
  <si>
    <t>If No, adjust the Jurisdictional Class to one that you can meet - enter value:</t>
  </si>
  <si>
    <t>Note: if the  Required Capability for the Jurisdictional Class is less than the Capability in Step 1, the first priority should be to correct this gap</t>
  </si>
  <si>
    <t>before proceeding to the rest of the evaluation. The analysis will assume that this gap has been eliminated for the following steps.</t>
  </si>
  <si>
    <t>Number of Infrastructure Units in Hazard Zone</t>
  </si>
  <si>
    <t>Infrastructure Damage</t>
  </si>
  <si>
    <t>Environmental Consequence</t>
  </si>
  <si>
    <t>These two tables are taken from Table C-2 in the Guide.</t>
  </si>
  <si>
    <t>For more details, see the discussion of Table 13</t>
  </si>
  <si>
    <t xml:space="preserve"> </t>
  </si>
  <si>
    <t>This file is designed to follow the 20 steps outlined in the “Guide for Assessing Community Emergency Response Needs and Capabilities for Hazardous Materials Releases. "</t>
  </si>
  <si>
    <t xml:space="preserve">Separate tabs have been developed for the major steps and cell equations perform most of the calculations.  </t>
  </si>
  <si>
    <t xml:space="preserve">For tabs beginning with Step 10, and continuing to Step 20, the focus is to evaluate the risk equation, as defined in Section I.D, for each accident scenario being assessed in the local or regional planning area.  In the example there are 4 facility accident scenarios and 15 transport accident scenarios.   They have been linked so that if the scenario is changed in Step 10, all the other tabs are automatically updated.  </t>
  </si>
  <si>
    <t>The cells where information needs to be inserted are shaded in light blue.  Once all the entries have been made for each step, the worksheet will automatically evaluate the risk equation.</t>
  </si>
  <si>
    <t xml:space="preserve">In order to use these worksheets most effectively, the user  should  save the example under a different name , open the newly named file and adjust the scenarios so they are applicable to the local area or region.  </t>
  </si>
  <si>
    <t xml:space="preserve">If more scenarios are required, they can be inserted by right clicking on a row number (the number that begins each row), moving the cursor down to “insert” and then clicking again.  The cell formulas from the row above blank row must then be cut and pasted into the new row.  This process needs to be continued for each tab that contains a scenario, always making sure all the cell formulas are copied down into the new row. </t>
  </si>
  <si>
    <t>The purpose of this tab is to determine the Capability Tier level  for your local or regional  emergency response organization.  The assessment is made by answering the applicable questions for each Resource Type Capability as either Y or N and then looking at the bottom of he table to see the capability level where all the requirements have been met.  The data entries are shaded in light blue.  To meet the baseline requirements,  27 yes answers should appear in the proper  rows.  You can see the rows by looking at the entries with 1 under the Base column.</t>
  </si>
  <si>
    <t xml:space="preserve">You have to fill out the Tier Level on row 85 that best meets your current capability.  </t>
  </si>
  <si>
    <t xml:space="preserve">Once the Jurisdictional Class is chosen, then the response capabilities tiers for Assessment, Management, Rescue and Control are specified in Table 9.  </t>
  </si>
  <si>
    <t>Note that if the Capability Tiers' performance levels  identified in Steps 1 and 2 do not meet the requirements in Table 9, then a gap is identified.  The planner has the option of addressing that gap before proceeding.  If the choice is to proceed with the assessment recognizing the gap, then  it follows that the gaps defied in Steps 10 through 20 will be larger than if the gap is addressed before proceeding.</t>
  </si>
  <si>
    <t xml:space="preserve">As was the case in the previous tab, the lightly shaded blue areas are to be filled out by the assessor.  </t>
  </si>
  <si>
    <t xml:space="preserve">The purpose of these three steps is to determine the Jurisdictional Class (DHS) that best matches the goals for your local or regional emergency response  team.   Table 3 shows the Jurisdictional Class based on the population characteristics of the local or regional area.  Tables  4 though  8 in the Guide suggest response goals associated with those Jurisdictional Classes.  The assessor or assessment  team addressing the response group's Jurisdictional Class has the option of picking a different Jurisdictional Class based on the goals instead of the population characteristics in Table 3.    </t>
  </si>
  <si>
    <t xml:space="preserve">This is the start of the evaluation of the risk equation shown in Section 1.D of the Guide.  It begins in Step 10 and continues until the risk metric equation value is obtained in Step 20.  </t>
  </si>
  <si>
    <t xml:space="preserve">The estimate of consequence could be very conservatively estimated by using a representative population density for the region and then estimating the ERPG-2 plume area and assuming everyone within the area is fatally injured - a very conservative estimate but acceptable if all the scenarios use the same consequence measure.  </t>
  </si>
  <si>
    <t xml:space="preserve">The purpose of this tab is not to complicate the analysis but rather force the assessor or assessment team to consider environmental damage where it is judged to be appropriate to do so.   In the example below, the areas used are the same as used in the population consequence calculation in Steps 10 and 11.  This need not be the case. </t>
  </si>
  <si>
    <t xml:space="preserve">The blue shaded areas are to be filled in, the scenarios are copied from tab "Steps 10 - 11 Pop Conseq" and will automatically be updated in the scenario list is changed on that tab </t>
  </si>
  <si>
    <t>Everything on this tab should be determined based on the entries made for Steps 10 through 13. There are no user entries required on this tab.</t>
  </si>
  <si>
    <t>Like the previous tab, all the entries under this tab should be automatically filled out based on the entries in steps 6,  and steps 10 though 14 .</t>
  </si>
  <si>
    <t xml:space="preserve">In Steps 6 - 9 the Jurisdiction Level you selected as a goal is copied here.  No assessor entry is required.  </t>
  </si>
  <si>
    <t>Response Times and Response Levels</t>
  </si>
  <si>
    <t>The details of the Vulnerability Calculation are shown in Appendix B of the Guide.  The facility vulnerability calculation differs from the transportation vulnerability calculation because  whereas a facility is a known entity, hazmat vehicles can be traveling through the region and unless some type of survey is done, the assessor will have no knowledge of most hazmat shipments until a transportation accident occurs.</t>
  </si>
  <si>
    <t xml:space="preserve">The type, likelihood  and magnitude of a release from a facility can probably be obtained through discussions with the facility's safety manger.   Similar discussions could be held with pipeline personnel if there is a product or gas pipeline traversing the region.   </t>
  </si>
  <si>
    <t>The vulnerability to a transportation accident depends on the total number of miles driven in the region for each type of hazardous material.  For rail, the assessor can ascertain the types of hazmat traveling through the area by asking railroad officials responsible  for the trains traversing the area.  For highway, there is no substitute for local knowledge obtained by monitoring hazardous material flows.  If such information has not been collected, one can always defer to the to the Hazardous Material Commodity Flow Survey Reports published by the Census Bureau.   For example if there is a major interstate running through the region, in the absence of all other knowledge, if the assessor  knows the number of  Class 3 hazmat trucks per day on a specific highway, for planning purposes one can estimate the number of class 8 vehicles passing on that highway by using the ratio of Class 3 to Class 8 from the Census report and applying the ratio to the known Class 3 shipments on that highway.   Clearly there is no substitute for good knowledge about hazmat flows in the region.</t>
  </si>
  <si>
    <t xml:space="preserve">As was the case with the previous tabs, the areas colored in light blue must be filled out by the assessor or assessment team.  </t>
  </si>
  <si>
    <t xml:space="preserve">If all the previous tabs have been completed, this result shown here are automatically calculated, no assessor input is required.  </t>
  </si>
  <si>
    <t xml:space="preserve">As stated in the introduction, there are two ways to use this form, one is to look at the individual columns and see which ones are high. In general, these might be areas for possible improvement.  The second use is to look at the high risk scenarios and identify ways to lower the risk levels for thise specific scenarios.    </t>
  </si>
  <si>
    <t>Steps 7 through 9 are focused on capturing the hazardous materials present in the jurisdiction for which response may be necessary; these are used to complete the table entries for Step 10 and those following.</t>
  </si>
  <si>
    <t>Guide for Assessing Community Emergency Response Needs and Capabilities for Hazardous Materials Releases:  Worksheets</t>
  </si>
  <si>
    <t xml:space="preserve">Steps 1 and 2 help the assessor determine the current Tier level of their Emergency Response organization.  The Tier level is aligned with the FEMA resource types.  </t>
  </si>
  <si>
    <t xml:space="preserve">Steps 3 though 6 assist the assessor in selecting the proper Jurisdictional Class.  The Jurisdictional Class as used here and adaption of the DHS Jurisdictional Class definitions.   The Jurisdictional Class selected determines a minimum Tier level response and if the current Tier Level capability is lower than required, this is the first gap identified in this assessment.  The assumption is made that this gap would be addressed before proceeding with the balance of the assessment.  It should be noted that while the balance of the assessment could be completed with a lower-than-needed Tier level, many more gaps will be identified.   </t>
  </si>
  <si>
    <t>There are some entries like Decontamination and Sustainability where the "Y" entry is made for the row that most describes your capability.  Thus, if you are currently capable of decontaminating 500 patients per hour, it follows that you can satisfy the requirements to decontaminate 100 patients per hour.  Thus, there is no need to put a "Y" entry for the 100 and 250 patient per hour rows; they will be automatically satisfied when you place a "Y" under 500 patients per hour.  Note that if you fill out the form inconsistently, saying "N" to 100 patients per hour and "Y" to 500 patients per hour, the "N" overrides the "Y" and you get an incorrect total.</t>
  </si>
  <si>
    <t xml:space="preserve">This worksheet tab focuses totally on the consequences of the release.  These consequences can be estimated using a code (model) such as ALOHA that is used to calculate the aerial extent of the plume, using some criteria like the ERPG-2 concentration, and then multiplying that area by the population density to get an estimate of the number of people exposed to above the EPRG-2 level.  Alternatively an assessor could just enter and estimated number of exposed people.  This might be reasonable in a very rural area with sparse population.  Since the scenarios are to be compared based on risk, what is needed is a relative risk level and an absolute risk level.  </t>
  </si>
  <si>
    <t>The entries in the table below are given as an example and typically the assessor or assessment team using this Guide would fill in their own scenarios.  The expectation is that they would simply replace the entries shown .  If more scenario lines are needed, just add lines by moving to cursor the row number and the very left of the row, right clicking and clicking on insert.  The formulas from the previous row would then be copied down into the new row.   The consequence calculation example is described in greater detail in Appendix C of the Guide.</t>
  </si>
  <si>
    <t xml:space="preserve">The assessor can choose to estimate the environmental consequences of all, some or no scenarios.  If the assessor or assessment team does not see much potential for environmental damage from a given release then the entries should reflect no damage. </t>
  </si>
  <si>
    <t>Table A  Value per Building Unit by Population Type and Building Type</t>
  </si>
  <si>
    <t>The purpose of this tab is to estimate the  maximum consequence measure for each scenario by looking at the consequence measure for population, land use, and environmental damage and selecting the maximum.  The consequence measures used are shown in the two preceding tabs.</t>
  </si>
  <si>
    <t xml:space="preserve">Table 16 specifies the required Tier level response for the  scenario consequence level determined in tab "Step 14 Max Conseq" and the Tier level capabilities were determined in steps 6 though 10 so the gap, if any, can not be calculated without additional data entries by the assessor.  </t>
  </si>
  <si>
    <t xml:space="preserve">insert additional lines for facility scenarios </t>
  </si>
  <si>
    <t>step 10-11 value</t>
  </si>
  <si>
    <t>step 12 13 value</t>
  </si>
  <si>
    <t>step 10 - 11 hazard</t>
  </si>
  <si>
    <t>step 10-12 route</t>
  </si>
  <si>
    <t>step 10-11 facility</t>
  </si>
  <si>
    <t>step 17 value</t>
  </si>
  <si>
    <t>value step 19</t>
  </si>
  <si>
    <t xml:space="preserve">Cells shaded in blue must be calculated and filled in </t>
  </si>
  <si>
    <t xml:space="preserve">                            Cells shaded in blue must be calculated and filled in,</t>
  </si>
  <si>
    <t xml:space="preserve"> others calculated or passed from another worksheet</t>
  </si>
  <si>
    <t xml:space="preserve">                                                                                   Cells shaded in blue must be calculated and filled in,</t>
  </si>
  <si>
    <t xml:space="preserve">For worksheets beginning with 'Steps 10 - 12 Pop Conseq', those cells shaded in light blue must be entered by the user, </t>
  </si>
  <si>
    <t>all others will either be copied from previous sheets or calculated when the information is entered into the shaded cells</t>
  </si>
  <si>
    <t xml:space="preserve">this graph must be edited by hand </t>
  </si>
  <si>
    <t>using the risk measure data</t>
  </si>
  <si>
    <t>Y=1/N=0</t>
  </si>
  <si>
    <t xml:space="preserve">For worksheets beginning with 'Steps 10 - 12 Pop Conseq', extra scenario lines with the formulas included have been included after the last facility scenario and last route scenario.  A user could either change the scenarios shown or add additional scenarios by inserting additional lines and copying the lines with the formula to the newly inserted lines.  It is suggested that the user keep this file as a master, save it to a new file name and then modify the new file.  </t>
  </si>
</sst>
</file>

<file path=xl/styles.xml><?xml version="1.0" encoding="utf-8"?>
<styleSheet xmlns="http://schemas.openxmlformats.org/spreadsheetml/2006/main">
  <numFmts count="3">
    <numFmt numFmtId="164" formatCode="&quot;$&quot;#,##0"/>
    <numFmt numFmtId="165" formatCode="0.0"/>
    <numFmt numFmtId="166" formatCode="#,##0.0"/>
  </numFmts>
  <fonts count="24">
    <font>
      <sz val="11"/>
      <color theme="1"/>
      <name val="Calibri"/>
      <family val="2"/>
      <scheme val="minor"/>
    </font>
    <font>
      <b/>
      <sz val="11"/>
      <color theme="1"/>
      <name val="Calibri"/>
      <family val="2"/>
    </font>
    <font>
      <sz val="11"/>
      <color theme="1"/>
      <name val="Calibri"/>
      <family val="2"/>
    </font>
    <font>
      <vertAlign val="superscript"/>
      <sz val="11"/>
      <color theme="1"/>
      <name val="Calibri"/>
      <family val="2"/>
      <scheme val="minor"/>
    </font>
    <font>
      <sz val="8"/>
      <color indexed="81"/>
      <name val="Tahoma"/>
      <family val="2"/>
    </font>
    <font>
      <b/>
      <sz val="8"/>
      <color indexed="81"/>
      <name val="Tahoma"/>
      <family val="2"/>
    </font>
    <font>
      <b/>
      <sz val="10"/>
      <color rgb="FFFFFFFF"/>
      <name val="Calibri"/>
      <family val="2"/>
    </font>
    <font>
      <sz val="10"/>
      <color theme="1"/>
      <name val="Calibri"/>
      <family val="2"/>
    </font>
    <font>
      <b/>
      <sz val="10"/>
      <color theme="0"/>
      <name val="Calibri"/>
      <family val="2"/>
    </font>
    <font>
      <b/>
      <sz val="10"/>
      <color theme="1"/>
      <name val="Calibri"/>
      <family val="2"/>
    </font>
    <font>
      <b/>
      <vertAlign val="superscript"/>
      <sz val="10"/>
      <color theme="1"/>
      <name val="Calibri"/>
      <family val="2"/>
    </font>
    <font>
      <vertAlign val="superscript"/>
      <sz val="10"/>
      <color theme="1"/>
      <name val="Calibri"/>
      <family val="2"/>
    </font>
    <font>
      <sz val="12"/>
      <color theme="1"/>
      <name val="Calibri"/>
      <family val="2"/>
    </font>
    <font>
      <b/>
      <i/>
      <sz val="10"/>
      <color theme="1"/>
      <name val="Calibri"/>
      <family val="2"/>
    </font>
    <font>
      <u/>
      <sz val="10"/>
      <color theme="1"/>
      <name val="Calibri"/>
      <family val="2"/>
    </font>
    <font>
      <u/>
      <vertAlign val="superscript"/>
      <sz val="11"/>
      <color theme="1"/>
      <name val="Calibri"/>
      <family val="2"/>
      <scheme val="minor"/>
    </font>
    <font>
      <sz val="11"/>
      <color rgb="FFFF0000"/>
      <name val="Calibri"/>
      <family val="2"/>
      <scheme val="minor"/>
    </font>
    <font>
      <sz val="12"/>
      <color theme="1"/>
      <name val="Calibri"/>
      <family val="2"/>
      <scheme val="minor"/>
    </font>
    <font>
      <sz val="12"/>
      <color theme="1"/>
      <name val="Times New Roman"/>
      <family val="1"/>
    </font>
    <font>
      <b/>
      <sz val="11"/>
      <color theme="1"/>
      <name val="Calibri"/>
      <family val="2"/>
      <scheme val="minor"/>
    </font>
    <font>
      <sz val="11"/>
      <color rgb="FF000000"/>
      <name val="Calibri"/>
      <family val="2"/>
      <scheme val="minor"/>
    </font>
    <font>
      <b/>
      <sz val="12"/>
      <color theme="1"/>
      <name val="Calibri"/>
      <family val="2"/>
      <scheme val="minor"/>
    </font>
    <font>
      <sz val="10"/>
      <color indexed="81"/>
      <name val="Tahoma"/>
      <family val="2"/>
    </font>
    <font>
      <b/>
      <sz val="10"/>
      <color indexed="81"/>
      <name val="Tahoma"/>
      <family val="2"/>
    </font>
  </fonts>
  <fills count="7">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s>
  <borders count="99">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medium">
        <color auto="1"/>
      </top>
      <bottom style="thin">
        <color auto="1"/>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rgb="FF000000"/>
      </left>
      <right style="thin">
        <color rgb="FF000000"/>
      </right>
      <top style="medium">
        <color rgb="FF000000"/>
      </top>
      <bottom/>
      <diagonal/>
    </border>
    <border>
      <left/>
      <right/>
      <top/>
      <bottom style="thin">
        <color auto="1"/>
      </bottom>
      <diagonal/>
    </border>
    <border>
      <left/>
      <right style="medium">
        <color auto="1"/>
      </right>
      <top/>
      <bottom style="thin">
        <color auto="1"/>
      </bottom>
      <diagonal/>
    </border>
    <border>
      <left style="medium">
        <color rgb="FF3366FF"/>
      </left>
      <right style="medium">
        <color rgb="FF3366FF"/>
      </right>
      <top style="medium">
        <color rgb="FF3366FF"/>
      </top>
      <bottom style="medium">
        <color rgb="FF3366FF"/>
      </bottom>
      <diagonal/>
    </border>
    <border>
      <left/>
      <right style="medium">
        <color rgb="FF3366FF"/>
      </right>
      <top style="medium">
        <color rgb="FF3366FF"/>
      </top>
      <bottom style="medium">
        <color rgb="FF3366FF"/>
      </bottom>
      <diagonal/>
    </border>
    <border>
      <left style="medium">
        <color rgb="FF3366FF"/>
      </left>
      <right style="medium">
        <color rgb="FF3366FF"/>
      </right>
      <top/>
      <bottom style="medium">
        <color rgb="FF3366FF"/>
      </bottom>
      <diagonal/>
    </border>
    <border>
      <left/>
      <right style="medium">
        <color rgb="FF3366FF"/>
      </right>
      <top/>
      <bottom style="medium">
        <color rgb="FF3366FF"/>
      </bottom>
      <diagonal/>
    </border>
    <border>
      <left style="thin">
        <color rgb="FF000000"/>
      </left>
      <right/>
      <top style="medium">
        <color rgb="FF000000"/>
      </top>
      <bottom/>
      <diagonal/>
    </border>
    <border>
      <left style="thin">
        <color auto="1"/>
      </left>
      <right style="medium">
        <color rgb="FF000000"/>
      </right>
      <top style="medium">
        <color auto="1"/>
      </top>
      <bottom style="thin">
        <color auto="1"/>
      </bottom>
      <diagonal/>
    </border>
    <border>
      <left style="thin">
        <color auto="1"/>
      </left>
      <right style="medium">
        <color rgb="FF000000"/>
      </right>
      <top style="thin">
        <color auto="1"/>
      </top>
      <bottom style="thin">
        <color auto="1"/>
      </bottom>
      <diagonal/>
    </border>
    <border>
      <left style="thin">
        <color auto="1"/>
      </left>
      <right style="medium">
        <color rgb="FF000000"/>
      </right>
      <top style="thin">
        <color auto="1"/>
      </top>
      <bottom style="medium">
        <color auto="1"/>
      </bottom>
      <diagonal/>
    </border>
    <border>
      <left style="medium">
        <color rgb="FF3366FF"/>
      </left>
      <right/>
      <top style="medium">
        <color rgb="FF3366FF"/>
      </top>
      <bottom/>
      <diagonal/>
    </border>
    <border>
      <left/>
      <right style="medium">
        <color rgb="FF3366FF"/>
      </right>
      <top style="medium">
        <color rgb="FF3366FF"/>
      </top>
      <bottom/>
      <diagonal/>
    </border>
    <border>
      <left style="medium">
        <color rgb="FF3366FF"/>
      </left>
      <right style="medium">
        <color rgb="FF3366FF"/>
      </right>
      <top style="medium">
        <color rgb="FF3366FF"/>
      </top>
      <bottom/>
      <diagonal/>
    </border>
    <border>
      <left style="medium">
        <color rgb="FF3366FF"/>
      </left>
      <right/>
      <top/>
      <bottom style="medium">
        <color rgb="FF3366FF"/>
      </bottom>
      <diagonal/>
    </border>
    <border>
      <left style="medium">
        <color rgb="FF3366FF"/>
      </left>
      <right/>
      <top style="medium">
        <color rgb="FF3366FF"/>
      </top>
      <bottom style="medium">
        <color rgb="FF3366FF"/>
      </bottom>
      <diagonal/>
    </border>
    <border>
      <left/>
      <right/>
      <top style="medium">
        <color rgb="FF3366FF"/>
      </top>
      <bottom style="medium">
        <color rgb="FF3366FF"/>
      </bottom>
      <diagonal/>
    </border>
    <border>
      <left/>
      <right/>
      <top style="medium">
        <color rgb="FF3366FF"/>
      </top>
      <bottom/>
      <diagonal/>
    </border>
    <border>
      <left style="medium">
        <color rgb="FF3366FF"/>
      </left>
      <right/>
      <top/>
      <bottom/>
      <diagonal/>
    </border>
    <border>
      <left/>
      <right style="medium">
        <color rgb="FF3366FF"/>
      </right>
      <top/>
      <bottom/>
      <diagonal/>
    </border>
    <border>
      <left/>
      <right/>
      <top/>
      <bottom style="medium">
        <color rgb="FF3366FF"/>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style="medium">
        <color auto="1"/>
      </bottom>
      <diagonal/>
    </border>
    <border>
      <left style="thin">
        <color rgb="FF000000"/>
      </left>
      <right style="medium">
        <color rgb="FF000000"/>
      </right>
      <top style="thin">
        <color rgb="FF000000"/>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medium">
        <color rgb="FF3366FF"/>
      </left>
      <right/>
      <top/>
      <bottom style="thin">
        <color rgb="FF3366FF"/>
      </bottom>
      <diagonal/>
    </border>
    <border>
      <left/>
      <right/>
      <top/>
      <bottom style="thin">
        <color rgb="FF3366FF"/>
      </bottom>
      <diagonal/>
    </border>
    <border>
      <left/>
      <right style="medium">
        <color rgb="FF3366FF"/>
      </right>
      <top/>
      <bottom style="thin">
        <color rgb="FF3366FF"/>
      </bottom>
      <diagonal/>
    </border>
    <border>
      <left style="medium">
        <color rgb="FF3366FF"/>
      </left>
      <right/>
      <top style="thin">
        <color rgb="FF3366FF"/>
      </top>
      <bottom style="thin">
        <color rgb="FF3366FF"/>
      </bottom>
      <diagonal/>
    </border>
    <border>
      <left/>
      <right/>
      <top style="thin">
        <color rgb="FF3366FF"/>
      </top>
      <bottom style="thin">
        <color rgb="FF3366FF"/>
      </bottom>
      <diagonal/>
    </border>
    <border>
      <left/>
      <right style="medium">
        <color rgb="FF3366FF"/>
      </right>
      <top style="thin">
        <color rgb="FF3366FF"/>
      </top>
      <bottom style="thin">
        <color rgb="FF3366FF"/>
      </bottom>
      <diagonal/>
    </border>
    <border>
      <left style="medium">
        <color rgb="FF3366FF"/>
      </left>
      <right/>
      <top style="thin">
        <color rgb="FF3366FF"/>
      </top>
      <bottom style="medium">
        <color rgb="FF3366FF"/>
      </bottom>
      <diagonal/>
    </border>
    <border>
      <left/>
      <right/>
      <top style="thin">
        <color rgb="FF3366FF"/>
      </top>
      <bottom style="medium">
        <color rgb="FF3366FF"/>
      </bottom>
      <diagonal/>
    </border>
    <border>
      <left/>
      <right style="medium">
        <color rgb="FF3366FF"/>
      </right>
      <top style="thin">
        <color rgb="FF3366FF"/>
      </top>
      <bottom style="medium">
        <color rgb="FF3366FF"/>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diagonal/>
    </border>
  </borders>
  <cellStyleXfs count="1">
    <xf numFmtId="0" fontId="0" fillId="0" borderId="0"/>
  </cellStyleXfs>
  <cellXfs count="472">
    <xf numFmtId="0" fontId="0" fillId="0" borderId="0" xfId="0"/>
    <xf numFmtId="3" fontId="0" fillId="0" borderId="0" xfId="0" applyNumberFormat="1"/>
    <xf numFmtId="0" fontId="0" fillId="0" borderId="0" xfId="0" applyNumberFormat="1" applyFill="1" applyBorder="1" applyAlignment="1">
      <alignment horizontal="center" wrapText="1"/>
    </xf>
    <xf numFmtId="2" fontId="0" fillId="0" borderId="0" xfId="0" applyNumberFormat="1"/>
    <xf numFmtId="3" fontId="0" fillId="0" borderId="0" xfId="0" applyNumberFormat="1" applyFill="1" applyBorder="1" applyAlignment="1">
      <alignment horizontal="right" wrapText="1"/>
    </xf>
    <xf numFmtId="0" fontId="0" fillId="0" borderId="2" xfId="0" applyFill="1" applyBorder="1" applyAlignment="1">
      <alignment horizontal="center" wrapText="1"/>
    </xf>
    <xf numFmtId="0" fontId="0" fillId="0" borderId="2" xfId="0" applyBorder="1" applyAlignment="1">
      <alignment wrapText="1"/>
    </xf>
    <xf numFmtId="0" fontId="0" fillId="0" borderId="3" xfId="0" applyBorder="1" applyAlignment="1">
      <alignment horizontal="center" wrapText="1"/>
    </xf>
    <xf numFmtId="0" fontId="0" fillId="0" borderId="4" xfId="0" applyBorder="1" applyAlignment="1">
      <alignment vertical="top" wrapText="1"/>
    </xf>
    <xf numFmtId="0" fontId="0" fillId="0" borderId="5" xfId="0" applyBorder="1" applyAlignment="1">
      <alignment vertical="top" wrapText="1"/>
    </xf>
    <xf numFmtId="3" fontId="0" fillId="0" borderId="5" xfId="0" applyNumberFormat="1" applyBorder="1"/>
    <xf numFmtId="0" fontId="0" fillId="0" borderId="7" xfId="0" applyBorder="1" applyAlignment="1">
      <alignment vertical="top" wrapText="1"/>
    </xf>
    <xf numFmtId="0" fontId="0" fillId="0" borderId="8" xfId="0" applyBorder="1" applyAlignment="1">
      <alignment vertical="top" wrapText="1"/>
    </xf>
    <xf numFmtId="3" fontId="0" fillId="0" borderId="8" xfId="0" applyNumberFormat="1" applyBorder="1"/>
    <xf numFmtId="0" fontId="0" fillId="0" borderId="0" xfId="0" applyBorder="1"/>
    <xf numFmtId="0" fontId="0" fillId="0" borderId="0" xfId="0" applyBorder="1" applyAlignment="1">
      <alignment horizontal="center" wrapText="1"/>
    </xf>
    <xf numFmtId="3" fontId="0" fillId="0" borderId="0" xfId="0" applyNumberFormat="1" applyBorder="1"/>
    <xf numFmtId="0" fontId="0" fillId="0" borderId="0" xfId="0" applyNumberFormat="1" applyBorder="1" applyAlignment="1">
      <alignment horizontal="center" wrapText="1"/>
    </xf>
    <xf numFmtId="0" fontId="0" fillId="0" borderId="11" xfId="0" applyBorder="1" applyAlignment="1">
      <alignment vertical="top" wrapText="1"/>
    </xf>
    <xf numFmtId="0" fontId="0" fillId="0" borderId="9" xfId="0" applyBorder="1" applyAlignment="1">
      <alignment horizontal="center" wrapText="1"/>
    </xf>
    <xf numFmtId="0" fontId="0" fillId="0" borderId="12" xfId="0" applyBorder="1" applyAlignment="1">
      <alignment vertical="top" wrapText="1"/>
    </xf>
    <xf numFmtId="0" fontId="0" fillId="0" borderId="0" xfId="0" applyFill="1" applyBorder="1" applyAlignment="1">
      <alignment horizontal="center" wrapText="1"/>
    </xf>
    <xf numFmtId="0" fontId="0" fillId="0" borderId="0" xfId="0" applyBorder="1" applyAlignment="1">
      <alignment vertical="top" wrapText="1"/>
    </xf>
    <xf numFmtId="0" fontId="0" fillId="0" borderId="0" xfId="0" applyFill="1" applyBorder="1" applyAlignment="1">
      <alignment vertical="top"/>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3" fontId="0" fillId="0" borderId="14" xfId="0" applyNumberFormat="1" applyBorder="1"/>
    <xf numFmtId="3" fontId="0" fillId="0" borderId="16" xfId="0" applyNumberFormat="1" applyBorder="1"/>
    <xf numFmtId="164" fontId="0" fillId="0" borderId="18" xfId="0" applyNumberFormat="1" applyBorder="1"/>
    <xf numFmtId="164" fontId="0" fillId="0" borderId="14" xfId="0" applyNumberFormat="1" applyBorder="1"/>
    <xf numFmtId="164" fontId="0" fillId="0" borderId="16" xfId="0" applyNumberFormat="1" applyBorder="1"/>
    <xf numFmtId="0" fontId="0" fillId="0" borderId="23" xfId="0" applyBorder="1"/>
    <xf numFmtId="0" fontId="0" fillId="0" borderId="24" xfId="0" applyBorder="1"/>
    <xf numFmtId="0" fontId="0" fillId="0" borderId="25" xfId="0" applyBorder="1"/>
    <xf numFmtId="3" fontId="0" fillId="0" borderId="5" xfId="0" applyNumberFormat="1" applyFill="1" applyBorder="1" applyAlignment="1">
      <alignment horizontal="center" wrapText="1"/>
    </xf>
    <xf numFmtId="0" fontId="0" fillId="0" borderId="26" xfId="0" applyBorder="1" applyAlignment="1">
      <alignment horizontal="center"/>
    </xf>
    <xf numFmtId="0" fontId="0" fillId="0" borderId="14" xfId="0" applyBorder="1" applyAlignment="1">
      <alignment horizontal="center"/>
    </xf>
    <xf numFmtId="0" fontId="0" fillId="0" borderId="27"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2"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34" xfId="0" applyBorder="1"/>
    <xf numFmtId="0" fontId="0" fillId="0" borderId="26" xfId="0" applyBorder="1"/>
    <xf numFmtId="0" fontId="0" fillId="0" borderId="27" xfId="0" applyBorder="1"/>
    <xf numFmtId="0" fontId="0" fillId="0" borderId="5" xfId="0" applyBorder="1"/>
    <xf numFmtId="0" fontId="0" fillId="0" borderId="6" xfId="0" applyBorder="1" applyAlignment="1">
      <alignment horizontal="center" wrapText="1"/>
    </xf>
    <xf numFmtId="0" fontId="0" fillId="0" borderId="4" xfId="0" applyBorder="1"/>
    <xf numFmtId="0" fontId="0" fillId="0" borderId="7" xfId="0" applyBorder="1"/>
    <xf numFmtId="0" fontId="0" fillId="0" borderId="8" xfId="0" applyBorder="1"/>
    <xf numFmtId="0" fontId="0" fillId="0" borderId="8" xfId="0" applyBorder="1" applyAlignment="1">
      <alignment horizontal="center"/>
    </xf>
    <xf numFmtId="0" fontId="0" fillId="0" borderId="2" xfId="0" applyBorder="1" applyAlignment="1">
      <alignment horizontal="center"/>
    </xf>
    <xf numFmtId="0" fontId="0" fillId="0" borderId="37" xfId="0" applyBorder="1" applyAlignment="1">
      <alignment horizontal="center" wrapText="1"/>
    </xf>
    <xf numFmtId="0" fontId="0" fillId="0" borderId="0" xfId="0" applyFill="1" applyBorder="1"/>
    <xf numFmtId="0" fontId="0" fillId="0" borderId="1" xfId="0" applyBorder="1"/>
    <xf numFmtId="0" fontId="0" fillId="0" borderId="2" xfId="0" applyBorder="1" applyAlignment="1">
      <alignment vertical="top" wrapText="1"/>
    </xf>
    <xf numFmtId="0" fontId="0" fillId="0" borderId="2" xfId="0" applyBorder="1"/>
    <xf numFmtId="0" fontId="0" fillId="0" borderId="3" xfId="0" applyBorder="1"/>
    <xf numFmtId="0" fontId="0" fillId="0" borderId="38" xfId="0" applyBorder="1" applyAlignment="1">
      <alignment horizontal="center" wrapText="1"/>
    </xf>
    <xf numFmtId="0" fontId="0" fillId="0" borderId="1" xfId="0" applyBorder="1" applyAlignment="1">
      <alignment vertical="top" wrapText="1"/>
    </xf>
    <xf numFmtId="3" fontId="0" fillId="0" borderId="2" xfId="0" applyNumberFormat="1" applyBorder="1"/>
    <xf numFmtId="0" fontId="0" fillId="0" borderId="0" xfId="0" applyBorder="1" applyAlignment="1">
      <alignment horizontal="center"/>
    </xf>
    <xf numFmtId="0" fontId="0" fillId="0" borderId="42" xfId="0" applyBorder="1"/>
    <xf numFmtId="0" fontId="0" fillId="0" borderId="43" xfId="0" applyBorder="1"/>
    <xf numFmtId="0" fontId="0" fillId="0" borderId="32" xfId="0" applyBorder="1"/>
    <xf numFmtId="0" fontId="0" fillId="0" borderId="44" xfId="0" applyBorder="1"/>
    <xf numFmtId="0" fontId="0" fillId="0" borderId="45" xfId="0" applyBorder="1"/>
    <xf numFmtId="0" fontId="0" fillId="0" borderId="46" xfId="0" applyBorder="1"/>
    <xf numFmtId="0" fontId="0" fillId="0" borderId="5" xfId="0" applyBorder="1" applyAlignment="1">
      <alignment horizontal="center"/>
    </xf>
    <xf numFmtId="0" fontId="0" fillId="0" borderId="6" xfId="0" applyBorder="1" applyAlignment="1">
      <alignment horizontal="center"/>
    </xf>
    <xf numFmtId="0" fontId="0" fillId="0" borderId="23" xfId="0" applyBorder="1" applyAlignment="1"/>
    <xf numFmtId="0" fontId="0" fillId="0" borderId="49" xfId="0" applyBorder="1" applyAlignment="1"/>
    <xf numFmtId="0" fontId="0" fillId="0" borderId="50" xfId="0" applyBorder="1" applyAlignment="1"/>
    <xf numFmtId="0" fontId="0" fillId="0" borderId="0" xfId="0" applyBorder="1" applyAlignment="1">
      <alignment wrapText="1"/>
    </xf>
    <xf numFmtId="0" fontId="0" fillId="0" borderId="47" xfId="0" applyFill="1" applyBorder="1"/>
    <xf numFmtId="0" fontId="0" fillId="0" borderId="9" xfId="0" applyBorder="1" applyAlignment="1">
      <alignment horizontal="center"/>
    </xf>
    <xf numFmtId="0" fontId="0" fillId="0" borderId="55" xfId="0" applyFill="1" applyBorder="1" applyAlignment="1">
      <alignment horizontal="center" wrapText="1"/>
    </xf>
    <xf numFmtId="0" fontId="0" fillId="0" borderId="40" xfId="0" applyFill="1" applyBorder="1" applyAlignment="1">
      <alignment horizontal="center" wrapText="1"/>
    </xf>
    <xf numFmtId="0" fontId="0" fillId="0" borderId="3" xfId="0" applyFill="1" applyBorder="1" applyAlignment="1">
      <alignment horizontal="center" wrapText="1"/>
    </xf>
    <xf numFmtId="0" fontId="0" fillId="0" borderId="34" xfId="0" applyBorder="1" applyAlignment="1">
      <alignment horizontal="center" wrapText="1"/>
    </xf>
    <xf numFmtId="0" fontId="0" fillId="0" borderId="27" xfId="0" applyBorder="1" applyAlignment="1">
      <alignment horizontal="center" wrapText="1"/>
    </xf>
    <xf numFmtId="0" fontId="0" fillId="0" borderId="34" xfId="0" applyBorder="1" applyAlignment="1">
      <alignment horizontal="center" vertical="top" wrapText="1"/>
    </xf>
    <xf numFmtId="0" fontId="0" fillId="0" borderId="34" xfId="0" applyBorder="1" applyAlignment="1">
      <alignment horizontal="center"/>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2" xfId="0" applyBorder="1" applyAlignment="1">
      <alignment horizontal="center" wrapText="1"/>
    </xf>
    <xf numFmtId="0" fontId="0" fillId="0" borderId="8" xfId="0" applyBorder="1" applyAlignment="1">
      <alignment horizontal="center" wrapText="1"/>
    </xf>
    <xf numFmtId="0" fontId="0" fillId="0" borderId="0" xfId="0" applyAlignment="1"/>
    <xf numFmtId="0" fontId="0" fillId="0" borderId="0" xfId="0" applyBorder="1" applyAlignment="1">
      <alignment vertical="top"/>
    </xf>
    <xf numFmtId="0" fontId="7" fillId="0" borderId="54" xfId="0" applyFont="1" applyBorder="1" applyAlignment="1">
      <alignment horizontal="center" vertical="top" wrapText="1"/>
    </xf>
    <xf numFmtId="0" fontId="8" fillId="2" borderId="52" xfId="0" applyFont="1" applyFill="1" applyBorder="1" applyAlignment="1">
      <alignment horizontal="center" wrapText="1"/>
    </xf>
    <xf numFmtId="9" fontId="0" fillId="0" borderId="5" xfId="0" applyNumberFormat="1" applyFill="1" applyBorder="1" applyAlignment="1">
      <alignment horizontal="center" wrapText="1"/>
    </xf>
    <xf numFmtId="0" fontId="0" fillId="0" borderId="34" xfId="0" applyFill="1" applyBorder="1" applyAlignment="1">
      <alignment horizontal="center" wrapText="1"/>
    </xf>
    <xf numFmtId="0" fontId="0" fillId="0" borderId="43" xfId="0" applyBorder="1" applyAlignment="1">
      <alignment horizontal="center" wrapText="1"/>
    </xf>
    <xf numFmtId="0" fontId="0" fillId="0" borderId="13" xfId="0" applyBorder="1" applyAlignment="1">
      <alignment vertical="top" wrapText="1"/>
    </xf>
    <xf numFmtId="0" fontId="0" fillId="0" borderId="26" xfId="0" applyBorder="1" applyAlignment="1">
      <alignment vertical="top" wrapText="1"/>
    </xf>
    <xf numFmtId="0" fontId="0" fillId="0" borderId="27" xfId="0" applyFill="1" applyBorder="1" applyAlignment="1">
      <alignment horizontal="center" wrapText="1"/>
    </xf>
    <xf numFmtId="0" fontId="0" fillId="0" borderId="16" xfId="0" applyBorder="1" applyAlignment="1">
      <alignment horizontal="center" wrapText="1"/>
    </xf>
    <xf numFmtId="0" fontId="0" fillId="0" borderId="13" xfId="0" applyBorder="1" applyAlignment="1">
      <alignment vertical="top"/>
    </xf>
    <xf numFmtId="0" fontId="0" fillId="0" borderId="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15" xfId="0" applyBorder="1" applyAlignment="1">
      <alignment vertical="top" wrapText="1"/>
    </xf>
    <xf numFmtId="0" fontId="0" fillId="0" borderId="27" xfId="0" applyBorder="1" applyAlignment="1">
      <alignment vertical="top" wrapText="1"/>
    </xf>
    <xf numFmtId="0" fontId="0" fillId="0" borderId="20" xfId="0" applyBorder="1" applyAlignment="1">
      <alignment wrapText="1"/>
    </xf>
    <xf numFmtId="3" fontId="0" fillId="0" borderId="11" xfId="0" applyNumberFormat="1" applyFill="1" applyBorder="1" applyAlignment="1">
      <alignment horizontal="center" wrapText="1"/>
    </xf>
    <xf numFmtId="0" fontId="0" fillId="0" borderId="35" xfId="0" applyBorder="1" applyAlignment="1">
      <alignment horizontal="center"/>
    </xf>
    <xf numFmtId="0" fontId="0" fillId="0" borderId="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39" xfId="0" applyBorder="1" applyAlignment="1">
      <alignment horizontal="center" wrapText="1"/>
    </xf>
    <xf numFmtId="0" fontId="0" fillId="0" borderId="33" xfId="0" applyBorder="1" applyAlignment="1">
      <alignment horizontal="center" wrapText="1"/>
    </xf>
    <xf numFmtId="0" fontId="0" fillId="0" borderId="48" xfId="0" applyBorder="1" applyAlignment="1">
      <alignment horizontal="center" wrapText="1"/>
    </xf>
    <xf numFmtId="0" fontId="7" fillId="3" borderId="51" xfId="0" applyFont="1" applyFill="1" applyBorder="1" applyAlignment="1">
      <alignment horizontal="center" wrapText="1"/>
    </xf>
    <xf numFmtId="0" fontId="9" fillId="3" borderId="52" xfId="0" applyFont="1" applyFill="1" applyBorder="1" applyAlignment="1">
      <alignment horizontal="center" wrapText="1"/>
    </xf>
    <xf numFmtId="0" fontId="7" fillId="3" borderId="53" xfId="0" applyFont="1" applyFill="1" applyBorder="1" applyAlignment="1">
      <alignment horizontal="center" wrapText="1"/>
    </xf>
    <xf numFmtId="0" fontId="7" fillId="3" borderId="54" xfId="0" applyFont="1" applyFill="1" applyBorder="1" applyAlignment="1">
      <alignment horizontal="center" wrapText="1"/>
    </xf>
    <xf numFmtId="0" fontId="9" fillId="4" borderId="60"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7" fillId="0" borderId="53" xfId="0" applyFont="1" applyBorder="1" applyAlignment="1">
      <alignment horizontal="center" vertical="top" wrapText="1"/>
    </xf>
    <xf numFmtId="0" fontId="7" fillId="0" borderId="54" xfId="0" applyFont="1" applyBorder="1" applyAlignment="1">
      <alignment vertical="top" wrapText="1"/>
    </xf>
    <xf numFmtId="0" fontId="12" fillId="0" borderId="54" xfId="0" applyFont="1" applyBorder="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Border="1" applyAlignment="1">
      <alignment horizontal="center" vertical="center" wrapText="1"/>
    </xf>
    <xf numFmtId="0" fontId="7"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xf>
    <xf numFmtId="0" fontId="7" fillId="0" borderId="0" xfId="0" applyFont="1" applyBorder="1" applyAlignment="1">
      <alignment horizontal="center" wrapText="1"/>
    </xf>
    <xf numFmtId="0" fontId="7" fillId="0" borderId="69" xfId="0" applyFont="1" applyFill="1" applyBorder="1" applyAlignment="1">
      <alignment vertical="top" wrapText="1"/>
    </xf>
    <xf numFmtId="0" fontId="0" fillId="0" borderId="39" xfId="0" applyBorder="1" applyAlignment="1">
      <alignment horizontal="center" wrapText="1"/>
    </xf>
    <xf numFmtId="0" fontId="0" fillId="0" borderId="2" xfId="0" applyBorder="1" applyAlignment="1">
      <alignment horizontal="center" wrapText="1"/>
    </xf>
    <xf numFmtId="0" fontId="0" fillId="0" borderId="33" xfId="0" applyBorder="1" applyAlignment="1">
      <alignment horizontal="center" wrapText="1"/>
    </xf>
    <xf numFmtId="0" fontId="0" fillId="0" borderId="47" xfId="0" applyBorder="1" applyAlignment="1">
      <alignment horizontal="center" vertical="center"/>
    </xf>
    <xf numFmtId="0" fontId="0" fillId="0" borderId="1"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48" xfId="0" applyBorder="1" applyAlignment="1">
      <alignment horizontal="center" wrapText="1"/>
    </xf>
    <xf numFmtId="9" fontId="0" fillId="0" borderId="8" xfId="0" applyNumberFormat="1" applyFill="1" applyBorder="1" applyAlignment="1">
      <alignment horizontal="center" wrapText="1"/>
    </xf>
    <xf numFmtId="0" fontId="0" fillId="0" borderId="11" xfId="0" applyBorder="1" applyAlignment="1">
      <alignment horizontal="center" vertical="top" wrapText="1"/>
    </xf>
    <xf numFmtId="9" fontId="0" fillId="0" borderId="11" xfId="0" applyNumberFormat="1" applyFill="1" applyBorder="1" applyAlignment="1">
      <alignment horizontal="center" wrapText="1"/>
    </xf>
    <xf numFmtId="0" fontId="0" fillId="0" borderId="9" xfId="0" applyFill="1" applyBorder="1" applyAlignment="1">
      <alignment horizontal="center" wrapText="1"/>
    </xf>
    <xf numFmtId="0" fontId="0" fillId="0" borderId="33" xfId="0" applyBorder="1" applyAlignment="1">
      <alignment horizontal="center"/>
    </xf>
    <xf numFmtId="0" fontId="0" fillId="0" borderId="42" xfId="0" applyBorder="1" applyAlignment="1">
      <alignment vertical="top" wrapText="1"/>
    </xf>
    <xf numFmtId="0" fontId="0" fillId="0" borderId="34" xfId="0" applyBorder="1" applyAlignment="1">
      <alignment vertical="top" wrapText="1"/>
    </xf>
    <xf numFmtId="9" fontId="0" fillId="0" borderId="34" xfId="0" applyNumberFormat="1" applyFill="1" applyBorder="1" applyAlignment="1">
      <alignment horizontal="center" wrapText="1"/>
    </xf>
    <xf numFmtId="0" fontId="0" fillId="0" borderId="43" xfId="0" applyBorder="1" applyAlignment="1">
      <alignment horizontal="center"/>
    </xf>
    <xf numFmtId="9" fontId="0" fillId="0" borderId="26" xfId="0" applyNumberFormat="1" applyFill="1" applyBorder="1" applyAlignment="1">
      <alignment horizontal="center" wrapText="1"/>
    </xf>
    <xf numFmtId="9" fontId="0" fillId="0" borderId="45" xfId="0" applyNumberFormat="1" applyFill="1" applyBorder="1" applyAlignment="1">
      <alignment horizontal="center" wrapText="1"/>
    </xf>
    <xf numFmtId="0" fontId="0" fillId="0" borderId="46" xfId="0" applyBorder="1" applyAlignment="1">
      <alignment horizontal="center"/>
    </xf>
    <xf numFmtId="0" fontId="0" fillId="0" borderId="6" xfId="0" applyBorder="1"/>
    <xf numFmtId="0" fontId="0" fillId="0" borderId="9" xfId="0" applyBorder="1"/>
    <xf numFmtId="0" fontId="0" fillId="0" borderId="19" xfId="0" applyBorder="1" applyAlignment="1">
      <alignment wrapText="1"/>
    </xf>
    <xf numFmtId="0" fontId="0" fillId="0" borderId="71" xfId="0" applyBorder="1" applyAlignment="1">
      <alignment wrapText="1"/>
    </xf>
    <xf numFmtId="0" fontId="0" fillId="0" borderId="74" xfId="0" applyBorder="1"/>
    <xf numFmtId="0" fontId="0" fillId="0" borderId="75" xfId="0" applyBorder="1"/>
    <xf numFmtId="0" fontId="0" fillId="0" borderId="76" xfId="0" applyBorder="1"/>
    <xf numFmtId="0" fontId="0" fillId="0" borderId="72" xfId="0" applyBorder="1" applyAlignment="1">
      <alignment horizontal="center"/>
    </xf>
    <xf numFmtId="0" fontId="0" fillId="0" borderId="78" xfId="0" applyBorder="1" applyAlignment="1">
      <alignment horizontal="center" vertical="center"/>
    </xf>
    <xf numFmtId="0" fontId="0" fillId="0" borderId="80" xfId="0" applyBorder="1" applyAlignment="1">
      <alignment horizontal="center"/>
    </xf>
    <xf numFmtId="0" fontId="0" fillId="0" borderId="55" xfId="0" applyBorder="1" applyAlignment="1">
      <alignment horizontal="center" wrapText="1"/>
    </xf>
    <xf numFmtId="0" fontId="0" fillId="0" borderId="41" xfId="0" applyBorder="1" applyAlignment="1">
      <alignment horizontal="center"/>
    </xf>
    <xf numFmtId="9" fontId="0" fillId="0" borderId="28" xfId="0" applyNumberFormat="1" applyFill="1" applyBorder="1" applyAlignment="1">
      <alignment horizontal="center" wrapText="1"/>
    </xf>
    <xf numFmtId="9" fontId="0" fillId="0" borderId="24" xfId="0" applyNumberFormat="1" applyFill="1" applyBorder="1" applyAlignment="1">
      <alignment horizontal="center" wrapText="1"/>
    </xf>
    <xf numFmtId="9" fontId="0" fillId="0" borderId="25" xfId="0" applyNumberFormat="1" applyFill="1" applyBorder="1" applyAlignment="1">
      <alignment horizontal="center" wrapText="1"/>
    </xf>
    <xf numFmtId="0" fontId="0" fillId="0" borderId="43" xfId="0" applyFill="1" applyBorder="1" applyAlignment="1">
      <alignment horizontal="center" wrapText="1"/>
    </xf>
    <xf numFmtId="0" fontId="0" fillId="0" borderId="2" xfId="0" applyBorder="1" applyAlignment="1">
      <alignment horizontal="center" wrapText="1"/>
    </xf>
    <xf numFmtId="0" fontId="0" fillId="5" borderId="11" xfId="0" applyFill="1" applyBorder="1" applyAlignment="1">
      <alignment horizontal="center" wrapText="1"/>
    </xf>
    <xf numFmtId="3" fontId="0" fillId="5" borderId="5" xfId="0" applyNumberFormat="1" applyFill="1" applyBorder="1" applyAlignment="1">
      <alignment horizontal="center" wrapText="1"/>
    </xf>
    <xf numFmtId="3" fontId="0" fillId="5" borderId="8" xfId="0" applyNumberFormat="1" applyFill="1" applyBorder="1" applyAlignment="1">
      <alignment horizontal="center" wrapText="1"/>
    </xf>
    <xf numFmtId="0" fontId="0" fillId="5" borderId="34" xfId="0" applyFill="1" applyBorder="1" applyAlignment="1">
      <alignment horizontal="center" wrapText="1"/>
    </xf>
    <xf numFmtId="3" fontId="0" fillId="5" borderId="26" xfId="0" applyNumberFormat="1" applyFill="1" applyBorder="1" applyAlignment="1">
      <alignment horizontal="center" wrapText="1"/>
    </xf>
    <xf numFmtId="3" fontId="0" fillId="5" borderId="27" xfId="0" applyNumberFormat="1" applyFill="1" applyBorder="1" applyAlignment="1">
      <alignment horizont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 xfId="0" applyFont="1" applyBorder="1" applyAlignment="1">
      <alignment horizontal="center" vertical="top" wrapText="1"/>
    </xf>
    <xf numFmtId="0" fontId="7" fillId="0" borderId="5" xfId="0" applyFont="1" applyBorder="1" applyAlignment="1">
      <alignment horizontal="center" vertical="top" wrapText="1"/>
    </xf>
    <xf numFmtId="0" fontId="7" fillId="0" borderId="34" xfId="0" applyFont="1" applyBorder="1" applyAlignment="1">
      <alignment horizontal="center" vertical="top" wrapText="1"/>
    </xf>
    <xf numFmtId="9" fontId="0" fillId="0" borderId="27" xfId="0" applyNumberFormat="1" applyFill="1" applyBorder="1" applyAlignment="1">
      <alignment horizontal="center" wrapText="1"/>
    </xf>
    <xf numFmtId="0" fontId="7" fillId="6" borderId="54" xfId="0" applyFont="1" applyFill="1" applyBorder="1" applyAlignment="1">
      <alignment horizontal="center" vertical="center" wrapText="1"/>
    </xf>
    <xf numFmtId="0" fontId="0" fillId="6" borderId="17" xfId="0" applyFill="1" applyBorder="1" applyAlignment="1">
      <alignment vertical="top" wrapText="1"/>
    </xf>
    <xf numFmtId="0" fontId="0" fillId="6" borderId="32" xfId="0" applyFill="1" applyBorder="1" applyAlignment="1">
      <alignment vertical="top" wrapText="1"/>
    </xf>
    <xf numFmtId="3" fontId="0" fillId="6" borderId="32" xfId="0" applyNumberFormat="1" applyFill="1" applyBorder="1"/>
    <xf numFmtId="0" fontId="0" fillId="6" borderId="32" xfId="0" applyNumberFormat="1" applyFill="1" applyBorder="1" applyAlignment="1">
      <alignment horizontal="center" wrapText="1"/>
    </xf>
    <xf numFmtId="2" fontId="0" fillId="6" borderId="32" xfId="0" applyNumberFormat="1" applyFill="1" applyBorder="1"/>
    <xf numFmtId="0" fontId="0" fillId="6" borderId="32" xfId="0" applyFill="1" applyBorder="1"/>
    <xf numFmtId="3" fontId="0" fillId="6" borderId="18" xfId="0" applyNumberFormat="1" applyFill="1" applyBorder="1" applyAlignment="1">
      <alignment horizontal="center" wrapText="1"/>
    </xf>
    <xf numFmtId="0" fontId="0" fillId="6" borderId="13" xfId="0" applyFill="1" applyBorder="1" applyAlignment="1">
      <alignment vertical="top" wrapText="1"/>
    </xf>
    <xf numFmtId="0" fontId="0" fillId="6" borderId="26" xfId="0" applyFill="1" applyBorder="1" applyAlignment="1">
      <alignment vertical="top" wrapText="1"/>
    </xf>
    <xf numFmtId="3" fontId="0" fillId="6" borderId="26" xfId="0" applyNumberFormat="1" applyFill="1" applyBorder="1"/>
    <xf numFmtId="0" fontId="0" fillId="6" borderId="26" xfId="0" applyNumberFormat="1" applyFill="1" applyBorder="1" applyAlignment="1">
      <alignment horizontal="center" wrapText="1"/>
    </xf>
    <xf numFmtId="2" fontId="0" fillId="6" borderId="26" xfId="0" applyNumberFormat="1" applyFill="1" applyBorder="1"/>
    <xf numFmtId="0" fontId="0" fillId="6" borderId="26" xfId="0" applyFill="1" applyBorder="1"/>
    <xf numFmtId="3" fontId="0" fillId="6" borderId="14" xfId="0" applyNumberFormat="1" applyFill="1" applyBorder="1" applyAlignment="1">
      <alignment horizontal="center" wrapText="1"/>
    </xf>
    <xf numFmtId="2" fontId="0" fillId="6" borderId="26" xfId="0" applyNumberFormat="1" applyFill="1" applyBorder="1" applyAlignment="1">
      <alignment horizontal="center"/>
    </xf>
    <xf numFmtId="0" fontId="0" fillId="6" borderId="13" xfId="0" applyFill="1" applyBorder="1"/>
    <xf numFmtId="3" fontId="0" fillId="6" borderId="26" xfId="0" applyNumberFormat="1" applyFill="1" applyBorder="1" applyAlignment="1">
      <alignment horizontal="right" wrapText="1"/>
    </xf>
    <xf numFmtId="0" fontId="0" fillId="6" borderId="27" xfId="0" applyFill="1" applyBorder="1" applyAlignment="1">
      <alignment vertical="top" wrapText="1"/>
    </xf>
    <xf numFmtId="2" fontId="0" fillId="6" borderId="27" xfId="0" applyNumberFormat="1" applyFill="1" applyBorder="1"/>
    <xf numFmtId="3" fontId="0" fillId="6" borderId="16" xfId="0" applyNumberFormat="1" applyFill="1" applyBorder="1" applyAlignment="1">
      <alignment horizontal="center" wrapText="1"/>
    </xf>
    <xf numFmtId="3" fontId="0" fillId="6" borderId="2" xfId="0" applyNumberFormat="1" applyFill="1" applyBorder="1" applyAlignment="1">
      <alignment horizontal="center" wrapText="1"/>
    </xf>
    <xf numFmtId="3" fontId="0" fillId="6" borderId="5" xfId="0" applyNumberFormat="1" applyFill="1" applyBorder="1" applyAlignment="1">
      <alignment horizontal="center" wrapText="1"/>
    </xf>
    <xf numFmtId="2" fontId="0" fillId="6" borderId="5" xfId="0" applyNumberFormat="1" applyFill="1" applyBorder="1" applyAlignment="1">
      <alignment horizontal="center"/>
    </xf>
    <xf numFmtId="3" fontId="0" fillId="6" borderId="8" xfId="0" applyNumberFormat="1" applyFill="1" applyBorder="1" applyAlignment="1">
      <alignment horizontal="center" wrapText="1"/>
    </xf>
    <xf numFmtId="0" fontId="0" fillId="6" borderId="2" xfId="0" applyFill="1" applyBorder="1" applyAlignment="1">
      <alignment horizontal="center" wrapText="1"/>
    </xf>
    <xf numFmtId="164" fontId="0" fillId="6" borderId="2" xfId="0" applyNumberFormat="1" applyFill="1" applyBorder="1" applyAlignment="1">
      <alignment horizontal="center" wrapText="1"/>
    </xf>
    <xf numFmtId="0" fontId="0" fillId="6" borderId="5" xfId="0" applyFill="1" applyBorder="1" applyAlignment="1">
      <alignment horizontal="center" wrapText="1"/>
    </xf>
    <xf numFmtId="164" fontId="0" fillId="6" borderId="5" xfId="0" applyNumberFormat="1" applyFill="1" applyBorder="1" applyAlignment="1">
      <alignment horizontal="center" wrapText="1"/>
    </xf>
    <xf numFmtId="0" fontId="0" fillId="6" borderId="8" xfId="0" applyFill="1" applyBorder="1" applyAlignment="1">
      <alignment horizontal="center" wrapText="1"/>
    </xf>
    <xf numFmtId="164" fontId="0" fillId="6" borderId="8" xfId="0" applyNumberFormat="1" applyFill="1" applyBorder="1" applyAlignment="1">
      <alignment horizontal="center" wrapText="1"/>
    </xf>
    <xf numFmtId="164" fontId="0" fillId="6" borderId="2" xfId="0" applyNumberFormat="1" applyFill="1" applyBorder="1" applyAlignment="1">
      <alignment horizontal="center"/>
    </xf>
    <xf numFmtId="164" fontId="0" fillId="6" borderId="5" xfId="0" applyNumberFormat="1" applyFill="1" applyBorder="1" applyAlignment="1">
      <alignment horizontal="center"/>
    </xf>
    <xf numFmtId="0" fontId="16" fillId="0" borderId="0" xfId="0" applyFont="1"/>
    <xf numFmtId="0" fontId="0" fillId="0" borderId="0" xfId="0" applyBorder="1" applyAlignment="1">
      <alignment horizontal="center" vertical="top" wrapText="1"/>
    </xf>
    <xf numFmtId="0" fontId="0" fillId="6" borderId="2" xfId="0" applyFill="1" applyBorder="1" applyAlignment="1">
      <alignment horizontal="center"/>
    </xf>
    <xf numFmtId="2" fontId="0" fillId="6" borderId="2" xfId="0" applyNumberFormat="1" applyFill="1" applyBorder="1" applyAlignment="1">
      <alignment horizontal="center"/>
    </xf>
    <xf numFmtId="0" fontId="0" fillId="6" borderId="5" xfId="0" applyFill="1" applyBorder="1" applyAlignment="1">
      <alignment horizontal="center"/>
    </xf>
    <xf numFmtId="11" fontId="0" fillId="6" borderId="5" xfId="0" applyNumberFormat="1" applyFill="1" applyBorder="1" applyAlignment="1">
      <alignment horizontal="center" wrapText="1"/>
    </xf>
    <xf numFmtId="1" fontId="0" fillId="6" borderId="5" xfId="0" applyNumberFormat="1" applyFill="1" applyBorder="1" applyAlignment="1">
      <alignment horizontal="center" wrapText="1"/>
    </xf>
    <xf numFmtId="0" fontId="0" fillId="0" borderId="34" xfId="0" applyBorder="1" applyAlignment="1">
      <alignment horizontal="center" wrapText="1"/>
    </xf>
    <xf numFmtId="0" fontId="0" fillId="0" borderId="2" xfId="0" applyBorder="1" applyAlignment="1">
      <alignment horizontal="center" wrapText="1"/>
    </xf>
    <xf numFmtId="0" fontId="17" fillId="0" borderId="0" xfId="0" applyFont="1"/>
    <xf numFmtId="0" fontId="0" fillId="0" borderId="0" xfId="0" applyFill="1"/>
    <xf numFmtId="0" fontId="0" fillId="0" borderId="42" xfId="0" applyFill="1" applyBorder="1" applyAlignment="1">
      <alignment vertical="top" wrapText="1"/>
    </xf>
    <xf numFmtId="0" fontId="0" fillId="0" borderId="34" xfId="0" applyFill="1" applyBorder="1" applyAlignment="1">
      <alignment vertical="top" wrapText="1"/>
    </xf>
    <xf numFmtId="3" fontId="0" fillId="0" borderId="34" xfId="0" applyNumberFormat="1" applyFill="1" applyBorder="1" applyAlignment="1">
      <alignment horizontal="center" wrapText="1"/>
    </xf>
    <xf numFmtId="0" fontId="0" fillId="0" borderId="56" xfId="0" applyFill="1" applyBorder="1" applyAlignment="1">
      <alignment horizontal="center" wrapText="1"/>
    </xf>
    <xf numFmtId="0" fontId="0" fillId="0" borderId="13" xfId="0" applyFill="1" applyBorder="1" applyAlignment="1">
      <alignment vertical="top" wrapText="1"/>
    </xf>
    <xf numFmtId="0" fontId="0" fillId="0" borderId="26" xfId="0" applyFill="1" applyBorder="1" applyAlignment="1">
      <alignment vertical="top" wrapText="1"/>
    </xf>
    <xf numFmtId="0" fontId="0" fillId="0" borderId="26" xfId="0" applyFill="1" applyBorder="1" applyAlignment="1">
      <alignment horizontal="center" wrapText="1"/>
    </xf>
    <xf numFmtId="3" fontId="0" fillId="0" borderId="26" xfId="0" applyNumberFormat="1" applyFill="1" applyBorder="1" applyAlignment="1">
      <alignment horizontal="center" wrapText="1"/>
    </xf>
    <xf numFmtId="0" fontId="0" fillId="0" borderId="57" xfId="0" applyFill="1" applyBorder="1" applyAlignment="1">
      <alignment horizontal="center" wrapText="1"/>
    </xf>
    <xf numFmtId="0" fontId="0" fillId="0" borderId="13" xfId="0" applyFill="1" applyBorder="1" applyAlignment="1">
      <alignment vertical="top"/>
    </xf>
    <xf numFmtId="0" fontId="0" fillId="0" borderId="15" xfId="0" applyFill="1" applyBorder="1" applyAlignment="1">
      <alignment vertical="top" wrapText="1"/>
    </xf>
    <xf numFmtId="0" fontId="0" fillId="0" borderId="27" xfId="0" applyFill="1" applyBorder="1" applyAlignment="1">
      <alignment vertical="top" wrapText="1"/>
    </xf>
    <xf numFmtId="3" fontId="0" fillId="0" borderId="27" xfId="0" applyNumberFormat="1" applyFill="1" applyBorder="1" applyAlignment="1">
      <alignment horizontal="center" wrapText="1"/>
    </xf>
    <xf numFmtId="0" fontId="0" fillId="0" borderId="58" xfId="0" applyFill="1" applyBorder="1" applyAlignment="1">
      <alignment horizontal="center" wrapText="1"/>
    </xf>
    <xf numFmtId="0" fontId="18" fillId="0" borderId="0" xfId="0" applyFont="1" applyAlignment="1">
      <alignment vertical="top"/>
    </xf>
    <xf numFmtId="0" fontId="0" fillId="0" borderId="1" xfId="0" applyFill="1" applyBorder="1" applyAlignment="1">
      <alignment horizontal="center" wrapText="1"/>
    </xf>
    <xf numFmtId="0" fontId="0" fillId="0" borderId="81" xfId="0" applyFill="1" applyBorder="1"/>
    <xf numFmtId="0" fontId="0" fillId="0" borderId="82" xfId="0" applyFill="1" applyBorder="1" applyAlignment="1">
      <alignment horizontal="center" wrapText="1"/>
    </xf>
    <xf numFmtId="0" fontId="0" fillId="0" borderId="0" xfId="0" applyFill="1" applyBorder="1" applyAlignment="1">
      <alignment horizontal="left"/>
    </xf>
    <xf numFmtId="0" fontId="0" fillId="0" borderId="69" xfId="0" applyBorder="1" applyAlignment="1">
      <alignment horizontal="center"/>
    </xf>
    <xf numFmtId="0" fontId="0" fillId="0" borderId="73" xfId="0" applyBorder="1" applyAlignment="1">
      <alignment horizontal="center"/>
    </xf>
    <xf numFmtId="0" fontId="0" fillId="0" borderId="77" xfId="0" applyBorder="1" applyAlignment="1">
      <alignment horizontal="center"/>
    </xf>
    <xf numFmtId="0" fontId="0" fillId="0" borderId="22" xfId="0" applyBorder="1" applyAlignment="1">
      <alignment horizontal="center"/>
    </xf>
    <xf numFmtId="0" fontId="0" fillId="0" borderId="0" xfId="0" applyAlignment="1">
      <alignment wrapText="1"/>
    </xf>
    <xf numFmtId="0" fontId="0" fillId="0" borderId="0" xfId="0" applyAlignment="1"/>
    <xf numFmtId="0" fontId="0" fillId="0" borderId="2" xfId="0" applyBorder="1" applyAlignment="1">
      <alignment horizontal="center" wrapText="1"/>
    </xf>
    <xf numFmtId="0" fontId="0" fillId="0" borderId="8" xfId="0" applyBorder="1" applyAlignment="1">
      <alignment horizontal="center" wrapText="1"/>
    </xf>
    <xf numFmtId="0" fontId="0" fillId="0" borderId="3" xfId="0" applyFill="1" applyBorder="1" applyAlignment="1">
      <alignment horizontal="center" wrapText="1"/>
    </xf>
    <xf numFmtId="0" fontId="0" fillId="0" borderId="21" xfId="0" applyBorder="1" applyAlignment="1">
      <alignment horizontal="center"/>
    </xf>
    <xf numFmtId="0" fontId="0" fillId="6" borderId="0" xfId="0" applyFill="1" applyAlignment="1">
      <alignment horizontal="center"/>
    </xf>
    <xf numFmtId="0" fontId="0" fillId="0" borderId="36" xfId="0" applyBorder="1" applyAlignment="1">
      <alignment horizontal="center" wrapText="1"/>
    </xf>
    <xf numFmtId="165" fontId="0" fillId="6" borderId="2" xfId="0" applyNumberFormat="1" applyFill="1" applyBorder="1" applyAlignment="1">
      <alignment horizontal="right" indent="1"/>
    </xf>
    <xf numFmtId="0" fontId="0" fillId="6" borderId="2" xfId="0" applyFill="1" applyBorder="1" applyAlignment="1">
      <alignment horizontal="right" wrapText="1" indent="1"/>
    </xf>
    <xf numFmtId="164" fontId="0" fillId="6" borderId="2" xfId="0" applyNumberFormat="1" applyFill="1" applyBorder="1" applyAlignment="1">
      <alignment horizontal="right" wrapText="1" indent="1"/>
    </xf>
    <xf numFmtId="3" fontId="0" fillId="6" borderId="2" xfId="0" applyNumberFormat="1" applyFill="1" applyBorder="1" applyAlignment="1">
      <alignment horizontal="right" wrapText="1" indent="1"/>
    </xf>
    <xf numFmtId="4" fontId="0" fillId="6" borderId="2" xfId="0" applyNumberFormat="1" applyFill="1" applyBorder="1" applyAlignment="1">
      <alignment horizontal="right" wrapText="1" indent="1"/>
    </xf>
    <xf numFmtId="165" fontId="0" fillId="6" borderId="5" xfId="0" applyNumberFormat="1" applyFill="1" applyBorder="1" applyAlignment="1">
      <alignment horizontal="right" indent="1"/>
    </xf>
    <xf numFmtId="0" fontId="0" fillId="6" borderId="5" xfId="0" applyFill="1" applyBorder="1" applyAlignment="1">
      <alignment horizontal="right" wrapText="1" indent="1"/>
    </xf>
    <xf numFmtId="164" fontId="0" fillId="6" borderId="5" xfId="0" applyNumberFormat="1" applyFill="1" applyBorder="1" applyAlignment="1">
      <alignment horizontal="right" wrapText="1" indent="1"/>
    </xf>
    <xf numFmtId="3" fontId="0" fillId="6" borderId="5" xfId="0" applyNumberFormat="1" applyFill="1" applyBorder="1" applyAlignment="1">
      <alignment horizontal="right" wrapText="1" indent="1"/>
    </xf>
    <xf numFmtId="4" fontId="0" fillId="6" borderId="5" xfId="0" applyNumberFormat="1" applyFill="1" applyBorder="1" applyAlignment="1">
      <alignment horizontal="right" wrapText="1" indent="1"/>
    </xf>
    <xf numFmtId="165" fontId="0" fillId="6" borderId="8" xfId="0" applyNumberFormat="1" applyFill="1" applyBorder="1" applyAlignment="1">
      <alignment horizontal="right" indent="1"/>
    </xf>
    <xf numFmtId="0" fontId="0" fillId="6" borderId="8" xfId="0" applyFill="1" applyBorder="1" applyAlignment="1">
      <alignment horizontal="right" wrapText="1" indent="1"/>
    </xf>
    <xf numFmtId="164" fontId="0" fillId="6" borderId="8" xfId="0" applyNumberFormat="1" applyFill="1" applyBorder="1" applyAlignment="1">
      <alignment horizontal="right" wrapText="1" indent="1"/>
    </xf>
    <xf numFmtId="3" fontId="0" fillId="6" borderId="8" xfId="0" applyNumberFormat="1" applyFill="1" applyBorder="1" applyAlignment="1">
      <alignment horizontal="right" wrapText="1" indent="1"/>
    </xf>
    <xf numFmtId="4" fontId="0" fillId="6" borderId="8" xfId="0" applyNumberFormat="1" applyFill="1" applyBorder="1" applyAlignment="1">
      <alignment horizontal="right" wrapText="1" indent="1"/>
    </xf>
    <xf numFmtId="166" fontId="0" fillId="6" borderId="2" xfId="0" applyNumberFormat="1" applyFill="1" applyBorder="1" applyAlignment="1">
      <alignment horizontal="right" wrapText="1" indent="1"/>
    </xf>
    <xf numFmtId="2" fontId="0" fillId="6" borderId="5" xfId="0" applyNumberFormat="1" applyFill="1" applyBorder="1" applyAlignment="1">
      <alignment horizontal="right" indent="1"/>
    </xf>
    <xf numFmtId="165" fontId="0" fillId="6" borderId="5" xfId="0" applyNumberFormat="1" applyFill="1" applyBorder="1" applyAlignment="1">
      <alignment horizontal="right" wrapText="1" indent="1"/>
    </xf>
    <xf numFmtId="0" fontId="0" fillId="6" borderId="5" xfId="0" applyFill="1" applyBorder="1" applyAlignment="1">
      <alignment horizontal="right" indent="1"/>
    </xf>
    <xf numFmtId="3" fontId="0" fillId="0" borderId="2" xfId="0" applyNumberFormat="1" applyBorder="1" applyAlignment="1">
      <alignment horizontal="right" vertical="top" wrapText="1" indent="1"/>
    </xf>
    <xf numFmtId="3" fontId="0" fillId="0" borderId="5" xfId="0" applyNumberFormat="1" applyBorder="1" applyAlignment="1">
      <alignment horizontal="right" vertical="top" wrapText="1" indent="1"/>
    </xf>
    <xf numFmtId="3" fontId="0" fillId="0" borderId="8" xfId="0" applyNumberFormat="1" applyBorder="1" applyAlignment="1">
      <alignment horizontal="right" vertical="top" wrapText="1" indent="1"/>
    </xf>
    <xf numFmtId="3" fontId="0" fillId="0" borderId="3" xfId="0" applyNumberFormat="1" applyFill="1" applyBorder="1" applyAlignment="1">
      <alignment horizontal="right" indent="1"/>
    </xf>
    <xf numFmtId="3" fontId="0" fillId="0" borderId="6" xfId="0" applyNumberFormat="1" applyFill="1" applyBorder="1" applyAlignment="1">
      <alignment horizontal="right" indent="1"/>
    </xf>
    <xf numFmtId="3" fontId="0" fillId="0" borderId="9" xfId="0" applyNumberFormat="1" applyFill="1" applyBorder="1" applyAlignment="1">
      <alignment horizontal="right" indent="1"/>
    </xf>
    <xf numFmtId="164" fontId="0" fillId="0" borderId="0" xfId="0" applyNumberFormat="1" applyBorder="1"/>
    <xf numFmtId="164" fontId="2" fillId="0" borderId="26" xfId="0" applyNumberFormat="1" applyFont="1" applyBorder="1" applyAlignment="1">
      <alignment horizontal="right" vertical="top" wrapText="1"/>
    </xf>
    <xf numFmtId="164" fontId="0" fillId="0" borderId="26" xfId="0" applyNumberFormat="1" applyBorder="1"/>
    <xf numFmtId="0" fontId="19" fillId="0" borderId="0" xfId="0" applyFont="1"/>
    <xf numFmtId="164" fontId="2" fillId="0" borderId="14" xfId="0" applyNumberFormat="1" applyFont="1" applyBorder="1" applyAlignment="1">
      <alignment vertical="top" wrapText="1"/>
    </xf>
    <xf numFmtId="164" fontId="2" fillId="0" borderId="27" xfId="0" applyNumberFormat="1" applyFont="1" applyBorder="1" applyAlignment="1">
      <alignment horizontal="right" vertical="top" wrapText="1"/>
    </xf>
    <xf numFmtId="164" fontId="2" fillId="0" borderId="16" xfId="0" applyNumberFormat="1" applyFont="1" applyBorder="1" applyAlignment="1">
      <alignment vertical="top" wrapText="1"/>
    </xf>
    <xf numFmtId="164" fontId="2" fillId="0" borderId="32" xfId="0" applyNumberFormat="1" applyFont="1" applyBorder="1" applyAlignment="1">
      <alignment horizontal="right" vertical="top" wrapText="1"/>
    </xf>
    <xf numFmtId="164" fontId="2" fillId="0" borderId="18" xfId="0" applyNumberFormat="1" applyFont="1" applyBorder="1" applyAlignment="1">
      <alignment vertical="top" wrapText="1"/>
    </xf>
    <xf numFmtId="0" fontId="1" fillId="0" borderId="71" xfId="0" applyFont="1" applyBorder="1" applyAlignment="1">
      <alignment horizontal="center" vertical="center" wrapText="1"/>
    </xf>
    <xf numFmtId="0" fontId="1" fillId="0" borderId="20" xfId="0" applyFont="1" applyBorder="1" applyAlignment="1">
      <alignment horizontal="center" vertical="center" wrapText="1"/>
    </xf>
    <xf numFmtId="164" fontId="0" fillId="0" borderId="27" xfId="0" applyNumberFormat="1" applyBorder="1"/>
    <xf numFmtId="164" fontId="0" fillId="0" borderId="32" xfId="0" applyNumberFormat="1" applyBorder="1"/>
    <xf numFmtId="0" fontId="19" fillId="0" borderId="71" xfId="0" applyFont="1" applyBorder="1" applyAlignment="1">
      <alignment horizontal="center" vertical="center"/>
    </xf>
    <xf numFmtId="0" fontId="19" fillId="0" borderId="20" xfId="0" applyFont="1" applyBorder="1" applyAlignment="1">
      <alignment horizontal="center" vertical="center"/>
    </xf>
    <xf numFmtId="0" fontId="7" fillId="0" borderId="85" xfId="0" applyFont="1" applyBorder="1" applyAlignment="1">
      <alignment horizontal="center" vertical="top" wrapText="1"/>
    </xf>
    <xf numFmtId="0" fontId="7" fillId="0" borderId="88" xfId="0" applyFont="1" applyBorder="1" applyAlignment="1">
      <alignment horizontal="center" vertical="top" wrapText="1"/>
    </xf>
    <xf numFmtId="0" fontId="7" fillId="0" borderId="91" xfId="0" applyFont="1" applyBorder="1" applyAlignment="1">
      <alignment horizontal="center" vertical="top" wrapText="1"/>
    </xf>
    <xf numFmtId="0" fontId="7" fillId="0" borderId="86" xfId="0" applyFont="1" applyBorder="1" applyAlignment="1">
      <alignment horizontal="center" wrapText="1"/>
    </xf>
    <xf numFmtId="0" fontId="7" fillId="0" borderId="89" xfId="0" applyFont="1" applyBorder="1" applyAlignment="1">
      <alignment horizontal="center" wrapText="1"/>
    </xf>
    <xf numFmtId="0" fontId="7" fillId="0" borderId="83" xfId="0" applyFont="1" applyBorder="1" applyAlignment="1">
      <alignment horizontal="center" wrapText="1"/>
    </xf>
    <xf numFmtId="0" fontId="6" fillId="2" borderId="63" xfId="0" applyFont="1" applyFill="1" applyBorder="1" applyAlignment="1">
      <alignment horizontal="center" wrapText="1"/>
    </xf>
    <xf numFmtId="0" fontId="20" fillId="0" borderId="0" xfId="0" applyFont="1" applyAlignment="1">
      <alignment horizontal="left" vertical="center" wrapText="1" readingOrder="1"/>
    </xf>
    <xf numFmtId="0" fontId="20" fillId="0" borderId="0" xfId="0" applyFont="1" applyAlignment="1">
      <alignment horizontal="left" vertical="center" wrapText="1" indent="2" readingOrder="1"/>
    </xf>
    <xf numFmtId="0" fontId="19" fillId="0" borderId="0" xfId="0" applyFont="1" applyFill="1" applyBorder="1" applyAlignment="1">
      <alignment vertical="top"/>
    </xf>
    <xf numFmtId="0" fontId="20" fillId="0" borderId="0" xfId="0" applyFont="1" applyAlignment="1">
      <alignment wrapText="1"/>
    </xf>
    <xf numFmtId="0" fontId="0" fillId="0" borderId="10" xfId="0" applyBorder="1" applyAlignment="1">
      <alignment horizontal="center" vertical="top" wrapText="1"/>
    </xf>
    <xf numFmtId="0" fontId="0" fillId="0" borderId="92" xfId="0" applyBorder="1" applyAlignment="1">
      <alignment horizontal="center" vertical="top" wrapText="1"/>
    </xf>
    <xf numFmtId="0" fontId="0" fillId="0" borderId="93"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97" xfId="0" applyBorder="1" applyAlignment="1">
      <alignment horizontal="center" wrapText="1"/>
    </xf>
    <xf numFmtId="0" fontId="0" fillId="0" borderId="95" xfId="0" applyBorder="1" applyAlignment="1">
      <alignment horizontal="center" wrapText="1"/>
    </xf>
    <xf numFmtId="0" fontId="0" fillId="0" borderId="96" xfId="0" applyBorder="1" applyAlignment="1">
      <alignment horizontal="center" wrapText="1"/>
    </xf>
    <xf numFmtId="0" fontId="0" fillId="0" borderId="2" xfId="0" applyBorder="1" applyAlignment="1">
      <alignment horizontal="center" wrapText="1"/>
    </xf>
    <xf numFmtId="0" fontId="21" fillId="0" borderId="0" xfId="0" applyFont="1" applyAlignment="1">
      <alignment wrapText="1"/>
    </xf>
    <xf numFmtId="0" fontId="0" fillId="0" borderId="0" xfId="0" applyAlignment="1">
      <alignment wrapText="1"/>
    </xf>
    <xf numFmtId="0" fontId="0" fillId="6" borderId="44" xfId="0" applyFill="1" applyBorder="1" applyAlignment="1">
      <alignment vertical="top" wrapText="1"/>
    </xf>
    <xf numFmtId="0" fontId="0" fillId="6" borderId="45" xfId="0" applyFill="1" applyBorder="1" applyAlignment="1">
      <alignment vertical="top" wrapText="1"/>
    </xf>
    <xf numFmtId="3" fontId="0" fillId="6" borderId="45" xfId="0" applyNumberFormat="1" applyFill="1" applyBorder="1"/>
    <xf numFmtId="2" fontId="0" fillId="6" borderId="45" xfId="0" applyNumberFormat="1" applyFill="1" applyBorder="1"/>
    <xf numFmtId="0" fontId="0" fillId="6" borderId="45" xfId="0" applyFill="1" applyBorder="1"/>
    <xf numFmtId="3" fontId="0" fillId="6" borderId="46" xfId="0" applyNumberFormat="1" applyFill="1" applyBorder="1" applyAlignment="1">
      <alignment horizontal="center" wrapText="1"/>
    </xf>
    <xf numFmtId="0" fontId="0" fillId="0" borderId="38" xfId="0" applyBorder="1" applyAlignment="1">
      <alignment vertical="top" wrapText="1"/>
    </xf>
    <xf numFmtId="0" fontId="0" fillId="0" borderId="33" xfId="0" applyBorder="1" applyAlignment="1">
      <alignment vertical="top" wrapText="1"/>
    </xf>
    <xf numFmtId="3" fontId="0" fillId="0" borderId="33" xfId="0" applyNumberFormat="1" applyBorder="1" applyAlignment="1">
      <alignment horizontal="right" vertical="top" wrapText="1" indent="1"/>
    </xf>
    <xf numFmtId="3" fontId="0" fillId="6" borderId="33" xfId="0" applyNumberFormat="1" applyFill="1" applyBorder="1" applyAlignment="1">
      <alignment horizontal="center" wrapText="1"/>
    </xf>
    <xf numFmtId="165" fontId="0" fillId="6" borderId="33" xfId="0" applyNumberFormat="1" applyFill="1" applyBorder="1" applyAlignment="1">
      <alignment horizontal="right" wrapText="1" indent="1"/>
    </xf>
    <xf numFmtId="3" fontId="0" fillId="6" borderId="33" xfId="0" applyNumberFormat="1" applyFill="1" applyBorder="1" applyAlignment="1">
      <alignment horizontal="right" wrapText="1" indent="1"/>
    </xf>
    <xf numFmtId="4" fontId="0" fillId="6" borderId="33" xfId="0" applyNumberFormat="1" applyFill="1" applyBorder="1" applyAlignment="1">
      <alignment horizontal="right" wrapText="1" indent="1"/>
    </xf>
    <xf numFmtId="0" fontId="0" fillId="6" borderId="33" xfId="0" applyFill="1" applyBorder="1" applyAlignment="1">
      <alignment horizontal="center" wrapText="1"/>
    </xf>
    <xf numFmtId="164" fontId="0" fillId="6" borderId="33" xfId="0" applyNumberFormat="1" applyFill="1" applyBorder="1" applyAlignment="1">
      <alignment horizontal="center"/>
    </xf>
    <xf numFmtId="3" fontId="0" fillId="0" borderId="98" xfId="0" applyNumberFormat="1" applyFill="1" applyBorder="1" applyAlignment="1">
      <alignment horizontal="right" indent="1"/>
    </xf>
    <xf numFmtId="3" fontId="0" fillId="0" borderId="8" xfId="0" applyNumberFormat="1" applyBorder="1" applyAlignment="1">
      <alignment horizontal="center" vertical="top" wrapText="1"/>
    </xf>
    <xf numFmtId="3" fontId="0" fillId="0" borderId="8" xfId="0" applyNumberFormat="1" applyFill="1" applyBorder="1" applyAlignment="1">
      <alignment horizontal="center" wrapText="1"/>
    </xf>
    <xf numFmtId="3" fontId="0" fillId="5" borderId="0" xfId="0" applyNumberFormat="1" applyFill="1" applyBorder="1" applyAlignment="1">
      <alignment horizontal="center" wrapText="1"/>
    </xf>
    <xf numFmtId="9" fontId="0" fillId="0" borderId="0" xfId="0" applyNumberFormat="1" applyFill="1" applyBorder="1" applyAlignment="1">
      <alignment horizontal="center" wrapText="1"/>
    </xf>
    <xf numFmtId="3" fontId="0" fillId="0" borderId="33" xfId="0" applyNumberFormat="1" applyBorder="1"/>
    <xf numFmtId="0" fontId="0" fillId="0" borderId="33" xfId="0" applyBorder="1"/>
    <xf numFmtId="0" fontId="0" fillId="0" borderId="98" xfId="0" applyBorder="1"/>
    <xf numFmtId="3" fontId="0" fillId="5" borderId="27" xfId="0" applyNumberFormat="1" applyFill="1" applyBorder="1" applyAlignment="1">
      <alignment horizontal="center" vertical="top" wrapText="1"/>
    </xf>
    <xf numFmtId="9" fontId="0" fillId="0" borderId="25" xfId="0" applyNumberFormat="1" applyFill="1" applyBorder="1" applyAlignment="1">
      <alignment horizontal="center" vertical="top" wrapText="1"/>
    </xf>
    <xf numFmtId="0" fontId="0" fillId="0" borderId="27" xfId="0" applyBorder="1" applyAlignment="1">
      <alignment horizontal="center" vertical="top"/>
    </xf>
    <xf numFmtId="3" fontId="0" fillId="5" borderId="26" xfId="0" applyNumberFormat="1" applyFill="1" applyBorder="1" applyAlignment="1">
      <alignment horizontal="center"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5" xfId="0" applyBorder="1" applyAlignment="1">
      <alignment horizontal="center" vertical="top" wrapText="1"/>
    </xf>
    <xf numFmtId="0" fontId="7" fillId="0" borderId="45" xfId="0" applyFont="1" applyBorder="1" applyAlignment="1">
      <alignment horizontal="center" vertical="top" wrapText="1"/>
    </xf>
    <xf numFmtId="3" fontId="0" fillId="5" borderId="45" xfId="0" applyNumberFormat="1" applyFill="1" applyBorder="1" applyAlignment="1">
      <alignment horizontal="center" wrapText="1"/>
    </xf>
    <xf numFmtId="9" fontId="0" fillId="0" borderId="26" xfId="0" applyNumberFormat="1" applyFill="1" applyBorder="1" applyAlignment="1">
      <alignment horizontal="center" vertical="top" wrapText="1"/>
    </xf>
    <xf numFmtId="0" fontId="0" fillId="0" borderId="14" xfId="0" applyBorder="1" applyAlignment="1">
      <alignment horizontal="center" vertical="top"/>
    </xf>
    <xf numFmtId="0" fontId="0" fillId="0" borderId="38" xfId="0" applyBorder="1"/>
    <xf numFmtId="1" fontId="0" fillId="6" borderId="33" xfId="0" applyNumberFormat="1" applyFill="1" applyBorder="1" applyAlignment="1">
      <alignment horizontal="center" wrapText="1"/>
    </xf>
    <xf numFmtId="0" fontId="0" fillId="6" borderId="33" xfId="0" applyFill="1" applyBorder="1" applyAlignment="1">
      <alignment horizontal="center"/>
    </xf>
    <xf numFmtId="0" fontId="0" fillId="0" borderId="98" xfId="0" applyBorder="1" applyAlignment="1">
      <alignment horizontal="center" wrapText="1"/>
    </xf>
    <xf numFmtId="0" fontId="0" fillId="6" borderId="8" xfId="0" applyFill="1" applyBorder="1" applyAlignment="1">
      <alignment horizontal="center" vertical="top"/>
    </xf>
    <xf numFmtId="0" fontId="0" fillId="0" borderId="39" xfId="0" applyBorder="1" applyAlignment="1">
      <alignment vertical="top" wrapText="1"/>
    </xf>
    <xf numFmtId="0" fontId="0" fillId="0" borderId="48" xfId="0" applyBorder="1" applyAlignment="1">
      <alignment vertical="top" wrapText="1"/>
    </xf>
    <xf numFmtId="0" fontId="0" fillId="6" borderId="48" xfId="0" applyFill="1" applyBorder="1" applyAlignment="1">
      <alignment horizontal="center" wrapText="1"/>
    </xf>
    <xf numFmtId="11" fontId="0" fillId="6" borderId="48" xfId="0" applyNumberFormat="1" applyFill="1" applyBorder="1" applyAlignment="1">
      <alignment horizontal="center" wrapText="1"/>
    </xf>
    <xf numFmtId="3" fontId="0" fillId="0" borderId="2" xfId="0" applyNumberFormat="1" applyBorder="1" applyAlignment="1">
      <alignment horizontal="center" vertical="top" wrapText="1"/>
    </xf>
    <xf numFmtId="3" fontId="0" fillId="6" borderId="70" xfId="0" applyNumberFormat="1" applyFill="1" applyBorder="1" applyAlignment="1">
      <alignment horizontal="center" vertical="top" wrapText="1"/>
    </xf>
    <xf numFmtId="2" fontId="0" fillId="0" borderId="2" xfId="0" applyNumberFormat="1" applyFill="1" applyBorder="1" applyAlignment="1">
      <alignment horizontal="right" indent="1"/>
    </xf>
    <xf numFmtId="3" fontId="0" fillId="0" borderId="8" xfId="0" applyNumberFormat="1" applyFill="1" applyBorder="1" applyAlignment="1">
      <alignment horizontal="right" vertical="top" wrapText="1" indent="1"/>
    </xf>
    <xf numFmtId="0" fontId="0" fillId="6" borderId="13" xfId="0" applyFill="1" applyBorder="1" applyAlignment="1">
      <alignment vertical="top"/>
    </xf>
    <xf numFmtId="0" fontId="0" fillId="6" borderId="0" xfId="0" applyFill="1"/>
    <xf numFmtId="0" fontId="0" fillId="0" borderId="0" xfId="0" applyNumberFormat="1" applyFill="1" applyBorder="1" applyAlignment="1">
      <alignment horizontal="center"/>
    </xf>
    <xf numFmtId="0" fontId="0" fillId="0" borderId="0" xfId="0" applyNumberFormat="1" applyFill="1" applyBorder="1" applyAlignment="1">
      <alignment horizontal="left"/>
    </xf>
    <xf numFmtId="0" fontId="0" fillId="6" borderId="45" xfId="0" applyNumberFormat="1" applyFill="1" applyBorder="1" applyAlignment="1">
      <alignment horizontal="center" wrapText="1"/>
    </xf>
    <xf numFmtId="0" fontId="0" fillId="6" borderId="15" xfId="0" applyFill="1" applyBorder="1" applyAlignment="1">
      <alignment vertical="top"/>
    </xf>
    <xf numFmtId="0" fontId="0" fillId="6" borderId="0" xfId="0" applyFill="1" applyAlignment="1">
      <alignment wrapText="1"/>
    </xf>
    <xf numFmtId="11" fontId="0" fillId="0" borderId="2" xfId="0" applyNumberFormat="1" applyFill="1" applyBorder="1" applyAlignment="1">
      <alignment horizontal="center" wrapText="1"/>
    </xf>
    <xf numFmtId="11" fontId="0" fillId="0" borderId="5" xfId="0" applyNumberFormat="1" applyFill="1" applyBorder="1" applyAlignment="1">
      <alignment horizontal="center" wrapText="1"/>
    </xf>
    <xf numFmtId="11" fontId="0" fillId="0" borderId="33" xfId="0" applyNumberFormat="1" applyFill="1" applyBorder="1" applyAlignment="1">
      <alignment horizontal="center" wrapText="1"/>
    </xf>
    <xf numFmtId="11" fontId="0" fillId="0" borderId="8" xfId="0" applyNumberFormat="1" applyFill="1" applyBorder="1" applyAlignment="1">
      <alignment horizontal="center" wrapText="1"/>
    </xf>
    <xf numFmtId="0" fontId="11" fillId="0" borderId="66" xfId="0" applyFont="1" applyBorder="1" applyAlignment="1">
      <alignment vertical="top" wrapText="1"/>
    </xf>
    <xf numFmtId="0" fontId="11" fillId="0" borderId="0" xfId="0" applyFont="1" applyBorder="1" applyAlignment="1">
      <alignment vertical="top" wrapText="1"/>
    </xf>
    <xf numFmtId="0" fontId="11" fillId="0" borderId="67" xfId="0" applyFont="1" applyBorder="1" applyAlignment="1">
      <alignment vertical="top" wrapText="1"/>
    </xf>
    <xf numFmtId="0" fontId="11" fillId="0" borderId="62" xfId="0" applyFont="1" applyBorder="1" applyAlignment="1">
      <alignment vertical="top" wrapText="1"/>
    </xf>
    <xf numFmtId="0" fontId="11" fillId="0" borderId="68" xfId="0" applyFont="1" applyBorder="1" applyAlignment="1">
      <alignment vertical="top" wrapText="1"/>
    </xf>
    <xf numFmtId="0" fontId="11" fillId="0" borderId="54" xfId="0" applyFont="1" applyBorder="1" applyAlignment="1">
      <alignment vertical="top" wrapText="1"/>
    </xf>
    <xf numFmtId="0" fontId="13" fillId="0" borderId="59" xfId="0" applyFont="1" applyBorder="1" applyAlignment="1">
      <alignment vertical="top" wrapText="1"/>
    </xf>
    <xf numFmtId="0" fontId="13" fillId="0" borderId="65" xfId="0" applyFont="1" applyBorder="1" applyAlignment="1">
      <alignment vertical="top" wrapText="1"/>
    </xf>
    <xf numFmtId="0" fontId="13" fillId="0" borderId="60" xfId="0" applyFont="1" applyBorder="1" applyAlignment="1">
      <alignment vertical="top" wrapText="1"/>
    </xf>
    <xf numFmtId="0" fontId="7" fillId="0" borderId="66" xfId="0" applyFont="1" applyBorder="1" applyAlignment="1">
      <alignment vertical="top" wrapText="1"/>
    </xf>
    <xf numFmtId="0" fontId="7" fillId="0" borderId="0" xfId="0" applyFont="1" applyBorder="1" applyAlignment="1">
      <alignment vertical="top" wrapText="1"/>
    </xf>
    <xf numFmtId="0" fontId="7" fillId="0" borderId="67" xfId="0" applyFont="1" applyBorder="1" applyAlignment="1">
      <alignment vertical="top" wrapText="1"/>
    </xf>
    <xf numFmtId="0" fontId="0" fillId="0" borderId="0" xfId="0" applyAlignment="1">
      <alignment wrapText="1"/>
    </xf>
    <xf numFmtId="0" fontId="7" fillId="0" borderId="61" xfId="0" applyFont="1" applyBorder="1" applyAlignment="1">
      <alignment horizontal="center" vertical="top" wrapText="1"/>
    </xf>
    <xf numFmtId="0" fontId="7" fillId="0" borderId="53" xfId="0" applyFont="1" applyBorder="1" applyAlignment="1">
      <alignment horizontal="center" vertical="top" wrapText="1"/>
    </xf>
    <xf numFmtId="0" fontId="7" fillId="0" borderId="62" xfId="0" applyFont="1" applyBorder="1" applyAlignment="1">
      <alignment vertical="top" wrapText="1"/>
    </xf>
    <xf numFmtId="0" fontId="7" fillId="0" borderId="54" xfId="0" applyFont="1" applyBorder="1" applyAlignment="1">
      <alignment vertical="top" wrapText="1"/>
    </xf>
    <xf numFmtId="0" fontId="7" fillId="0" borderId="59" xfId="0" applyFont="1" applyBorder="1" applyAlignment="1">
      <alignment vertical="top" wrapText="1"/>
    </xf>
    <xf numFmtId="0" fontId="7" fillId="0" borderId="60" xfId="0" applyFont="1" applyBorder="1" applyAlignment="1">
      <alignment vertical="top" wrapText="1"/>
    </xf>
    <xf numFmtId="0" fontId="7" fillId="0" borderId="63" xfId="0" applyFont="1" applyBorder="1" applyAlignment="1">
      <alignment vertical="top" wrapText="1"/>
    </xf>
    <xf numFmtId="0" fontId="7" fillId="0" borderId="64" xfId="0" applyFont="1" applyBorder="1" applyAlignment="1">
      <alignment vertical="top" wrapText="1"/>
    </xf>
    <xf numFmtId="0" fontId="7" fillId="0" borderId="52" xfId="0" applyFont="1" applyBorder="1" applyAlignment="1">
      <alignment vertical="top" wrapText="1"/>
    </xf>
    <xf numFmtId="0" fontId="13" fillId="0" borderId="66" xfId="0" applyFont="1" applyBorder="1" applyAlignment="1">
      <alignment vertical="top" wrapText="1"/>
    </xf>
    <xf numFmtId="0" fontId="13" fillId="0" borderId="0" xfId="0" applyFont="1" applyBorder="1" applyAlignment="1">
      <alignment vertical="top" wrapText="1"/>
    </xf>
    <xf numFmtId="0" fontId="13" fillId="0" borderId="67" xfId="0" applyFont="1" applyBorder="1" applyAlignment="1">
      <alignment vertical="top" wrapText="1"/>
    </xf>
    <xf numFmtId="0" fontId="0" fillId="0" borderId="69" xfId="0" applyBorder="1" applyAlignment="1">
      <alignment horizontal="center"/>
    </xf>
    <xf numFmtId="0" fontId="0" fillId="0" borderId="73" xfId="0" applyBorder="1" applyAlignment="1">
      <alignment horizontal="center"/>
    </xf>
    <xf numFmtId="0" fontId="0" fillId="0" borderId="34" xfId="0" applyBorder="1" applyAlignment="1">
      <alignment horizontal="center" wrapText="1"/>
    </xf>
    <xf numFmtId="0" fontId="0" fillId="0" borderId="27" xfId="0" applyBorder="1" applyAlignment="1">
      <alignment horizontal="center" wrapText="1"/>
    </xf>
    <xf numFmtId="0" fontId="0" fillId="0" borderId="42"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1"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2" fillId="0" borderId="17" xfId="0" applyFont="1" applyBorder="1" applyAlignment="1">
      <alignment vertical="top" wrapText="1"/>
    </xf>
    <xf numFmtId="0" fontId="2" fillId="0" borderId="32" xfId="0" applyFont="1" applyBorder="1" applyAlignment="1">
      <alignment vertical="top" wrapText="1"/>
    </xf>
    <xf numFmtId="0" fontId="2" fillId="0" borderId="13" xfId="0" applyFont="1" applyBorder="1" applyAlignment="1">
      <alignment vertical="top" wrapText="1"/>
    </xf>
    <xf numFmtId="0" fontId="2" fillId="0" borderId="26" xfId="0" applyFont="1" applyBorder="1" applyAlignment="1">
      <alignment vertical="top" wrapText="1"/>
    </xf>
    <xf numFmtId="0" fontId="1" fillId="0" borderId="15" xfId="0" applyFont="1" applyBorder="1" applyAlignment="1">
      <alignment vertical="top" wrapText="1"/>
    </xf>
    <xf numFmtId="0" fontId="1" fillId="0" borderId="27" xfId="0" applyFont="1" applyBorder="1" applyAlignment="1">
      <alignment vertical="top" wrapText="1"/>
    </xf>
    <xf numFmtId="0" fontId="19" fillId="0" borderId="19" xfId="0" applyFont="1" applyBorder="1" applyAlignment="1">
      <alignment horizontal="center" vertical="center" wrapText="1"/>
    </xf>
    <xf numFmtId="0" fontId="19" fillId="0" borderId="71" xfId="0" applyFont="1" applyBorder="1" applyAlignment="1">
      <alignment horizontal="center" vertical="center" wrapText="1"/>
    </xf>
    <xf numFmtId="0" fontId="0" fillId="0" borderId="17" xfId="0" applyBorder="1" applyAlignment="1">
      <alignment wrapText="1"/>
    </xf>
    <xf numFmtId="0" fontId="0" fillId="0" borderId="32" xfId="0" applyBorder="1" applyAlignment="1">
      <alignment wrapText="1"/>
    </xf>
    <xf numFmtId="0" fontId="0" fillId="0" borderId="13" xfId="0" applyBorder="1" applyAlignment="1">
      <alignment wrapText="1"/>
    </xf>
    <xf numFmtId="0" fontId="0" fillId="0" borderId="26" xfId="0" applyBorder="1" applyAlignment="1">
      <alignment wrapText="1"/>
    </xf>
    <xf numFmtId="0" fontId="0" fillId="0" borderId="15" xfId="0" applyBorder="1" applyAlignment="1">
      <alignment wrapText="1"/>
    </xf>
    <xf numFmtId="0" fontId="0" fillId="0" borderId="27" xfId="0" applyBorder="1" applyAlignment="1">
      <alignment wrapText="1"/>
    </xf>
    <xf numFmtId="0" fontId="20" fillId="0" borderId="0" xfId="0" applyFont="1" applyAlignment="1">
      <alignment wrapText="1"/>
    </xf>
    <xf numFmtId="0" fontId="8" fillId="2" borderId="63" xfId="0" applyFont="1" applyFill="1" applyBorder="1" applyAlignment="1">
      <alignment horizontal="left" wrapText="1"/>
    </xf>
    <xf numFmtId="0" fontId="8" fillId="2" borderId="64" xfId="0" applyFont="1" applyFill="1" applyBorder="1" applyAlignment="1">
      <alignment horizontal="left" wrapText="1"/>
    </xf>
    <xf numFmtId="0" fontId="7" fillId="0" borderId="83" xfId="0" applyFont="1" applyBorder="1" applyAlignment="1">
      <alignment vertical="top" wrapText="1"/>
    </xf>
    <xf numFmtId="0" fontId="7" fillId="0" borderId="84" xfId="0" applyFont="1" applyBorder="1" applyAlignment="1">
      <alignment vertical="top" wrapText="1"/>
    </xf>
    <xf numFmtId="0" fontId="7" fillId="0" borderId="86" xfId="0" applyFont="1" applyBorder="1" applyAlignment="1">
      <alignment vertical="top" wrapText="1"/>
    </xf>
    <xf numFmtId="0" fontId="7" fillId="0" borderId="87" xfId="0" applyFont="1" applyBorder="1" applyAlignment="1">
      <alignment vertical="top" wrapText="1"/>
    </xf>
    <xf numFmtId="0" fontId="7" fillId="0" borderId="89" xfId="0" applyFont="1" applyBorder="1" applyAlignment="1">
      <alignment vertical="top" wrapText="1"/>
    </xf>
    <xf numFmtId="0" fontId="7" fillId="0" borderId="90" xfId="0" applyFont="1" applyBorder="1" applyAlignment="1">
      <alignment vertical="top"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vertical="center"/>
    </xf>
    <xf numFmtId="0" fontId="0" fillId="0" borderId="47" xfId="0" applyBorder="1" applyAlignment="1">
      <alignment horizontal="center" vertical="center"/>
    </xf>
    <xf numFmtId="0" fontId="0" fillId="0" borderId="79" xfId="0" applyBorder="1" applyAlignment="1">
      <alignment horizontal="center"/>
    </xf>
    <xf numFmtId="0" fontId="0" fillId="0" borderId="77" xfId="0" applyBorder="1" applyAlignment="1">
      <alignment horizontal="center"/>
    </xf>
    <xf numFmtId="0" fontId="0" fillId="0" borderId="22" xfId="0" applyBorder="1" applyAlignment="1">
      <alignment horizontal="center"/>
    </xf>
    <xf numFmtId="0" fontId="0" fillId="0" borderId="28" xfId="0" applyBorder="1" applyAlignment="1">
      <alignment horizontal="center" vertical="center"/>
    </xf>
    <xf numFmtId="0" fontId="0" fillId="0" borderId="28" xfId="0" applyBorder="1" applyAlignment="1"/>
    <xf numFmtId="0" fontId="0" fillId="0" borderId="29" xfId="0" applyBorder="1" applyAlignment="1"/>
    <xf numFmtId="0" fontId="0" fillId="0" borderId="30" xfId="0" applyBorder="1" applyAlignment="1"/>
    <xf numFmtId="0" fontId="6" fillId="2" borderId="64" xfId="0" applyFont="1" applyFill="1" applyBorder="1" applyAlignment="1">
      <alignment horizontal="center" wrapText="1"/>
    </xf>
    <xf numFmtId="0" fontId="6" fillId="2" borderId="52" xfId="0" applyFont="1" applyFill="1" applyBorder="1" applyAlignment="1">
      <alignment horizontal="center" wrapText="1"/>
    </xf>
    <xf numFmtId="0" fontId="7" fillId="0" borderId="85" xfId="0" applyFont="1" applyBorder="1" applyAlignment="1">
      <alignment vertical="top" wrapText="1"/>
    </xf>
    <xf numFmtId="0" fontId="7" fillId="0" borderId="88" xfId="0" applyFont="1" applyBorder="1" applyAlignment="1">
      <alignment vertical="top" wrapText="1"/>
    </xf>
    <xf numFmtId="0" fontId="7" fillId="0" borderId="91" xfId="0" applyFont="1" applyBorder="1" applyAlignment="1">
      <alignment vertical="top" wrapText="1"/>
    </xf>
    <xf numFmtId="0" fontId="0" fillId="0" borderId="39" xfId="0" applyBorder="1" applyAlignment="1">
      <alignment horizontal="center" wrapText="1"/>
    </xf>
    <xf numFmtId="0" fontId="0" fillId="0" borderId="94" xfId="0" applyBorder="1" applyAlignment="1">
      <alignment horizontal="center" wrapText="1"/>
    </xf>
    <xf numFmtId="0" fontId="0" fillId="0" borderId="48" xfId="0" applyBorder="1" applyAlignment="1">
      <alignment horizontal="center" wrapText="1"/>
    </xf>
    <xf numFmtId="0" fontId="0" fillId="0" borderId="95" xfId="0" applyBorder="1" applyAlignment="1">
      <alignment horizontal="center" wrapText="1"/>
    </xf>
    <xf numFmtId="0" fontId="0" fillId="0" borderId="1" xfId="0" applyBorder="1" applyAlignment="1">
      <alignment horizontal="center" wrapText="1"/>
    </xf>
    <xf numFmtId="0" fontId="0" fillId="0" borderId="7" xfId="0" applyBorder="1" applyAlignment="1">
      <alignment horizontal="center" wrapText="1"/>
    </xf>
    <xf numFmtId="0" fontId="0" fillId="0" borderId="3" xfId="0" applyFill="1" applyBorder="1" applyAlignment="1">
      <alignment horizontal="center" wrapText="1"/>
    </xf>
    <xf numFmtId="0" fontId="0" fillId="0" borderId="80" xfId="0"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val>
            <c:numRef>
              <c:f>'Step 20 Risk '!$K$14:$K$25</c:f>
              <c:numCache>
                <c:formatCode>General</c:formatCode>
                <c:ptCount val="12"/>
                <c:pt idx="0">
                  <c:v>375</c:v>
                </c:pt>
                <c:pt idx="1">
                  <c:v>250</c:v>
                </c:pt>
                <c:pt idx="2">
                  <c:v>225</c:v>
                </c:pt>
                <c:pt idx="3">
                  <c:v>75</c:v>
                </c:pt>
                <c:pt idx="4">
                  <c:v>50</c:v>
                </c:pt>
                <c:pt idx="5">
                  <c:v>45</c:v>
                </c:pt>
                <c:pt idx="6">
                  <c:v>40</c:v>
                </c:pt>
                <c:pt idx="7">
                  <c:v>36</c:v>
                </c:pt>
                <c:pt idx="8">
                  <c:v>30</c:v>
                </c:pt>
                <c:pt idx="9">
                  <c:v>24</c:v>
                </c:pt>
                <c:pt idx="10">
                  <c:v>20</c:v>
                </c:pt>
                <c:pt idx="11">
                  <c:v>18</c:v>
                </c:pt>
              </c:numCache>
            </c:numRef>
          </c:val>
        </c:ser>
        <c:gapWidth val="45"/>
        <c:overlap val="-6"/>
        <c:axId val="71347584"/>
        <c:axId val="71461120"/>
      </c:barChart>
      <c:catAx>
        <c:axId val="71347584"/>
        <c:scaling>
          <c:orientation val="minMax"/>
        </c:scaling>
        <c:delete val="1"/>
        <c:axPos val="b"/>
        <c:tickLblPos val="none"/>
        <c:crossAx val="71461120"/>
        <c:crosses val="autoZero"/>
        <c:auto val="1"/>
        <c:lblAlgn val="ctr"/>
        <c:lblOffset val="100"/>
      </c:catAx>
      <c:valAx>
        <c:axId val="71461120"/>
        <c:scaling>
          <c:orientation val="minMax"/>
        </c:scaling>
        <c:axPos val="l"/>
        <c:majorGridlines/>
        <c:numFmt formatCode="General" sourceLinked="1"/>
        <c:tickLblPos val="nextTo"/>
        <c:crossAx val="71347584"/>
        <c:crosses val="autoZero"/>
        <c:crossBetween val="between"/>
      </c:valAx>
    </c:plotArea>
    <c:plotVisOnly val="1"/>
    <c:dispBlanksAs val="gap"/>
  </c:chart>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438151</xdr:colOff>
      <xdr:row>15</xdr:row>
      <xdr:rowOff>95250</xdr:rowOff>
    </xdr:from>
    <xdr:to>
      <xdr:col>13</xdr:col>
      <xdr:colOff>38100</xdr:colOff>
      <xdr:row>22</xdr:row>
      <xdr:rowOff>190500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390525</xdr:colOff>
      <xdr:row>13</xdr:row>
      <xdr:rowOff>66675</xdr:rowOff>
    </xdr:from>
    <xdr:ext cx="184731" cy="264560"/>
    <xdr:sp macro="" textlink="">
      <xdr:nvSpPr>
        <xdr:cNvPr id="4" name="TextBox 3"/>
        <xdr:cNvSpPr txBox="1"/>
      </xdr:nvSpPr>
      <xdr:spPr>
        <a:xfrm>
          <a:off x="1463992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sheetPr codeName="Sheet1"/>
  <dimension ref="B2:L19"/>
  <sheetViews>
    <sheetView tabSelected="1" workbookViewId="0">
      <selection activeCell="B27" sqref="B27"/>
    </sheetView>
  </sheetViews>
  <sheetFormatPr defaultRowHeight="15"/>
  <cols>
    <col min="2" max="2" width="106.5703125" customWidth="1"/>
  </cols>
  <sheetData>
    <row r="2" spans="2:12" ht="31.5">
      <c r="B2" s="328" t="s">
        <v>373</v>
      </c>
    </row>
    <row r="4" spans="2:12" ht="30">
      <c r="B4" s="313" t="s">
        <v>346</v>
      </c>
    </row>
    <row r="5" spans="2:12">
      <c r="B5" s="313" t="s">
        <v>345</v>
      </c>
    </row>
    <row r="6" spans="2:12">
      <c r="B6" s="313" t="s">
        <v>347</v>
      </c>
    </row>
    <row r="7" spans="2:12" ht="30">
      <c r="B7" s="314" t="s">
        <v>374</v>
      </c>
    </row>
    <row r="8" spans="2:12" ht="90">
      <c r="B8" s="314" t="s">
        <v>375</v>
      </c>
    </row>
    <row r="9" spans="2:12" ht="30">
      <c r="B9" s="314" t="s">
        <v>372</v>
      </c>
      <c r="D9" s="234"/>
      <c r="E9" s="234"/>
      <c r="F9" s="234"/>
      <c r="G9" s="234"/>
      <c r="H9" s="234"/>
    </row>
    <row r="10" spans="2:12" ht="60">
      <c r="B10" s="314" t="s">
        <v>348</v>
      </c>
      <c r="D10" s="234"/>
      <c r="E10" s="234"/>
      <c r="F10" s="234"/>
      <c r="G10" s="234"/>
      <c r="H10" s="234"/>
    </row>
    <row r="11" spans="2:12">
      <c r="B11" s="313"/>
      <c r="D11" s="234"/>
      <c r="E11" s="234"/>
      <c r="F11" s="234"/>
      <c r="G11" s="234"/>
      <c r="H11" s="234"/>
    </row>
    <row r="12" spans="2:12" ht="30">
      <c r="B12" s="313" t="s">
        <v>349</v>
      </c>
      <c r="D12" s="234"/>
      <c r="E12" s="234"/>
      <c r="F12" s="234"/>
      <c r="G12" s="234"/>
      <c r="H12" s="234"/>
      <c r="I12" s="234"/>
      <c r="J12" s="234"/>
      <c r="K12" s="234"/>
      <c r="L12" s="234"/>
    </row>
    <row r="13" spans="2:12">
      <c r="D13" s="234"/>
      <c r="E13" s="234"/>
      <c r="F13" s="234"/>
      <c r="G13" s="234"/>
      <c r="H13" s="234"/>
      <c r="I13" s="234"/>
      <c r="J13" s="234"/>
      <c r="K13" s="234"/>
      <c r="L13" s="234"/>
    </row>
    <row r="14" spans="2:12" ht="30">
      <c r="B14" s="313" t="s">
        <v>350</v>
      </c>
      <c r="D14" s="234"/>
      <c r="E14" s="234"/>
      <c r="F14" s="234"/>
      <c r="G14" s="234"/>
      <c r="H14" s="234"/>
      <c r="I14" s="234"/>
      <c r="J14" s="234"/>
      <c r="K14" s="234"/>
      <c r="L14" s="234"/>
    </row>
    <row r="15" spans="2:12" ht="60">
      <c r="B15" s="258" t="s">
        <v>351</v>
      </c>
      <c r="D15" s="234"/>
      <c r="E15" s="234"/>
      <c r="F15" s="234"/>
      <c r="G15" s="234"/>
      <c r="H15" s="234"/>
      <c r="I15" s="234"/>
      <c r="J15" s="234"/>
      <c r="K15" s="234"/>
      <c r="L15" s="234"/>
    </row>
    <row r="16" spans="2:12" ht="75">
      <c r="B16" s="329" t="s">
        <v>400</v>
      </c>
    </row>
    <row r="18" spans="2:2" ht="15.75" customHeight="1">
      <c r="B18" s="383" t="s">
        <v>395</v>
      </c>
    </row>
    <row r="19" spans="2:2">
      <c r="B19" s="234" t="s">
        <v>396</v>
      </c>
    </row>
  </sheetData>
  <customSheetViews>
    <customSheetView guid="{3DB30FED-CC59-45C7-A6C7-CEC6DAE12EDE}">
      <selection activeCell="L5" sqref="L5"/>
      <pageMargins left="0.7" right="0.7" top="0.75" bottom="0.75" header="0.3" footer="0.3"/>
    </customSheetView>
  </customSheetView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B2:T30"/>
  <sheetViews>
    <sheetView topLeftCell="A5" workbookViewId="0">
      <selection activeCell="D34" sqref="D34"/>
    </sheetView>
  </sheetViews>
  <sheetFormatPr defaultRowHeight="15"/>
  <cols>
    <col min="2" max="2" width="26.28515625" customWidth="1"/>
    <col min="3" max="3" width="26.85546875" customWidth="1"/>
    <col min="4" max="4" width="15.42578125" customWidth="1"/>
    <col min="5" max="5" width="18.7109375" customWidth="1"/>
    <col min="6" max="6" width="19" customWidth="1"/>
    <col min="7" max="7" width="11.28515625" customWidth="1"/>
    <col min="8" max="8" width="10.5703125" customWidth="1"/>
    <col min="9" max="9" width="28" customWidth="1"/>
    <col min="11" max="11" width="0.140625" customWidth="1"/>
    <col min="12" max="12" width="11.85546875" customWidth="1"/>
  </cols>
  <sheetData>
    <row r="2" spans="2:20">
      <c r="B2" s="438" t="s">
        <v>370</v>
      </c>
      <c r="C2" s="438"/>
      <c r="D2" s="438"/>
      <c r="E2" s="438"/>
      <c r="F2" s="438"/>
      <c r="G2" s="438"/>
      <c r="H2" s="438"/>
      <c r="I2" s="438"/>
    </row>
    <row r="4" spans="2:20">
      <c r="B4" s="438" t="s">
        <v>371</v>
      </c>
      <c r="C4" s="438"/>
      <c r="D4" s="438"/>
      <c r="E4" s="438"/>
      <c r="F4" s="438"/>
      <c r="G4" s="438"/>
      <c r="H4" s="438"/>
      <c r="I4" s="438"/>
    </row>
    <row r="5" spans="2:20">
      <c r="B5" s="438"/>
      <c r="C5" s="438"/>
      <c r="D5" s="438"/>
      <c r="E5" s="438"/>
      <c r="F5" s="438"/>
      <c r="G5" s="438"/>
      <c r="H5" s="438"/>
      <c r="I5" s="438"/>
      <c r="K5" s="234"/>
      <c r="L5" s="234"/>
      <c r="M5" s="234"/>
      <c r="N5" s="234"/>
      <c r="O5" s="234"/>
      <c r="P5" s="234"/>
    </row>
    <row r="8" spans="2:20" ht="15.75" thickBot="1"/>
    <row r="9" spans="2:20" ht="60">
      <c r="B9" s="250" t="s">
        <v>0</v>
      </c>
      <c r="C9" s="5" t="s">
        <v>1</v>
      </c>
      <c r="D9" s="5" t="s">
        <v>2</v>
      </c>
      <c r="E9" s="5" t="s">
        <v>4</v>
      </c>
      <c r="F9" s="5" t="s">
        <v>6</v>
      </c>
      <c r="G9" s="5" t="s">
        <v>124</v>
      </c>
      <c r="H9" s="5" t="s">
        <v>123</v>
      </c>
      <c r="I9" s="470" t="s">
        <v>8</v>
      </c>
    </row>
    <row r="10" spans="2:20" ht="15.75" thickBot="1">
      <c r="B10" s="251"/>
      <c r="C10" s="252"/>
      <c r="D10" s="252" t="s">
        <v>3</v>
      </c>
      <c r="E10" s="252" t="s">
        <v>5</v>
      </c>
      <c r="F10" s="252" t="s">
        <v>7</v>
      </c>
      <c r="G10" s="252" t="s">
        <v>122</v>
      </c>
      <c r="H10" s="252" t="s">
        <v>120</v>
      </c>
      <c r="I10" s="471"/>
      <c r="K10" s="253"/>
      <c r="L10" s="234"/>
      <c r="M10" s="234"/>
      <c r="N10" s="234"/>
      <c r="O10" s="234"/>
      <c r="P10" s="234"/>
      <c r="Q10" s="234"/>
      <c r="R10" s="234"/>
      <c r="S10" s="234"/>
      <c r="T10" s="234"/>
    </row>
    <row r="11" spans="2:20">
      <c r="B11" s="235" t="str">
        <f>+'Steps 10 - 11  Pop Conseq'!A26</f>
        <v>Facility z</v>
      </c>
      <c r="C11" s="236" t="str">
        <f>+'Steps 10 - 11  Pop Conseq'!B26</f>
        <v>Fire (Ethylene Oxide)</v>
      </c>
      <c r="D11" s="102">
        <f>+'Step 19 Vulnerability'!D45</f>
        <v>1</v>
      </c>
      <c r="E11" s="102">
        <f>+'Step 19 Vulnerability'!F36</f>
        <v>4</v>
      </c>
      <c r="F11" s="237">
        <f>+'Step 14 Max Conseq'!F31</f>
        <v>2</v>
      </c>
      <c r="G11" s="102">
        <f>+'Step 17 RTF'!H108</f>
        <v>3</v>
      </c>
      <c r="H11" s="102">
        <f>+'Step 16  ERC'!G33</f>
        <v>1</v>
      </c>
      <c r="I11" s="238">
        <f t="shared" ref="I11:I19" si="0">ROUNDUP(+D11*E11*F11*G11*H11,0)</f>
        <v>24</v>
      </c>
      <c r="K11" s="234"/>
      <c r="L11" s="234"/>
      <c r="M11" s="234"/>
      <c r="N11" s="234"/>
      <c r="O11" s="234"/>
      <c r="P11" s="234"/>
      <c r="Q11" s="234"/>
      <c r="R11" s="234"/>
      <c r="S11" s="234"/>
      <c r="T11" s="234"/>
    </row>
    <row r="12" spans="2:20">
      <c r="B12" s="239" t="str">
        <f>+'Steps 10 - 11  Pop Conseq'!A27</f>
        <v>Facility z</v>
      </c>
      <c r="C12" s="240" t="str">
        <f>+'Steps 10 - 11  Pop Conseq'!B27</f>
        <v>Explosion (Ethylene Oxide)</v>
      </c>
      <c r="D12" s="241">
        <f>+'Step 19 Vulnerability'!D46</f>
        <v>1</v>
      </c>
      <c r="E12" s="241">
        <f>+'Step 19 Vulnerability'!F37</f>
        <v>2</v>
      </c>
      <c r="F12" s="242">
        <f>+'Step 14 Max Conseq'!F32</f>
        <v>3</v>
      </c>
      <c r="G12" s="241">
        <f>+'Step 17 RTF'!H109</f>
        <v>3</v>
      </c>
      <c r="H12" s="241">
        <f>+'Step 16  ERC'!G34</f>
        <v>1</v>
      </c>
      <c r="I12" s="243">
        <f t="shared" si="0"/>
        <v>18</v>
      </c>
      <c r="K12" s="234"/>
      <c r="L12" s="234"/>
      <c r="M12" s="234"/>
      <c r="N12" s="234"/>
      <c r="O12" s="234"/>
      <c r="P12" s="234"/>
      <c r="Q12" s="234"/>
      <c r="R12" s="234"/>
      <c r="S12" s="234"/>
      <c r="T12" s="234"/>
    </row>
    <row r="13" spans="2:20">
      <c r="B13" s="239" t="str">
        <f>+'Steps 10 - 11  Pop Conseq'!A28</f>
        <v>Facility z</v>
      </c>
      <c r="C13" s="240" t="str">
        <f>+'Steps 10 - 11  Pop Conseq'!B28</f>
        <v>Toxic Gas (Chlorine) (L)</v>
      </c>
      <c r="D13" s="241">
        <f>+'Step 19 Vulnerability'!D47</f>
        <v>1</v>
      </c>
      <c r="E13" s="241">
        <f>+'Step 19 Vulnerability'!F38</f>
        <v>3</v>
      </c>
      <c r="F13" s="242">
        <f>+'Step 14 Max Conseq'!F33</f>
        <v>5</v>
      </c>
      <c r="G13" s="241">
        <f>+'Step 17 RTF'!H110</f>
        <v>3</v>
      </c>
      <c r="H13" s="241">
        <f>+'Step 16  ERC'!G35</f>
        <v>5</v>
      </c>
      <c r="I13" s="243">
        <f t="shared" si="0"/>
        <v>225</v>
      </c>
      <c r="K13" s="234"/>
      <c r="L13" s="234"/>
      <c r="M13" s="234"/>
      <c r="N13" s="234"/>
      <c r="O13" s="234"/>
      <c r="P13" s="234"/>
      <c r="Q13" s="234"/>
      <c r="R13" s="234"/>
      <c r="S13" s="234"/>
      <c r="T13" s="234"/>
    </row>
    <row r="14" spans="2:20">
      <c r="B14" s="239" t="str">
        <f>+'Steps 10 - 11  Pop Conseq'!A29</f>
        <v>Facility z</v>
      </c>
      <c r="C14" s="240" t="str">
        <f>+'Steps 10 - 11  Pop Conseq'!B29</f>
        <v>Toxic Gas (Chlorine) (S)</v>
      </c>
      <c r="D14" s="241">
        <f>+'Step 19 Vulnerability'!D48</f>
        <v>1</v>
      </c>
      <c r="E14" s="241">
        <f>+'Step 19 Vulnerability'!F39</f>
        <v>4</v>
      </c>
      <c r="F14" s="242">
        <f>+'Step 14 Max Conseq'!F34</f>
        <v>3</v>
      </c>
      <c r="G14" s="241">
        <f>+'Step 17 RTF'!H111</f>
        <v>3</v>
      </c>
      <c r="H14" s="241">
        <f>+'Step 16  ERC'!G36</f>
        <v>1</v>
      </c>
      <c r="I14" s="243">
        <f t="shared" si="0"/>
        <v>36</v>
      </c>
      <c r="K14">
        <v>375</v>
      </c>
    </row>
    <row r="15" spans="2:20">
      <c r="B15" s="244" t="str">
        <f>+'Steps 10 - 11  Pop Conseq'!A30</f>
        <v>step 10-11 facility</v>
      </c>
      <c r="C15" s="240"/>
      <c r="D15" s="241"/>
      <c r="E15" s="241"/>
      <c r="F15" s="241"/>
      <c r="G15" s="241"/>
      <c r="H15" s="241"/>
      <c r="I15" s="243"/>
      <c r="K15">
        <v>250</v>
      </c>
    </row>
    <row r="16" spans="2:20">
      <c r="B16" s="239" t="str">
        <f>+'Steps 10 - 11  Pop Conseq'!A31</f>
        <v>Roads x</v>
      </c>
      <c r="C16" s="240" t="str">
        <f>+'Steps 10 - 11  Pop Conseq'!B31</f>
        <v>Fire  (Gasoline)</v>
      </c>
      <c r="D16" s="241">
        <f>+'Step 19 Vulnerability'!D45</f>
        <v>1</v>
      </c>
      <c r="E16" s="241">
        <f>+'Step 19 Vulnerability'!J45</f>
        <v>4</v>
      </c>
      <c r="F16" s="242">
        <f>+'Step 14 Max Conseq'!F36</f>
        <v>2</v>
      </c>
      <c r="G16" s="241">
        <f>+'Step 17 RTF'!H113</f>
        <v>5</v>
      </c>
      <c r="H16" s="241">
        <f>+'Step 16  ERC'!G38</f>
        <v>1</v>
      </c>
      <c r="I16" s="243">
        <f t="shared" si="0"/>
        <v>40</v>
      </c>
      <c r="K16">
        <v>225</v>
      </c>
    </row>
    <row r="17" spans="2:14">
      <c r="B17" s="239" t="str">
        <f>+'Steps 10 - 11  Pop Conseq'!A32</f>
        <v>Roads x</v>
      </c>
      <c r="C17" s="240" t="str">
        <f>+'Steps 10 - 11  Pop Conseq'!B32</f>
        <v>Toxic Gas (Ammonia) (L)</v>
      </c>
      <c r="D17" s="241">
        <f>+'Step 19 Vulnerability'!D46</f>
        <v>1</v>
      </c>
      <c r="E17" s="241">
        <f>+'Step 19 Vulnerability'!J46</f>
        <v>2</v>
      </c>
      <c r="F17" s="242">
        <f>+'Step 14 Max Conseq'!F37</f>
        <v>5</v>
      </c>
      <c r="G17" s="241">
        <f>+'Step 17 RTF'!H114</f>
        <v>5</v>
      </c>
      <c r="H17" s="241">
        <f>+'Step 16  ERC'!G39</f>
        <v>5</v>
      </c>
      <c r="I17" s="243">
        <f t="shared" si="0"/>
        <v>250</v>
      </c>
      <c r="K17">
        <v>75</v>
      </c>
    </row>
    <row r="18" spans="2:14">
      <c r="B18" s="239" t="str">
        <f>+'Steps 10 - 11  Pop Conseq'!A33</f>
        <v>Roads x</v>
      </c>
      <c r="C18" s="240" t="str">
        <f>+'Steps 10 - 11  Pop Conseq'!B33</f>
        <v>Toxic Gas (Ammonia) (S)</v>
      </c>
      <c r="D18" s="241">
        <f>+'Step 19 Vulnerability'!D47</f>
        <v>1</v>
      </c>
      <c r="E18" s="241">
        <f>+'Step 19 Vulnerability'!J47</f>
        <v>3</v>
      </c>
      <c r="F18" s="242">
        <f>+'Step 14 Max Conseq'!F38</f>
        <v>3</v>
      </c>
      <c r="G18" s="241">
        <f>+'Step 17 RTF'!H115</f>
        <v>5</v>
      </c>
      <c r="H18" s="241">
        <f>+'Step 16  ERC'!G40</f>
        <v>1</v>
      </c>
      <c r="I18" s="243">
        <f t="shared" si="0"/>
        <v>45</v>
      </c>
      <c r="K18">
        <v>50</v>
      </c>
    </row>
    <row r="19" spans="2:14">
      <c r="B19" s="239" t="str">
        <f>+'Steps 10 - 11  Pop Conseq'!A34</f>
        <v>Roads x</v>
      </c>
      <c r="C19" s="240" t="str">
        <f>+'Steps 10 - 11  Pop Conseq'!B34</f>
        <v>Toxic Liquid (37% HCl) (L)</v>
      </c>
      <c r="D19" s="241">
        <f>+'Step 19 Vulnerability'!D48</f>
        <v>1</v>
      </c>
      <c r="E19" s="241">
        <f>+'Step 19 Vulnerability'!J48</f>
        <v>2</v>
      </c>
      <c r="F19" s="242">
        <f>+'Step 14 Max Conseq'!F39</f>
        <v>3</v>
      </c>
      <c r="G19" s="241">
        <f>+'Step 17 RTF'!H116</f>
        <v>5</v>
      </c>
      <c r="H19" s="241">
        <f>+'Step 16  ERC'!G41</f>
        <v>1</v>
      </c>
      <c r="I19" s="243">
        <f t="shared" si="0"/>
        <v>30</v>
      </c>
      <c r="K19">
        <v>45</v>
      </c>
    </row>
    <row r="20" spans="2:14">
      <c r="B20" s="239" t="str">
        <f>+'Steps 10 - 11  Pop Conseq'!A35</f>
        <v>Roads x</v>
      </c>
      <c r="C20" s="240" t="str">
        <f>+'Steps 10 - 11  Pop Conseq'!B35</f>
        <v>Toxic Liquid (37% HCl) (S)</v>
      </c>
      <c r="D20" s="241">
        <f>+'Step 19 Vulnerability'!D49</f>
        <v>1</v>
      </c>
      <c r="E20" s="241">
        <f>+'Step 19 Vulnerability'!J49</f>
        <v>2</v>
      </c>
      <c r="F20" s="242">
        <f>+'Step 14 Max Conseq'!F40</f>
        <v>3</v>
      </c>
      <c r="G20" s="241">
        <f>+'Step 17 RTF'!H117</f>
        <v>5</v>
      </c>
      <c r="H20" s="241">
        <f>+'Step 16  ERC'!G42</f>
        <v>1</v>
      </c>
      <c r="I20" s="243">
        <f t="shared" ref="I20:I30" si="1">ROUNDUP(+D20*E20*F20*G20*H20,0)</f>
        <v>30</v>
      </c>
      <c r="K20">
        <v>40</v>
      </c>
    </row>
    <row r="21" spans="2:14">
      <c r="B21" s="239" t="str">
        <f>+'Steps 10 - 11  Pop Conseq'!A36</f>
        <v>Roads y</v>
      </c>
      <c r="C21" s="240" t="str">
        <f>+'Steps 10 - 11  Pop Conseq'!B36</f>
        <v>Fire  (Gasoline)</v>
      </c>
      <c r="D21" s="241">
        <f>+'Step 19 Vulnerability'!D50</f>
        <v>1</v>
      </c>
      <c r="E21" s="241">
        <f>+'Step 19 Vulnerability'!J50</f>
        <v>3</v>
      </c>
      <c r="F21" s="242">
        <f>+'Step 14 Max Conseq'!F41</f>
        <v>2</v>
      </c>
      <c r="G21" s="241">
        <f>+'Step 17 RTF'!H118</f>
        <v>5</v>
      </c>
      <c r="H21" s="241">
        <f>+'Step 16  ERC'!G43</f>
        <v>1</v>
      </c>
      <c r="I21" s="243">
        <f t="shared" si="1"/>
        <v>30</v>
      </c>
      <c r="K21">
        <v>36</v>
      </c>
    </row>
    <row r="22" spans="2:14">
      <c r="B22" s="239" t="str">
        <f>+'Steps 10 - 11  Pop Conseq'!A37</f>
        <v>Roads u</v>
      </c>
      <c r="C22" s="240" t="str">
        <f>+'Steps 10 - 11  Pop Conseq'!B37</f>
        <v>Fire  (Gasoline)</v>
      </c>
      <c r="D22" s="241">
        <f>+'Step 19 Vulnerability'!D51</f>
        <v>1</v>
      </c>
      <c r="E22" s="241">
        <f>+'Step 19 Vulnerability'!J51</f>
        <v>2</v>
      </c>
      <c r="F22" s="242">
        <f>+'Step 14 Max Conseq'!F42</f>
        <v>2</v>
      </c>
      <c r="G22" s="241">
        <f>+'Step 17 RTF'!H119</f>
        <v>5</v>
      </c>
      <c r="H22" s="241">
        <f>+'Step 16  ERC'!G44</f>
        <v>1</v>
      </c>
      <c r="I22" s="243">
        <f t="shared" si="1"/>
        <v>20</v>
      </c>
      <c r="K22">
        <v>30</v>
      </c>
    </row>
    <row r="23" spans="2:14">
      <c r="B23" s="239" t="str">
        <f>+'Steps 10 - 11  Pop Conseq'!A38</f>
        <v>Roads u</v>
      </c>
      <c r="C23" s="240" t="str">
        <f>+'Steps 10 - 11  Pop Conseq'!B38</f>
        <v>Toxic Liquid (37% HCl) (L)</v>
      </c>
      <c r="D23" s="241">
        <f>+'Step 19 Vulnerability'!D52</f>
        <v>1</v>
      </c>
      <c r="E23" s="241">
        <f>+'Step 19 Vulnerability'!J52</f>
        <v>2</v>
      </c>
      <c r="F23" s="242">
        <f>+'Step 14 Max Conseq'!F43</f>
        <v>3</v>
      </c>
      <c r="G23" s="241">
        <f>+'Step 17 RTF'!H120</f>
        <v>5</v>
      </c>
      <c r="H23" s="241">
        <f>+'Step 16  ERC'!G45</f>
        <v>1</v>
      </c>
      <c r="I23" s="243">
        <f t="shared" si="1"/>
        <v>30</v>
      </c>
      <c r="K23">
        <v>24</v>
      </c>
    </row>
    <row r="24" spans="2:14">
      <c r="B24" s="239" t="str">
        <f>+'Steps 10 - 11  Pop Conseq'!A39</f>
        <v>Roads u</v>
      </c>
      <c r="C24" s="240" t="str">
        <f>+'Steps 10 - 11  Pop Conseq'!B39</f>
        <v>Toxic Liquid (37% HCl) (S)</v>
      </c>
      <c r="D24" s="241">
        <f>+'Step 19 Vulnerability'!D53</f>
        <v>1</v>
      </c>
      <c r="E24" s="241">
        <f>+'Step 19 Vulnerability'!J53</f>
        <v>2</v>
      </c>
      <c r="F24" s="242">
        <f>+'Step 14 Max Conseq'!F44</f>
        <v>3</v>
      </c>
      <c r="G24" s="241">
        <f>+'Step 17 RTF'!H121</f>
        <v>5</v>
      </c>
      <c r="H24" s="241">
        <f>+'Step 16  ERC'!G46</f>
        <v>1</v>
      </c>
      <c r="I24" s="243">
        <f t="shared" si="1"/>
        <v>30</v>
      </c>
      <c r="K24">
        <v>20</v>
      </c>
    </row>
    <row r="25" spans="2:14">
      <c r="B25" s="239" t="str">
        <f>+'Steps 10 - 11  Pop Conseq'!A40</f>
        <v>Road w</v>
      </c>
      <c r="C25" s="240" t="str">
        <f>+'Steps 10 - 11  Pop Conseq'!B40</f>
        <v>Fire  (Gasoline)</v>
      </c>
      <c r="D25" s="241">
        <f>+'Step 19 Vulnerability'!D54</f>
        <v>1</v>
      </c>
      <c r="E25" s="241">
        <f>+'Step 19 Vulnerability'!J54</f>
        <v>3</v>
      </c>
      <c r="F25" s="242">
        <f>+'Step 14 Max Conseq'!F45</f>
        <v>2</v>
      </c>
      <c r="G25" s="241">
        <f>+'Step 17 RTF'!H122</f>
        <v>5</v>
      </c>
      <c r="H25" s="241">
        <f>+'Step 16  ERC'!G47</f>
        <v>1</v>
      </c>
      <c r="I25" s="243">
        <f t="shared" si="1"/>
        <v>30</v>
      </c>
      <c r="K25">
        <v>18</v>
      </c>
    </row>
    <row r="26" spans="2:14">
      <c r="B26" s="239" t="str">
        <f>+'Steps 10 - 11  Pop Conseq'!A41</f>
        <v>Road w</v>
      </c>
      <c r="C26" s="240" t="str">
        <f>+'Steps 10 - 11  Pop Conseq'!B41</f>
        <v>Toxic Gas (Ammonia) (L)</v>
      </c>
      <c r="D26" s="241">
        <f>+'Step 19 Vulnerability'!D55</f>
        <v>1</v>
      </c>
      <c r="E26" s="241">
        <f>+'Step 19 Vulnerability'!J55</f>
        <v>2</v>
      </c>
      <c r="F26" s="242">
        <f>+'Step 14 Max Conseq'!F46</f>
        <v>5</v>
      </c>
      <c r="G26" s="241">
        <f>+'Step 17 RTF'!H123</f>
        <v>5</v>
      </c>
      <c r="H26" s="241">
        <f>+'Step 16  ERC'!G48</f>
        <v>5</v>
      </c>
      <c r="I26" s="243">
        <f t="shared" si="1"/>
        <v>250</v>
      </c>
      <c r="L26" s="378" t="s">
        <v>397</v>
      </c>
      <c r="M26" s="378"/>
      <c r="N26" s="378"/>
    </row>
    <row r="27" spans="2:14">
      <c r="B27" s="239" t="str">
        <f>+'Steps 10 - 11  Pop Conseq'!A42</f>
        <v>Road w</v>
      </c>
      <c r="C27" s="240" t="str">
        <f>+'Steps 10 - 11  Pop Conseq'!B42</f>
        <v>Toxic Gas (Ammonia) (S)</v>
      </c>
      <c r="D27" s="241">
        <f>+'Step 19 Vulnerability'!D56</f>
        <v>1</v>
      </c>
      <c r="E27" s="241">
        <f>+'Step 19 Vulnerability'!J56</f>
        <v>3</v>
      </c>
      <c r="F27" s="242">
        <f>+'Step 14 Max Conseq'!F47</f>
        <v>3</v>
      </c>
      <c r="G27" s="241">
        <f>+'Step 17 RTF'!H124</f>
        <v>5</v>
      </c>
      <c r="H27" s="241">
        <f>+'Step 16  ERC'!G49</f>
        <v>1</v>
      </c>
      <c r="I27" s="243">
        <f t="shared" si="1"/>
        <v>45</v>
      </c>
      <c r="L27" s="378" t="s">
        <v>398</v>
      </c>
      <c r="M27" s="378"/>
      <c r="N27" s="378"/>
    </row>
    <row r="28" spans="2:14">
      <c r="B28" s="239" t="str">
        <f>+'Steps 10 - 11  Pop Conseq'!A43</f>
        <v>Railroad s</v>
      </c>
      <c r="C28" s="240" t="str">
        <f>+'Steps 10 - 11  Pop Conseq'!B43</f>
        <v>BLEVE (Ethylene Oxide)</v>
      </c>
      <c r="D28" s="241">
        <f>+'Step 19 Vulnerability'!D57</f>
        <v>1</v>
      </c>
      <c r="E28" s="241">
        <f>+'Step 19 Vulnerability'!J57</f>
        <v>3</v>
      </c>
      <c r="F28" s="242">
        <f>+'Step 14 Max Conseq'!F48</f>
        <v>3</v>
      </c>
      <c r="G28" s="241">
        <f>+'Step 17 RTF'!H125</f>
        <v>5</v>
      </c>
      <c r="H28" s="241">
        <f>+'Step 16  ERC'!G50</f>
        <v>1</v>
      </c>
      <c r="I28" s="243">
        <f t="shared" si="1"/>
        <v>45</v>
      </c>
    </row>
    <row r="29" spans="2:14">
      <c r="B29" s="239" t="str">
        <f>+'Steps 10 - 11  Pop Conseq'!A44</f>
        <v>Railroad s</v>
      </c>
      <c r="C29" s="240" t="str">
        <f>+'Steps 10 - 11  Pop Conseq'!B44</f>
        <v>Toxic Gas (Chlorine) (L)</v>
      </c>
      <c r="D29" s="241">
        <f>+'Step 19 Vulnerability'!D58</f>
        <v>1</v>
      </c>
      <c r="E29" s="241">
        <f>+'Step 19 Vulnerability'!J58</f>
        <v>3</v>
      </c>
      <c r="F29" s="242">
        <f>+'Step 14 Max Conseq'!F49</f>
        <v>5</v>
      </c>
      <c r="G29" s="241">
        <f>+'Step 17 RTF'!H126</f>
        <v>5</v>
      </c>
      <c r="H29" s="241">
        <f>+'Step 16  ERC'!G51</f>
        <v>5</v>
      </c>
      <c r="I29" s="243">
        <f t="shared" si="1"/>
        <v>375</v>
      </c>
    </row>
    <row r="30" spans="2:14" ht="15.75" thickBot="1">
      <c r="B30" s="245" t="str">
        <f>+'Steps 10 - 11  Pop Conseq'!A45</f>
        <v>Railroad s</v>
      </c>
      <c r="C30" s="246" t="str">
        <f>+'Steps 10 - 11  Pop Conseq'!B45</f>
        <v>Toxic Gas (Chlorine)  (S)</v>
      </c>
      <c r="D30" s="106">
        <f>+'Step 19 Vulnerability'!D59</f>
        <v>1</v>
      </c>
      <c r="E30" s="106">
        <f>+'Step 19 Vulnerability'!J59</f>
        <v>3</v>
      </c>
      <c r="F30" s="247">
        <f>+'Step 14 Max Conseq'!F50</f>
        <v>5</v>
      </c>
      <c r="G30" s="106">
        <f>+'Step 17 RTF'!H127</f>
        <v>5</v>
      </c>
      <c r="H30" s="106">
        <f>+'Step 16  ERC'!G52</f>
        <v>5</v>
      </c>
      <c r="I30" s="248">
        <f t="shared" si="1"/>
        <v>375</v>
      </c>
    </row>
  </sheetData>
  <sortState ref="K7:K18">
    <sortCondition descending="1" ref="K4"/>
  </sortState>
  <customSheetViews>
    <customSheetView guid="{3DB30FED-CC59-45C7-A6C7-CEC6DAE12EDE}" fitToPage="1">
      <selection activeCell="B6" sqref="B6"/>
      <pageMargins left="0.7" right="0.7" top="0.75" bottom="0.75" header="0.3" footer="0.3"/>
      <pageSetup scale="67" orientation="portrait" r:id="rId1"/>
    </customSheetView>
  </customSheetViews>
  <mergeCells count="3">
    <mergeCell ref="I9:I10"/>
    <mergeCell ref="B2:I2"/>
    <mergeCell ref="B4:I5"/>
  </mergeCells>
  <pageMargins left="0.7" right="0.7" top="0.75" bottom="0.75" header="0.3" footer="0.3"/>
  <pageSetup scale="67" orientation="portrait" r:id="rId2"/>
  <drawing r:id="rId3"/>
</worksheet>
</file>

<file path=xl/worksheets/sheet2.xml><?xml version="1.0" encoding="utf-8"?>
<worksheet xmlns="http://schemas.openxmlformats.org/spreadsheetml/2006/main" xmlns:r="http://schemas.openxmlformats.org/officeDocument/2006/relationships">
  <sheetPr codeName="Sheet2"/>
  <dimension ref="A2:I121"/>
  <sheetViews>
    <sheetView topLeftCell="A74" workbookViewId="0">
      <selection activeCell="C100" sqref="C100"/>
    </sheetView>
  </sheetViews>
  <sheetFormatPr defaultRowHeight="15"/>
  <cols>
    <col min="2" max="2" width="37.5703125" customWidth="1"/>
    <col min="3" max="3" width="15.7109375" customWidth="1"/>
  </cols>
  <sheetData>
    <row r="2" spans="2:8" ht="15" customHeight="1">
      <c r="B2" s="400" t="s">
        <v>352</v>
      </c>
      <c r="C2" s="400"/>
      <c r="D2" s="400"/>
      <c r="E2" s="400"/>
      <c r="F2" s="400"/>
      <c r="G2" s="400"/>
      <c r="H2" s="400"/>
    </row>
    <row r="3" spans="2:8">
      <c r="B3" s="400"/>
      <c r="C3" s="400"/>
      <c r="D3" s="400"/>
      <c r="E3" s="400"/>
      <c r="F3" s="400"/>
      <c r="G3" s="400"/>
      <c r="H3" s="400"/>
    </row>
    <row r="4" spans="2:8">
      <c r="B4" s="400"/>
      <c r="C4" s="400"/>
      <c r="D4" s="400"/>
      <c r="E4" s="400"/>
      <c r="F4" s="400"/>
      <c r="G4" s="400"/>
      <c r="H4" s="400"/>
    </row>
    <row r="5" spans="2:8">
      <c r="B5" s="400"/>
      <c r="C5" s="400"/>
      <c r="D5" s="400"/>
      <c r="E5" s="400"/>
      <c r="F5" s="400"/>
      <c r="G5" s="400"/>
      <c r="H5" s="400"/>
    </row>
    <row r="6" spans="2:8">
      <c r="B6" s="400"/>
      <c r="C6" s="400"/>
      <c r="D6" s="400"/>
      <c r="E6" s="400"/>
      <c r="F6" s="400"/>
      <c r="G6" s="400"/>
      <c r="H6" s="400"/>
    </row>
    <row r="7" spans="2:8">
      <c r="B7" s="400"/>
      <c r="C7" s="400"/>
      <c r="D7" s="400"/>
      <c r="E7" s="400"/>
      <c r="F7" s="400"/>
      <c r="G7" s="400"/>
      <c r="H7" s="400"/>
    </row>
    <row r="8" spans="2:8">
      <c r="B8" s="258"/>
      <c r="C8" s="258"/>
      <c r="D8" s="258"/>
      <c r="E8" s="258"/>
      <c r="F8" s="258"/>
      <c r="G8" s="258"/>
      <c r="H8" s="258"/>
    </row>
    <row r="9" spans="2:8" ht="15" customHeight="1">
      <c r="B9" s="400" t="s">
        <v>376</v>
      </c>
      <c r="C9" s="400"/>
      <c r="D9" s="400"/>
      <c r="E9" s="400"/>
      <c r="F9" s="400"/>
      <c r="G9" s="400"/>
      <c r="H9" s="400"/>
    </row>
    <row r="10" spans="2:8">
      <c r="B10" s="400"/>
      <c r="C10" s="400"/>
      <c r="D10" s="400"/>
      <c r="E10" s="400"/>
      <c r="F10" s="400"/>
      <c r="G10" s="400"/>
      <c r="H10" s="400"/>
    </row>
    <row r="11" spans="2:8">
      <c r="B11" s="400"/>
      <c r="C11" s="400"/>
      <c r="D11" s="400"/>
      <c r="E11" s="400"/>
      <c r="F11" s="400"/>
      <c r="G11" s="400"/>
      <c r="H11" s="400"/>
    </row>
    <row r="12" spans="2:8">
      <c r="B12" s="400"/>
      <c r="C12" s="400"/>
      <c r="D12" s="400"/>
      <c r="E12" s="400"/>
      <c r="F12" s="400"/>
      <c r="G12" s="400"/>
      <c r="H12" s="400"/>
    </row>
    <row r="13" spans="2:8">
      <c r="B13" s="400"/>
      <c r="C13" s="400"/>
      <c r="D13" s="400"/>
      <c r="E13" s="400"/>
      <c r="F13" s="400"/>
      <c r="G13" s="400"/>
      <c r="H13" s="400"/>
    </row>
    <row r="14" spans="2:8">
      <c r="B14" s="400"/>
      <c r="C14" s="400"/>
      <c r="D14" s="400"/>
      <c r="E14" s="400"/>
      <c r="F14" s="400"/>
      <c r="G14" s="400"/>
      <c r="H14" s="400"/>
    </row>
    <row r="15" spans="2:8">
      <c r="B15" s="258"/>
      <c r="C15" s="258"/>
      <c r="D15" s="258"/>
      <c r="E15" s="258"/>
      <c r="F15" s="258"/>
      <c r="G15" s="258"/>
      <c r="H15" s="258"/>
    </row>
    <row r="17" spans="1:8" ht="15.75" thickBot="1">
      <c r="B17" t="s">
        <v>353</v>
      </c>
    </row>
    <row r="18" spans="1:8" ht="16.5" thickBot="1">
      <c r="A18" s="125"/>
      <c r="B18" s="126" t="s">
        <v>156</v>
      </c>
      <c r="C18" s="126" t="s">
        <v>157</v>
      </c>
      <c r="D18" s="126" t="s">
        <v>158</v>
      </c>
      <c r="E18" s="126">
        <v>1</v>
      </c>
      <c r="F18" s="126">
        <v>2</v>
      </c>
      <c r="G18" s="126">
        <v>3</v>
      </c>
      <c r="H18" s="126">
        <v>4</v>
      </c>
    </row>
    <row r="19" spans="1:8" ht="15.75" thickBot="1">
      <c r="A19" s="127"/>
      <c r="B19" s="128" t="s">
        <v>159</v>
      </c>
      <c r="C19" s="128"/>
      <c r="D19" s="128" t="s">
        <v>160</v>
      </c>
      <c r="E19" s="128" t="s">
        <v>160</v>
      </c>
      <c r="F19" s="128" t="s">
        <v>161</v>
      </c>
      <c r="G19" s="128" t="s">
        <v>162</v>
      </c>
      <c r="H19" s="128" t="s">
        <v>163</v>
      </c>
    </row>
    <row r="20" spans="1:8">
      <c r="A20" s="405" t="s">
        <v>164</v>
      </c>
      <c r="B20" s="406"/>
      <c r="C20" s="129" t="s">
        <v>2</v>
      </c>
      <c r="D20" s="401" t="s">
        <v>165</v>
      </c>
      <c r="E20" s="401" t="s">
        <v>166</v>
      </c>
      <c r="F20" s="401" t="s">
        <v>167</v>
      </c>
      <c r="G20" s="401" t="s">
        <v>167</v>
      </c>
      <c r="H20" s="401" t="s">
        <v>167</v>
      </c>
    </row>
    <row r="21" spans="1:8" ht="26.25" thickBot="1">
      <c r="A21" s="403" t="s">
        <v>168</v>
      </c>
      <c r="B21" s="404"/>
      <c r="C21" s="130" t="s">
        <v>169</v>
      </c>
      <c r="D21" s="402"/>
      <c r="E21" s="402"/>
      <c r="F21" s="402"/>
      <c r="G21" s="402"/>
      <c r="H21" s="402"/>
    </row>
    <row r="22" spans="1:8" ht="15.75" thickBot="1">
      <c r="A22" s="407" t="s">
        <v>170</v>
      </c>
      <c r="B22" s="408"/>
      <c r="C22" s="408"/>
      <c r="D22" s="408"/>
      <c r="E22" s="408"/>
      <c r="F22" s="408"/>
      <c r="G22" s="408"/>
      <c r="H22" s="409"/>
    </row>
    <row r="23" spans="1:8" ht="15.75" thickBot="1">
      <c r="A23" s="131"/>
      <c r="B23" s="132" t="s">
        <v>171</v>
      </c>
      <c r="C23" s="191" t="s">
        <v>172</v>
      </c>
      <c r="D23" s="99"/>
      <c r="E23" s="99">
        <f t="shared" ref="E23:H25" si="0">+IF($C23="Y",1,0)</f>
        <v>1</v>
      </c>
      <c r="F23" s="99">
        <f t="shared" si="0"/>
        <v>1</v>
      </c>
      <c r="G23" s="99">
        <f t="shared" si="0"/>
        <v>1</v>
      </c>
      <c r="H23" s="99">
        <f t="shared" si="0"/>
        <v>1</v>
      </c>
    </row>
    <row r="24" spans="1:8" ht="15.75" thickBot="1">
      <c r="A24" s="131"/>
      <c r="B24" s="132" t="s">
        <v>173</v>
      </c>
      <c r="C24" s="191" t="s">
        <v>172</v>
      </c>
      <c r="D24" s="99"/>
      <c r="E24" s="99">
        <f t="shared" si="0"/>
        <v>1</v>
      </c>
      <c r="F24" s="99">
        <f t="shared" si="0"/>
        <v>1</v>
      </c>
      <c r="G24" s="99">
        <f t="shared" si="0"/>
        <v>1</v>
      </c>
      <c r="H24" s="99">
        <f t="shared" si="0"/>
        <v>1</v>
      </c>
    </row>
    <row r="25" spans="1:8" ht="15.75" thickBot="1">
      <c r="A25" s="131"/>
      <c r="B25" s="132" t="s">
        <v>174</v>
      </c>
      <c r="C25" s="191" t="s">
        <v>175</v>
      </c>
      <c r="D25" s="99"/>
      <c r="E25" s="99"/>
      <c r="F25" s="99"/>
      <c r="G25" s="99">
        <f t="shared" si="0"/>
        <v>0</v>
      </c>
      <c r="H25" s="99">
        <f t="shared" si="0"/>
        <v>0</v>
      </c>
    </row>
    <row r="26" spans="1:8" ht="28.5" thickBot="1">
      <c r="A26" s="131"/>
      <c r="B26" s="132" t="s">
        <v>176</v>
      </c>
      <c r="C26" s="191" t="s">
        <v>175</v>
      </c>
      <c r="D26" s="99"/>
      <c r="E26" s="99"/>
      <c r="F26" s="99"/>
      <c r="G26" s="99"/>
      <c r="H26" s="99">
        <f>+IF($C26="Y",1,0)</f>
        <v>0</v>
      </c>
    </row>
    <row r="27" spans="1:8" ht="15.75" thickBot="1">
      <c r="A27" s="407" t="s">
        <v>177</v>
      </c>
      <c r="B27" s="408"/>
      <c r="C27" s="408"/>
      <c r="D27" s="408"/>
      <c r="E27" s="408"/>
      <c r="F27" s="408"/>
      <c r="G27" s="408"/>
      <c r="H27" s="409"/>
    </row>
    <row r="28" spans="1:8" ht="15.75" thickBot="1">
      <c r="A28" s="131"/>
      <c r="B28" s="132" t="s">
        <v>178</v>
      </c>
      <c r="C28" s="191" t="s">
        <v>172</v>
      </c>
      <c r="D28" s="99">
        <f>+IF($C28="Y",1,0)</f>
        <v>1</v>
      </c>
      <c r="E28" s="99">
        <f t="shared" ref="E28:H33" si="1">+IF($C28="Y",1,0)</f>
        <v>1</v>
      </c>
      <c r="F28" s="99">
        <f t="shared" si="1"/>
        <v>1</v>
      </c>
      <c r="G28" s="99">
        <f t="shared" si="1"/>
        <v>1</v>
      </c>
      <c r="H28" s="99">
        <f t="shared" si="1"/>
        <v>1</v>
      </c>
    </row>
    <row r="29" spans="1:8" ht="15.75" thickBot="1">
      <c r="A29" s="131"/>
      <c r="B29" s="132" t="s">
        <v>179</v>
      </c>
      <c r="C29" s="191" t="s">
        <v>172</v>
      </c>
      <c r="D29" s="99">
        <f>+IF($C29="Y",1,0)</f>
        <v>1</v>
      </c>
      <c r="E29" s="99">
        <f t="shared" si="1"/>
        <v>1</v>
      </c>
      <c r="F29" s="99">
        <f t="shared" si="1"/>
        <v>1</v>
      </c>
      <c r="G29" s="99">
        <f t="shared" si="1"/>
        <v>1</v>
      </c>
      <c r="H29" s="99">
        <f t="shared" si="1"/>
        <v>1</v>
      </c>
    </row>
    <row r="30" spans="1:8" ht="15.75" thickBot="1">
      <c r="A30" s="131"/>
      <c r="B30" s="132" t="s">
        <v>180</v>
      </c>
      <c r="C30" s="191" t="s">
        <v>172</v>
      </c>
      <c r="D30" s="99">
        <f>+IF($C30="Y",1,0)</f>
        <v>1</v>
      </c>
      <c r="E30" s="99">
        <f t="shared" si="1"/>
        <v>1</v>
      </c>
      <c r="F30" s="99">
        <f t="shared" si="1"/>
        <v>1</v>
      </c>
      <c r="G30" s="99">
        <f t="shared" si="1"/>
        <v>1</v>
      </c>
      <c r="H30" s="99">
        <f t="shared" si="1"/>
        <v>1</v>
      </c>
    </row>
    <row r="31" spans="1:8" ht="15.75" thickBot="1">
      <c r="A31" s="131"/>
      <c r="B31" s="132" t="s">
        <v>181</v>
      </c>
      <c r="C31" s="191" t="s">
        <v>172</v>
      </c>
      <c r="D31" s="99">
        <f>+IF($C31="Y",1,0)</f>
        <v>1</v>
      </c>
      <c r="E31" s="99">
        <f t="shared" si="1"/>
        <v>1</v>
      </c>
      <c r="F31" s="99">
        <f t="shared" si="1"/>
        <v>1</v>
      </c>
      <c r="G31" s="99">
        <f t="shared" si="1"/>
        <v>1</v>
      </c>
      <c r="H31" s="99">
        <f t="shared" si="1"/>
        <v>1</v>
      </c>
    </row>
    <row r="32" spans="1:8" ht="15.75" thickBot="1">
      <c r="A32" s="131"/>
      <c r="B32" s="132" t="s">
        <v>182</v>
      </c>
      <c r="C32" s="191" t="s">
        <v>172</v>
      </c>
      <c r="D32" s="99"/>
      <c r="E32" s="99"/>
      <c r="F32" s="99">
        <f t="shared" si="1"/>
        <v>1</v>
      </c>
      <c r="G32" s="99">
        <f t="shared" si="1"/>
        <v>1</v>
      </c>
      <c r="H32" s="99">
        <f t="shared" si="1"/>
        <v>1</v>
      </c>
    </row>
    <row r="33" spans="1:8" ht="15.75" thickBot="1">
      <c r="A33" s="131"/>
      <c r="B33" s="132" t="s">
        <v>183</v>
      </c>
      <c r="C33" s="191" t="s">
        <v>175</v>
      </c>
      <c r="D33" s="99"/>
      <c r="E33" s="99"/>
      <c r="F33" s="99"/>
      <c r="G33" s="99">
        <f t="shared" si="1"/>
        <v>0</v>
      </c>
      <c r="H33" s="99">
        <f t="shared" si="1"/>
        <v>0</v>
      </c>
    </row>
    <row r="34" spans="1:8" ht="15.75" thickBot="1">
      <c r="A34" s="131"/>
      <c r="B34" s="132" t="s">
        <v>184</v>
      </c>
      <c r="C34" s="191" t="s">
        <v>175</v>
      </c>
      <c r="D34" s="99"/>
      <c r="E34" s="99"/>
      <c r="F34" s="99"/>
      <c r="G34" s="99"/>
      <c r="H34" s="99">
        <f>+IF($C34="Y",1,0)</f>
        <v>0</v>
      </c>
    </row>
    <row r="35" spans="1:8" ht="15.75" thickBot="1">
      <c r="A35" s="407" t="s">
        <v>185</v>
      </c>
      <c r="B35" s="408"/>
      <c r="C35" s="408"/>
      <c r="D35" s="408"/>
      <c r="E35" s="408"/>
      <c r="F35" s="408"/>
      <c r="G35" s="408"/>
      <c r="H35" s="409"/>
    </row>
    <row r="36" spans="1:8" ht="15.75" thickBot="1">
      <c r="A36" s="131"/>
      <c r="B36" s="132" t="s">
        <v>186</v>
      </c>
      <c r="C36" s="191" t="s">
        <v>172</v>
      </c>
      <c r="D36" s="99"/>
      <c r="E36" s="99">
        <f>+IF($C36="Y",1,0)</f>
        <v>1</v>
      </c>
      <c r="F36" s="99">
        <f>+IF($C36="Y",1,0)</f>
        <v>1</v>
      </c>
      <c r="G36" s="99">
        <f>+IF($C36="Y",1,0)</f>
        <v>1</v>
      </c>
      <c r="H36" s="99">
        <f>+IF($C36="Y",1,0)</f>
        <v>1</v>
      </c>
    </row>
    <row r="37" spans="1:8" ht="15.75" thickBot="1">
      <c r="A37" s="131"/>
      <c r="B37" s="132" t="s">
        <v>187</v>
      </c>
      <c r="C37" s="191" t="s">
        <v>175</v>
      </c>
      <c r="D37" s="99"/>
      <c r="E37" s="99"/>
      <c r="F37" s="99" t="s">
        <v>188</v>
      </c>
      <c r="G37" s="99">
        <f>+IF($C37="Y",1,0)</f>
        <v>0</v>
      </c>
      <c r="H37" s="99">
        <f>+IF($C37="Y",1,0)</f>
        <v>0</v>
      </c>
    </row>
    <row r="38" spans="1:8" ht="15.75" thickBot="1">
      <c r="A38" s="131"/>
      <c r="B38" s="132" t="s">
        <v>189</v>
      </c>
      <c r="C38" s="191" t="s">
        <v>175</v>
      </c>
      <c r="D38" s="99"/>
      <c r="E38" s="99"/>
      <c r="F38" s="99" t="s">
        <v>188</v>
      </c>
      <c r="G38" s="99" t="s">
        <v>188</v>
      </c>
      <c r="H38" s="99">
        <f>+IF($C38="Y",1,0)</f>
        <v>0</v>
      </c>
    </row>
    <row r="39" spans="1:8" ht="15.75" thickBot="1">
      <c r="A39" s="407" t="s">
        <v>190</v>
      </c>
      <c r="B39" s="408"/>
      <c r="C39" s="408"/>
      <c r="D39" s="408"/>
      <c r="E39" s="408"/>
      <c r="F39" s="408"/>
      <c r="G39" s="408"/>
      <c r="H39" s="409"/>
    </row>
    <row r="40" spans="1:8" ht="15.75" thickBot="1">
      <c r="A40" s="131"/>
      <c r="B40" s="132" t="s">
        <v>191</v>
      </c>
      <c r="C40" s="191" t="s">
        <v>172</v>
      </c>
      <c r="D40" s="99"/>
      <c r="E40" s="99">
        <f>+IF($C40="Y",1,0)</f>
        <v>1</v>
      </c>
      <c r="F40" s="99">
        <f>+IF($C40="Y",1,0)</f>
        <v>1</v>
      </c>
      <c r="G40" s="99">
        <f>+IF($C40="Y",1,0)</f>
        <v>1</v>
      </c>
      <c r="H40" s="99">
        <f>+IF($C40="Y",1,0)</f>
        <v>1</v>
      </c>
    </row>
    <row r="41" spans="1:8" ht="15.75" thickBot="1">
      <c r="A41" s="131"/>
      <c r="B41" s="132" t="s">
        <v>192</v>
      </c>
      <c r="C41" s="191" t="s">
        <v>175</v>
      </c>
      <c r="D41" s="99"/>
      <c r="E41" s="99"/>
      <c r="F41" s="99"/>
      <c r="G41" s="99">
        <f>+IF($C41="Y",1,0)</f>
        <v>0</v>
      </c>
      <c r="H41" s="99">
        <f>+IF($C41="Y",1,0)</f>
        <v>0</v>
      </c>
    </row>
    <row r="42" spans="1:8" ht="16.5" thickBot="1">
      <c r="A42" s="131"/>
      <c r="B42" s="132" t="s">
        <v>193</v>
      </c>
      <c r="C42" s="191" t="s">
        <v>175</v>
      </c>
      <c r="D42" s="99"/>
      <c r="E42" s="99"/>
      <c r="F42" s="99"/>
      <c r="G42" s="133"/>
      <c r="H42" s="99">
        <f>+IF($C42="Y",1,0)</f>
        <v>0</v>
      </c>
    </row>
    <row r="43" spans="1:8" ht="15.75" thickBot="1">
      <c r="A43" s="131"/>
      <c r="B43" s="132" t="s">
        <v>194</v>
      </c>
      <c r="C43" s="191" t="s">
        <v>172</v>
      </c>
      <c r="D43" s="99"/>
      <c r="E43" s="99"/>
      <c r="F43" s="99">
        <f>+IF($C43="Y",1,0)</f>
        <v>1</v>
      </c>
      <c r="G43" s="99">
        <f>+IF($C43="Y",1,0)</f>
        <v>1</v>
      </c>
      <c r="H43" s="99">
        <f>+IF($C43="Y",1,0)</f>
        <v>1</v>
      </c>
    </row>
    <row r="44" spans="1:8" ht="15.75" thickBot="1">
      <c r="A44" s="407" t="s">
        <v>195</v>
      </c>
      <c r="B44" s="408"/>
      <c r="C44" s="408"/>
      <c r="D44" s="408"/>
      <c r="E44" s="408"/>
      <c r="F44" s="408"/>
      <c r="G44" s="408"/>
      <c r="H44" s="409"/>
    </row>
    <row r="45" spans="1:8" ht="15.75" thickBot="1">
      <c r="A45" s="131"/>
      <c r="B45" s="132" t="s">
        <v>196</v>
      </c>
      <c r="C45" s="191" t="s">
        <v>172</v>
      </c>
      <c r="D45" s="99">
        <f>+IF($C45="Y",1,0)</f>
        <v>1</v>
      </c>
      <c r="E45" s="99">
        <f>+IF($C45="Y",1,0)</f>
        <v>1</v>
      </c>
      <c r="F45" s="99">
        <f>+IF($C45="Y",1,0)</f>
        <v>1</v>
      </c>
      <c r="G45" s="99">
        <f>+IF($C45="Y",1,0)</f>
        <v>1</v>
      </c>
      <c r="H45" s="99">
        <f>+IF($C45="Y",1,0)</f>
        <v>1</v>
      </c>
    </row>
    <row r="46" spans="1:8" ht="15.75" thickBot="1">
      <c r="A46" s="131"/>
      <c r="B46" s="132" t="s">
        <v>197</v>
      </c>
      <c r="C46" s="191" t="s">
        <v>172</v>
      </c>
      <c r="D46" s="99"/>
      <c r="E46" s="99"/>
      <c r="F46" s="99"/>
      <c r="G46" s="99">
        <f t="shared" ref="G46:H46" si="2">+IF($C46="Y",1,0)</f>
        <v>1</v>
      </c>
      <c r="H46" s="99">
        <f t="shared" si="2"/>
        <v>1</v>
      </c>
    </row>
    <row r="47" spans="1:8" ht="15.75" thickBot="1">
      <c r="A47" s="131"/>
      <c r="B47" s="132" t="s">
        <v>198</v>
      </c>
      <c r="C47" s="191" t="s">
        <v>172</v>
      </c>
      <c r="D47" s="99"/>
      <c r="E47" s="99"/>
      <c r="F47" s="99"/>
      <c r="G47" s="99"/>
      <c r="H47" s="99">
        <f>+IF($C47="Y",1,0)</f>
        <v>1</v>
      </c>
    </row>
    <row r="48" spans="1:8" ht="15.75" thickBot="1">
      <c r="A48" s="131"/>
      <c r="B48" s="132" t="s">
        <v>199</v>
      </c>
      <c r="C48" s="191" t="s">
        <v>172</v>
      </c>
      <c r="D48" s="99">
        <f>+IF($C48="Y",1,0)</f>
        <v>1</v>
      </c>
      <c r="E48" s="99">
        <f t="shared" ref="E48:H48" si="3">+IF($C48="Y",1,0)</f>
        <v>1</v>
      </c>
      <c r="F48" s="99">
        <f t="shared" si="3"/>
        <v>1</v>
      </c>
      <c r="G48" s="99">
        <f t="shared" si="3"/>
        <v>1</v>
      </c>
      <c r="H48" s="99">
        <f t="shared" si="3"/>
        <v>1</v>
      </c>
    </row>
    <row r="49" spans="1:8" ht="15.75" thickBot="1">
      <c r="A49" s="131"/>
      <c r="B49" s="132" t="s">
        <v>200</v>
      </c>
      <c r="C49" s="191" t="s">
        <v>172</v>
      </c>
      <c r="D49" s="99"/>
      <c r="E49" s="99"/>
      <c r="F49" s="99" t="s">
        <v>201</v>
      </c>
      <c r="G49" s="99" t="s">
        <v>201</v>
      </c>
      <c r="H49" s="99" t="s">
        <v>201</v>
      </c>
    </row>
    <row r="50" spans="1:8" ht="15.75" thickBot="1">
      <c r="A50" s="131"/>
      <c r="B50" s="132" t="s">
        <v>202</v>
      </c>
      <c r="C50" s="191" t="s">
        <v>172</v>
      </c>
      <c r="D50" s="99"/>
      <c r="E50" s="99"/>
      <c r="F50" s="99" t="s">
        <v>201</v>
      </c>
      <c r="G50" s="99" t="s">
        <v>201</v>
      </c>
      <c r="H50" s="99" t="s">
        <v>201</v>
      </c>
    </row>
    <row r="51" spans="1:8" ht="15.75" thickBot="1">
      <c r="A51" s="407" t="s">
        <v>203</v>
      </c>
      <c r="B51" s="408"/>
      <c r="C51" s="408"/>
      <c r="D51" s="408"/>
      <c r="E51" s="408"/>
      <c r="F51" s="408"/>
      <c r="G51" s="408"/>
      <c r="H51" s="409"/>
    </row>
    <row r="52" spans="1:8" ht="15.75" thickBot="1">
      <c r="A52" s="131"/>
      <c r="B52" s="132" t="s">
        <v>204</v>
      </c>
      <c r="C52" s="191" t="s">
        <v>172</v>
      </c>
      <c r="D52" s="99">
        <f t="shared" ref="D52:H53" si="4">+IF($C52="Y",1,0)</f>
        <v>1</v>
      </c>
      <c r="E52" s="99">
        <f t="shared" si="4"/>
        <v>1</v>
      </c>
      <c r="F52" s="99">
        <f t="shared" si="4"/>
        <v>1</v>
      </c>
      <c r="G52" s="99">
        <f t="shared" si="4"/>
        <v>1</v>
      </c>
      <c r="H52" s="99">
        <f t="shared" si="4"/>
        <v>1</v>
      </c>
    </row>
    <row r="53" spans="1:8" ht="15.75" thickBot="1">
      <c r="A53" s="131"/>
      <c r="B53" s="132" t="s">
        <v>205</v>
      </c>
      <c r="C53" s="191" t="s">
        <v>172</v>
      </c>
      <c r="D53" s="99"/>
      <c r="E53" s="99"/>
      <c r="F53" s="99">
        <f t="shared" si="4"/>
        <v>1</v>
      </c>
      <c r="G53" s="99">
        <f t="shared" si="4"/>
        <v>1</v>
      </c>
      <c r="H53" s="99">
        <f t="shared" si="4"/>
        <v>1</v>
      </c>
    </row>
    <row r="54" spans="1:8" ht="15.75" thickBot="1">
      <c r="A54" s="407" t="s">
        <v>206</v>
      </c>
      <c r="B54" s="408"/>
      <c r="C54" s="408"/>
      <c r="D54" s="408"/>
      <c r="E54" s="408"/>
      <c r="F54" s="408"/>
      <c r="G54" s="408"/>
      <c r="H54" s="409"/>
    </row>
    <row r="55" spans="1:8" ht="15.75" thickBot="1">
      <c r="A55" s="131"/>
      <c r="B55" s="132" t="s">
        <v>207</v>
      </c>
      <c r="C55" s="191" t="s">
        <v>172</v>
      </c>
      <c r="D55" s="99"/>
      <c r="E55" s="99"/>
      <c r="F55" s="99">
        <f t="shared" ref="F55:H57" si="5">+IF($C55="Y",1,0)</f>
        <v>1</v>
      </c>
      <c r="G55" s="99">
        <f t="shared" si="5"/>
        <v>1</v>
      </c>
      <c r="H55" s="99">
        <f t="shared" si="5"/>
        <v>1</v>
      </c>
    </row>
    <row r="56" spans="1:8" ht="15.75" thickBot="1">
      <c r="A56" s="131"/>
      <c r="B56" s="132" t="s">
        <v>208</v>
      </c>
      <c r="C56" s="191" t="s">
        <v>172</v>
      </c>
      <c r="D56" s="99"/>
      <c r="E56" s="99"/>
      <c r="F56" s="99"/>
      <c r="G56" s="99">
        <f t="shared" si="5"/>
        <v>1</v>
      </c>
      <c r="H56" s="99">
        <f t="shared" si="5"/>
        <v>1</v>
      </c>
    </row>
    <row r="57" spans="1:8" ht="15.75" thickBot="1">
      <c r="A57" s="131"/>
      <c r="B57" s="132" t="s">
        <v>209</v>
      </c>
      <c r="C57" s="191" t="s">
        <v>172</v>
      </c>
      <c r="D57" s="99"/>
      <c r="E57" s="99"/>
      <c r="F57" s="99"/>
      <c r="G57" s="99">
        <f t="shared" si="5"/>
        <v>1</v>
      </c>
      <c r="H57" s="99">
        <f t="shared" si="5"/>
        <v>1</v>
      </c>
    </row>
    <row r="58" spans="1:8" ht="15.75" thickBot="1">
      <c r="A58" s="131"/>
      <c r="B58" s="132" t="s">
        <v>210</v>
      </c>
      <c r="C58" s="191" t="s">
        <v>172</v>
      </c>
      <c r="D58" s="99"/>
      <c r="E58" s="99"/>
      <c r="F58" s="99"/>
      <c r="G58" s="99"/>
      <c r="H58" s="99">
        <f>+IF($C58="Y",1,0)</f>
        <v>1</v>
      </c>
    </row>
    <row r="59" spans="1:8" ht="15.75" thickBot="1">
      <c r="A59" s="407" t="s">
        <v>211</v>
      </c>
      <c r="B59" s="408"/>
      <c r="C59" s="408"/>
      <c r="D59" s="408"/>
      <c r="E59" s="408"/>
      <c r="F59" s="408"/>
      <c r="G59" s="408"/>
      <c r="H59" s="409"/>
    </row>
    <row r="60" spans="1:8" ht="15.75" thickBot="1">
      <c r="A60" s="131"/>
      <c r="B60" s="132" t="s">
        <v>212</v>
      </c>
      <c r="C60" s="191" t="s">
        <v>172</v>
      </c>
      <c r="D60" s="99">
        <f t="shared" ref="D60:H63" si="6">+IF($C60="Y",1,0)</f>
        <v>1</v>
      </c>
      <c r="E60" s="99">
        <f t="shared" si="6"/>
        <v>1</v>
      </c>
      <c r="F60" s="99">
        <f t="shared" si="6"/>
        <v>1</v>
      </c>
      <c r="G60" s="99">
        <f t="shared" si="6"/>
        <v>1</v>
      </c>
      <c r="H60" s="99">
        <f t="shared" si="6"/>
        <v>1</v>
      </c>
    </row>
    <row r="61" spans="1:8" ht="15.75" thickBot="1">
      <c r="A61" s="131"/>
      <c r="B61" s="132" t="s">
        <v>213</v>
      </c>
      <c r="C61" s="191" t="s">
        <v>175</v>
      </c>
      <c r="D61" s="99"/>
      <c r="E61" s="99"/>
      <c r="F61" s="99"/>
      <c r="G61" s="99">
        <f t="shared" si="6"/>
        <v>0</v>
      </c>
      <c r="H61" s="99">
        <f t="shared" si="6"/>
        <v>0</v>
      </c>
    </row>
    <row r="62" spans="1:8" ht="15.75" thickBot="1">
      <c r="A62" s="131"/>
      <c r="B62" s="132" t="s">
        <v>214</v>
      </c>
      <c r="C62" s="191" t="s">
        <v>175</v>
      </c>
      <c r="D62" s="99"/>
      <c r="E62" s="99"/>
      <c r="F62" s="99"/>
      <c r="G62" s="99">
        <f t="shared" si="6"/>
        <v>0</v>
      </c>
      <c r="H62" s="99">
        <f t="shared" si="6"/>
        <v>0</v>
      </c>
    </row>
    <row r="63" spans="1:8" ht="15.75" thickBot="1">
      <c r="A63" s="131"/>
      <c r="B63" s="132" t="s">
        <v>215</v>
      </c>
      <c r="C63" s="191" t="s">
        <v>175</v>
      </c>
      <c r="D63" s="99"/>
      <c r="E63" s="99"/>
      <c r="F63" s="99"/>
      <c r="G63" s="99">
        <f t="shared" si="6"/>
        <v>0</v>
      </c>
      <c r="H63" s="99">
        <f t="shared" si="6"/>
        <v>0</v>
      </c>
    </row>
    <row r="64" spans="1:8" ht="15.75" thickBot="1">
      <c r="A64" s="131"/>
      <c r="B64" s="132" t="s">
        <v>216</v>
      </c>
      <c r="C64" s="191" t="s">
        <v>175</v>
      </c>
      <c r="D64" s="99"/>
      <c r="E64" s="99"/>
      <c r="F64" s="99"/>
      <c r="G64" s="99"/>
      <c r="H64" s="99">
        <f>+IF($C64="Y",1,0)</f>
        <v>0</v>
      </c>
    </row>
    <row r="65" spans="1:9" ht="15.75" thickBot="1">
      <c r="A65" s="407" t="s">
        <v>217</v>
      </c>
      <c r="B65" s="408"/>
      <c r="C65" s="408"/>
      <c r="D65" s="408"/>
      <c r="E65" s="408"/>
      <c r="F65" s="408"/>
      <c r="G65" s="408"/>
      <c r="H65" s="409"/>
    </row>
    <row r="66" spans="1:9" ht="15.75" thickBot="1">
      <c r="A66" s="131"/>
      <c r="B66" s="132" t="s">
        <v>218</v>
      </c>
      <c r="C66" s="191" t="s">
        <v>172</v>
      </c>
      <c r="D66" s="99">
        <f t="shared" ref="D66:H67" si="7">+IF($C66="Y",1,0)</f>
        <v>1</v>
      </c>
      <c r="E66" s="99">
        <f t="shared" si="7"/>
        <v>1</v>
      </c>
      <c r="F66" s="99">
        <f t="shared" si="7"/>
        <v>1</v>
      </c>
      <c r="G66" s="99">
        <f t="shared" si="7"/>
        <v>1</v>
      </c>
      <c r="H66" s="99">
        <f t="shared" si="7"/>
        <v>1</v>
      </c>
    </row>
    <row r="67" spans="1:9" ht="15.75" thickBot="1">
      <c r="A67" s="131"/>
      <c r="B67" s="132" t="s">
        <v>219</v>
      </c>
      <c r="C67" s="191" t="s">
        <v>175</v>
      </c>
      <c r="D67" s="99"/>
      <c r="E67" s="99"/>
      <c r="F67" s="99"/>
      <c r="G67" s="99">
        <f t="shared" si="7"/>
        <v>0</v>
      </c>
      <c r="H67" s="99">
        <f t="shared" si="7"/>
        <v>0</v>
      </c>
    </row>
    <row r="68" spans="1:9" ht="15.75" thickBot="1">
      <c r="A68" s="131"/>
      <c r="B68" s="132" t="s">
        <v>220</v>
      </c>
      <c r="C68" s="191" t="s">
        <v>175</v>
      </c>
      <c r="D68" s="99"/>
      <c r="E68" s="99"/>
      <c r="F68" s="99"/>
      <c r="G68" s="99"/>
      <c r="H68" s="99">
        <f>+IF($C68="Y",1,0)</f>
        <v>0</v>
      </c>
    </row>
    <row r="69" spans="1:9" ht="15.75" thickBot="1">
      <c r="A69" s="131"/>
      <c r="B69" s="132" t="s">
        <v>221</v>
      </c>
      <c r="C69" s="191" t="s">
        <v>172</v>
      </c>
      <c r="D69" s="99"/>
      <c r="E69" s="99"/>
      <c r="F69" s="99">
        <f t="shared" ref="F69:H71" si="8">+IF($C69="Y",1,0)</f>
        <v>1</v>
      </c>
      <c r="G69" s="99">
        <f t="shared" si="8"/>
        <v>1</v>
      </c>
      <c r="H69" s="99">
        <f t="shared" si="8"/>
        <v>1</v>
      </c>
      <c r="I69" s="224" t="str">
        <f>IF(AND(C69&lt;&gt;"",OR(C70="Y",C71="Y")),"Do not enter a value on this line if you entered a 'Y' below.","")</f>
        <v/>
      </c>
    </row>
    <row r="70" spans="1:9" ht="15.75" thickBot="1">
      <c r="A70" s="131"/>
      <c r="B70" s="132" t="s">
        <v>222</v>
      </c>
      <c r="C70" s="191"/>
      <c r="D70" s="99"/>
      <c r="E70" s="99"/>
      <c r="F70" s="99"/>
      <c r="G70" s="99">
        <f t="shared" si="8"/>
        <v>0</v>
      </c>
      <c r="H70" s="99">
        <f t="shared" si="8"/>
        <v>0</v>
      </c>
      <c r="I70" s="224" t="str">
        <f>IF(AND(C70&lt;&gt;"",C71="Y"),"Do not enter a value on this line if you entered a 'Y' below.","")</f>
        <v/>
      </c>
    </row>
    <row r="71" spans="1:9" ht="15.75" thickBot="1">
      <c r="A71" s="131"/>
      <c r="B71" s="132" t="s">
        <v>223</v>
      </c>
      <c r="C71" s="191"/>
      <c r="D71" s="99"/>
      <c r="E71" s="99"/>
      <c r="F71" s="99"/>
      <c r="G71" s="99">
        <f t="shared" si="8"/>
        <v>0</v>
      </c>
      <c r="H71" s="99">
        <f>+IF($C71="Y",1,0)</f>
        <v>0</v>
      </c>
    </row>
    <row r="72" spans="1:9" ht="15.75" thickBot="1">
      <c r="A72" s="407" t="s">
        <v>224</v>
      </c>
      <c r="B72" s="408"/>
      <c r="C72" s="408"/>
      <c r="D72" s="408"/>
      <c r="E72" s="408"/>
      <c r="F72" s="408"/>
      <c r="G72" s="408"/>
      <c r="H72" s="409"/>
    </row>
    <row r="73" spans="1:9" ht="15.75" thickBot="1">
      <c r="A73" s="131"/>
      <c r="B73" s="132" t="s">
        <v>225</v>
      </c>
      <c r="C73" s="191" t="s">
        <v>172</v>
      </c>
      <c r="D73" s="99">
        <f t="shared" ref="D73:H74" si="9">+IF($C73="Y",1,0)</f>
        <v>1</v>
      </c>
      <c r="E73" s="99">
        <f t="shared" si="9"/>
        <v>1</v>
      </c>
      <c r="F73" s="99">
        <f t="shared" si="9"/>
        <v>1</v>
      </c>
      <c r="G73" s="99">
        <f t="shared" si="9"/>
        <v>1</v>
      </c>
      <c r="H73" s="99">
        <f t="shared" si="9"/>
        <v>1</v>
      </c>
    </row>
    <row r="74" spans="1:9" ht="15.75" thickBot="1">
      <c r="A74" s="131"/>
      <c r="B74" s="132" t="s">
        <v>226</v>
      </c>
      <c r="C74" s="191" t="s">
        <v>172</v>
      </c>
      <c r="D74" s="99"/>
      <c r="E74" s="99"/>
      <c r="F74" s="99"/>
      <c r="G74" s="99">
        <f t="shared" si="9"/>
        <v>1</v>
      </c>
      <c r="H74" s="99">
        <f t="shared" si="9"/>
        <v>1</v>
      </c>
    </row>
    <row r="75" spans="1:9" ht="15.75" thickBot="1">
      <c r="A75" s="131"/>
      <c r="B75" s="132" t="s">
        <v>227</v>
      </c>
      <c r="C75" s="191" t="s">
        <v>175</v>
      </c>
      <c r="D75" s="99"/>
      <c r="E75" s="99"/>
      <c r="F75" s="99"/>
      <c r="G75" s="99"/>
      <c r="H75" s="99">
        <f>+IF($C75="Y",1,0)</f>
        <v>0</v>
      </c>
    </row>
    <row r="76" spans="1:9" ht="15.75" thickBot="1">
      <c r="A76" s="407" t="s">
        <v>228</v>
      </c>
      <c r="B76" s="408"/>
      <c r="C76" s="408"/>
      <c r="D76" s="408"/>
      <c r="E76" s="408"/>
      <c r="F76" s="408"/>
      <c r="G76" s="408"/>
      <c r="H76" s="409"/>
    </row>
    <row r="77" spans="1:9" ht="15.75" thickBot="1">
      <c r="A77" s="131"/>
      <c r="B77" s="132" t="s">
        <v>229</v>
      </c>
      <c r="C77" s="191" t="s">
        <v>172</v>
      </c>
      <c r="D77" s="99">
        <f t="shared" ref="D77:H79" si="10">+IF($C77="Y",1,0)</f>
        <v>1</v>
      </c>
      <c r="E77" s="99">
        <f t="shared" si="10"/>
        <v>1</v>
      </c>
      <c r="F77" s="99">
        <f t="shared" si="10"/>
        <v>1</v>
      </c>
      <c r="G77" s="99">
        <f t="shared" si="10"/>
        <v>1</v>
      </c>
      <c r="H77" s="99">
        <f t="shared" si="10"/>
        <v>1</v>
      </c>
    </row>
    <row r="78" spans="1:9" ht="15.75" thickBot="1">
      <c r="A78" s="131"/>
      <c r="B78" s="132" t="s">
        <v>230</v>
      </c>
      <c r="C78" s="191" t="s">
        <v>172</v>
      </c>
      <c r="D78" s="99">
        <f t="shared" si="10"/>
        <v>1</v>
      </c>
      <c r="E78" s="99">
        <f t="shared" si="10"/>
        <v>1</v>
      </c>
      <c r="F78" s="99">
        <f t="shared" si="10"/>
        <v>1</v>
      </c>
      <c r="G78" s="99">
        <f t="shared" si="10"/>
        <v>1</v>
      </c>
      <c r="H78" s="99">
        <f t="shared" si="10"/>
        <v>1</v>
      </c>
    </row>
    <row r="79" spans="1:9" ht="15.75" thickBot="1">
      <c r="A79" s="131"/>
      <c r="B79" s="132" t="s">
        <v>231</v>
      </c>
      <c r="C79" s="191" t="s">
        <v>172</v>
      </c>
      <c r="D79" s="99">
        <f>+IF($C79="Y",1,0)</f>
        <v>1</v>
      </c>
      <c r="E79" s="99"/>
      <c r="F79" s="99"/>
      <c r="G79" s="99"/>
      <c r="H79" s="99">
        <f t="shared" si="10"/>
        <v>1</v>
      </c>
    </row>
    <row r="80" spans="1:9" ht="15.75" thickBot="1">
      <c r="A80" s="131"/>
      <c r="B80" s="132" t="s">
        <v>232</v>
      </c>
      <c r="C80" s="191" t="s">
        <v>172</v>
      </c>
      <c r="D80" s="99"/>
      <c r="E80" s="99">
        <f t="shared" ref="E80:H80" si="11">+IF($C80="Y",1,0)</f>
        <v>1</v>
      </c>
      <c r="F80" s="99">
        <f t="shared" si="11"/>
        <v>1</v>
      </c>
      <c r="G80" s="99">
        <f t="shared" si="11"/>
        <v>1</v>
      </c>
      <c r="H80" s="99">
        <f t="shared" si="11"/>
        <v>1</v>
      </c>
    </row>
    <row r="81" spans="1:9" ht="15.75" thickBot="1">
      <c r="A81" s="131"/>
      <c r="B81" s="132" t="s">
        <v>233</v>
      </c>
      <c r="C81" s="191" t="s">
        <v>172</v>
      </c>
      <c r="D81" s="99"/>
      <c r="E81" s="99"/>
      <c r="F81" s="99">
        <f t="shared" ref="D81:H85" si="12">+IF($C81="Y",1,0)</f>
        <v>1</v>
      </c>
      <c r="G81" s="99">
        <f t="shared" si="12"/>
        <v>1</v>
      </c>
      <c r="H81" s="99">
        <f t="shared" si="12"/>
        <v>1</v>
      </c>
    </row>
    <row r="82" spans="1:9" ht="15.75" thickBot="1">
      <c r="A82" s="407" t="s">
        <v>234</v>
      </c>
      <c r="B82" s="408"/>
      <c r="C82" s="408"/>
      <c r="D82" s="408"/>
      <c r="E82" s="408"/>
      <c r="F82" s="408"/>
      <c r="G82" s="408"/>
      <c r="H82" s="409"/>
    </row>
    <row r="83" spans="1:9" ht="15.75" thickBot="1">
      <c r="A83" s="131"/>
      <c r="B83" s="132" t="s">
        <v>235</v>
      </c>
      <c r="C83" s="191" t="s">
        <v>172</v>
      </c>
      <c r="D83" s="99">
        <f t="shared" si="12"/>
        <v>1</v>
      </c>
      <c r="E83" s="99">
        <f t="shared" si="12"/>
        <v>1</v>
      </c>
      <c r="F83" s="99">
        <f t="shared" si="12"/>
        <v>1</v>
      </c>
      <c r="G83" s="99">
        <f t="shared" si="12"/>
        <v>1</v>
      </c>
      <c r="H83" s="99">
        <f t="shared" si="12"/>
        <v>1</v>
      </c>
    </row>
    <row r="84" spans="1:9" ht="15.75" thickBot="1">
      <c r="A84" s="131"/>
      <c r="B84" s="132" t="s">
        <v>236</v>
      </c>
      <c r="C84" s="191" t="s">
        <v>172</v>
      </c>
      <c r="D84" s="99">
        <f t="shared" si="12"/>
        <v>1</v>
      </c>
      <c r="E84" s="99">
        <f t="shared" si="12"/>
        <v>1</v>
      </c>
      <c r="F84" s="99">
        <f t="shared" si="12"/>
        <v>1</v>
      </c>
      <c r="G84" s="99">
        <f t="shared" si="12"/>
        <v>1</v>
      </c>
      <c r="H84" s="99">
        <f t="shared" si="12"/>
        <v>1</v>
      </c>
    </row>
    <row r="85" spans="1:9" ht="15.75" thickBot="1">
      <c r="A85" s="131"/>
      <c r="B85" s="132" t="s">
        <v>237</v>
      </c>
      <c r="C85" s="191" t="s">
        <v>172</v>
      </c>
      <c r="D85" s="99"/>
      <c r="E85" s="99">
        <f t="shared" si="12"/>
        <v>1</v>
      </c>
      <c r="F85" s="99">
        <f t="shared" si="12"/>
        <v>1</v>
      </c>
      <c r="G85" s="99">
        <f t="shared" si="12"/>
        <v>1</v>
      </c>
      <c r="H85" s="99">
        <f t="shared" si="12"/>
        <v>1</v>
      </c>
    </row>
    <row r="86" spans="1:9" ht="15.75" thickBot="1">
      <c r="A86" s="131"/>
      <c r="B86" s="132" t="s">
        <v>238</v>
      </c>
      <c r="C86" s="191"/>
      <c r="D86" s="99"/>
      <c r="E86" s="99"/>
      <c r="F86" s="99"/>
      <c r="G86" s="99"/>
      <c r="H86" s="99"/>
    </row>
    <row r="87" spans="1:9" ht="15.75" thickBot="1">
      <c r="A87" s="131"/>
      <c r="B87" s="132" t="s">
        <v>239</v>
      </c>
      <c r="C87" s="191" t="s">
        <v>172</v>
      </c>
      <c r="D87" s="99">
        <f t="shared" ref="D87:H87" si="13">+IF($C87="Y",1,0)</f>
        <v>1</v>
      </c>
      <c r="E87" s="99">
        <f t="shared" si="13"/>
        <v>1</v>
      </c>
      <c r="F87" s="99">
        <f t="shared" si="13"/>
        <v>1</v>
      </c>
      <c r="G87" s="99">
        <f t="shared" si="13"/>
        <v>1</v>
      </c>
      <c r="H87" s="99">
        <f t="shared" si="13"/>
        <v>1</v>
      </c>
    </row>
    <row r="88" spans="1:9" ht="15.75" thickBot="1">
      <c r="A88" s="407" t="s">
        <v>240</v>
      </c>
      <c r="B88" s="408"/>
      <c r="C88" s="408"/>
      <c r="D88" s="408"/>
      <c r="E88" s="408"/>
      <c r="F88" s="408"/>
      <c r="G88" s="408"/>
      <c r="H88" s="409"/>
    </row>
    <row r="89" spans="1:9" ht="15.75" thickBot="1">
      <c r="A89" s="131"/>
      <c r="B89" s="132" t="s">
        <v>241</v>
      </c>
      <c r="C89" s="191"/>
      <c r="D89" s="99">
        <f>+IF($C89="Y",1,IF($C90="Y",1,IF($C91="Y",1,IF($C92="Y",1,IF($C93="Y",1,0)))))</f>
        <v>1</v>
      </c>
      <c r="E89" s="99"/>
      <c r="F89" s="99"/>
      <c r="G89" s="99"/>
      <c r="H89" s="99"/>
    </row>
    <row r="90" spans="1:9" ht="15.75" thickBot="1">
      <c r="A90" s="131"/>
      <c r="B90" s="132" t="s">
        <v>242</v>
      </c>
      <c r="C90" s="191"/>
      <c r="D90" s="99"/>
      <c r="E90" s="99">
        <f>+IF($C90="Y",1,IF($C91="Y",1,IF($C92="Y",1,IF($C93="Y",1,0))))</f>
        <v>1</v>
      </c>
      <c r="F90" s="99"/>
      <c r="G90" s="99"/>
      <c r="H90" s="99"/>
    </row>
    <row r="91" spans="1:9" ht="15.75" thickBot="1">
      <c r="A91" s="131"/>
      <c r="B91" s="132" t="s">
        <v>243</v>
      </c>
      <c r="C91" s="191"/>
      <c r="D91" s="99"/>
      <c r="E91" s="99"/>
      <c r="F91" s="99">
        <f>+IF($C91="Y",1,IF($C92="Y",1,IF($C93="Y",1,0)))</f>
        <v>1</v>
      </c>
      <c r="G91" s="99"/>
      <c r="H91" s="99"/>
      <c r="I91" s="224" t="str">
        <f>IF(AND(C91&lt;&gt;"",OR(C92="Y",C93="Y")),"Do not enter a value on this line if you entered a 'Y' below.","")</f>
        <v/>
      </c>
    </row>
    <row r="92" spans="1:9" ht="15.75" thickBot="1">
      <c r="A92" s="131"/>
      <c r="B92" s="132" t="s">
        <v>244</v>
      </c>
      <c r="C92" s="191" t="s">
        <v>172</v>
      </c>
      <c r="D92" s="99"/>
      <c r="E92" s="99"/>
      <c r="F92" s="99"/>
      <c r="G92" s="99">
        <f>+IF($C92="Y",1,IF($C93="Y",1,0))</f>
        <v>1</v>
      </c>
      <c r="H92" s="99"/>
      <c r="I92" s="224" t="str">
        <f>IF(AND(C92&lt;&gt;"",C93="Y"),"Do not enter a value on this line if you entered a 'Y' below.","")</f>
        <v/>
      </c>
    </row>
    <row r="93" spans="1:9" ht="15.75" thickBot="1">
      <c r="A93" s="131"/>
      <c r="B93" s="132" t="s">
        <v>245</v>
      </c>
      <c r="C93" s="191"/>
      <c r="D93" s="99"/>
      <c r="E93" s="99"/>
      <c r="F93" s="99"/>
      <c r="G93" s="99"/>
      <c r="H93" s="99">
        <f t="shared" ref="H93:H96" si="14">+IF($C93="Y",1,0)</f>
        <v>0</v>
      </c>
    </row>
    <row r="94" spans="1:9" ht="15.75" thickBot="1">
      <c r="A94" s="131"/>
      <c r="B94" s="132" t="s">
        <v>246</v>
      </c>
      <c r="C94" s="191"/>
      <c r="D94" s="99">
        <f>+IF($C94="Y",1,IF($C95="Y",1,IF($C96="Y",1,0)))</f>
        <v>1</v>
      </c>
      <c r="E94" s="99">
        <f>+IF($C94="Y",1,IF($C95="Y",1,IF($C96="Y",1,0)))</f>
        <v>1</v>
      </c>
      <c r="F94" s="99"/>
      <c r="G94" s="99"/>
      <c r="H94" s="99"/>
      <c r="I94" s="224" t="str">
        <f>IF(AND(C94&lt;&gt;"",OR(C95="Y",C96="Y")),"Do not enter a value on this line if you entered a 'Y' below.","")</f>
        <v/>
      </c>
    </row>
    <row r="95" spans="1:9" ht="15.75" thickBot="1">
      <c r="A95" s="131"/>
      <c r="B95" s="132" t="s">
        <v>247</v>
      </c>
      <c r="C95" s="191" t="s">
        <v>172</v>
      </c>
      <c r="D95" s="99"/>
      <c r="E95" s="99"/>
      <c r="F95" s="99">
        <f>+IF($C95="Y",1,IF($C96="Y",1,0))</f>
        <v>1</v>
      </c>
      <c r="G95" s="99">
        <f>+IF($C95="Y",1,IF($C96="Y",1,0))</f>
        <v>1</v>
      </c>
      <c r="H95" s="99"/>
      <c r="I95" s="224" t="str">
        <f>IF(AND(C95&lt;&gt;"",C96="Y"),"Do not enter a value on this line if you entered a 'Y' below.","")</f>
        <v/>
      </c>
    </row>
    <row r="96" spans="1:9" ht="15.75" thickBot="1">
      <c r="A96" s="131"/>
      <c r="B96" s="132" t="s">
        <v>248</v>
      </c>
      <c r="C96" s="191"/>
      <c r="D96" s="99"/>
      <c r="E96" s="99"/>
      <c r="F96" s="99"/>
      <c r="G96" s="99"/>
      <c r="H96" s="99">
        <f t="shared" si="14"/>
        <v>0</v>
      </c>
    </row>
    <row r="97" spans="1:8">
      <c r="A97" s="134"/>
      <c r="B97" s="135" t="s">
        <v>249</v>
      </c>
      <c r="C97" s="136"/>
      <c r="D97" s="134">
        <f>SUM(D89:D96,D83:D87,D77:D81,D73:D75:D66,D60:D71,D55:D64,D52:D58,D45:D53,D40:D50,D36:D43,D28:D38,D23:D34,D26)</f>
        <v>27</v>
      </c>
      <c r="E97" s="134">
        <f>SUM(E89:E96,E83:E87,E77:E81,E73:E75:E66,E60:E71,E55:E64,E52:E58,E45:E53,E40:E50,E36:E43,E28:E38,E23:E34,E26)</f>
        <v>34</v>
      </c>
      <c r="F97" s="134">
        <f>SUM(F89:F96,F83:F87,F77:F81,F73:F75:F66,F60:F71,F55:F64,F52:F58,F45:F53,F40:F50,F36:F43,F28:F38,F23:F34,F26)</f>
        <v>45</v>
      </c>
      <c r="G97" s="134">
        <f>SUM(G89:G96,G83:G87,G77:G81,G73:G75:G66,G60:G71,G55:G64,G52:G58,G45:G53,G40:G50,G36:G43,G28:G38,G23:G34,G26)</f>
        <v>52</v>
      </c>
      <c r="H97" s="134">
        <f>SUM(H89:H96,H83:H87,H77:H81,H73:H75:H66,H60:H71,H55:H64,H52:H58,H45:H53,H40:H50,H36:H43,H28:H38,H23:H34,H26)</f>
        <v>55</v>
      </c>
    </row>
    <row r="98" spans="1:8">
      <c r="A98" s="134"/>
      <c r="B98" s="135" t="s">
        <v>250</v>
      </c>
      <c r="C98" s="136"/>
      <c r="D98" s="134">
        <v>27</v>
      </c>
      <c r="E98" s="134">
        <v>34</v>
      </c>
      <c r="F98" s="134">
        <v>45</v>
      </c>
      <c r="G98" s="134">
        <v>70</v>
      </c>
      <c r="H98" s="134">
        <v>90</v>
      </c>
    </row>
    <row r="99" spans="1:8">
      <c r="B99" s="137" t="s">
        <v>251</v>
      </c>
      <c r="D99" s="138" t="str">
        <f>+IF(D98&gt;D97,"Base N","Base Y")</f>
        <v>Base Y</v>
      </c>
      <c r="E99" s="138" t="str">
        <f>+IF(E98&gt;E97,"Tier 1 N","Tier 1 Y")</f>
        <v>Tier 1 Y</v>
      </c>
      <c r="F99" s="138" t="str">
        <f>+IF(F98&gt;F97,"Tier 2 N","Tier 2 Y")</f>
        <v>Tier 2 Y</v>
      </c>
      <c r="G99" s="138" t="str">
        <f>+IF(G98&gt;G97,"Tier 3 N","Tier 3 Y")</f>
        <v>Tier 3 N</v>
      </c>
      <c r="H99" s="138" t="str">
        <f>+IF(H98&gt;H97,"Tier 4 N","Tier 4 Y")</f>
        <v>Tier 4 N</v>
      </c>
    </row>
    <row r="100" spans="1:8" ht="15.75" thickBot="1">
      <c r="B100" s="137" t="s">
        <v>275</v>
      </c>
      <c r="C100" s="264">
        <v>2</v>
      </c>
    </row>
    <row r="101" spans="1:8">
      <c r="A101" s="394" t="s">
        <v>252</v>
      </c>
      <c r="B101" s="395"/>
      <c r="C101" s="395"/>
      <c r="D101" s="395"/>
      <c r="E101" s="395"/>
      <c r="F101" s="395"/>
      <c r="G101" s="395"/>
      <c r="H101" s="396"/>
    </row>
    <row r="102" spans="1:8">
      <c r="A102" s="397" t="s">
        <v>253</v>
      </c>
      <c r="B102" s="398"/>
      <c r="C102" s="398"/>
      <c r="D102" s="398"/>
      <c r="E102" s="398"/>
      <c r="F102" s="398"/>
      <c r="G102" s="398"/>
      <c r="H102" s="399"/>
    </row>
    <row r="103" spans="1:8">
      <c r="A103" s="397" t="s">
        <v>254</v>
      </c>
      <c r="B103" s="398"/>
      <c r="C103" s="398"/>
      <c r="D103" s="398"/>
      <c r="E103" s="398"/>
      <c r="F103" s="398"/>
      <c r="G103" s="398"/>
      <c r="H103" s="399"/>
    </row>
    <row r="104" spans="1:8">
      <c r="A104" s="410" t="s">
        <v>255</v>
      </c>
      <c r="B104" s="411"/>
      <c r="C104" s="411"/>
      <c r="D104" s="411"/>
      <c r="E104" s="411"/>
      <c r="F104" s="411"/>
      <c r="G104" s="411"/>
      <c r="H104" s="412"/>
    </row>
    <row r="105" spans="1:8">
      <c r="A105" s="388" t="s">
        <v>256</v>
      </c>
      <c r="B105" s="389"/>
      <c r="C105" s="389"/>
      <c r="D105" s="389"/>
      <c r="E105" s="389"/>
      <c r="F105" s="389"/>
      <c r="G105" s="389"/>
      <c r="H105" s="390"/>
    </row>
    <row r="106" spans="1:8">
      <c r="A106" s="388" t="s">
        <v>257</v>
      </c>
      <c r="B106" s="389"/>
      <c r="C106" s="389"/>
      <c r="D106" s="389"/>
      <c r="E106" s="389"/>
      <c r="F106" s="389"/>
      <c r="G106" s="389"/>
      <c r="H106" s="390"/>
    </row>
    <row r="107" spans="1:8">
      <c r="A107" s="388" t="s">
        <v>258</v>
      </c>
      <c r="B107" s="389"/>
      <c r="C107" s="389"/>
      <c r="D107" s="389"/>
      <c r="E107" s="389"/>
      <c r="F107" s="389"/>
      <c r="G107" s="389"/>
      <c r="H107" s="390"/>
    </row>
    <row r="108" spans="1:8">
      <c r="A108" s="388" t="s">
        <v>259</v>
      </c>
      <c r="B108" s="389"/>
      <c r="C108" s="389"/>
      <c r="D108" s="389"/>
      <c r="E108" s="389"/>
      <c r="F108" s="389"/>
      <c r="G108" s="389"/>
      <c r="H108" s="390"/>
    </row>
    <row r="109" spans="1:8">
      <c r="A109" s="388" t="s">
        <v>260</v>
      </c>
      <c r="B109" s="389"/>
      <c r="C109" s="389"/>
      <c r="D109" s="389"/>
      <c r="E109" s="389"/>
      <c r="F109" s="389"/>
      <c r="G109" s="389"/>
      <c r="H109" s="390"/>
    </row>
    <row r="110" spans="1:8">
      <c r="A110" s="388" t="s">
        <v>261</v>
      </c>
      <c r="B110" s="389"/>
      <c r="C110" s="389"/>
      <c r="D110" s="389"/>
      <c r="E110" s="389"/>
      <c r="F110" s="389"/>
      <c r="G110" s="389"/>
      <c r="H110" s="390"/>
    </row>
    <row r="111" spans="1:8">
      <c r="A111" s="388" t="s">
        <v>262</v>
      </c>
      <c r="B111" s="389"/>
      <c r="C111" s="389"/>
      <c r="D111" s="389"/>
      <c r="E111" s="389"/>
      <c r="F111" s="389"/>
      <c r="G111" s="389"/>
      <c r="H111" s="390"/>
    </row>
    <row r="112" spans="1:8">
      <c r="A112" s="388" t="s">
        <v>263</v>
      </c>
      <c r="B112" s="389"/>
      <c r="C112" s="389"/>
      <c r="D112" s="389"/>
      <c r="E112" s="389"/>
      <c r="F112" s="389"/>
      <c r="G112" s="389"/>
      <c r="H112" s="390"/>
    </row>
    <row r="113" spans="1:8">
      <c r="A113" s="388" t="s">
        <v>264</v>
      </c>
      <c r="B113" s="389"/>
      <c r="C113" s="389"/>
      <c r="D113" s="389"/>
      <c r="E113" s="389"/>
      <c r="F113" s="389"/>
      <c r="G113" s="389"/>
      <c r="H113" s="390"/>
    </row>
    <row r="114" spans="1:8">
      <c r="A114" s="388" t="s">
        <v>330</v>
      </c>
      <c r="B114" s="389"/>
      <c r="C114" s="389"/>
      <c r="D114" s="389"/>
      <c r="E114" s="389"/>
      <c r="F114" s="389"/>
      <c r="G114" s="389"/>
      <c r="H114" s="390"/>
    </row>
    <row r="115" spans="1:8">
      <c r="A115" s="388" t="s">
        <v>265</v>
      </c>
      <c r="B115" s="389"/>
      <c r="C115" s="389"/>
      <c r="D115" s="389"/>
      <c r="E115" s="389"/>
      <c r="F115" s="389"/>
      <c r="G115" s="389"/>
      <c r="H115" s="390"/>
    </row>
    <row r="116" spans="1:8">
      <c r="A116" s="388" t="s">
        <v>266</v>
      </c>
      <c r="B116" s="389"/>
      <c r="C116" s="389"/>
      <c r="D116" s="389"/>
      <c r="E116" s="389"/>
      <c r="F116" s="389"/>
      <c r="G116" s="389"/>
      <c r="H116" s="390"/>
    </row>
    <row r="117" spans="1:8">
      <c r="A117" s="388" t="s">
        <v>267</v>
      </c>
      <c r="B117" s="389"/>
      <c r="C117" s="389"/>
      <c r="D117" s="389"/>
      <c r="E117" s="389"/>
      <c r="F117" s="389"/>
      <c r="G117" s="389"/>
      <c r="H117" s="390"/>
    </row>
    <row r="118" spans="1:8">
      <c r="A118" s="388" t="s">
        <v>268</v>
      </c>
      <c r="B118" s="389"/>
      <c r="C118" s="389"/>
      <c r="D118" s="389"/>
      <c r="E118" s="389"/>
      <c r="F118" s="389"/>
      <c r="G118" s="389"/>
      <c r="H118" s="390"/>
    </row>
    <row r="119" spans="1:8">
      <c r="A119" s="388" t="s">
        <v>269</v>
      </c>
      <c r="B119" s="389"/>
      <c r="C119" s="389"/>
      <c r="D119" s="389"/>
      <c r="E119" s="389"/>
      <c r="F119" s="389"/>
      <c r="G119" s="389"/>
      <c r="H119" s="390"/>
    </row>
    <row r="120" spans="1:8">
      <c r="A120" s="388" t="s">
        <v>270</v>
      </c>
      <c r="B120" s="389"/>
      <c r="C120" s="389"/>
      <c r="D120" s="389"/>
      <c r="E120" s="389"/>
      <c r="F120" s="389"/>
      <c r="G120" s="389"/>
      <c r="H120" s="390"/>
    </row>
    <row r="121" spans="1:8" ht="15.75" thickBot="1">
      <c r="A121" s="391" t="s">
        <v>271</v>
      </c>
      <c r="B121" s="392"/>
      <c r="C121" s="392"/>
      <c r="D121" s="392"/>
      <c r="E121" s="392"/>
      <c r="F121" s="392"/>
      <c r="G121" s="392"/>
      <c r="H121" s="393"/>
    </row>
  </sheetData>
  <customSheetViews>
    <customSheetView guid="{3DB30FED-CC59-45C7-A6C7-CEC6DAE12EDE}">
      <pageMargins left="0.7" right="0.7" top="0.75" bottom="0.75" header="0.3" footer="0.3"/>
    </customSheetView>
  </customSheetViews>
  <mergeCells count="43">
    <mergeCell ref="A110:H110"/>
    <mergeCell ref="A82:H82"/>
    <mergeCell ref="A22:H22"/>
    <mergeCell ref="A27:H27"/>
    <mergeCell ref="A35:H35"/>
    <mergeCell ref="A39:H39"/>
    <mergeCell ref="A44:H44"/>
    <mergeCell ref="A51:H51"/>
    <mergeCell ref="A54:H54"/>
    <mergeCell ref="A59:H59"/>
    <mergeCell ref="A65:H65"/>
    <mergeCell ref="A72:H72"/>
    <mergeCell ref="A76:H76"/>
    <mergeCell ref="A104:H104"/>
    <mergeCell ref="A105:H105"/>
    <mergeCell ref="A88:H88"/>
    <mergeCell ref="A101:H101"/>
    <mergeCell ref="A102:H102"/>
    <mergeCell ref="A103:H103"/>
    <mergeCell ref="A109:H109"/>
    <mergeCell ref="B2:H7"/>
    <mergeCell ref="B9:H14"/>
    <mergeCell ref="A106:H106"/>
    <mergeCell ref="A107:H107"/>
    <mergeCell ref="A108:H108"/>
    <mergeCell ref="H20:H21"/>
    <mergeCell ref="A21:B21"/>
    <mergeCell ref="A20:B20"/>
    <mergeCell ref="D20:D21"/>
    <mergeCell ref="E20:E21"/>
    <mergeCell ref="F20:F21"/>
    <mergeCell ref="G20:G21"/>
    <mergeCell ref="A111:H111"/>
    <mergeCell ref="A119:H119"/>
    <mergeCell ref="A120:H120"/>
    <mergeCell ref="A121:H121"/>
    <mergeCell ref="A112:H112"/>
    <mergeCell ref="A113:H113"/>
    <mergeCell ref="A114:H114"/>
    <mergeCell ref="A115:H115"/>
    <mergeCell ref="A116:H116"/>
    <mergeCell ref="A117:H117"/>
    <mergeCell ref="A118:H1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2:L40"/>
  <sheetViews>
    <sheetView topLeftCell="A19" workbookViewId="0">
      <selection activeCell="G14" sqref="G14"/>
    </sheetView>
  </sheetViews>
  <sheetFormatPr defaultRowHeight="15"/>
  <cols>
    <col min="2" max="2" width="19.5703125" customWidth="1"/>
    <col min="3" max="3" width="21.85546875" customWidth="1"/>
    <col min="4" max="4" width="19.140625" customWidth="1"/>
    <col min="5" max="5" width="18.42578125" customWidth="1"/>
    <col min="6" max="6" width="18.5703125" customWidth="1"/>
    <col min="7" max="7" width="18.7109375" customWidth="1"/>
    <col min="8" max="8" width="13.5703125" customWidth="1"/>
  </cols>
  <sheetData>
    <row r="2" spans="2:9">
      <c r="B2" s="400" t="s">
        <v>357</v>
      </c>
      <c r="C2" s="400"/>
      <c r="D2" s="400"/>
      <c r="E2" s="400"/>
      <c r="F2" s="400"/>
      <c r="G2" s="400"/>
      <c r="H2" s="400"/>
      <c r="I2" s="400"/>
    </row>
    <row r="3" spans="2:9">
      <c r="B3" s="400"/>
      <c r="C3" s="400"/>
      <c r="D3" s="400"/>
      <c r="E3" s="400"/>
      <c r="F3" s="400"/>
      <c r="G3" s="400"/>
      <c r="H3" s="400"/>
      <c r="I3" s="400"/>
    </row>
    <row r="4" spans="2:9">
      <c r="B4" s="400"/>
      <c r="C4" s="400"/>
      <c r="D4" s="400"/>
      <c r="E4" s="400"/>
      <c r="F4" s="400"/>
      <c r="G4" s="400"/>
      <c r="H4" s="400"/>
      <c r="I4" s="400"/>
    </row>
    <row r="5" spans="2:9">
      <c r="B5" s="400"/>
      <c r="C5" s="400"/>
      <c r="D5" s="400"/>
      <c r="E5" s="400"/>
      <c r="F5" s="400"/>
      <c r="G5" s="400"/>
      <c r="H5" s="400"/>
      <c r="I5" s="400"/>
    </row>
    <row r="7" spans="2:9">
      <c r="B7" s="400" t="s">
        <v>354</v>
      </c>
      <c r="C7" s="400"/>
      <c r="D7" s="400"/>
      <c r="E7" s="400"/>
      <c r="F7" s="400"/>
      <c r="G7" s="400"/>
      <c r="H7" s="400"/>
      <c r="I7" s="400"/>
    </row>
    <row r="9" spans="2:9">
      <c r="B9" s="400" t="s">
        <v>355</v>
      </c>
      <c r="C9" s="400"/>
      <c r="D9" s="400"/>
      <c r="E9" s="400"/>
      <c r="F9" s="400"/>
      <c r="G9" s="400"/>
      <c r="H9" s="400"/>
      <c r="I9" s="400"/>
    </row>
    <row r="10" spans="2:9">
      <c r="B10" s="400"/>
      <c r="C10" s="400"/>
      <c r="D10" s="400"/>
      <c r="E10" s="400"/>
      <c r="F10" s="400"/>
      <c r="G10" s="400"/>
      <c r="H10" s="400"/>
      <c r="I10" s="400"/>
    </row>
    <row r="11" spans="2:9">
      <c r="B11" s="400"/>
      <c r="C11" s="400"/>
      <c r="D11" s="400"/>
      <c r="E11" s="400"/>
      <c r="F11" s="400"/>
      <c r="G11" s="400"/>
      <c r="H11" s="400"/>
      <c r="I11" s="400"/>
    </row>
    <row r="13" spans="2:9">
      <c r="B13" s="400" t="s">
        <v>356</v>
      </c>
      <c r="C13" s="400"/>
      <c r="D13" s="400"/>
      <c r="E13" s="400"/>
      <c r="F13" s="400"/>
      <c r="G13" s="400"/>
      <c r="H13" s="400"/>
      <c r="I13" s="400"/>
    </row>
    <row r="16" spans="2:9" ht="15.75" thickBot="1">
      <c r="B16" t="s">
        <v>315</v>
      </c>
    </row>
    <row r="17" spans="1:12" ht="30.75" thickBot="1">
      <c r="B17" s="164" t="s">
        <v>278</v>
      </c>
      <c r="C17" s="165" t="s">
        <v>279</v>
      </c>
      <c r="D17" s="115" t="s">
        <v>280</v>
      </c>
      <c r="I17" s="234"/>
      <c r="J17" s="234"/>
      <c r="K17" s="234"/>
      <c r="L17" s="234"/>
    </row>
    <row r="18" spans="1:12" ht="17.25">
      <c r="B18" s="45">
        <v>1</v>
      </c>
      <c r="C18" s="72" t="s">
        <v>281</v>
      </c>
      <c r="D18" s="29" t="s">
        <v>282</v>
      </c>
    </row>
    <row r="19" spans="1:12" ht="17.25">
      <c r="B19" s="48">
        <v>2</v>
      </c>
      <c r="C19" s="51" t="s">
        <v>286</v>
      </c>
      <c r="D19" s="25" t="s">
        <v>283</v>
      </c>
    </row>
    <row r="20" spans="1:12" ht="17.25">
      <c r="B20" s="48">
        <v>3</v>
      </c>
      <c r="C20" s="51" t="s">
        <v>287</v>
      </c>
      <c r="D20" s="25" t="s">
        <v>284</v>
      </c>
    </row>
    <row r="21" spans="1:12" ht="17.25">
      <c r="B21" s="48">
        <v>4</v>
      </c>
      <c r="C21" s="51" t="s">
        <v>288</v>
      </c>
      <c r="D21" s="25" t="s">
        <v>285</v>
      </c>
    </row>
    <row r="22" spans="1:12" ht="15.75" thickBot="1">
      <c r="B22" s="49">
        <v>5</v>
      </c>
      <c r="C22" s="52" t="s">
        <v>98</v>
      </c>
      <c r="D22" s="27"/>
    </row>
    <row r="24" spans="1:12">
      <c r="A24" t="s">
        <v>289</v>
      </c>
      <c r="B24" t="s">
        <v>320</v>
      </c>
      <c r="D24" s="264">
        <v>5</v>
      </c>
    </row>
    <row r="25" spans="1:12">
      <c r="A25" t="s">
        <v>290</v>
      </c>
      <c r="B25" t="s">
        <v>321</v>
      </c>
      <c r="D25" s="264">
        <v>4</v>
      </c>
    </row>
    <row r="27" spans="1:12" ht="15.75" thickBot="1">
      <c r="B27" t="s">
        <v>316</v>
      </c>
    </row>
    <row r="28" spans="1:12" ht="15.75" thickBot="1">
      <c r="B28" s="166" t="s">
        <v>291</v>
      </c>
      <c r="C28" s="263" t="s">
        <v>293</v>
      </c>
      <c r="D28" s="256" t="s">
        <v>294</v>
      </c>
      <c r="E28" s="256" t="s">
        <v>295</v>
      </c>
      <c r="F28" s="256" t="s">
        <v>296</v>
      </c>
      <c r="G28" s="257" t="s">
        <v>297</v>
      </c>
    </row>
    <row r="29" spans="1:12" ht="15.75" thickBot="1">
      <c r="B29" s="167"/>
      <c r="C29" s="413" t="s">
        <v>298</v>
      </c>
      <c r="D29" s="413"/>
      <c r="E29" s="413"/>
      <c r="F29" s="413"/>
      <c r="G29" s="414"/>
    </row>
    <row r="30" spans="1:12">
      <c r="B30" s="168" t="s">
        <v>139</v>
      </c>
      <c r="C30" s="69">
        <v>0</v>
      </c>
      <c r="D30" s="69">
        <v>0</v>
      </c>
      <c r="E30" s="69">
        <v>0</v>
      </c>
      <c r="F30" s="69">
        <v>0</v>
      </c>
      <c r="G30" s="169">
        <v>0</v>
      </c>
    </row>
    <row r="31" spans="1:12">
      <c r="B31" s="168" t="s">
        <v>140</v>
      </c>
      <c r="C31" s="69">
        <v>1</v>
      </c>
      <c r="D31" s="69">
        <v>2</v>
      </c>
      <c r="E31" s="69">
        <v>3</v>
      </c>
      <c r="F31" s="69">
        <v>4</v>
      </c>
      <c r="G31" s="169">
        <v>4</v>
      </c>
    </row>
    <row r="32" spans="1:12">
      <c r="B32" s="168" t="s">
        <v>141</v>
      </c>
      <c r="C32" s="69">
        <v>0</v>
      </c>
      <c r="D32" s="69">
        <v>0</v>
      </c>
      <c r="E32" s="69">
        <v>0</v>
      </c>
      <c r="F32" s="69">
        <v>0</v>
      </c>
      <c r="G32" s="169">
        <v>0</v>
      </c>
    </row>
    <row r="33" spans="1:9" ht="15.75" thickBot="1">
      <c r="B33" s="167" t="s">
        <v>292</v>
      </c>
      <c r="C33" s="254">
        <v>1</v>
      </c>
      <c r="D33" s="254">
        <v>2</v>
      </c>
      <c r="E33" s="254">
        <v>3</v>
      </c>
      <c r="F33" s="254">
        <v>4</v>
      </c>
      <c r="G33" s="255">
        <v>4</v>
      </c>
    </row>
    <row r="34" spans="1:9">
      <c r="I34" s="139"/>
    </row>
    <row r="35" spans="1:9">
      <c r="A35" t="s">
        <v>299</v>
      </c>
      <c r="B35" t="s">
        <v>300</v>
      </c>
      <c r="C35" t="s">
        <v>335</v>
      </c>
      <c r="I35" s="264" t="s">
        <v>301</v>
      </c>
    </row>
    <row r="36" spans="1:9">
      <c r="C36" t="s">
        <v>337</v>
      </c>
      <c r="I36" s="264">
        <v>4</v>
      </c>
    </row>
    <row r="37" spans="1:9">
      <c r="C37" t="s">
        <v>336</v>
      </c>
    </row>
    <row r="39" spans="1:9">
      <c r="B39" t="s">
        <v>338</v>
      </c>
    </row>
    <row r="40" spans="1:9">
      <c r="B40" t="s">
        <v>339</v>
      </c>
    </row>
  </sheetData>
  <customSheetViews>
    <customSheetView guid="{3DB30FED-CC59-45C7-A6C7-CEC6DAE12EDE}" topLeftCell="A7">
      <selection activeCell="H23" sqref="H23"/>
      <pageMargins left="0.7" right="0.7" top="0.75" bottom="0.75" header="0.3" footer="0.3"/>
    </customSheetView>
  </customSheetViews>
  <mergeCells count="5">
    <mergeCell ref="C29:G29"/>
    <mergeCell ref="B2:I5"/>
    <mergeCell ref="B7:I7"/>
    <mergeCell ref="B9:I11"/>
    <mergeCell ref="B13:I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2:K46"/>
  <sheetViews>
    <sheetView topLeftCell="A20" workbookViewId="0">
      <selection activeCell="A47" sqref="A47"/>
    </sheetView>
  </sheetViews>
  <sheetFormatPr defaultRowHeight="15"/>
  <cols>
    <col min="1" max="1" width="16.42578125" customWidth="1"/>
    <col min="2" max="2" width="30.140625" customWidth="1"/>
    <col min="3" max="3" width="15.42578125" customWidth="1"/>
    <col min="4" max="4" width="15.7109375" customWidth="1"/>
    <col min="5" max="5" width="15" customWidth="1"/>
    <col min="6" max="6" width="16" customWidth="1"/>
    <col min="7" max="8" width="16.140625" customWidth="1"/>
    <col min="9" max="10" width="14.85546875" customWidth="1"/>
    <col min="11" max="11" width="14.140625" customWidth="1"/>
  </cols>
  <sheetData>
    <row r="2" spans="2:7">
      <c r="B2" s="400" t="s">
        <v>358</v>
      </c>
      <c r="C2" s="400"/>
      <c r="D2" s="400"/>
      <c r="E2" s="400"/>
      <c r="F2" s="400"/>
      <c r="G2" s="400"/>
    </row>
    <row r="3" spans="2:7">
      <c r="B3" s="400"/>
      <c r="C3" s="400"/>
      <c r="D3" s="400"/>
      <c r="E3" s="400"/>
      <c r="F3" s="400"/>
      <c r="G3" s="400"/>
    </row>
    <row r="4" spans="2:7">
      <c r="B4" s="259"/>
      <c r="C4" s="259"/>
      <c r="D4" s="259"/>
      <c r="E4" s="259"/>
      <c r="F4" s="259"/>
      <c r="G4" s="259"/>
    </row>
    <row r="5" spans="2:7">
      <c r="B5" s="400" t="s">
        <v>377</v>
      </c>
      <c r="C5" s="400"/>
      <c r="D5" s="400"/>
      <c r="E5" s="400"/>
      <c r="F5" s="400"/>
      <c r="G5" s="400"/>
    </row>
    <row r="6" spans="2:7">
      <c r="B6" s="400"/>
      <c r="C6" s="400"/>
      <c r="D6" s="400"/>
      <c r="E6" s="400"/>
      <c r="F6" s="400"/>
      <c r="G6" s="400"/>
    </row>
    <row r="7" spans="2:7">
      <c r="B7" s="400"/>
      <c r="C7" s="400"/>
      <c r="D7" s="400"/>
      <c r="E7" s="400"/>
      <c r="F7" s="400"/>
      <c r="G7" s="400"/>
    </row>
    <row r="8" spans="2:7">
      <c r="B8" s="400"/>
      <c r="C8" s="400"/>
      <c r="D8" s="400"/>
      <c r="E8" s="400"/>
      <c r="F8" s="400"/>
      <c r="G8" s="400"/>
    </row>
    <row r="9" spans="2:7">
      <c r="B9" s="400"/>
      <c r="C9" s="400"/>
      <c r="D9" s="400"/>
      <c r="E9" s="400"/>
      <c r="F9" s="400"/>
      <c r="G9" s="400"/>
    </row>
    <row r="10" spans="2:7">
      <c r="B10" s="400"/>
      <c r="C10" s="400"/>
      <c r="D10" s="400"/>
      <c r="E10" s="400"/>
      <c r="F10" s="400"/>
      <c r="G10" s="400"/>
    </row>
    <row r="11" spans="2:7">
      <c r="B11" s="259"/>
      <c r="C11" s="259"/>
      <c r="D11" s="259"/>
      <c r="E11" s="259"/>
      <c r="F11" s="259"/>
      <c r="G11" s="259"/>
    </row>
    <row r="12" spans="2:7" ht="15" customHeight="1">
      <c r="B12" s="400" t="s">
        <v>359</v>
      </c>
      <c r="C12" s="400"/>
      <c r="D12" s="400"/>
      <c r="E12" s="400"/>
      <c r="F12" s="400"/>
      <c r="G12" s="400"/>
    </row>
    <row r="13" spans="2:7">
      <c r="B13" s="400"/>
      <c r="C13" s="400"/>
      <c r="D13" s="400"/>
      <c r="E13" s="400"/>
      <c r="F13" s="400"/>
      <c r="G13" s="400"/>
    </row>
    <row r="14" spans="2:7">
      <c r="B14" s="400"/>
      <c r="C14" s="400"/>
      <c r="D14" s="400"/>
      <c r="E14" s="400"/>
      <c r="F14" s="400"/>
      <c r="G14" s="400"/>
    </row>
    <row r="15" spans="2:7">
      <c r="B15" s="258"/>
      <c r="C15" s="258"/>
      <c r="D15" s="258"/>
      <c r="E15" s="258"/>
      <c r="F15" s="258"/>
      <c r="G15" s="258"/>
    </row>
    <row r="16" spans="2:7">
      <c r="B16" s="400" t="s">
        <v>378</v>
      </c>
      <c r="C16" s="400"/>
      <c r="D16" s="400"/>
      <c r="E16" s="400"/>
      <c r="F16" s="400"/>
      <c r="G16" s="400"/>
    </row>
    <row r="17" spans="1:11">
      <c r="B17" s="400"/>
      <c r="C17" s="400"/>
      <c r="D17" s="400"/>
      <c r="E17" s="400"/>
      <c r="F17" s="400"/>
      <c r="G17" s="400"/>
    </row>
    <row r="18" spans="1:11">
      <c r="B18" s="400"/>
      <c r="C18" s="400"/>
      <c r="D18" s="400"/>
      <c r="E18" s="400"/>
      <c r="F18" s="400"/>
      <c r="G18" s="400"/>
    </row>
    <row r="19" spans="1:11">
      <c r="B19" s="400"/>
      <c r="C19" s="400"/>
      <c r="D19" s="400"/>
      <c r="E19" s="400"/>
      <c r="F19" s="400"/>
      <c r="G19" s="400"/>
    </row>
    <row r="20" spans="1:11">
      <c r="B20" s="400"/>
      <c r="C20" s="400"/>
      <c r="D20" s="400"/>
      <c r="E20" s="400"/>
      <c r="F20" s="400"/>
      <c r="G20" s="400"/>
    </row>
    <row r="21" spans="1:11">
      <c r="B21" s="378" t="s">
        <v>391</v>
      </c>
      <c r="C21" s="378"/>
    </row>
    <row r="22" spans="1:11" ht="15.75">
      <c r="B22" s="249"/>
    </row>
    <row r="23" spans="1:11" ht="15.75" thickBot="1">
      <c r="A23" s="294" t="s">
        <v>33</v>
      </c>
      <c r="C23" s="1"/>
      <c r="D23" s="2"/>
      <c r="E23" s="3"/>
      <c r="F23" s="2"/>
      <c r="G23" s="2"/>
      <c r="H23" s="2"/>
      <c r="I23" s="2"/>
      <c r="J23" s="2"/>
      <c r="K23" s="16"/>
    </row>
    <row r="24" spans="1:11" ht="45">
      <c r="A24" s="417" t="s">
        <v>0</v>
      </c>
      <c r="B24" s="415" t="s">
        <v>1</v>
      </c>
      <c r="C24" s="102" t="s">
        <v>322</v>
      </c>
      <c r="D24" s="231" t="s">
        <v>323</v>
      </c>
      <c r="E24" s="87" t="s">
        <v>30</v>
      </c>
      <c r="F24" s="102" t="s">
        <v>145</v>
      </c>
      <c r="G24" s="103" t="s">
        <v>27</v>
      </c>
      <c r="H24" s="81"/>
      <c r="I24" s="81"/>
      <c r="J24" s="81"/>
      <c r="K24" s="15"/>
    </row>
    <row r="25" spans="1:11" ht="15.75" thickBot="1">
      <c r="A25" s="418"/>
      <c r="B25" s="416"/>
      <c r="C25" s="88" t="s">
        <v>26</v>
      </c>
      <c r="D25" s="88" t="s">
        <v>24</v>
      </c>
      <c r="E25" s="88" t="s">
        <v>29</v>
      </c>
      <c r="F25" s="106" t="s">
        <v>114</v>
      </c>
      <c r="G25" s="107" t="s">
        <v>31</v>
      </c>
      <c r="H25" s="15"/>
      <c r="I25" s="15"/>
      <c r="J25" s="15"/>
      <c r="K25" s="15"/>
    </row>
    <row r="26" spans="1:11">
      <c r="A26" s="192" t="s">
        <v>9</v>
      </c>
      <c r="B26" s="193" t="s">
        <v>19</v>
      </c>
      <c r="C26" s="194">
        <v>40000</v>
      </c>
      <c r="D26" s="195">
        <v>80</v>
      </c>
      <c r="E26" s="196">
        <f>+PI()*D26^2/4*0.0002471044</f>
        <v>1.242082188335542</v>
      </c>
      <c r="F26" s="197">
        <v>500</v>
      </c>
      <c r="G26" s="198">
        <f t="shared" ref="G26:G31" si="0">+E26/640*F26</f>
        <v>0.97037670963714218</v>
      </c>
      <c r="H26" s="15"/>
      <c r="I26" s="4"/>
      <c r="J26" s="4"/>
      <c r="K26" s="15"/>
    </row>
    <row r="27" spans="1:11">
      <c r="A27" s="199" t="s">
        <v>9</v>
      </c>
      <c r="B27" s="200" t="s">
        <v>21</v>
      </c>
      <c r="C27" s="201">
        <v>40000</v>
      </c>
      <c r="D27" s="202">
        <v>479</v>
      </c>
      <c r="E27" s="203">
        <f>+PI()*D27^2/4*0.0002471044</f>
        <v>44.528840527171113</v>
      </c>
      <c r="F27" s="204">
        <v>500</v>
      </c>
      <c r="G27" s="205">
        <f t="shared" si="0"/>
        <v>34.788156661852433</v>
      </c>
      <c r="H27" s="15"/>
      <c r="I27" s="4"/>
      <c r="J27" s="4"/>
      <c r="K27" s="15"/>
    </row>
    <row r="28" spans="1:11">
      <c r="A28" s="199" t="s">
        <v>9</v>
      </c>
      <c r="B28" s="200" t="s">
        <v>12</v>
      </c>
      <c r="C28" s="201">
        <v>20000</v>
      </c>
      <c r="D28" s="206" t="s">
        <v>35</v>
      </c>
      <c r="E28" s="203">
        <f>+PI()*525*4000*0.0002471044</f>
        <v>1630.2328721903989</v>
      </c>
      <c r="F28" s="204">
        <v>500</v>
      </c>
      <c r="G28" s="205">
        <f t="shared" si="0"/>
        <v>1273.6194313987492</v>
      </c>
      <c r="H28" s="15"/>
      <c r="I28" s="4"/>
      <c r="J28" s="4"/>
      <c r="K28" s="15"/>
    </row>
    <row r="29" spans="1:11">
      <c r="A29" s="199" t="s">
        <v>9</v>
      </c>
      <c r="B29" s="200" t="s">
        <v>13</v>
      </c>
      <c r="C29" s="201">
        <v>20000</v>
      </c>
      <c r="D29" s="202" t="s">
        <v>36</v>
      </c>
      <c r="E29" s="203">
        <f>+PI()*142*1000*0.0002471044</f>
        <v>110.23479421477936</v>
      </c>
      <c r="F29" s="204">
        <v>500</v>
      </c>
      <c r="G29" s="205">
        <f t="shared" si="0"/>
        <v>86.120932980296374</v>
      </c>
      <c r="H29" s="15"/>
      <c r="I29" s="4"/>
      <c r="J29" s="4"/>
      <c r="K29" s="15"/>
    </row>
    <row r="30" spans="1:11">
      <c r="A30" s="377" t="s">
        <v>388</v>
      </c>
      <c r="B30" s="200" t="s">
        <v>386</v>
      </c>
      <c r="C30" s="203" t="s">
        <v>384</v>
      </c>
      <c r="D30" s="203" t="s">
        <v>384</v>
      </c>
      <c r="E30" s="203" t="s">
        <v>384</v>
      </c>
      <c r="F30" s="203" t="s">
        <v>384</v>
      </c>
      <c r="G30" s="205" t="e">
        <f t="shared" si="0"/>
        <v>#VALUE!</v>
      </c>
      <c r="H30" s="15"/>
      <c r="I30" s="4"/>
      <c r="J30" s="4"/>
      <c r="K30" s="15"/>
    </row>
    <row r="31" spans="1:11">
      <c r="A31" s="207" t="s">
        <v>63</v>
      </c>
      <c r="B31" s="204" t="s">
        <v>10</v>
      </c>
      <c r="C31" s="201">
        <v>40000</v>
      </c>
      <c r="D31" s="202">
        <v>80</v>
      </c>
      <c r="E31" s="203">
        <f>+PI()*D31^2/4*0.0002471044</f>
        <v>1.242082188335542</v>
      </c>
      <c r="F31" s="204">
        <v>1200</v>
      </c>
      <c r="G31" s="205">
        <f t="shared" si="0"/>
        <v>2.3289041031291413</v>
      </c>
      <c r="H31" s="4"/>
      <c r="I31" s="4"/>
      <c r="J31" s="4"/>
      <c r="K31" s="16"/>
    </row>
    <row r="32" spans="1:11">
      <c r="A32" s="207" t="s">
        <v>63</v>
      </c>
      <c r="B32" s="204" t="s">
        <v>15</v>
      </c>
      <c r="C32" s="201">
        <v>20000</v>
      </c>
      <c r="D32" s="206" t="s">
        <v>35</v>
      </c>
      <c r="E32" s="203">
        <f>+PI()*525*4000*0.0002471044</f>
        <v>1630.2328721903989</v>
      </c>
      <c r="F32" s="204">
        <v>1200</v>
      </c>
      <c r="G32" s="205">
        <f t="shared" ref="G32:G35" si="1">+E32/640*F32</f>
        <v>3056.6866353569981</v>
      </c>
      <c r="H32" s="4"/>
      <c r="I32" s="4"/>
      <c r="J32" s="4"/>
      <c r="K32" s="16"/>
    </row>
    <row r="33" spans="1:11">
      <c r="A33" s="207" t="s">
        <v>63</v>
      </c>
      <c r="B33" s="204" t="s">
        <v>16</v>
      </c>
      <c r="C33" s="201">
        <v>20000</v>
      </c>
      <c r="D33" s="202" t="s">
        <v>146</v>
      </c>
      <c r="E33" s="203">
        <f>+PI()*64*688*0.0002471044</f>
        <v>34.182101822994113</v>
      </c>
      <c r="F33" s="204">
        <v>1200</v>
      </c>
      <c r="G33" s="205">
        <f t="shared" si="1"/>
        <v>64.09144091811396</v>
      </c>
      <c r="H33" s="4"/>
      <c r="I33" s="4"/>
      <c r="J33" s="4"/>
      <c r="K33" s="16"/>
    </row>
    <row r="34" spans="1:11">
      <c r="A34" s="207" t="s">
        <v>63</v>
      </c>
      <c r="B34" s="204" t="s">
        <v>17</v>
      </c>
      <c r="C34" s="201">
        <v>20000</v>
      </c>
      <c r="D34" s="206" t="s">
        <v>147</v>
      </c>
      <c r="E34" s="203">
        <f>+PI()*73*781*0.0002471044</f>
        <v>44.259269877233905</v>
      </c>
      <c r="F34" s="204">
        <v>1200</v>
      </c>
      <c r="G34" s="205">
        <f t="shared" si="1"/>
        <v>82.98613101981357</v>
      </c>
      <c r="H34" s="4"/>
      <c r="I34" s="4"/>
      <c r="J34" s="4"/>
      <c r="K34" s="16"/>
    </row>
    <row r="35" spans="1:11">
      <c r="A35" s="207" t="s">
        <v>63</v>
      </c>
      <c r="B35" s="204" t="s">
        <v>18</v>
      </c>
      <c r="C35" s="201">
        <v>20000</v>
      </c>
      <c r="D35" s="202" t="s">
        <v>148</v>
      </c>
      <c r="E35" s="203">
        <f>+PI()*24*287*0.0002471044</f>
        <v>5.347163820784508</v>
      </c>
      <c r="F35" s="204">
        <v>1200</v>
      </c>
      <c r="G35" s="205">
        <f t="shared" si="1"/>
        <v>10.025932163970953</v>
      </c>
      <c r="H35" s="4"/>
      <c r="I35" s="4"/>
      <c r="J35" s="4"/>
      <c r="K35" s="16"/>
    </row>
    <row r="36" spans="1:11">
      <c r="A36" s="207" t="s">
        <v>94</v>
      </c>
      <c r="B36" s="204" t="s">
        <v>10</v>
      </c>
      <c r="C36" s="201">
        <v>28000</v>
      </c>
      <c r="D36" s="202">
        <v>80</v>
      </c>
      <c r="E36" s="203">
        <f>+PI()*D36^2/4*0.0002471044</f>
        <v>1.242082188335542</v>
      </c>
      <c r="F36" s="208">
        <v>1000</v>
      </c>
      <c r="G36" s="205">
        <f t="shared" ref="G36:G43" si="2">+E36/640*F36</f>
        <v>1.9407534192742844</v>
      </c>
      <c r="H36" s="17"/>
      <c r="I36" s="17"/>
      <c r="J36" s="17"/>
      <c r="K36" s="17"/>
    </row>
    <row r="37" spans="1:11">
      <c r="A37" s="199" t="s">
        <v>62</v>
      </c>
      <c r="B37" s="200" t="s">
        <v>10</v>
      </c>
      <c r="C37" s="201">
        <v>28000</v>
      </c>
      <c r="D37" s="202">
        <v>80</v>
      </c>
      <c r="E37" s="203">
        <f>+PI()*D37^2/4*0.0002471044</f>
        <v>1.242082188335542</v>
      </c>
      <c r="F37" s="204">
        <v>1200</v>
      </c>
      <c r="G37" s="205">
        <f t="shared" si="2"/>
        <v>2.3289041031291413</v>
      </c>
    </row>
    <row r="38" spans="1:11">
      <c r="A38" s="199" t="s">
        <v>62</v>
      </c>
      <c r="B38" s="200" t="s">
        <v>17</v>
      </c>
      <c r="C38" s="201">
        <v>20000</v>
      </c>
      <c r="D38" s="206" t="s">
        <v>147</v>
      </c>
      <c r="E38" s="203">
        <f>+PI()*73*781*0.0002471044</f>
        <v>44.259269877233905</v>
      </c>
      <c r="F38" s="204">
        <v>1200</v>
      </c>
      <c r="G38" s="205">
        <f t="shared" si="2"/>
        <v>82.98613101981357</v>
      </c>
      <c r="H38" s="14"/>
      <c r="I38" s="14"/>
      <c r="J38" s="14"/>
      <c r="K38" s="14"/>
    </row>
    <row r="39" spans="1:11">
      <c r="A39" s="199" t="s">
        <v>62</v>
      </c>
      <c r="B39" s="200" t="s">
        <v>18</v>
      </c>
      <c r="C39" s="201">
        <v>20000</v>
      </c>
      <c r="D39" s="202" t="s">
        <v>148</v>
      </c>
      <c r="E39" s="203">
        <f>+PI()*24*287*0.0002471044</f>
        <v>5.347163820784508</v>
      </c>
      <c r="F39" s="204">
        <v>1200</v>
      </c>
      <c r="G39" s="205">
        <f t="shared" si="2"/>
        <v>10.025932163970953</v>
      </c>
      <c r="H39" s="15"/>
      <c r="I39" s="15"/>
      <c r="J39" s="15"/>
      <c r="K39" s="15"/>
    </row>
    <row r="40" spans="1:11">
      <c r="A40" s="199" t="s">
        <v>95</v>
      </c>
      <c r="B40" s="200" t="s">
        <v>10</v>
      </c>
      <c r="C40" s="201">
        <v>28000</v>
      </c>
      <c r="D40" s="202">
        <v>80</v>
      </c>
      <c r="E40" s="203">
        <f>+PI()*D40^2/4*0.0002471044</f>
        <v>1.242082188335542</v>
      </c>
      <c r="F40" s="204">
        <v>1200</v>
      </c>
      <c r="G40" s="205">
        <f t="shared" si="2"/>
        <v>2.3289041031291413</v>
      </c>
      <c r="K40" s="16"/>
    </row>
    <row r="41" spans="1:11">
      <c r="A41" s="199" t="s">
        <v>95</v>
      </c>
      <c r="B41" s="200" t="s">
        <v>15</v>
      </c>
      <c r="C41" s="201">
        <v>20000</v>
      </c>
      <c r="D41" s="206" t="s">
        <v>35</v>
      </c>
      <c r="E41" s="203">
        <f>+PI()*525*4000*0.0002471044</f>
        <v>1630.2328721903989</v>
      </c>
      <c r="F41" s="204">
        <v>1200</v>
      </c>
      <c r="G41" s="205">
        <f t="shared" si="2"/>
        <v>3056.6866353569981</v>
      </c>
      <c r="K41" s="16"/>
    </row>
    <row r="42" spans="1:11">
      <c r="A42" s="199" t="s">
        <v>95</v>
      </c>
      <c r="B42" s="200" t="s">
        <v>16</v>
      </c>
      <c r="C42" s="201">
        <v>20000</v>
      </c>
      <c r="D42" s="202">
        <v>479</v>
      </c>
      <c r="E42" s="203">
        <f>+PI()*64*688*0.0002471044</f>
        <v>34.182101822994113</v>
      </c>
      <c r="F42" s="204">
        <v>1200</v>
      </c>
      <c r="G42" s="205">
        <f t="shared" si="2"/>
        <v>64.09144091811396</v>
      </c>
      <c r="K42" s="16"/>
    </row>
    <row r="43" spans="1:11">
      <c r="A43" s="199" t="s">
        <v>11</v>
      </c>
      <c r="B43" s="200" t="s">
        <v>20</v>
      </c>
      <c r="C43" s="201">
        <v>80000</v>
      </c>
      <c r="D43" s="202">
        <v>500</v>
      </c>
      <c r="E43" s="203">
        <f>+PI()*D43^2/4*0.0002471044</f>
        <v>48.51883548185711</v>
      </c>
      <c r="F43" s="204">
        <v>1200</v>
      </c>
      <c r="G43" s="205">
        <f t="shared" si="2"/>
        <v>90.972816528482085</v>
      </c>
      <c r="H43" s="4"/>
      <c r="I43" s="4"/>
      <c r="J43" s="4"/>
      <c r="K43" s="16"/>
    </row>
    <row r="44" spans="1:11">
      <c r="A44" s="199" t="s">
        <v>11</v>
      </c>
      <c r="B44" s="200" t="s">
        <v>12</v>
      </c>
      <c r="C44" s="201">
        <v>80000</v>
      </c>
      <c r="D44" s="206" t="s">
        <v>154</v>
      </c>
      <c r="E44" s="203">
        <f>+PI()*1000*14000*0.0002471044</f>
        <v>10868.219147935992</v>
      </c>
      <c r="F44" s="204">
        <v>1200</v>
      </c>
      <c r="G44" s="205">
        <f t="shared" ref="G44:G45" si="3">+E44/640*F44</f>
        <v>20377.910902379987</v>
      </c>
    </row>
    <row r="45" spans="1:11">
      <c r="A45" s="330" t="s">
        <v>11</v>
      </c>
      <c r="B45" s="331" t="s">
        <v>14</v>
      </c>
      <c r="C45" s="332">
        <v>80000</v>
      </c>
      <c r="D45" s="381" t="s">
        <v>155</v>
      </c>
      <c r="E45" s="333">
        <f>+PI()*330*4200*0.0002471044</f>
        <v>1075.9536956456632</v>
      </c>
      <c r="F45" s="334">
        <v>1200</v>
      </c>
      <c r="G45" s="335">
        <f t="shared" si="3"/>
        <v>2017.4131793356185</v>
      </c>
    </row>
    <row r="46" spans="1:11" ht="15.75" thickBot="1">
      <c r="A46" s="382" t="s">
        <v>387</v>
      </c>
      <c r="B46" s="209" t="s">
        <v>386</v>
      </c>
      <c r="C46" s="210" t="s">
        <v>384</v>
      </c>
      <c r="D46" s="210" t="s">
        <v>384</v>
      </c>
      <c r="E46" s="210" t="s">
        <v>384</v>
      </c>
      <c r="F46" s="210" t="s">
        <v>384</v>
      </c>
      <c r="G46" s="211" t="e">
        <f>A46=+E46/640*F46</f>
        <v>#VALUE!</v>
      </c>
    </row>
  </sheetData>
  <customSheetViews>
    <customSheetView guid="{3DB30FED-CC59-45C7-A6C7-CEC6DAE12EDE}">
      <selection activeCell="I16" sqref="I16"/>
      <pageMargins left="0.7" right="0.7" top="0.75" bottom="0.75" header="0.3" footer="0.3"/>
      <pageSetup orientation="portrait" r:id="rId1"/>
    </customSheetView>
  </customSheetViews>
  <mergeCells count="6">
    <mergeCell ref="B24:B25"/>
    <mergeCell ref="A24:A25"/>
    <mergeCell ref="B2:G3"/>
    <mergeCell ref="B5:G10"/>
    <mergeCell ref="B12:G14"/>
    <mergeCell ref="B16:G20"/>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sheetPr codeName="Sheet5"/>
  <dimension ref="A2:P53"/>
  <sheetViews>
    <sheetView topLeftCell="D23" workbookViewId="0">
      <selection activeCell="E29" sqref="E29:H29"/>
    </sheetView>
  </sheetViews>
  <sheetFormatPr defaultRowHeight="15"/>
  <cols>
    <col min="1" max="1" width="16.42578125" customWidth="1"/>
    <col min="2" max="2" width="25.42578125" customWidth="1"/>
    <col min="3" max="3" width="16.28515625" customWidth="1"/>
    <col min="4" max="5" width="17.42578125" customWidth="1"/>
    <col min="6" max="6" width="24" customWidth="1"/>
    <col min="7" max="7" width="17.42578125" customWidth="1"/>
    <col min="8" max="9" width="19.28515625" customWidth="1"/>
    <col min="10" max="13" width="20.140625" customWidth="1"/>
    <col min="14" max="14" width="19.5703125" customWidth="1"/>
    <col min="15" max="15" width="17.140625" customWidth="1"/>
    <col min="16" max="16" width="14.42578125" customWidth="1"/>
  </cols>
  <sheetData>
    <row r="2" spans="2:12">
      <c r="B2" s="400" t="s">
        <v>379</v>
      </c>
      <c r="C2" s="400"/>
      <c r="D2" s="400"/>
      <c r="E2" s="400"/>
      <c r="F2" s="400"/>
      <c r="G2" s="400"/>
    </row>
    <row r="3" spans="2:12">
      <c r="B3" s="400"/>
      <c r="C3" s="400"/>
      <c r="D3" s="400"/>
      <c r="E3" s="400"/>
      <c r="F3" s="400"/>
      <c r="G3" s="400"/>
    </row>
    <row r="4" spans="2:12">
      <c r="B4" s="400"/>
      <c r="C4" s="400"/>
      <c r="D4" s="400"/>
      <c r="E4" s="400"/>
      <c r="F4" s="400"/>
      <c r="G4" s="400"/>
    </row>
    <row r="5" spans="2:12">
      <c r="B5" s="258"/>
      <c r="C5" s="258"/>
      <c r="D5" s="258"/>
      <c r="E5" s="258"/>
      <c r="F5" s="258"/>
      <c r="G5" s="258"/>
    </row>
    <row r="6" spans="2:12">
      <c r="B6" s="400" t="s">
        <v>360</v>
      </c>
      <c r="C6" s="400"/>
      <c r="D6" s="400"/>
      <c r="E6" s="400"/>
      <c r="F6" s="400"/>
      <c r="G6" s="400"/>
    </row>
    <row r="7" spans="2:12">
      <c r="B7" s="400"/>
      <c r="C7" s="400"/>
      <c r="D7" s="400"/>
      <c r="E7" s="400"/>
      <c r="F7" s="400"/>
      <c r="G7" s="400"/>
    </row>
    <row r="8" spans="2:12">
      <c r="B8" s="400"/>
      <c r="C8" s="400"/>
      <c r="D8" s="400"/>
      <c r="E8" s="400"/>
      <c r="F8" s="400"/>
      <c r="G8" s="400"/>
    </row>
    <row r="9" spans="2:12">
      <c r="B9" s="258"/>
      <c r="C9" s="258"/>
      <c r="D9" s="258"/>
      <c r="E9" s="258"/>
      <c r="F9" s="258"/>
      <c r="G9" s="258"/>
    </row>
    <row r="10" spans="2:12">
      <c r="B10" s="400" t="s">
        <v>361</v>
      </c>
      <c r="C10" s="400"/>
      <c r="D10" s="400"/>
      <c r="E10" s="400"/>
      <c r="F10" s="400"/>
      <c r="G10" s="400"/>
    </row>
    <row r="11" spans="2:12">
      <c r="B11" s="400"/>
      <c r="C11" s="400"/>
      <c r="D11" s="400"/>
      <c r="E11" s="400"/>
      <c r="F11" s="400"/>
      <c r="G11" s="400"/>
    </row>
    <row r="13" spans="2:12">
      <c r="I13" s="234"/>
      <c r="J13" s="234"/>
      <c r="K13" s="234"/>
      <c r="L13" s="234"/>
    </row>
    <row r="14" spans="2:12" ht="15.75">
      <c r="C14" s="233" t="s">
        <v>343</v>
      </c>
      <c r="I14" s="234"/>
      <c r="J14" s="234"/>
      <c r="K14" s="234"/>
      <c r="L14" s="234"/>
    </row>
    <row r="15" spans="2:12" ht="15.75">
      <c r="C15" s="233"/>
      <c r="I15" s="234"/>
      <c r="J15" s="234"/>
      <c r="K15" s="234"/>
      <c r="L15" s="234"/>
    </row>
    <row r="16" spans="2:12" ht="15.75" thickBot="1">
      <c r="C16" s="294" t="s">
        <v>380</v>
      </c>
      <c r="I16" s="234"/>
      <c r="J16" s="234"/>
      <c r="K16" s="234"/>
      <c r="L16" s="234"/>
    </row>
    <row r="17" spans="1:16" ht="30.75" customHeight="1" thickBot="1">
      <c r="C17" s="422" t="s">
        <v>331</v>
      </c>
      <c r="D17" s="423"/>
      <c r="E17" s="300" t="s">
        <v>53</v>
      </c>
      <c r="F17" s="300" t="s">
        <v>54</v>
      </c>
      <c r="G17" s="301" t="s">
        <v>55</v>
      </c>
      <c r="K17" s="234"/>
      <c r="L17" s="234"/>
    </row>
    <row r="18" spans="1:16">
      <c r="C18" s="424" t="s">
        <v>56</v>
      </c>
      <c r="D18" s="425"/>
      <c r="E18" s="298">
        <v>150000</v>
      </c>
      <c r="F18" s="298">
        <v>1200000</v>
      </c>
      <c r="G18" s="299">
        <v>2400000</v>
      </c>
    </row>
    <row r="19" spans="1:16">
      <c r="C19" s="426" t="s">
        <v>57</v>
      </c>
      <c r="D19" s="427"/>
      <c r="E19" s="292">
        <v>1200000</v>
      </c>
      <c r="F19" s="292">
        <v>12000000</v>
      </c>
      <c r="G19" s="295">
        <v>24000000</v>
      </c>
    </row>
    <row r="20" spans="1:16" ht="15.75" thickBot="1">
      <c r="C20" s="428" t="s">
        <v>58</v>
      </c>
      <c r="D20" s="429"/>
      <c r="E20" s="296">
        <v>8000000</v>
      </c>
      <c r="F20" s="296">
        <v>50000000</v>
      </c>
      <c r="G20" s="297">
        <v>100000000</v>
      </c>
    </row>
    <row r="23" spans="1:16" ht="15.75" thickBot="1">
      <c r="C23" s="294" t="s">
        <v>153</v>
      </c>
    </row>
    <row r="24" spans="1:16" ht="30.75" customHeight="1" thickBot="1">
      <c r="C24" s="430" t="s">
        <v>45</v>
      </c>
      <c r="D24" s="431"/>
      <c r="E24" s="304" t="s">
        <v>89</v>
      </c>
      <c r="F24" s="304" t="s">
        <v>49</v>
      </c>
      <c r="G24" s="305" t="s">
        <v>89</v>
      </c>
    </row>
    <row r="25" spans="1:16" ht="30" customHeight="1">
      <c r="C25" s="432" t="s">
        <v>46</v>
      </c>
      <c r="D25" s="433"/>
      <c r="E25" s="303">
        <v>200</v>
      </c>
      <c r="F25" s="72" t="s">
        <v>50</v>
      </c>
      <c r="G25" s="34">
        <v>50000</v>
      </c>
    </row>
    <row r="26" spans="1:16" ht="30" customHeight="1">
      <c r="C26" s="434" t="s">
        <v>47</v>
      </c>
      <c r="D26" s="435"/>
      <c r="E26" s="293">
        <v>1000</v>
      </c>
      <c r="F26" s="51" t="s">
        <v>51</v>
      </c>
      <c r="G26" s="35">
        <v>100000</v>
      </c>
    </row>
    <row r="27" spans="1:16" ht="30.75" customHeight="1" thickBot="1">
      <c r="C27" s="436" t="s">
        <v>48</v>
      </c>
      <c r="D27" s="437"/>
      <c r="E27" s="302">
        <v>400000</v>
      </c>
      <c r="F27" s="52" t="s">
        <v>52</v>
      </c>
      <c r="G27" s="36">
        <v>400000</v>
      </c>
    </row>
    <row r="28" spans="1:16" ht="15.75" customHeight="1">
      <c r="C28" s="81"/>
      <c r="D28" s="81"/>
      <c r="E28" s="291"/>
      <c r="F28" s="14"/>
      <c r="G28" s="291"/>
    </row>
    <row r="29" spans="1:16">
      <c r="C29" s="81"/>
      <c r="D29" s="291"/>
      <c r="E29" s="378" t="s">
        <v>392</v>
      </c>
      <c r="F29" s="378"/>
      <c r="G29" s="378"/>
      <c r="H29" s="380" t="s">
        <v>393</v>
      </c>
      <c r="I29" s="380"/>
    </row>
    <row r="30" spans="1:16" ht="15.75" thickBot="1">
      <c r="A30" t="s">
        <v>317</v>
      </c>
      <c r="C30" s="1"/>
      <c r="D30" s="2"/>
      <c r="E30" s="3"/>
      <c r="G30" s="379"/>
      <c r="H30" s="2"/>
      <c r="I30" s="2"/>
      <c r="J30" s="2"/>
      <c r="K30" s="2"/>
      <c r="L30" s="2"/>
      <c r="M30" s="2"/>
      <c r="N30" s="2"/>
      <c r="O30" s="2"/>
      <c r="P30" s="1"/>
    </row>
    <row r="31" spans="1:16" ht="45.75" thickBot="1">
      <c r="A31" s="419" t="s">
        <v>0</v>
      </c>
      <c r="B31" s="420" t="s">
        <v>1</v>
      </c>
      <c r="C31" s="5" t="s">
        <v>332</v>
      </c>
      <c r="D31" s="260" t="s">
        <v>333</v>
      </c>
      <c r="E31" s="260" t="s">
        <v>30</v>
      </c>
      <c r="F31" s="260" t="s">
        <v>91</v>
      </c>
      <c r="G31" s="265" t="s">
        <v>96</v>
      </c>
      <c r="H31" s="260" t="s">
        <v>340</v>
      </c>
      <c r="I31" s="260" t="s">
        <v>152</v>
      </c>
      <c r="J31" s="260" t="s">
        <v>341</v>
      </c>
      <c r="K31" s="265" t="s">
        <v>150</v>
      </c>
      <c r="L31" s="265" t="s">
        <v>90</v>
      </c>
      <c r="M31" s="265" t="s">
        <v>151</v>
      </c>
      <c r="N31" s="7" t="s">
        <v>342</v>
      </c>
    </row>
    <row r="32" spans="1:16" ht="15.75" thickBot="1">
      <c r="A32" s="419"/>
      <c r="B32" s="421"/>
      <c r="C32" s="148" t="s">
        <v>26</v>
      </c>
      <c r="D32" s="148" t="s">
        <v>24</v>
      </c>
      <c r="E32" s="148" t="s">
        <v>29</v>
      </c>
      <c r="F32" s="261"/>
      <c r="G32" s="60" t="s">
        <v>29</v>
      </c>
      <c r="H32" s="148" t="s">
        <v>65</v>
      </c>
      <c r="I32" s="148"/>
      <c r="J32" s="148" t="s">
        <v>28</v>
      </c>
      <c r="K32" s="60" t="s">
        <v>29</v>
      </c>
      <c r="L32" s="60"/>
      <c r="M32" s="60"/>
      <c r="N32" s="19" t="s">
        <v>28</v>
      </c>
    </row>
    <row r="33" spans="1:14" ht="15.75" thickBot="1">
      <c r="A33" s="67" t="str">
        <f>+'Steps 10 - 11  Pop Conseq'!A26</f>
        <v>Facility z</v>
      </c>
      <c r="B33" s="63" t="str">
        <f>+'Steps 10 - 11  Pop Conseq'!B26</f>
        <v>Fire (Ethylene Oxide)</v>
      </c>
      <c r="C33" s="285">
        <f>+'Steps 10 - 11  Pop Conseq'!C26</f>
        <v>40000</v>
      </c>
      <c r="D33" s="373">
        <f>+'Steps 10 - 11  Pop Conseq'!D26</f>
        <v>80</v>
      </c>
      <c r="E33" s="375">
        <f>+'Steps 10 - 11  Pop Conseq'!E26</f>
        <v>1.242082188335542</v>
      </c>
      <c r="F33" s="212" t="s">
        <v>92</v>
      </c>
      <c r="G33" s="266">
        <v>1</v>
      </c>
      <c r="H33" s="267">
        <v>5</v>
      </c>
      <c r="I33" s="268">
        <f>+F$18</f>
        <v>1200000</v>
      </c>
      <c r="J33" s="269">
        <f>ROUND(I33*G33*H33,-6)</f>
        <v>6000000</v>
      </c>
      <c r="K33" s="270">
        <f>+E33*0.2</f>
        <v>0.24841643766710841</v>
      </c>
      <c r="L33" s="216" t="s">
        <v>149</v>
      </c>
      <c r="M33" s="217">
        <f>+G$26</f>
        <v>100000</v>
      </c>
      <c r="N33" s="288">
        <f>+MIN(ROUND(K33*M33,-4),10000000)</f>
        <v>20000</v>
      </c>
    </row>
    <row r="34" spans="1:14" ht="15.75" thickBot="1">
      <c r="A34" s="8" t="str">
        <f>+'Steps 10 - 11  Pop Conseq'!A27</f>
        <v>Facility z</v>
      </c>
      <c r="B34" s="9" t="str">
        <f>+'Steps 10 - 11  Pop Conseq'!B27</f>
        <v>Explosion (Ethylene Oxide)</v>
      </c>
      <c r="C34" s="286">
        <f>+'Steps 10 - 11  Pop Conseq'!C27</f>
        <v>40000</v>
      </c>
      <c r="D34" s="373">
        <f>+'Steps 10 - 11  Pop Conseq'!D27</f>
        <v>479</v>
      </c>
      <c r="E34" s="375">
        <f>+'Steps 10 - 11  Pop Conseq'!E27</f>
        <v>44.528840527171113</v>
      </c>
      <c r="F34" s="213" t="s">
        <v>92</v>
      </c>
      <c r="G34" s="271">
        <v>2</v>
      </c>
      <c r="H34" s="272">
        <v>10</v>
      </c>
      <c r="I34" s="273">
        <f>+F$18</f>
        <v>1200000</v>
      </c>
      <c r="J34" s="274">
        <f>ROUND(I34*G34*H34,-6)</f>
        <v>24000000</v>
      </c>
      <c r="K34" s="275">
        <f t="shared" ref="K34:K37" si="0">+E34*0.2</f>
        <v>8.9057681054342233</v>
      </c>
      <c r="L34" s="218" t="s">
        <v>149</v>
      </c>
      <c r="M34" s="219">
        <f>+G$26</f>
        <v>100000</v>
      </c>
      <c r="N34" s="289">
        <f>+MIN(ROUND(K34*M34,-4),10000000)</f>
        <v>890000</v>
      </c>
    </row>
    <row r="35" spans="1:14" ht="15.75" thickBot="1">
      <c r="A35" s="8" t="str">
        <f>+'Steps 10 - 11  Pop Conseq'!A28</f>
        <v>Facility z</v>
      </c>
      <c r="B35" s="9" t="str">
        <f>+'Steps 10 - 11  Pop Conseq'!B28</f>
        <v>Toxic Gas (Chlorine) (L)</v>
      </c>
      <c r="C35" s="286">
        <f>+'Steps 10 - 11  Pop Conseq'!C28</f>
        <v>20000</v>
      </c>
      <c r="D35" s="373" t="str">
        <f>+'Steps 10 - 11  Pop Conseq'!D28</f>
        <v xml:space="preserve"> 525 - 4000</v>
      </c>
      <c r="E35" s="375">
        <f>+'Steps 10 - 11  Pop Conseq'!E28</f>
        <v>1630.2328721903989</v>
      </c>
      <c r="F35" s="213" t="s">
        <v>92</v>
      </c>
      <c r="G35" s="271">
        <v>4</v>
      </c>
      <c r="H35" s="272">
        <v>20</v>
      </c>
      <c r="I35" s="273">
        <f>+F$18</f>
        <v>1200000</v>
      </c>
      <c r="J35" s="274">
        <f>ROUND(I35*G35*H35,-6)</f>
        <v>96000000</v>
      </c>
      <c r="K35" s="275">
        <f t="shared" si="0"/>
        <v>326.0465744380798</v>
      </c>
      <c r="L35" s="218" t="s">
        <v>149</v>
      </c>
      <c r="M35" s="219">
        <f>+G$26</f>
        <v>100000</v>
      </c>
      <c r="N35" s="289">
        <f>+MIN(ROUND(K35*M35,-4),10000000)</f>
        <v>10000000</v>
      </c>
    </row>
    <row r="36" spans="1:14" ht="15.75" thickBot="1">
      <c r="A36" s="11" t="str">
        <f>+'Steps 10 - 11  Pop Conseq'!A29</f>
        <v>Facility z</v>
      </c>
      <c r="B36" s="12" t="str">
        <f>+'Steps 10 - 11  Pop Conseq'!B29</f>
        <v>Toxic Gas (Chlorine) (S)</v>
      </c>
      <c r="C36" s="287">
        <f>+'Steps 10 - 11  Pop Conseq'!C29</f>
        <v>20000</v>
      </c>
      <c r="D36" s="373" t="str">
        <f>+'Steps 10 - 11  Pop Conseq'!D29</f>
        <v>142 - 1000</v>
      </c>
      <c r="E36" s="375">
        <f>+'Steps 10 - 11  Pop Conseq'!E29</f>
        <v>110.23479421477936</v>
      </c>
      <c r="F36" s="215" t="s">
        <v>92</v>
      </c>
      <c r="G36" s="276">
        <v>1</v>
      </c>
      <c r="H36" s="277">
        <v>5</v>
      </c>
      <c r="I36" s="278">
        <f>+F$18</f>
        <v>1200000</v>
      </c>
      <c r="J36" s="279">
        <f>ROUND(I36*G36*H36,-6)</f>
        <v>6000000</v>
      </c>
      <c r="K36" s="280">
        <f t="shared" si="0"/>
        <v>22.046958842955874</v>
      </c>
      <c r="L36" s="220" t="s">
        <v>149</v>
      </c>
      <c r="M36" s="221">
        <f>+G$26</f>
        <v>100000</v>
      </c>
      <c r="N36" s="290">
        <f>+MIN(ROUND(K36*M36,-4),10000000)</f>
        <v>2200000</v>
      </c>
    </row>
    <row r="37" spans="1:14" ht="16.5" customHeight="1" thickBot="1">
      <c r="A37" s="11" t="str">
        <f>+'Steps 10 - 11  Pop Conseq'!A30</f>
        <v>step 10-11 facility</v>
      </c>
      <c r="B37" s="12" t="str">
        <f>+'Steps 10 - 11  Pop Conseq'!B30</f>
        <v>step 10 - 11 hazard</v>
      </c>
      <c r="C37" s="287" t="str">
        <f>+'Steps 10 - 11  Pop Conseq'!C30</f>
        <v>step 10-11 value</v>
      </c>
      <c r="D37" s="287" t="str">
        <f>+'Steps 10 - 11  Pop Conseq'!D30</f>
        <v>step 10-11 value</v>
      </c>
      <c r="E37" s="376" t="str">
        <f>+'Steps 10 - 11  Pop Conseq'!E30</f>
        <v>step 10-11 value</v>
      </c>
      <c r="F37" s="374" t="s">
        <v>385</v>
      </c>
      <c r="G37" s="374" t="s">
        <v>385</v>
      </c>
      <c r="H37" s="374" t="s">
        <v>385</v>
      </c>
      <c r="I37" s="374" t="s">
        <v>385</v>
      </c>
      <c r="J37" s="279" t="e">
        <f>ROUND(I37*G37*H37,-6)</f>
        <v>#VALUE!</v>
      </c>
      <c r="K37" s="280" t="e">
        <f t="shared" si="0"/>
        <v>#VALUE!</v>
      </c>
      <c r="L37" s="374" t="s">
        <v>385</v>
      </c>
      <c r="M37" s="374" t="s">
        <v>385</v>
      </c>
      <c r="N37" s="290" t="e">
        <f>+MIN(ROUND(K37*M37,-4),10000000)</f>
        <v>#VALUE!</v>
      </c>
    </row>
    <row r="38" spans="1:14" ht="15.75" thickBot="1">
      <c r="A38" s="67" t="str">
        <f>+'Steps 10 - 11  Pop Conseq'!A31</f>
        <v>Roads x</v>
      </c>
      <c r="B38" s="63" t="str">
        <f>+'Steps 10 - 11  Pop Conseq'!B31</f>
        <v>Fire  (Gasoline)</v>
      </c>
      <c r="C38" s="285">
        <f>+'Steps 10 - 11  Pop Conseq'!C31</f>
        <v>40000</v>
      </c>
      <c r="D38" s="373">
        <f>+'Steps 10 - 11  Pop Conseq'!D31</f>
        <v>80</v>
      </c>
      <c r="E38" s="375">
        <f>+'Steps 10 - 11  Pop Conseq'!E31</f>
        <v>1.242082188335542</v>
      </c>
      <c r="F38" s="212" t="s">
        <v>93</v>
      </c>
      <c r="G38" s="281">
        <v>0.5</v>
      </c>
      <c r="H38" s="269">
        <v>1</v>
      </c>
      <c r="I38" s="269">
        <f t="shared" ref="I38:I52" si="1">+E$18</f>
        <v>150000</v>
      </c>
      <c r="J38" s="269">
        <f t="shared" ref="J38:J52" si="2">+I38*H38</f>
        <v>150000</v>
      </c>
      <c r="K38" s="269">
        <v>1</v>
      </c>
      <c r="L38" s="216" t="s">
        <v>149</v>
      </c>
      <c r="M38" s="222">
        <f t="shared" ref="M38:M52" si="3">+G$26</f>
        <v>100000</v>
      </c>
      <c r="N38" s="288">
        <f t="shared" ref="N38:N53" si="4">+G38*M38</f>
        <v>50000</v>
      </c>
    </row>
    <row r="39" spans="1:14" ht="15.75" thickBot="1">
      <c r="A39" s="8" t="str">
        <f>+'Steps 10 - 11  Pop Conseq'!A32</f>
        <v>Roads x</v>
      </c>
      <c r="B39" s="9" t="str">
        <f>+'Steps 10 - 11  Pop Conseq'!B32</f>
        <v>Toxic Gas (Ammonia) (L)</v>
      </c>
      <c r="C39" s="286">
        <f>+'Steps 10 - 11  Pop Conseq'!C32</f>
        <v>20000</v>
      </c>
      <c r="D39" s="373" t="str">
        <f>+'Steps 10 - 11  Pop Conseq'!D32</f>
        <v xml:space="preserve"> 525 - 4000</v>
      </c>
      <c r="E39" s="375">
        <f>+'Steps 10 - 11  Pop Conseq'!E32</f>
        <v>1630.2328721903989</v>
      </c>
      <c r="F39" s="213" t="s">
        <v>93</v>
      </c>
      <c r="G39" s="282">
        <f>+PI()*132*132*0.0002471044*0.1</f>
        <v>1.3526275030974055</v>
      </c>
      <c r="H39" s="274">
        <v>2</v>
      </c>
      <c r="I39" s="274">
        <f t="shared" si="1"/>
        <v>150000</v>
      </c>
      <c r="J39" s="274">
        <f t="shared" si="2"/>
        <v>300000</v>
      </c>
      <c r="K39" s="282">
        <f>+PI()*132*132*0.0002471044</f>
        <v>13.526275030974054</v>
      </c>
      <c r="L39" s="218" t="s">
        <v>149</v>
      </c>
      <c r="M39" s="223">
        <f t="shared" si="3"/>
        <v>100000</v>
      </c>
      <c r="N39" s="289">
        <f t="shared" si="4"/>
        <v>135262.75030974054</v>
      </c>
    </row>
    <row r="40" spans="1:14" ht="15.75" thickBot="1">
      <c r="A40" s="8" t="str">
        <f>+'Steps 10 - 11  Pop Conseq'!A33</f>
        <v>Roads x</v>
      </c>
      <c r="B40" s="9" t="str">
        <f>+'Steps 10 - 11  Pop Conseq'!B33</f>
        <v>Toxic Gas (Ammonia) (S)</v>
      </c>
      <c r="C40" s="286">
        <f>+'Steps 10 - 11  Pop Conseq'!C33</f>
        <v>20000</v>
      </c>
      <c r="D40" s="373" t="str">
        <f>+'Steps 10 - 11  Pop Conseq'!D33</f>
        <v>64 - 688</v>
      </c>
      <c r="E40" s="375">
        <f>+'Steps 10 - 11  Pop Conseq'!E33</f>
        <v>34.182101822994113</v>
      </c>
      <c r="F40" s="213" t="s">
        <v>93</v>
      </c>
      <c r="G40" s="275">
        <f>+G39/10</f>
        <v>0.13526275030974055</v>
      </c>
      <c r="H40" s="274">
        <v>2</v>
      </c>
      <c r="I40" s="274">
        <f t="shared" si="1"/>
        <v>150000</v>
      </c>
      <c r="J40" s="274">
        <f t="shared" si="2"/>
        <v>300000</v>
      </c>
      <c r="K40" s="275">
        <f>+K39/10</f>
        <v>1.3526275030974053</v>
      </c>
      <c r="L40" s="218" t="s">
        <v>149</v>
      </c>
      <c r="M40" s="223">
        <f t="shared" si="3"/>
        <v>100000</v>
      </c>
      <c r="N40" s="289">
        <f t="shared" si="4"/>
        <v>13526.275030974055</v>
      </c>
    </row>
    <row r="41" spans="1:14" ht="15.75" thickBot="1">
      <c r="A41" s="8" t="str">
        <f>+'Steps 10 - 11  Pop Conseq'!A34</f>
        <v>Roads x</v>
      </c>
      <c r="B41" s="9" t="str">
        <f>+'Steps 10 - 11  Pop Conseq'!B34</f>
        <v>Toxic Liquid (37% HCl) (L)</v>
      </c>
      <c r="C41" s="286">
        <f>+'Steps 10 - 11  Pop Conseq'!C34</f>
        <v>20000</v>
      </c>
      <c r="D41" s="373" t="str">
        <f>+'Steps 10 - 11  Pop Conseq'!D34</f>
        <v>73 - 781</v>
      </c>
      <c r="E41" s="375">
        <f>+'Steps 10 - 11  Pop Conseq'!E34</f>
        <v>44.259269877233905</v>
      </c>
      <c r="F41" s="213" t="s">
        <v>93</v>
      </c>
      <c r="G41" s="275">
        <v>0.91722263404991355</v>
      </c>
      <c r="H41" s="274">
        <v>2</v>
      </c>
      <c r="I41" s="274">
        <f t="shared" si="1"/>
        <v>150000</v>
      </c>
      <c r="J41" s="274">
        <f t="shared" si="2"/>
        <v>300000</v>
      </c>
      <c r="K41" s="274">
        <v>9.1999999999999993</v>
      </c>
      <c r="L41" s="218" t="s">
        <v>149</v>
      </c>
      <c r="M41" s="223">
        <f t="shared" si="3"/>
        <v>100000</v>
      </c>
      <c r="N41" s="289">
        <f t="shared" si="4"/>
        <v>91722.263404991361</v>
      </c>
    </row>
    <row r="42" spans="1:14" ht="15.75" thickBot="1">
      <c r="A42" s="8" t="str">
        <f>+'Steps 10 - 11  Pop Conseq'!A35</f>
        <v>Roads x</v>
      </c>
      <c r="B42" s="9" t="str">
        <f>+'Steps 10 - 11  Pop Conseq'!B35</f>
        <v>Toxic Liquid (37% HCl) (S)</v>
      </c>
      <c r="C42" s="286">
        <f>+'Steps 10 - 11  Pop Conseq'!C35</f>
        <v>20000</v>
      </c>
      <c r="D42" s="373" t="str">
        <f>+'Steps 10 - 11  Pop Conseq'!D35</f>
        <v>24 - 287</v>
      </c>
      <c r="E42" s="375">
        <f>+'Steps 10 - 11  Pop Conseq'!E35</f>
        <v>5.347163820784508</v>
      </c>
      <c r="F42" s="213" t="s">
        <v>93</v>
      </c>
      <c r="G42" s="275">
        <f>+G41/10</f>
        <v>9.1722263404991358E-2</v>
      </c>
      <c r="H42" s="274">
        <v>1</v>
      </c>
      <c r="I42" s="274">
        <f t="shared" si="1"/>
        <v>150000</v>
      </c>
      <c r="J42" s="274">
        <f t="shared" si="2"/>
        <v>150000</v>
      </c>
      <c r="K42" s="274">
        <v>0.9</v>
      </c>
      <c r="L42" s="218" t="s">
        <v>149</v>
      </c>
      <c r="M42" s="223">
        <f t="shared" si="3"/>
        <v>100000</v>
      </c>
      <c r="N42" s="289">
        <f t="shared" si="4"/>
        <v>9172.2263404991354</v>
      </c>
    </row>
    <row r="43" spans="1:14" ht="15.75" thickBot="1">
      <c r="A43" s="8" t="str">
        <f>+'Steps 10 - 11  Pop Conseq'!A36</f>
        <v>Roads y</v>
      </c>
      <c r="B43" s="9" t="str">
        <f>+'Steps 10 - 11  Pop Conseq'!B36</f>
        <v>Fire  (Gasoline)</v>
      </c>
      <c r="C43" s="286">
        <f>+'Steps 10 - 11  Pop Conseq'!C36</f>
        <v>28000</v>
      </c>
      <c r="D43" s="373">
        <f>+'Steps 10 - 11  Pop Conseq'!D36</f>
        <v>80</v>
      </c>
      <c r="E43" s="375">
        <f>+'Steps 10 - 11  Pop Conseq'!E36</f>
        <v>1.242082188335542</v>
      </c>
      <c r="F43" s="213" t="s">
        <v>93</v>
      </c>
      <c r="G43" s="283">
        <v>0.5</v>
      </c>
      <c r="H43" s="274">
        <v>1</v>
      </c>
      <c r="I43" s="274">
        <f t="shared" si="1"/>
        <v>150000</v>
      </c>
      <c r="J43" s="274">
        <f t="shared" si="2"/>
        <v>150000</v>
      </c>
      <c r="K43" s="284">
        <v>1</v>
      </c>
      <c r="L43" s="218" t="s">
        <v>149</v>
      </c>
      <c r="M43" s="223">
        <f t="shared" si="3"/>
        <v>100000</v>
      </c>
      <c r="N43" s="289">
        <f t="shared" si="4"/>
        <v>50000</v>
      </c>
    </row>
    <row r="44" spans="1:14" ht="15.75" thickBot="1">
      <c r="A44" s="8" t="str">
        <f>+'Steps 10 - 11  Pop Conseq'!A37</f>
        <v>Roads u</v>
      </c>
      <c r="B44" s="9" t="str">
        <f>+'Steps 10 - 11  Pop Conseq'!B37</f>
        <v>Fire  (Gasoline)</v>
      </c>
      <c r="C44" s="286">
        <f>+'Steps 10 - 11  Pop Conseq'!C37</f>
        <v>28000</v>
      </c>
      <c r="D44" s="373">
        <f>+'Steps 10 - 11  Pop Conseq'!D37</f>
        <v>80</v>
      </c>
      <c r="E44" s="375">
        <f>+'Steps 10 - 11  Pop Conseq'!E37</f>
        <v>1.242082188335542</v>
      </c>
      <c r="F44" s="213" t="s">
        <v>93</v>
      </c>
      <c r="G44" s="283">
        <v>0.5</v>
      </c>
      <c r="H44" s="274">
        <v>1</v>
      </c>
      <c r="I44" s="274">
        <f t="shared" si="1"/>
        <v>150000</v>
      </c>
      <c r="J44" s="274">
        <f t="shared" si="2"/>
        <v>150000</v>
      </c>
      <c r="K44" s="284">
        <v>1</v>
      </c>
      <c r="L44" s="218" t="s">
        <v>149</v>
      </c>
      <c r="M44" s="223">
        <f t="shared" si="3"/>
        <v>100000</v>
      </c>
      <c r="N44" s="289">
        <f t="shared" si="4"/>
        <v>50000</v>
      </c>
    </row>
    <row r="45" spans="1:14" ht="15.75" thickBot="1">
      <c r="A45" s="8" t="str">
        <f>+'Steps 10 - 11  Pop Conseq'!A38</f>
        <v>Roads u</v>
      </c>
      <c r="B45" s="9" t="str">
        <f>+'Steps 10 - 11  Pop Conseq'!B38</f>
        <v>Toxic Liquid (37% HCl) (L)</v>
      </c>
      <c r="C45" s="286">
        <f>+'Steps 10 - 11  Pop Conseq'!C38</f>
        <v>20000</v>
      </c>
      <c r="D45" s="373" t="str">
        <f>+'Steps 10 - 11  Pop Conseq'!D38</f>
        <v>73 - 781</v>
      </c>
      <c r="E45" s="375">
        <f>+'Steps 10 - 11  Pop Conseq'!E38</f>
        <v>44.259269877233905</v>
      </c>
      <c r="F45" s="213" t="s">
        <v>93</v>
      </c>
      <c r="G45" s="275">
        <v>0.91722263404991355</v>
      </c>
      <c r="H45" s="274">
        <v>4</v>
      </c>
      <c r="I45" s="274">
        <f t="shared" si="1"/>
        <v>150000</v>
      </c>
      <c r="J45" s="274">
        <f t="shared" si="2"/>
        <v>600000</v>
      </c>
      <c r="K45" s="284">
        <v>9.1999999999999993</v>
      </c>
      <c r="L45" s="218" t="s">
        <v>149</v>
      </c>
      <c r="M45" s="223">
        <f t="shared" si="3"/>
        <v>100000</v>
      </c>
      <c r="N45" s="289">
        <f t="shared" si="4"/>
        <v>91722.263404991361</v>
      </c>
    </row>
    <row r="46" spans="1:14" ht="15.75" thickBot="1">
      <c r="A46" s="8" t="str">
        <f>+'Steps 10 - 11  Pop Conseq'!A39</f>
        <v>Roads u</v>
      </c>
      <c r="B46" s="9" t="str">
        <f>+'Steps 10 - 11  Pop Conseq'!B39</f>
        <v>Toxic Liquid (37% HCl) (S)</v>
      </c>
      <c r="C46" s="286">
        <f>+'Steps 10 - 11  Pop Conseq'!C39</f>
        <v>20000</v>
      </c>
      <c r="D46" s="373" t="str">
        <f>+'Steps 10 - 11  Pop Conseq'!D39</f>
        <v>24 - 287</v>
      </c>
      <c r="E46" s="375">
        <f>+'Steps 10 - 11  Pop Conseq'!E39</f>
        <v>5.347163820784508</v>
      </c>
      <c r="F46" s="213" t="s">
        <v>93</v>
      </c>
      <c r="G46" s="275">
        <f>+G45/10</f>
        <v>9.1722263404991358E-2</v>
      </c>
      <c r="H46" s="274">
        <v>4</v>
      </c>
      <c r="I46" s="274">
        <f t="shared" si="1"/>
        <v>150000</v>
      </c>
      <c r="J46" s="274">
        <f t="shared" si="2"/>
        <v>600000</v>
      </c>
      <c r="K46" s="284">
        <v>0.9</v>
      </c>
      <c r="L46" s="218" t="s">
        <v>149</v>
      </c>
      <c r="M46" s="223">
        <f t="shared" si="3"/>
        <v>100000</v>
      </c>
      <c r="N46" s="289">
        <f t="shared" si="4"/>
        <v>9172.2263404991354</v>
      </c>
    </row>
    <row r="47" spans="1:14" ht="15.75" thickBot="1">
      <c r="A47" s="8" t="str">
        <f>+'Steps 10 - 11  Pop Conseq'!A40</f>
        <v>Road w</v>
      </c>
      <c r="B47" s="9" t="str">
        <f>+'Steps 10 - 11  Pop Conseq'!B40</f>
        <v>Fire  (Gasoline)</v>
      </c>
      <c r="C47" s="286">
        <f>+'Steps 10 - 11  Pop Conseq'!C40</f>
        <v>28000</v>
      </c>
      <c r="D47" s="373">
        <f>+'Steps 10 - 11  Pop Conseq'!D40</f>
        <v>80</v>
      </c>
      <c r="E47" s="375">
        <f>+'Steps 10 - 11  Pop Conseq'!E40</f>
        <v>1.242082188335542</v>
      </c>
      <c r="F47" s="213" t="s">
        <v>93</v>
      </c>
      <c r="G47" s="283">
        <v>0.5</v>
      </c>
      <c r="H47" s="274">
        <v>1</v>
      </c>
      <c r="I47" s="274">
        <f t="shared" si="1"/>
        <v>150000</v>
      </c>
      <c r="J47" s="274">
        <f t="shared" si="2"/>
        <v>150000</v>
      </c>
      <c r="K47" s="284">
        <v>1</v>
      </c>
      <c r="L47" s="218" t="s">
        <v>149</v>
      </c>
      <c r="M47" s="223">
        <f t="shared" si="3"/>
        <v>100000</v>
      </c>
      <c r="N47" s="289">
        <f t="shared" si="4"/>
        <v>50000</v>
      </c>
    </row>
    <row r="48" spans="1:14" ht="15.75" thickBot="1">
      <c r="A48" s="8" t="str">
        <f>+'Steps 10 - 11  Pop Conseq'!A41</f>
        <v>Road w</v>
      </c>
      <c r="B48" s="9" t="str">
        <f>+'Steps 10 - 11  Pop Conseq'!B41</f>
        <v>Toxic Gas (Ammonia) (L)</v>
      </c>
      <c r="C48" s="286">
        <f>+'Steps 10 - 11  Pop Conseq'!C41</f>
        <v>20000</v>
      </c>
      <c r="D48" s="373" t="str">
        <f>+'Steps 10 - 11  Pop Conseq'!D41</f>
        <v xml:space="preserve"> 525 - 4000</v>
      </c>
      <c r="E48" s="375">
        <f>+'Steps 10 - 11  Pop Conseq'!E41</f>
        <v>1630.2328721903989</v>
      </c>
      <c r="F48" s="213" t="s">
        <v>93</v>
      </c>
      <c r="G48" s="282">
        <f>+PI()*132*132*0.0002471044*0.1</f>
        <v>1.3526275030974055</v>
      </c>
      <c r="H48" s="274">
        <v>2</v>
      </c>
      <c r="I48" s="274">
        <f t="shared" si="1"/>
        <v>150000</v>
      </c>
      <c r="J48" s="274">
        <f t="shared" si="2"/>
        <v>300000</v>
      </c>
      <c r="K48" s="282">
        <f>+PI()*132*132*0.0002471044</f>
        <v>13.526275030974054</v>
      </c>
      <c r="L48" s="218" t="s">
        <v>149</v>
      </c>
      <c r="M48" s="223">
        <f t="shared" si="3"/>
        <v>100000</v>
      </c>
      <c r="N48" s="289">
        <f t="shared" si="4"/>
        <v>135262.75030974054</v>
      </c>
    </row>
    <row r="49" spans="1:14" ht="15.75" thickBot="1">
      <c r="A49" s="8" t="str">
        <f>+'Steps 10 - 11  Pop Conseq'!A42</f>
        <v>Road w</v>
      </c>
      <c r="B49" s="9" t="str">
        <f>+'Steps 10 - 11  Pop Conseq'!B42</f>
        <v>Toxic Gas (Ammonia) (S)</v>
      </c>
      <c r="C49" s="286">
        <f>+'Steps 10 - 11  Pop Conseq'!C42</f>
        <v>20000</v>
      </c>
      <c r="D49" s="373">
        <f>+'Steps 10 - 11  Pop Conseq'!D42</f>
        <v>479</v>
      </c>
      <c r="E49" s="375">
        <f>+'Steps 10 - 11  Pop Conseq'!E42</f>
        <v>34.182101822994113</v>
      </c>
      <c r="F49" s="213" t="s">
        <v>93</v>
      </c>
      <c r="G49" s="275">
        <f>+G48/10</f>
        <v>0.13526275030974055</v>
      </c>
      <c r="H49" s="274">
        <v>1</v>
      </c>
      <c r="I49" s="274">
        <f t="shared" si="1"/>
        <v>150000</v>
      </c>
      <c r="J49" s="274">
        <f t="shared" si="2"/>
        <v>150000</v>
      </c>
      <c r="K49" s="275">
        <f>+K48/10</f>
        <v>1.3526275030974053</v>
      </c>
      <c r="L49" s="218" t="s">
        <v>149</v>
      </c>
      <c r="M49" s="223">
        <f t="shared" si="3"/>
        <v>100000</v>
      </c>
      <c r="N49" s="289">
        <f t="shared" si="4"/>
        <v>13526.275030974055</v>
      </c>
    </row>
    <row r="50" spans="1:14" ht="15.75" thickBot="1">
      <c r="A50" s="8" t="str">
        <f>+'Steps 10 - 11  Pop Conseq'!A43</f>
        <v>Railroad s</v>
      </c>
      <c r="B50" s="9" t="str">
        <f>+'Steps 10 - 11  Pop Conseq'!B43</f>
        <v>BLEVE (Ethylene Oxide)</v>
      </c>
      <c r="C50" s="286">
        <f>+'Steps 10 - 11  Pop Conseq'!C43</f>
        <v>80000</v>
      </c>
      <c r="D50" s="373">
        <f>+'Steps 10 - 11  Pop Conseq'!D43</f>
        <v>500</v>
      </c>
      <c r="E50" s="375">
        <f>+'Steps 10 - 11  Pop Conseq'!E43</f>
        <v>48.51883548185711</v>
      </c>
      <c r="F50" s="213" t="s">
        <v>93</v>
      </c>
      <c r="G50" s="274">
        <v>1</v>
      </c>
      <c r="H50" s="274">
        <v>2</v>
      </c>
      <c r="I50" s="274">
        <f t="shared" si="1"/>
        <v>150000</v>
      </c>
      <c r="J50" s="274">
        <f t="shared" si="2"/>
        <v>300000</v>
      </c>
      <c r="K50" s="284">
        <v>1</v>
      </c>
      <c r="L50" s="218" t="s">
        <v>149</v>
      </c>
      <c r="M50" s="223">
        <f t="shared" si="3"/>
        <v>100000</v>
      </c>
      <c r="N50" s="289">
        <f t="shared" si="4"/>
        <v>100000</v>
      </c>
    </row>
    <row r="51" spans="1:14" ht="15.75" thickBot="1">
      <c r="A51" s="8" t="str">
        <f>+'Steps 10 - 11  Pop Conseq'!A44</f>
        <v>Railroad s</v>
      </c>
      <c r="B51" s="9" t="str">
        <f>+'Steps 10 - 11  Pop Conseq'!B44</f>
        <v>Toxic Gas (Chlorine) (L)</v>
      </c>
      <c r="C51" s="286">
        <f>+'Steps 10 - 11  Pop Conseq'!C44</f>
        <v>80000</v>
      </c>
      <c r="D51" s="373" t="str">
        <f>+'Steps 10 - 11  Pop Conseq'!D44</f>
        <v>1000 - 14000</v>
      </c>
      <c r="E51" s="375">
        <f>+'Steps 10 - 11  Pop Conseq'!E44</f>
        <v>10868.219147935992</v>
      </c>
      <c r="F51" s="213" t="s">
        <v>93</v>
      </c>
      <c r="G51" s="271">
        <f>+PI()*367*367*0.0002471044*0.1</f>
        <v>10.455925491545365</v>
      </c>
      <c r="H51" s="274">
        <v>20</v>
      </c>
      <c r="I51" s="274">
        <f t="shared" si="1"/>
        <v>150000</v>
      </c>
      <c r="J51" s="274">
        <f t="shared" si="2"/>
        <v>3000000</v>
      </c>
      <c r="K51" s="282">
        <f>+PI()*367*367*0.0002471044</f>
        <v>104.55925491545364</v>
      </c>
      <c r="L51" s="218" t="s">
        <v>149</v>
      </c>
      <c r="M51" s="223">
        <f t="shared" si="3"/>
        <v>100000</v>
      </c>
      <c r="N51" s="289">
        <f t="shared" si="4"/>
        <v>1045592.5491545364</v>
      </c>
    </row>
    <row r="52" spans="1:14">
      <c r="A52" s="336" t="str">
        <f>+'Steps 10 - 11  Pop Conseq'!A45</f>
        <v>Railroad s</v>
      </c>
      <c r="B52" s="337" t="str">
        <f>+'Steps 10 - 11  Pop Conseq'!B45</f>
        <v>Toxic Gas (Chlorine)  (S)</v>
      </c>
      <c r="C52" s="338">
        <f>+'Steps 10 - 11  Pop Conseq'!C45</f>
        <v>80000</v>
      </c>
      <c r="D52" s="373" t="str">
        <f>+'Steps 10 - 11  Pop Conseq'!D45</f>
        <v>330 - 4200</v>
      </c>
      <c r="E52" s="375">
        <f>+'Steps 10 - 11  Pop Conseq'!E45</f>
        <v>1075.9536956456632</v>
      </c>
      <c r="F52" s="339" t="s">
        <v>93</v>
      </c>
      <c r="G52" s="340">
        <f>+G51/10</f>
        <v>1.0455925491545366</v>
      </c>
      <c r="H52" s="341">
        <v>2</v>
      </c>
      <c r="I52" s="341">
        <f t="shared" si="1"/>
        <v>150000</v>
      </c>
      <c r="J52" s="341">
        <f t="shared" si="2"/>
        <v>300000</v>
      </c>
      <c r="K52" s="342">
        <f>+K51/10</f>
        <v>10.455925491545363</v>
      </c>
      <c r="L52" s="343" t="s">
        <v>149</v>
      </c>
      <c r="M52" s="344">
        <f t="shared" si="3"/>
        <v>100000</v>
      </c>
      <c r="N52" s="345">
        <f t="shared" si="4"/>
        <v>104559.25491545365</v>
      </c>
    </row>
    <row r="53" spans="1:14" ht="16.5" customHeight="1" thickBot="1">
      <c r="A53" s="11" t="str">
        <f>+'Steps 10 - 11  Pop Conseq'!A46</f>
        <v>step 10-12 route</v>
      </c>
      <c r="B53" s="12" t="str">
        <f>+'Steps 10 - 11  Pop Conseq'!B46</f>
        <v>step 10 - 11 hazard</v>
      </c>
      <c r="C53" s="287" t="str">
        <f>+'Steps 10 - 11  Pop Conseq'!C46</f>
        <v>step 10-11 value</v>
      </c>
      <c r="D53" s="287" t="str">
        <f>+'Steps 10 - 11  Pop Conseq'!D46</f>
        <v>step 10-11 value</v>
      </c>
      <c r="E53" s="287" t="str">
        <f>+'Steps 10 - 11  Pop Conseq'!E46</f>
        <v>step 10-11 value</v>
      </c>
      <c r="F53" s="346" t="s">
        <v>385</v>
      </c>
      <c r="G53" s="346" t="s">
        <v>385</v>
      </c>
      <c r="H53" s="346" t="s">
        <v>385</v>
      </c>
      <c r="I53" s="346" t="s">
        <v>385</v>
      </c>
      <c r="J53" s="279" t="e">
        <f>ROUND(I53*G53*H53,-6)</f>
        <v>#VALUE!</v>
      </c>
      <c r="K53" s="280" t="e">
        <f t="shared" ref="K53" si="5">+E53*0.2</f>
        <v>#VALUE!</v>
      </c>
      <c r="L53" s="346" t="s">
        <v>385</v>
      </c>
      <c r="M53" s="346" t="s">
        <v>385</v>
      </c>
      <c r="N53" s="290" t="e">
        <f t="shared" si="4"/>
        <v>#VALUE!</v>
      </c>
    </row>
  </sheetData>
  <customSheetViews>
    <customSheetView guid="{3DB30FED-CC59-45C7-A6C7-CEC6DAE12EDE}" topLeftCell="B1">
      <selection activeCell="I3" sqref="I3"/>
      <pageMargins left="0.7" right="0.7" top="0.75" bottom="0.75" header="0.3" footer="0.3"/>
      <pageSetup orientation="portrait" r:id="rId1"/>
    </customSheetView>
  </customSheetViews>
  <mergeCells count="13">
    <mergeCell ref="B2:G4"/>
    <mergeCell ref="B6:G8"/>
    <mergeCell ref="B10:G11"/>
    <mergeCell ref="A31:A32"/>
    <mergeCell ref="B31:B32"/>
    <mergeCell ref="C17:D17"/>
    <mergeCell ref="C18:D18"/>
    <mergeCell ref="C19:D19"/>
    <mergeCell ref="C20:D20"/>
    <mergeCell ref="C24:D24"/>
    <mergeCell ref="C25:D25"/>
    <mergeCell ref="C26:D26"/>
    <mergeCell ref="C27:D27"/>
  </mergeCells>
  <pageMargins left="0.7" right="0.7" top="0.75" bottom="0.75"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sheetPr codeName="Sheet6"/>
  <dimension ref="A2:F52"/>
  <sheetViews>
    <sheetView topLeftCell="A29" workbookViewId="0">
      <selection activeCell="D55" sqref="D55"/>
    </sheetView>
  </sheetViews>
  <sheetFormatPr defaultRowHeight="15"/>
  <cols>
    <col min="1" max="1" width="12" customWidth="1"/>
    <col min="2" max="2" width="27.7109375" customWidth="1"/>
    <col min="3" max="3" width="13.28515625" customWidth="1"/>
    <col min="4" max="4" width="13.7109375" customWidth="1"/>
    <col min="5" max="5" width="15" customWidth="1"/>
    <col min="6" max="6" width="13.85546875" customWidth="1"/>
  </cols>
  <sheetData>
    <row r="2" spans="2:6">
      <c r="B2" s="438" t="s">
        <v>381</v>
      </c>
      <c r="C2" s="438"/>
      <c r="D2" s="438"/>
      <c r="E2" s="438"/>
      <c r="F2" s="438"/>
    </row>
    <row r="3" spans="2:6">
      <c r="B3" s="438"/>
      <c r="C3" s="438"/>
      <c r="D3" s="438"/>
      <c r="E3" s="438"/>
      <c r="F3" s="438"/>
    </row>
    <row r="4" spans="2:6">
      <c r="B4" s="438"/>
      <c r="C4" s="438"/>
      <c r="D4" s="438"/>
      <c r="E4" s="438"/>
      <c r="F4" s="438"/>
    </row>
    <row r="6" spans="2:6">
      <c r="B6" s="438" t="s">
        <v>362</v>
      </c>
      <c r="C6" s="438"/>
      <c r="D6" s="438"/>
      <c r="E6" s="438"/>
      <c r="F6" s="438"/>
    </row>
    <row r="7" spans="2:6">
      <c r="B7" s="438"/>
      <c r="C7" s="438"/>
      <c r="D7" s="438"/>
      <c r="E7" s="438"/>
      <c r="F7" s="438"/>
    </row>
    <row r="10" spans="2:6" ht="15.75" thickBot="1">
      <c r="B10" t="s">
        <v>344</v>
      </c>
    </row>
    <row r="11" spans="2:6" ht="30.75" thickBot="1">
      <c r="B11" s="30" t="s">
        <v>37</v>
      </c>
      <c r="C11" s="115" t="s">
        <v>34</v>
      </c>
      <c r="D11" s="31" t="s">
        <v>59</v>
      </c>
    </row>
    <row r="12" spans="2:6">
      <c r="B12" s="28" t="s">
        <v>38</v>
      </c>
      <c r="C12" s="29">
        <v>1</v>
      </c>
      <c r="D12" s="29">
        <v>0</v>
      </c>
    </row>
    <row r="13" spans="2:6">
      <c r="B13" s="24" t="s">
        <v>85</v>
      </c>
      <c r="C13" s="25">
        <v>2</v>
      </c>
      <c r="D13" s="32">
        <v>1</v>
      </c>
    </row>
    <row r="14" spans="2:6">
      <c r="B14" s="24" t="s">
        <v>86</v>
      </c>
      <c r="C14" s="25">
        <v>3</v>
      </c>
      <c r="D14" s="32">
        <v>10</v>
      </c>
    </row>
    <row r="15" spans="2:6">
      <c r="B15" s="24" t="s">
        <v>87</v>
      </c>
      <c r="C15" s="25">
        <v>4</v>
      </c>
      <c r="D15" s="32">
        <v>100</v>
      </c>
    </row>
    <row r="16" spans="2:6" ht="15.75" thickBot="1">
      <c r="B16" s="26" t="s">
        <v>88</v>
      </c>
      <c r="C16" s="27">
        <v>5</v>
      </c>
      <c r="D16" s="33">
        <v>1000</v>
      </c>
    </row>
    <row r="18" spans="1:6" ht="15.75" thickBot="1">
      <c r="B18" t="s">
        <v>318</v>
      </c>
    </row>
    <row r="19" spans="1:6" ht="30.75" thickBot="1">
      <c r="B19" s="30" t="s">
        <v>39</v>
      </c>
      <c r="C19" s="115" t="s">
        <v>34</v>
      </c>
      <c r="D19" s="31" t="s">
        <v>59</v>
      </c>
    </row>
    <row r="20" spans="1:6">
      <c r="B20" s="28" t="s">
        <v>40</v>
      </c>
      <c r="C20" s="37">
        <v>1</v>
      </c>
      <c r="D20" s="29">
        <v>0</v>
      </c>
    </row>
    <row r="21" spans="1:6">
      <c r="B21" s="24" t="s">
        <v>41</v>
      </c>
      <c r="C21" s="38">
        <v>2</v>
      </c>
      <c r="D21" s="35">
        <v>999999</v>
      </c>
    </row>
    <row r="22" spans="1:6">
      <c r="B22" s="24" t="s">
        <v>42</v>
      </c>
      <c r="C22" s="38">
        <v>3</v>
      </c>
      <c r="D22" s="35">
        <v>9999999</v>
      </c>
    </row>
    <row r="23" spans="1:6">
      <c r="B23" s="24" t="s">
        <v>43</v>
      </c>
      <c r="C23" s="38">
        <v>4</v>
      </c>
      <c r="D23" s="35">
        <v>99999999</v>
      </c>
    </row>
    <row r="24" spans="1:6" ht="15.75" thickBot="1">
      <c r="B24" s="26" t="s">
        <v>44</v>
      </c>
      <c r="C24" s="39">
        <v>5</v>
      </c>
      <c r="D24" s="36">
        <v>999999999</v>
      </c>
    </row>
    <row r="28" spans="1:6" ht="15.75" thickBot="1">
      <c r="A28" s="315" t="s">
        <v>34</v>
      </c>
    </row>
    <row r="29" spans="1:6" ht="45">
      <c r="A29" s="109" t="s">
        <v>0</v>
      </c>
      <c r="B29" s="111" t="s">
        <v>1</v>
      </c>
      <c r="C29" s="111" t="s">
        <v>27</v>
      </c>
      <c r="D29" s="6" t="s">
        <v>25</v>
      </c>
      <c r="E29" s="232" t="s">
        <v>324</v>
      </c>
      <c r="F29" s="111" t="s">
        <v>32</v>
      </c>
    </row>
    <row r="30" spans="1:6" ht="15.75" thickBot="1">
      <c r="A30" s="110"/>
      <c r="B30" s="112"/>
      <c r="C30" s="112" t="s">
        <v>7</v>
      </c>
      <c r="D30" s="112" t="s">
        <v>7</v>
      </c>
      <c r="E30" s="112" t="s">
        <v>7</v>
      </c>
      <c r="F30" s="112" t="s">
        <v>7</v>
      </c>
    </row>
    <row r="31" spans="1:6">
      <c r="A31" s="20" t="str">
        <f>+'Steps 10 - 11  Pop Conseq'!A26</f>
        <v>Facility z</v>
      </c>
      <c r="B31" s="18" t="str">
        <f>+'Steps 10 - 11  Pop Conseq'!B26</f>
        <v>Fire (Ethylene Oxide)</v>
      </c>
      <c r="C31" s="116">
        <f>IF('Steps 10 - 11  Pop Conseq'!G26&gt;'Step 14 Max Conseq'!D$16,'Step 14 Max Conseq'!C$16,IF('Steps 10 - 11  Pop Conseq'!G26&gt;'Step 14 Max Conseq'!D$15,'Step 14 Max Conseq'!C$15,IF('Steps 10 - 11  Pop Conseq'!G26&gt;'Step 14 Max Conseq'!D$14,'Step 14 Max Conseq'!C$14,IF('Steps 10 - 11  Pop Conseq'!G26&gt;'Step 14 Max Conseq'!D$13,'Step 14 Max Conseq'!C$13,'Step 14 Max Conseq'!C$12))))</f>
        <v>1</v>
      </c>
      <c r="D31" s="116">
        <f>IF('Steps 12 - 13 Env Conseq'!J33&gt;'Step 14 Max Conseq'!D$24,'Step 14 Max Conseq'!C$24,IF('Steps 12 - 13 Env Conseq'!J33&gt;'Step 14 Max Conseq'!D$23,'Step 14 Max Conseq'!C$23,IF('Steps 12 - 13 Env Conseq'!J33&gt;'Step 14 Max Conseq'!D$22,'Step 14 Max Conseq'!C$22,IF('Steps 12 - 13 Env Conseq'!J33&gt;'Step 14 Max Conseq'!D$21,'Step 14 Max Conseq'!C$21,+C$20))))</f>
        <v>2</v>
      </c>
      <c r="E31" s="116">
        <f>IF('Steps 12 - 13 Env Conseq'!N33&gt;'Step 14 Max Conseq'!D$24,'Step 14 Max Conseq'!C$24,IF('Steps 12 - 13 Env Conseq'!N33&gt;'Step 14 Max Conseq'!D$23,'Step 14 Max Conseq'!C$23,IF('Steps 12 - 13 Env Conseq'!N33&gt;'Step 14 Max Conseq'!D$22,'Step 14 Max Conseq'!C$22,IF('Steps 12 - 13 Env Conseq'!N33&gt;'Step 14 Max Conseq'!D$21,'Step 14 Max Conseq'!C$21,+C$20))))</f>
        <v>1</v>
      </c>
      <c r="F31" s="116">
        <f t="shared" ref="F31:F39" si="0">MAX(C31:E31)</f>
        <v>2</v>
      </c>
    </row>
    <row r="32" spans="1:6">
      <c r="A32" s="20" t="str">
        <f>+'Steps 10 - 11  Pop Conseq'!A27</f>
        <v>Facility z</v>
      </c>
      <c r="B32" s="18" t="str">
        <f>+'Steps 10 - 11  Pop Conseq'!B27</f>
        <v>Explosion (Ethylene Oxide)</v>
      </c>
      <c r="C32" s="40">
        <f>IF('Steps 10 - 11  Pop Conseq'!G27&gt;'Step 14 Max Conseq'!D$16,'Step 14 Max Conseq'!C$16,IF('Steps 10 - 11  Pop Conseq'!G27&gt;'Step 14 Max Conseq'!D$15,'Step 14 Max Conseq'!C$15,IF('Steps 10 - 11  Pop Conseq'!G27&gt;'Step 14 Max Conseq'!D$14,'Step 14 Max Conseq'!C$14,IF('Steps 10 - 11  Pop Conseq'!G27&gt;'Step 14 Max Conseq'!D$13,'Step 14 Max Conseq'!C$13,'Step 14 Max Conseq'!C$12))))</f>
        <v>3</v>
      </c>
      <c r="D32" s="116">
        <f>IF('Steps 12 - 13 Env Conseq'!J34&gt;'Step 14 Max Conseq'!D$24,'Step 14 Max Conseq'!C$24,IF('Steps 12 - 13 Env Conseq'!J34&gt;'Step 14 Max Conseq'!D$23,'Step 14 Max Conseq'!C$23,IF('Steps 12 - 13 Env Conseq'!J34&gt;'Step 14 Max Conseq'!D$22,'Step 14 Max Conseq'!C$22,IF('Steps 12 - 13 Env Conseq'!J34&gt;'Step 14 Max Conseq'!D$21,'Step 14 Max Conseq'!C$21,+C$20))))</f>
        <v>3</v>
      </c>
      <c r="E32" s="116">
        <f>IF('Steps 12 - 13 Env Conseq'!N34&gt;'Step 14 Max Conseq'!D$24,'Step 14 Max Conseq'!C$24,IF('Steps 12 - 13 Env Conseq'!N34&gt;'Step 14 Max Conseq'!D$23,'Step 14 Max Conseq'!C$23,IF('Steps 12 - 13 Env Conseq'!N34&gt;'Step 14 Max Conseq'!D$22,'Step 14 Max Conseq'!C$22,IF('Steps 12 - 13 Env Conseq'!N34&gt;'Step 14 Max Conseq'!D$21,'Step 14 Max Conseq'!C$21,+C$20))))</f>
        <v>1</v>
      </c>
      <c r="F32" s="40">
        <f t="shared" si="0"/>
        <v>3</v>
      </c>
    </row>
    <row r="33" spans="1:6">
      <c r="A33" s="20" t="str">
        <f>+'Steps 10 - 11  Pop Conseq'!A28</f>
        <v>Facility z</v>
      </c>
      <c r="B33" s="18" t="str">
        <f>+'Steps 10 - 11  Pop Conseq'!B28</f>
        <v>Toxic Gas (Chlorine) (L)</v>
      </c>
      <c r="C33" s="40">
        <f>IF('Steps 10 - 11  Pop Conseq'!G28&gt;'Step 14 Max Conseq'!D$16,'Step 14 Max Conseq'!C$16,IF('Steps 10 - 11  Pop Conseq'!G28&gt;'Step 14 Max Conseq'!D$15,'Step 14 Max Conseq'!C$15,IF('Steps 10 - 11  Pop Conseq'!G28&gt;'Step 14 Max Conseq'!D$14,'Step 14 Max Conseq'!C$14,IF('Steps 10 - 11  Pop Conseq'!G28&gt;'Step 14 Max Conseq'!D$13,'Step 14 Max Conseq'!C$13,'Step 14 Max Conseq'!C$12))))</f>
        <v>5</v>
      </c>
      <c r="D33" s="116">
        <f>IF('Steps 12 - 13 Env Conseq'!J35&gt;'Step 14 Max Conseq'!D$24,'Step 14 Max Conseq'!C$24,IF('Steps 12 - 13 Env Conseq'!J35&gt;'Step 14 Max Conseq'!D$23,'Step 14 Max Conseq'!C$23,IF('Steps 12 - 13 Env Conseq'!J35&gt;'Step 14 Max Conseq'!D$22,'Step 14 Max Conseq'!C$22,IF('Steps 12 - 13 Env Conseq'!J35&gt;'Step 14 Max Conseq'!D$21,'Step 14 Max Conseq'!C$21,+C$20))))</f>
        <v>3</v>
      </c>
      <c r="E33" s="116">
        <f>IF('Steps 12 - 13 Env Conseq'!N35&gt;'Step 14 Max Conseq'!D$24,'Step 14 Max Conseq'!C$24,IF('Steps 12 - 13 Env Conseq'!N35&gt;'Step 14 Max Conseq'!D$23,'Step 14 Max Conseq'!C$23,IF('Steps 12 - 13 Env Conseq'!N35&gt;'Step 14 Max Conseq'!D$22,'Step 14 Max Conseq'!C$22,IF('Steps 12 - 13 Env Conseq'!N35&gt;'Step 14 Max Conseq'!D$21,'Step 14 Max Conseq'!C$21,+C$20))))</f>
        <v>3</v>
      </c>
      <c r="F33" s="40">
        <f t="shared" si="0"/>
        <v>5</v>
      </c>
    </row>
    <row r="34" spans="1:6">
      <c r="A34" s="20" t="str">
        <f>+'Steps 10 - 11  Pop Conseq'!A29</f>
        <v>Facility z</v>
      </c>
      <c r="B34" s="18" t="str">
        <f>+'Steps 10 - 11  Pop Conseq'!B29</f>
        <v>Toxic Gas (Chlorine) (S)</v>
      </c>
      <c r="C34" s="40">
        <f>IF('Steps 10 - 11  Pop Conseq'!G29&gt;'Step 14 Max Conseq'!D$16,'Step 14 Max Conseq'!C$16,IF('Steps 10 - 11  Pop Conseq'!G29&gt;'Step 14 Max Conseq'!D$15,'Step 14 Max Conseq'!C$15,IF('Steps 10 - 11  Pop Conseq'!G29&gt;'Step 14 Max Conseq'!D$14,'Step 14 Max Conseq'!C$14,IF('Steps 10 - 11  Pop Conseq'!G29&gt;'Step 14 Max Conseq'!D$13,'Step 14 Max Conseq'!C$13,'Step 14 Max Conseq'!C$12))))</f>
        <v>3</v>
      </c>
      <c r="D34" s="116">
        <f>IF('Steps 12 - 13 Env Conseq'!J36&gt;'Step 14 Max Conseq'!D$24,'Step 14 Max Conseq'!C$24,IF('Steps 12 - 13 Env Conseq'!J36&gt;'Step 14 Max Conseq'!D$23,'Step 14 Max Conseq'!C$23,IF('Steps 12 - 13 Env Conseq'!J36&gt;'Step 14 Max Conseq'!D$22,'Step 14 Max Conseq'!C$22,IF('Steps 12 - 13 Env Conseq'!J36&gt;'Step 14 Max Conseq'!D$21,'Step 14 Max Conseq'!C$21,+C$20))))</f>
        <v>2</v>
      </c>
      <c r="E34" s="116">
        <f>IF('Steps 12 - 13 Env Conseq'!N36&gt;'Step 14 Max Conseq'!D$24,'Step 14 Max Conseq'!C$24,IF('Steps 12 - 13 Env Conseq'!N36&gt;'Step 14 Max Conseq'!D$23,'Step 14 Max Conseq'!C$23,IF('Steps 12 - 13 Env Conseq'!N36&gt;'Step 14 Max Conseq'!D$22,'Step 14 Max Conseq'!C$22,IF('Steps 12 - 13 Env Conseq'!N36&gt;'Step 14 Max Conseq'!D$21,'Step 14 Max Conseq'!C$21,+C$20))))</f>
        <v>2</v>
      </c>
      <c r="F34" s="40">
        <f t="shared" si="0"/>
        <v>3</v>
      </c>
    </row>
    <row r="35" spans="1:6" ht="30">
      <c r="A35" s="20" t="str">
        <f>+'Steps 10 - 11  Pop Conseq'!A30</f>
        <v>step 10-11 facility</v>
      </c>
      <c r="B35" s="18" t="str">
        <f>+'Steps 10 - 11  Pop Conseq'!B30</f>
        <v>step 10 - 11 hazard</v>
      </c>
      <c r="C35" s="40" t="e">
        <f>IF('Steps 10 - 11  Pop Conseq'!G30&gt;'Step 14 Max Conseq'!D$16,'Step 14 Max Conseq'!C$16,IF('Steps 10 - 11  Pop Conseq'!G30&gt;'Step 14 Max Conseq'!D$15,'Step 14 Max Conseq'!C$15,IF('Steps 10 - 11  Pop Conseq'!G30&gt;'Step 14 Max Conseq'!D$14,'Step 14 Max Conseq'!C$14,IF('Steps 10 - 11  Pop Conseq'!G30&gt;'Step 14 Max Conseq'!D$13,'Step 14 Max Conseq'!C$13,'Step 14 Max Conseq'!C$12))))</f>
        <v>#VALUE!</v>
      </c>
      <c r="D35" s="116" t="e">
        <f>IF('Steps 12 - 13 Env Conseq'!J37&gt;'Step 14 Max Conseq'!D$24,'Step 14 Max Conseq'!C$24,IF('Steps 12 - 13 Env Conseq'!J37&gt;'Step 14 Max Conseq'!D$23,'Step 14 Max Conseq'!C$23,IF('Steps 12 - 13 Env Conseq'!J37&gt;'Step 14 Max Conseq'!D$22,'Step 14 Max Conseq'!C$22,IF('Steps 12 - 13 Env Conseq'!J37&gt;'Step 14 Max Conseq'!D$21,'Step 14 Max Conseq'!C$21,+C$20))))</f>
        <v>#VALUE!</v>
      </c>
      <c r="E35" s="116" t="e">
        <f>IF('Steps 12 - 13 Env Conseq'!N37&gt;'Step 14 Max Conseq'!D$24,'Step 14 Max Conseq'!C$24,IF('Steps 12 - 13 Env Conseq'!N37&gt;'Step 14 Max Conseq'!D$23,'Step 14 Max Conseq'!C$23,IF('Steps 12 - 13 Env Conseq'!N37&gt;'Step 14 Max Conseq'!D$22,'Step 14 Max Conseq'!C$22,IF('Steps 12 - 13 Env Conseq'!N37&gt;'Step 14 Max Conseq'!D$21,'Step 14 Max Conseq'!C$21,+C$20))))</f>
        <v>#VALUE!</v>
      </c>
      <c r="F35" s="40" t="e">
        <f t="shared" ref="F35" si="1">MAX(C35:E35)</f>
        <v>#VALUE!</v>
      </c>
    </row>
    <row r="36" spans="1:6">
      <c r="A36" s="20" t="str">
        <f>+'Steps 10 - 11  Pop Conseq'!A31</f>
        <v>Roads x</v>
      </c>
      <c r="B36" s="18" t="str">
        <f>+'Steps 10 - 11  Pop Conseq'!B31</f>
        <v>Fire  (Gasoline)</v>
      </c>
      <c r="C36" s="40">
        <f>IF('Steps 10 - 11  Pop Conseq'!G31&gt;'Step 14 Max Conseq'!D$16,'Step 14 Max Conseq'!C$16,IF('Steps 10 - 11  Pop Conseq'!G31&gt;'Step 14 Max Conseq'!D$15,'Step 14 Max Conseq'!C$15,IF('Steps 10 - 11  Pop Conseq'!G31&gt;'Step 14 Max Conseq'!D$14,'Step 14 Max Conseq'!C$14,IF('Steps 10 - 11  Pop Conseq'!G31&gt;'Step 14 Max Conseq'!D$13,'Step 14 Max Conseq'!C$13,'Step 14 Max Conseq'!C$12))))</f>
        <v>2</v>
      </c>
      <c r="D36" s="116">
        <f>IF('Steps 12 - 13 Env Conseq'!J38&gt;'Step 14 Max Conseq'!D$24,'Step 14 Max Conseq'!C$24,IF('Steps 12 - 13 Env Conseq'!J38&gt;'Step 14 Max Conseq'!D$23,'Step 14 Max Conseq'!C$23,IF('Steps 12 - 13 Env Conseq'!J38&gt;'Step 14 Max Conseq'!D$22,'Step 14 Max Conseq'!C$22,IF('Steps 12 - 13 Env Conseq'!J38&gt;'Step 14 Max Conseq'!D$21,'Step 14 Max Conseq'!C$21,+C$20))))</f>
        <v>1</v>
      </c>
      <c r="E36" s="116">
        <f>IF('Steps 12 - 13 Env Conseq'!N38&gt;'Step 14 Max Conseq'!D$24,'Step 14 Max Conseq'!C$24,IF('Steps 12 - 13 Env Conseq'!N38&gt;'Step 14 Max Conseq'!D$23,'Step 14 Max Conseq'!C$23,IF('Steps 12 - 13 Env Conseq'!N38&gt;'Step 14 Max Conseq'!D$22,'Step 14 Max Conseq'!C$22,IF('Steps 12 - 13 Env Conseq'!N38&gt;'Step 14 Max Conseq'!D$21,'Step 14 Max Conseq'!C$21,+C$20))))</f>
        <v>1</v>
      </c>
      <c r="F36" s="40">
        <f t="shared" si="0"/>
        <v>2</v>
      </c>
    </row>
    <row r="37" spans="1:6">
      <c r="A37" s="20" t="str">
        <f>+'Steps 10 - 11  Pop Conseq'!A32</f>
        <v>Roads x</v>
      </c>
      <c r="B37" s="18" t="str">
        <f>+'Steps 10 - 11  Pop Conseq'!B32</f>
        <v>Toxic Gas (Ammonia) (L)</v>
      </c>
      <c r="C37" s="40">
        <v>5</v>
      </c>
      <c r="D37" s="116">
        <f>IF('Steps 12 - 13 Env Conseq'!J39&gt;'Step 14 Max Conseq'!D$24,'Step 14 Max Conseq'!C$24,IF('Steps 12 - 13 Env Conseq'!J39&gt;'Step 14 Max Conseq'!D$23,'Step 14 Max Conseq'!C$23,IF('Steps 12 - 13 Env Conseq'!J39&gt;'Step 14 Max Conseq'!D$22,'Step 14 Max Conseq'!C$22,IF('Steps 12 - 13 Env Conseq'!J39&gt;'Step 14 Max Conseq'!D$21,'Step 14 Max Conseq'!C$21,+C$20))))</f>
        <v>1</v>
      </c>
      <c r="E37" s="116">
        <f>IF('Steps 12 - 13 Env Conseq'!N39&gt;'Step 14 Max Conseq'!D$24,'Step 14 Max Conseq'!C$24,IF('Steps 12 - 13 Env Conseq'!N39&gt;'Step 14 Max Conseq'!D$23,'Step 14 Max Conseq'!C$23,IF('Steps 12 - 13 Env Conseq'!N39&gt;'Step 14 Max Conseq'!D$22,'Step 14 Max Conseq'!C$22,IF('Steps 12 - 13 Env Conseq'!N39&gt;'Step 14 Max Conseq'!D$21,'Step 14 Max Conseq'!C$21,+C$20))))</f>
        <v>1</v>
      </c>
      <c r="F37" s="40">
        <f t="shared" si="0"/>
        <v>5</v>
      </c>
    </row>
    <row r="38" spans="1:6">
      <c r="A38" s="20" t="str">
        <f>+'Steps 10 - 11  Pop Conseq'!A33</f>
        <v>Roads x</v>
      </c>
      <c r="B38" s="18" t="str">
        <f>+'Steps 10 - 11  Pop Conseq'!B33</f>
        <v>Toxic Gas (Ammonia) (S)</v>
      </c>
      <c r="C38" s="40">
        <v>3</v>
      </c>
      <c r="D38" s="116">
        <f>IF('Steps 12 - 13 Env Conseq'!J40&gt;'Step 14 Max Conseq'!D$24,'Step 14 Max Conseq'!C$24,IF('Steps 12 - 13 Env Conseq'!J40&gt;'Step 14 Max Conseq'!D$23,'Step 14 Max Conseq'!C$23,IF('Steps 12 - 13 Env Conseq'!J40&gt;'Step 14 Max Conseq'!D$22,'Step 14 Max Conseq'!C$22,IF('Steps 12 - 13 Env Conseq'!J40&gt;'Step 14 Max Conseq'!D$21,'Step 14 Max Conseq'!C$21,+C$20))))</f>
        <v>1</v>
      </c>
      <c r="E38" s="116">
        <f>IF('Steps 12 - 13 Env Conseq'!N40&gt;'Step 14 Max Conseq'!D$24,'Step 14 Max Conseq'!C$24,IF('Steps 12 - 13 Env Conseq'!N40&gt;'Step 14 Max Conseq'!D$23,'Step 14 Max Conseq'!C$23,IF('Steps 12 - 13 Env Conseq'!N40&gt;'Step 14 Max Conseq'!D$22,'Step 14 Max Conseq'!C$22,IF('Steps 12 - 13 Env Conseq'!N40&gt;'Step 14 Max Conseq'!D$21,'Step 14 Max Conseq'!C$21,+C$20))))</f>
        <v>1</v>
      </c>
      <c r="F38" s="40">
        <f t="shared" si="0"/>
        <v>3</v>
      </c>
    </row>
    <row r="39" spans="1:6">
      <c r="A39" s="20" t="str">
        <f>+'Steps 10 - 11  Pop Conseq'!A34</f>
        <v>Roads x</v>
      </c>
      <c r="B39" s="18" t="str">
        <f>+'Steps 10 - 11  Pop Conseq'!B34</f>
        <v>Toxic Liquid (37% HCl) (L)</v>
      </c>
      <c r="C39" s="40">
        <f>IF('Steps 10 - 11  Pop Conseq'!G34&gt;'Step 14 Max Conseq'!D$16,'Step 14 Max Conseq'!C$16,IF('Steps 10 - 11  Pop Conseq'!G34&gt;'Step 14 Max Conseq'!D$15,'Step 14 Max Conseq'!C$15,IF('Steps 10 - 11  Pop Conseq'!G34&gt;'Step 14 Max Conseq'!D$14,'Step 14 Max Conseq'!C$14,IF('Steps 10 - 11  Pop Conseq'!G34&gt;'Step 14 Max Conseq'!D$13,'Step 14 Max Conseq'!C$13,'Step 14 Max Conseq'!C$12))))</f>
        <v>3</v>
      </c>
      <c r="D39" s="116">
        <f>IF('Steps 12 - 13 Env Conseq'!J41&gt;'Step 14 Max Conseq'!D$24,'Step 14 Max Conseq'!C$24,IF('Steps 12 - 13 Env Conseq'!J41&gt;'Step 14 Max Conseq'!D$23,'Step 14 Max Conseq'!C$23,IF('Steps 12 - 13 Env Conseq'!J41&gt;'Step 14 Max Conseq'!D$22,'Step 14 Max Conseq'!C$22,IF('Steps 12 - 13 Env Conseq'!J41&gt;'Step 14 Max Conseq'!D$21,'Step 14 Max Conseq'!C$21,+C$20))))</f>
        <v>1</v>
      </c>
      <c r="E39" s="116">
        <f>IF('Steps 12 - 13 Env Conseq'!N41&gt;'Step 14 Max Conseq'!D$24,'Step 14 Max Conseq'!C$24,IF('Steps 12 - 13 Env Conseq'!N41&gt;'Step 14 Max Conseq'!D$23,'Step 14 Max Conseq'!C$23,IF('Steps 12 - 13 Env Conseq'!N41&gt;'Step 14 Max Conseq'!D$22,'Step 14 Max Conseq'!C$22,IF('Steps 12 - 13 Env Conseq'!N41&gt;'Step 14 Max Conseq'!D$21,'Step 14 Max Conseq'!C$21,+C$20))))</f>
        <v>1</v>
      </c>
      <c r="F39" s="40">
        <f t="shared" si="0"/>
        <v>3</v>
      </c>
    </row>
    <row r="40" spans="1:6">
      <c r="A40" s="20" t="str">
        <f>+'Steps 10 - 11  Pop Conseq'!A35</f>
        <v>Roads x</v>
      </c>
      <c r="B40" s="18" t="str">
        <f>+'Steps 10 - 11  Pop Conseq'!B35</f>
        <v>Toxic Liquid (37% HCl) (S)</v>
      </c>
      <c r="C40" s="40">
        <f>IF('Steps 10 - 11  Pop Conseq'!G35&gt;'Step 14 Max Conseq'!D$16,'Step 14 Max Conseq'!C$16,IF('Steps 10 - 11  Pop Conseq'!G35&gt;'Step 14 Max Conseq'!D$15,'Step 14 Max Conseq'!C$15,IF('Steps 10 - 11  Pop Conseq'!G35&gt;'Step 14 Max Conseq'!D$14,'Step 14 Max Conseq'!C$14,IF('Steps 10 - 11  Pop Conseq'!G35&gt;'Step 14 Max Conseq'!D$13,'Step 14 Max Conseq'!C$13,'Step 14 Max Conseq'!C$12))))</f>
        <v>3</v>
      </c>
      <c r="D40" s="116">
        <f>IF('Steps 12 - 13 Env Conseq'!J42&gt;'Step 14 Max Conseq'!D$24,'Step 14 Max Conseq'!C$24,IF('Steps 12 - 13 Env Conseq'!J42&gt;'Step 14 Max Conseq'!D$23,'Step 14 Max Conseq'!C$23,IF('Steps 12 - 13 Env Conseq'!J42&gt;'Step 14 Max Conseq'!D$22,'Step 14 Max Conseq'!C$22,IF('Steps 12 - 13 Env Conseq'!J42&gt;'Step 14 Max Conseq'!D$21,'Step 14 Max Conseq'!C$21,+C$20))))</f>
        <v>1</v>
      </c>
      <c r="E40" s="116">
        <f>IF('Steps 12 - 13 Env Conseq'!N42&gt;'Step 14 Max Conseq'!D$24,'Step 14 Max Conseq'!C$24,IF('Steps 12 - 13 Env Conseq'!N42&gt;'Step 14 Max Conseq'!D$23,'Step 14 Max Conseq'!C$23,IF('Steps 12 - 13 Env Conseq'!N42&gt;'Step 14 Max Conseq'!D$22,'Step 14 Max Conseq'!C$22,IF('Steps 12 - 13 Env Conseq'!N42&gt;'Step 14 Max Conseq'!D$21,'Step 14 Max Conseq'!C$21,+C$20))))</f>
        <v>1</v>
      </c>
      <c r="F40" s="40">
        <f t="shared" ref="F40:F51" si="2">MAX(C40:E40)</f>
        <v>3</v>
      </c>
    </row>
    <row r="41" spans="1:6">
      <c r="A41" s="20" t="str">
        <f>+'Steps 10 - 11  Pop Conseq'!A36</f>
        <v>Roads y</v>
      </c>
      <c r="B41" s="18" t="str">
        <f>+'Steps 10 - 11  Pop Conseq'!B36</f>
        <v>Fire  (Gasoline)</v>
      </c>
      <c r="C41" s="40">
        <f>IF('Steps 10 - 11  Pop Conseq'!G36&gt;'Step 14 Max Conseq'!D$16,'Step 14 Max Conseq'!C$16,IF('Steps 10 - 11  Pop Conseq'!G36&gt;'Step 14 Max Conseq'!D$15,'Step 14 Max Conseq'!C$15,IF('Steps 10 - 11  Pop Conseq'!G36&gt;'Step 14 Max Conseq'!D$14,'Step 14 Max Conseq'!C$14,IF('Steps 10 - 11  Pop Conseq'!G36&gt;'Step 14 Max Conseq'!D$13,'Step 14 Max Conseq'!C$13,'Step 14 Max Conseq'!C$12))))</f>
        <v>2</v>
      </c>
      <c r="D41" s="116">
        <f>IF('Steps 12 - 13 Env Conseq'!J43&gt;'Step 14 Max Conseq'!D$24,'Step 14 Max Conseq'!C$24,IF('Steps 12 - 13 Env Conseq'!J43&gt;'Step 14 Max Conseq'!D$23,'Step 14 Max Conseq'!C$23,IF('Steps 12 - 13 Env Conseq'!J43&gt;'Step 14 Max Conseq'!D$22,'Step 14 Max Conseq'!C$22,IF('Steps 12 - 13 Env Conseq'!J43&gt;'Step 14 Max Conseq'!D$21,'Step 14 Max Conseq'!C$21,+C$20))))</f>
        <v>1</v>
      </c>
      <c r="E41" s="116">
        <f>IF('Steps 12 - 13 Env Conseq'!N43&gt;'Step 14 Max Conseq'!D$24,'Step 14 Max Conseq'!C$24,IF('Steps 12 - 13 Env Conseq'!N43&gt;'Step 14 Max Conseq'!D$23,'Step 14 Max Conseq'!C$23,IF('Steps 12 - 13 Env Conseq'!N43&gt;'Step 14 Max Conseq'!D$22,'Step 14 Max Conseq'!C$22,IF('Steps 12 - 13 Env Conseq'!N43&gt;'Step 14 Max Conseq'!D$21,'Step 14 Max Conseq'!C$21,+C$20))))</f>
        <v>1</v>
      </c>
      <c r="F41" s="40">
        <f t="shared" si="2"/>
        <v>2</v>
      </c>
    </row>
    <row r="42" spans="1:6">
      <c r="A42" s="20" t="str">
        <f>+'Steps 10 - 11  Pop Conseq'!A37</f>
        <v>Roads u</v>
      </c>
      <c r="B42" s="18" t="str">
        <f>+'Steps 10 - 11  Pop Conseq'!B37</f>
        <v>Fire  (Gasoline)</v>
      </c>
      <c r="C42" s="40">
        <f>IF('Steps 10 - 11  Pop Conseq'!G37&gt;'Step 14 Max Conseq'!D$16,'Step 14 Max Conseq'!C$16,IF('Steps 10 - 11  Pop Conseq'!G37&gt;'Step 14 Max Conseq'!D$15,'Step 14 Max Conseq'!C$15,IF('Steps 10 - 11  Pop Conseq'!G37&gt;'Step 14 Max Conseq'!D$14,'Step 14 Max Conseq'!C$14,IF('Steps 10 - 11  Pop Conseq'!G37&gt;'Step 14 Max Conseq'!D$13,'Step 14 Max Conseq'!C$13,'Step 14 Max Conseq'!C$12))))</f>
        <v>2</v>
      </c>
      <c r="D42" s="116">
        <f>IF('Steps 12 - 13 Env Conseq'!J44&gt;'Step 14 Max Conseq'!D$24,'Step 14 Max Conseq'!C$24,IF('Steps 12 - 13 Env Conseq'!J44&gt;'Step 14 Max Conseq'!D$23,'Step 14 Max Conseq'!C$23,IF('Steps 12 - 13 Env Conseq'!J44&gt;'Step 14 Max Conseq'!D$22,'Step 14 Max Conseq'!C$22,IF('Steps 12 - 13 Env Conseq'!J44&gt;'Step 14 Max Conseq'!D$21,'Step 14 Max Conseq'!C$21,+C$20))))</f>
        <v>1</v>
      </c>
      <c r="E42" s="116">
        <f>IF('Steps 12 - 13 Env Conseq'!N44&gt;'Step 14 Max Conseq'!D$24,'Step 14 Max Conseq'!C$24,IF('Steps 12 - 13 Env Conseq'!N44&gt;'Step 14 Max Conseq'!D$23,'Step 14 Max Conseq'!C$23,IF('Steps 12 - 13 Env Conseq'!N44&gt;'Step 14 Max Conseq'!D$22,'Step 14 Max Conseq'!C$22,IF('Steps 12 - 13 Env Conseq'!N44&gt;'Step 14 Max Conseq'!D$21,'Step 14 Max Conseq'!C$21,+C$20))))</f>
        <v>1</v>
      </c>
      <c r="F42" s="40">
        <f t="shared" si="2"/>
        <v>2</v>
      </c>
    </row>
    <row r="43" spans="1:6">
      <c r="A43" s="20" t="str">
        <f>+'Steps 10 - 11  Pop Conseq'!A38</f>
        <v>Roads u</v>
      </c>
      <c r="B43" s="18" t="str">
        <f>+'Steps 10 - 11  Pop Conseq'!B38</f>
        <v>Toxic Liquid (37% HCl) (L)</v>
      </c>
      <c r="C43" s="40">
        <f>IF('Steps 10 - 11  Pop Conseq'!G38&gt;'Step 14 Max Conseq'!D$16,'Step 14 Max Conseq'!C$16,IF('Steps 10 - 11  Pop Conseq'!G38&gt;'Step 14 Max Conseq'!D$15,'Step 14 Max Conseq'!C$15,IF('Steps 10 - 11  Pop Conseq'!G38&gt;'Step 14 Max Conseq'!D$14,'Step 14 Max Conseq'!C$14,IF('Steps 10 - 11  Pop Conseq'!G38&gt;'Step 14 Max Conseq'!D$13,'Step 14 Max Conseq'!C$13,'Step 14 Max Conseq'!C$12))))</f>
        <v>3</v>
      </c>
      <c r="D43" s="116">
        <f>IF('Steps 12 - 13 Env Conseq'!J45&gt;'Step 14 Max Conseq'!D$24,'Step 14 Max Conseq'!C$24,IF('Steps 12 - 13 Env Conseq'!J45&gt;'Step 14 Max Conseq'!D$23,'Step 14 Max Conseq'!C$23,IF('Steps 12 - 13 Env Conseq'!J45&gt;'Step 14 Max Conseq'!D$22,'Step 14 Max Conseq'!C$22,IF('Steps 12 - 13 Env Conseq'!J45&gt;'Step 14 Max Conseq'!D$21,'Step 14 Max Conseq'!C$21,+C$20))))</f>
        <v>1</v>
      </c>
      <c r="E43" s="116">
        <f>IF('Steps 12 - 13 Env Conseq'!N45&gt;'Step 14 Max Conseq'!D$24,'Step 14 Max Conseq'!C$24,IF('Steps 12 - 13 Env Conseq'!N45&gt;'Step 14 Max Conseq'!D$23,'Step 14 Max Conseq'!C$23,IF('Steps 12 - 13 Env Conseq'!N45&gt;'Step 14 Max Conseq'!D$22,'Step 14 Max Conseq'!C$22,IF('Steps 12 - 13 Env Conseq'!N45&gt;'Step 14 Max Conseq'!D$21,'Step 14 Max Conseq'!C$21,+C$20))))</f>
        <v>1</v>
      </c>
      <c r="F43" s="40">
        <f t="shared" si="2"/>
        <v>3</v>
      </c>
    </row>
    <row r="44" spans="1:6">
      <c r="A44" s="20" t="str">
        <f>+'Steps 10 - 11  Pop Conseq'!A39</f>
        <v>Roads u</v>
      </c>
      <c r="B44" s="18" t="str">
        <f>+'Steps 10 - 11  Pop Conseq'!B39</f>
        <v>Toxic Liquid (37% HCl) (S)</v>
      </c>
      <c r="C44" s="40">
        <f>IF('Steps 10 - 11  Pop Conseq'!G39&gt;'Step 14 Max Conseq'!D$16,'Step 14 Max Conseq'!C$16,IF('Steps 10 - 11  Pop Conseq'!G39&gt;'Step 14 Max Conseq'!D$15,'Step 14 Max Conseq'!C$15,IF('Steps 10 - 11  Pop Conseq'!G39&gt;'Step 14 Max Conseq'!D$14,'Step 14 Max Conseq'!C$14,IF('Steps 10 - 11  Pop Conseq'!G39&gt;'Step 14 Max Conseq'!D$13,'Step 14 Max Conseq'!C$13,'Step 14 Max Conseq'!C$12))))</f>
        <v>3</v>
      </c>
      <c r="D44" s="116">
        <f>IF('Steps 12 - 13 Env Conseq'!J46&gt;'Step 14 Max Conseq'!D$24,'Step 14 Max Conseq'!C$24,IF('Steps 12 - 13 Env Conseq'!J46&gt;'Step 14 Max Conseq'!D$23,'Step 14 Max Conseq'!C$23,IF('Steps 12 - 13 Env Conseq'!J46&gt;'Step 14 Max Conseq'!D$22,'Step 14 Max Conseq'!C$22,IF('Steps 12 - 13 Env Conseq'!J46&gt;'Step 14 Max Conseq'!D$21,'Step 14 Max Conseq'!C$21,+C$20))))</f>
        <v>1</v>
      </c>
      <c r="E44" s="116">
        <f>IF('Steps 12 - 13 Env Conseq'!N46&gt;'Step 14 Max Conseq'!D$24,'Step 14 Max Conseq'!C$24,IF('Steps 12 - 13 Env Conseq'!N46&gt;'Step 14 Max Conseq'!D$23,'Step 14 Max Conseq'!C$23,IF('Steps 12 - 13 Env Conseq'!N46&gt;'Step 14 Max Conseq'!D$22,'Step 14 Max Conseq'!C$22,IF('Steps 12 - 13 Env Conseq'!N46&gt;'Step 14 Max Conseq'!D$21,'Step 14 Max Conseq'!C$21,+C$20))))</f>
        <v>1</v>
      </c>
      <c r="F44" s="40">
        <f t="shared" si="2"/>
        <v>3</v>
      </c>
    </row>
    <row r="45" spans="1:6">
      <c r="A45" s="20" t="str">
        <f>+'Steps 10 - 11  Pop Conseq'!A40</f>
        <v>Road w</v>
      </c>
      <c r="B45" s="18" t="str">
        <f>+'Steps 10 - 11  Pop Conseq'!B40</f>
        <v>Fire  (Gasoline)</v>
      </c>
      <c r="C45" s="40">
        <f>IF('Steps 10 - 11  Pop Conseq'!G40&gt;'Step 14 Max Conseq'!D$16,'Step 14 Max Conseq'!C$16,IF('Steps 10 - 11  Pop Conseq'!G40&gt;'Step 14 Max Conseq'!D$15,'Step 14 Max Conseq'!C$15,IF('Steps 10 - 11  Pop Conseq'!G40&gt;'Step 14 Max Conseq'!D$14,'Step 14 Max Conseq'!C$14,IF('Steps 10 - 11  Pop Conseq'!G40&gt;'Step 14 Max Conseq'!D$13,'Step 14 Max Conseq'!C$13,'Step 14 Max Conseq'!C$12))))</f>
        <v>2</v>
      </c>
      <c r="D45" s="116">
        <f>IF('Steps 12 - 13 Env Conseq'!J47&gt;'Step 14 Max Conseq'!D$24,'Step 14 Max Conseq'!C$24,IF('Steps 12 - 13 Env Conseq'!J47&gt;'Step 14 Max Conseq'!D$23,'Step 14 Max Conseq'!C$23,IF('Steps 12 - 13 Env Conseq'!J47&gt;'Step 14 Max Conseq'!D$22,'Step 14 Max Conseq'!C$22,IF('Steps 12 - 13 Env Conseq'!J47&gt;'Step 14 Max Conseq'!D$21,'Step 14 Max Conseq'!C$21,+C$20))))</f>
        <v>1</v>
      </c>
      <c r="E45" s="116">
        <f>IF('Steps 12 - 13 Env Conseq'!N47&gt;'Step 14 Max Conseq'!D$24,'Step 14 Max Conseq'!C$24,IF('Steps 12 - 13 Env Conseq'!N47&gt;'Step 14 Max Conseq'!D$23,'Step 14 Max Conseq'!C$23,IF('Steps 12 - 13 Env Conseq'!N47&gt;'Step 14 Max Conseq'!D$22,'Step 14 Max Conseq'!C$22,IF('Steps 12 - 13 Env Conseq'!N47&gt;'Step 14 Max Conseq'!D$21,'Step 14 Max Conseq'!C$21,+C$20))))</f>
        <v>1</v>
      </c>
      <c r="F45" s="40">
        <f t="shared" si="2"/>
        <v>2</v>
      </c>
    </row>
    <row r="46" spans="1:6">
      <c r="A46" s="20" t="str">
        <f>+'Steps 10 - 11  Pop Conseq'!A41</f>
        <v>Road w</v>
      </c>
      <c r="B46" s="18" t="str">
        <f>+'Steps 10 - 11  Pop Conseq'!B41</f>
        <v>Toxic Gas (Ammonia) (L)</v>
      </c>
      <c r="C46" s="40">
        <f>IF('Steps 10 - 11  Pop Conseq'!G41&gt;'Step 14 Max Conseq'!D$16,'Step 14 Max Conseq'!C$16,IF('Steps 10 - 11  Pop Conseq'!G41&gt;'Step 14 Max Conseq'!D$15,'Step 14 Max Conseq'!C$15,IF('Steps 10 - 11  Pop Conseq'!G41&gt;'Step 14 Max Conseq'!D$14,'Step 14 Max Conseq'!C$14,IF('Steps 10 - 11  Pop Conseq'!G41&gt;'Step 14 Max Conseq'!D$13,'Step 14 Max Conseq'!C$13,'Step 14 Max Conseq'!C$12))))</f>
        <v>5</v>
      </c>
      <c r="D46" s="116">
        <f>IF('Steps 12 - 13 Env Conseq'!J48&gt;'Step 14 Max Conseq'!D$24,'Step 14 Max Conseq'!C$24,IF('Steps 12 - 13 Env Conseq'!J48&gt;'Step 14 Max Conseq'!D$23,'Step 14 Max Conseq'!C$23,IF('Steps 12 - 13 Env Conseq'!J48&gt;'Step 14 Max Conseq'!D$22,'Step 14 Max Conseq'!C$22,IF('Steps 12 - 13 Env Conseq'!J48&gt;'Step 14 Max Conseq'!D$21,'Step 14 Max Conseq'!C$21,+C$20))))</f>
        <v>1</v>
      </c>
      <c r="E46" s="116">
        <f>IF('Steps 12 - 13 Env Conseq'!N48&gt;'Step 14 Max Conseq'!D$24,'Step 14 Max Conseq'!C$24,IF('Steps 12 - 13 Env Conseq'!N48&gt;'Step 14 Max Conseq'!D$23,'Step 14 Max Conseq'!C$23,IF('Steps 12 - 13 Env Conseq'!N48&gt;'Step 14 Max Conseq'!D$22,'Step 14 Max Conseq'!C$22,IF('Steps 12 - 13 Env Conseq'!N48&gt;'Step 14 Max Conseq'!D$21,'Step 14 Max Conseq'!C$21,+C$20))))</f>
        <v>1</v>
      </c>
      <c r="F46" s="40">
        <f t="shared" si="2"/>
        <v>5</v>
      </c>
    </row>
    <row r="47" spans="1:6">
      <c r="A47" s="20" t="str">
        <f>+'Steps 10 - 11  Pop Conseq'!A42</f>
        <v>Road w</v>
      </c>
      <c r="B47" s="18" t="str">
        <f>+'Steps 10 - 11  Pop Conseq'!B42</f>
        <v>Toxic Gas (Ammonia) (S)</v>
      </c>
      <c r="C47" s="40">
        <f>IF('Steps 10 - 11  Pop Conseq'!G42&gt;'Step 14 Max Conseq'!D$16,'Step 14 Max Conseq'!C$16,IF('Steps 10 - 11  Pop Conseq'!G42&gt;'Step 14 Max Conseq'!D$15,'Step 14 Max Conseq'!C$15,IF('Steps 10 - 11  Pop Conseq'!G42&gt;'Step 14 Max Conseq'!D$14,'Step 14 Max Conseq'!C$14,IF('Steps 10 - 11  Pop Conseq'!G42&gt;'Step 14 Max Conseq'!D$13,'Step 14 Max Conseq'!C$13,'Step 14 Max Conseq'!C$12))))</f>
        <v>3</v>
      </c>
      <c r="D47" s="116">
        <f>IF('Steps 12 - 13 Env Conseq'!J49&gt;'Step 14 Max Conseq'!D$24,'Step 14 Max Conseq'!C$24,IF('Steps 12 - 13 Env Conseq'!J49&gt;'Step 14 Max Conseq'!D$23,'Step 14 Max Conseq'!C$23,IF('Steps 12 - 13 Env Conseq'!J49&gt;'Step 14 Max Conseq'!D$22,'Step 14 Max Conseq'!C$22,IF('Steps 12 - 13 Env Conseq'!J49&gt;'Step 14 Max Conseq'!D$21,'Step 14 Max Conseq'!C$21,+C$20))))</f>
        <v>1</v>
      </c>
      <c r="E47" s="116">
        <f>IF('Steps 12 - 13 Env Conseq'!N49&gt;'Step 14 Max Conseq'!D$24,'Step 14 Max Conseq'!C$24,IF('Steps 12 - 13 Env Conseq'!N49&gt;'Step 14 Max Conseq'!D$23,'Step 14 Max Conseq'!C$23,IF('Steps 12 - 13 Env Conseq'!N49&gt;'Step 14 Max Conseq'!D$22,'Step 14 Max Conseq'!C$22,IF('Steps 12 - 13 Env Conseq'!N49&gt;'Step 14 Max Conseq'!D$21,'Step 14 Max Conseq'!C$21,+C$20))))</f>
        <v>1</v>
      </c>
      <c r="F47" s="40">
        <f t="shared" si="2"/>
        <v>3</v>
      </c>
    </row>
    <row r="48" spans="1:6">
      <c r="A48" s="20" t="str">
        <f>+'Steps 10 - 11  Pop Conseq'!A43</f>
        <v>Railroad s</v>
      </c>
      <c r="B48" s="18" t="str">
        <f>+'Steps 10 - 11  Pop Conseq'!B43</f>
        <v>BLEVE (Ethylene Oxide)</v>
      </c>
      <c r="C48" s="40">
        <f>IF('Steps 10 - 11  Pop Conseq'!G43&gt;'Step 14 Max Conseq'!D$16,'Step 14 Max Conseq'!C$16,IF('Steps 10 - 11  Pop Conseq'!G43&gt;'Step 14 Max Conseq'!D$15,'Step 14 Max Conseq'!C$15,IF('Steps 10 - 11  Pop Conseq'!G43&gt;'Step 14 Max Conseq'!D$14,'Step 14 Max Conseq'!C$14,IF('Steps 10 - 11  Pop Conseq'!G43&gt;'Step 14 Max Conseq'!D$13,'Step 14 Max Conseq'!C$13,'Step 14 Max Conseq'!C$12))))</f>
        <v>3</v>
      </c>
      <c r="D48" s="116">
        <f>IF('Steps 12 - 13 Env Conseq'!J50&gt;'Step 14 Max Conseq'!D$24,'Step 14 Max Conseq'!C$24,IF('Steps 12 - 13 Env Conseq'!J50&gt;'Step 14 Max Conseq'!D$23,'Step 14 Max Conseq'!C$23,IF('Steps 12 - 13 Env Conseq'!J50&gt;'Step 14 Max Conseq'!D$22,'Step 14 Max Conseq'!C$22,IF('Steps 12 - 13 Env Conseq'!J50&gt;'Step 14 Max Conseq'!D$21,'Step 14 Max Conseq'!C$21,+C$20))))</f>
        <v>1</v>
      </c>
      <c r="E48" s="116">
        <f>IF('Steps 12 - 13 Env Conseq'!N50&gt;'Step 14 Max Conseq'!D$24,'Step 14 Max Conseq'!C$24,IF('Steps 12 - 13 Env Conseq'!N50&gt;'Step 14 Max Conseq'!D$23,'Step 14 Max Conseq'!C$23,IF('Steps 12 - 13 Env Conseq'!N50&gt;'Step 14 Max Conseq'!D$22,'Step 14 Max Conseq'!C$22,IF('Steps 12 - 13 Env Conseq'!N50&gt;'Step 14 Max Conseq'!D$21,'Step 14 Max Conseq'!C$21,+C$20))))</f>
        <v>1</v>
      </c>
      <c r="F48" s="40">
        <f t="shared" si="2"/>
        <v>3</v>
      </c>
    </row>
    <row r="49" spans="1:6">
      <c r="A49" s="20" t="str">
        <f>+'Steps 10 - 11  Pop Conseq'!A44</f>
        <v>Railroad s</v>
      </c>
      <c r="B49" s="18" t="str">
        <f>+'Steps 10 - 11  Pop Conseq'!B44</f>
        <v>Toxic Gas (Chlorine) (L)</v>
      </c>
      <c r="C49" s="40">
        <f>IF('Steps 10 - 11  Pop Conseq'!G44&gt;'Step 14 Max Conseq'!D$16,'Step 14 Max Conseq'!C$16,IF('Steps 10 - 11  Pop Conseq'!G44&gt;'Step 14 Max Conseq'!D$15,'Step 14 Max Conseq'!C$15,IF('Steps 10 - 11  Pop Conseq'!G44&gt;'Step 14 Max Conseq'!D$14,'Step 14 Max Conseq'!C$14,IF('Steps 10 - 11  Pop Conseq'!G44&gt;'Step 14 Max Conseq'!D$13,'Step 14 Max Conseq'!C$13,'Step 14 Max Conseq'!C$12))))</f>
        <v>5</v>
      </c>
      <c r="D49" s="116">
        <f>IF('Steps 12 - 13 Env Conseq'!J51&gt;'Step 14 Max Conseq'!D$24,'Step 14 Max Conseq'!C$24,IF('Steps 12 - 13 Env Conseq'!J51&gt;'Step 14 Max Conseq'!D$23,'Step 14 Max Conseq'!C$23,IF('Steps 12 - 13 Env Conseq'!J51&gt;'Step 14 Max Conseq'!D$22,'Step 14 Max Conseq'!C$22,IF('Steps 12 - 13 Env Conseq'!J51&gt;'Step 14 Max Conseq'!D$21,'Step 14 Max Conseq'!C$21,+C$20))))</f>
        <v>2</v>
      </c>
      <c r="E49" s="116">
        <f>IF('Steps 12 - 13 Env Conseq'!N51&gt;'Step 14 Max Conseq'!D$24,'Step 14 Max Conseq'!C$24,IF('Steps 12 - 13 Env Conseq'!N51&gt;'Step 14 Max Conseq'!D$23,'Step 14 Max Conseq'!C$23,IF('Steps 12 - 13 Env Conseq'!N51&gt;'Step 14 Max Conseq'!D$22,'Step 14 Max Conseq'!C$22,IF('Steps 12 - 13 Env Conseq'!N51&gt;'Step 14 Max Conseq'!D$21,'Step 14 Max Conseq'!C$21,+C$20))))</f>
        <v>2</v>
      </c>
      <c r="F49" s="40">
        <f t="shared" si="2"/>
        <v>5</v>
      </c>
    </row>
    <row r="50" spans="1:6">
      <c r="A50" s="20" t="str">
        <f>+'Steps 10 - 11  Pop Conseq'!A45</f>
        <v>Railroad s</v>
      </c>
      <c r="B50" s="18" t="str">
        <f>+'Steps 10 - 11  Pop Conseq'!B45</f>
        <v>Toxic Gas (Chlorine)  (S)</v>
      </c>
      <c r="C50" s="40">
        <f>IF('Steps 10 - 11  Pop Conseq'!G45&gt;'Step 14 Max Conseq'!D$16,'Step 14 Max Conseq'!C$16,IF('Steps 10 - 11  Pop Conseq'!G45&gt;'Step 14 Max Conseq'!D$15,'Step 14 Max Conseq'!C$15,IF('Steps 10 - 11  Pop Conseq'!G45&gt;'Step 14 Max Conseq'!D$14,'Step 14 Max Conseq'!C$14,IF('Steps 10 - 11  Pop Conseq'!G45&gt;'Step 14 Max Conseq'!D$13,'Step 14 Max Conseq'!C$13,'Step 14 Max Conseq'!C$12))))</f>
        <v>5</v>
      </c>
      <c r="D50" s="116">
        <f>IF('Steps 12 - 13 Env Conseq'!J52&gt;'Step 14 Max Conseq'!D$24,'Step 14 Max Conseq'!C$24,IF('Steps 12 - 13 Env Conseq'!J52&gt;'Step 14 Max Conseq'!D$23,'Step 14 Max Conseq'!C$23,IF('Steps 12 - 13 Env Conseq'!J52&gt;'Step 14 Max Conseq'!D$22,'Step 14 Max Conseq'!C$22,IF('Steps 12 - 13 Env Conseq'!J52&gt;'Step 14 Max Conseq'!D$21,'Step 14 Max Conseq'!C$21,+C$20))))</f>
        <v>1</v>
      </c>
      <c r="E50" s="116">
        <f>IF('Steps 12 - 13 Env Conseq'!N52&gt;'Step 14 Max Conseq'!D$24,'Step 14 Max Conseq'!C$24,IF('Steps 12 - 13 Env Conseq'!N52&gt;'Step 14 Max Conseq'!D$23,'Step 14 Max Conseq'!C$23,IF('Steps 12 - 13 Env Conseq'!N52&gt;'Step 14 Max Conseq'!D$22,'Step 14 Max Conseq'!C$22,IF('Steps 12 - 13 Env Conseq'!N52&gt;'Step 14 Max Conseq'!D$21,'Step 14 Max Conseq'!C$21,+C$20))))</f>
        <v>1</v>
      </c>
      <c r="F50" s="40">
        <f t="shared" si="2"/>
        <v>5</v>
      </c>
    </row>
    <row r="51" spans="1:6" ht="30.75" thickBot="1">
      <c r="A51" s="20" t="str">
        <f>+'Steps 10 - 11  Pop Conseq'!A46</f>
        <v>step 10-12 route</v>
      </c>
      <c r="B51" s="18" t="str">
        <f>+'Steps 10 - 11  Pop Conseq'!B46</f>
        <v>step 10 - 11 hazard</v>
      </c>
      <c r="C51" s="347" t="e">
        <f>IF('Steps 10 - 11  Pop Conseq'!G46&gt;'Step 14 Max Conseq'!D$16,'Step 14 Max Conseq'!C$16,IF('Steps 10 - 11  Pop Conseq'!G46&gt;'Step 14 Max Conseq'!D$15,'Step 14 Max Conseq'!C$15,IF('Steps 10 - 11  Pop Conseq'!G46&gt;'Step 14 Max Conseq'!D$14,'Step 14 Max Conseq'!C$14,IF('Steps 10 - 11  Pop Conseq'!G46&gt;'Step 14 Max Conseq'!D$13,'Step 14 Max Conseq'!C$13,'Step 14 Max Conseq'!C$12))))</f>
        <v>#VALUE!</v>
      </c>
      <c r="D51" s="347" t="e">
        <f>IF('Steps 12 - 13 Env Conseq'!J53&gt;'Step 14 Max Conseq'!D$24,'Step 14 Max Conseq'!C$24,IF('Steps 12 - 13 Env Conseq'!J53&gt;'Step 14 Max Conseq'!D$23,'Step 14 Max Conseq'!C$23,IF('Steps 12 - 13 Env Conseq'!J53&gt;'Step 14 Max Conseq'!D$22,'Step 14 Max Conseq'!C$22,IF('Steps 12 - 13 Env Conseq'!J53&gt;'Step 14 Max Conseq'!D$21,'Step 14 Max Conseq'!C$21,+C$20))))</f>
        <v>#VALUE!</v>
      </c>
      <c r="E51" s="347" t="e">
        <f>IF('Steps 12 - 13 Env Conseq'!N53&gt;'Step 14 Max Conseq'!D$24,'Step 14 Max Conseq'!C$24,IF('Steps 12 - 13 Env Conseq'!N53&gt;'Step 14 Max Conseq'!D$23,'Step 14 Max Conseq'!C$23,IF('Steps 12 - 13 Env Conseq'!N53&gt;'Step 14 Max Conseq'!D$22,'Step 14 Max Conseq'!C$22,IF('Steps 12 - 13 Env Conseq'!N53&gt;'Step 14 Max Conseq'!D$21,'Step 14 Max Conseq'!C$21,+C$20))))</f>
        <v>#VALUE!</v>
      </c>
      <c r="F51" s="347" t="e">
        <f t="shared" si="2"/>
        <v>#VALUE!</v>
      </c>
    </row>
    <row r="52" spans="1:6">
      <c r="D52" s="1">
        <f>+'Step 14 Max Conseq'!D31</f>
        <v>2</v>
      </c>
      <c r="E52" s="1">
        <f>+'Steps 12 - 13 Env Conseq'!N33</f>
        <v>20000</v>
      </c>
    </row>
  </sheetData>
  <customSheetViews>
    <customSheetView guid="{3DB30FED-CC59-45C7-A6C7-CEC6DAE12EDE}">
      <selection activeCell="U26" sqref="U26"/>
      <pageMargins left="0.7" right="0.7" top="0.75" bottom="0.75" header="0.3" footer="0.3"/>
      <pageSetup orientation="portrait" r:id="rId1"/>
    </customSheetView>
  </customSheetViews>
  <mergeCells count="2">
    <mergeCell ref="B2:F4"/>
    <mergeCell ref="B6:F7"/>
  </mergeCell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sheetPr codeName="Sheet7"/>
  <dimension ref="B2:G53"/>
  <sheetViews>
    <sheetView topLeftCell="C26" workbookViewId="0">
      <selection activeCell="D37" sqref="D37"/>
    </sheetView>
  </sheetViews>
  <sheetFormatPr defaultRowHeight="15"/>
  <cols>
    <col min="2" max="2" width="38.5703125" customWidth="1"/>
    <col min="3" max="3" width="26" customWidth="1"/>
    <col min="4" max="4" width="20.42578125" customWidth="1"/>
    <col min="5" max="5" width="18.7109375" customWidth="1"/>
    <col min="6" max="6" width="18.85546875" customWidth="1"/>
    <col min="7" max="7" width="18.7109375" customWidth="1"/>
  </cols>
  <sheetData>
    <row r="2" spans="2:7">
      <c r="B2" s="400" t="s">
        <v>363</v>
      </c>
      <c r="C2" s="400"/>
      <c r="D2" s="400"/>
      <c r="E2" s="400"/>
      <c r="F2" s="400"/>
      <c r="G2" s="400"/>
    </row>
    <row r="4" spans="2:7">
      <c r="B4" s="400" t="s">
        <v>382</v>
      </c>
      <c r="C4" s="400"/>
      <c r="D4" s="400"/>
      <c r="E4" s="400"/>
      <c r="F4" s="400"/>
      <c r="G4" s="400"/>
    </row>
    <row r="5" spans="2:7">
      <c r="B5" s="400"/>
      <c r="C5" s="400"/>
      <c r="D5" s="400"/>
      <c r="E5" s="400"/>
      <c r="F5" s="400"/>
      <c r="G5" s="400"/>
    </row>
    <row r="9" spans="2:7" ht="15.75" thickBot="1">
      <c r="B9" t="s">
        <v>325</v>
      </c>
    </row>
    <row r="10" spans="2:7">
      <c r="B10" s="450" t="s">
        <v>60</v>
      </c>
      <c r="C10" s="447" t="s">
        <v>61</v>
      </c>
      <c r="D10" s="448"/>
      <c r="E10" s="448"/>
      <c r="F10" s="448"/>
      <c r="G10" s="449"/>
    </row>
    <row r="11" spans="2:7" ht="15.75" thickBot="1">
      <c r="B11" s="451"/>
      <c r="C11" s="43" t="s">
        <v>98</v>
      </c>
      <c r="D11" s="43" t="s">
        <v>99</v>
      </c>
      <c r="E11" s="43" t="s">
        <v>100</v>
      </c>
      <c r="F11" s="43" t="s">
        <v>101</v>
      </c>
      <c r="G11" s="44" t="s">
        <v>102</v>
      </c>
    </row>
    <row r="12" spans="2:7">
      <c r="B12" s="145"/>
      <c r="C12" s="455" t="s">
        <v>326</v>
      </c>
      <c r="D12" s="448"/>
      <c r="E12" s="448"/>
      <c r="F12" s="448"/>
      <c r="G12" s="449"/>
    </row>
    <row r="13" spans="2:7" ht="15.75" thickBot="1">
      <c r="B13" s="170"/>
      <c r="C13" s="69">
        <v>5</v>
      </c>
      <c r="D13" s="69">
        <v>4</v>
      </c>
      <c r="E13" s="69">
        <v>3</v>
      </c>
      <c r="F13" s="69">
        <v>2</v>
      </c>
      <c r="G13" s="169">
        <v>1</v>
      </c>
    </row>
    <row r="14" spans="2:7" ht="15.75" thickBot="1">
      <c r="B14" s="170"/>
      <c r="C14" s="452" t="s">
        <v>108</v>
      </c>
      <c r="D14" s="453"/>
      <c r="E14" s="453"/>
      <c r="F14" s="453"/>
      <c r="G14" s="454"/>
    </row>
    <row r="15" spans="2:7">
      <c r="B15" s="45">
        <v>1</v>
      </c>
      <c r="C15" s="46">
        <v>0</v>
      </c>
      <c r="D15" s="46">
        <v>0</v>
      </c>
      <c r="E15" s="46">
        <v>0</v>
      </c>
      <c r="F15" s="46">
        <v>1</v>
      </c>
      <c r="G15" s="47">
        <v>1</v>
      </c>
    </row>
    <row r="16" spans="2:7">
      <c r="B16" s="48">
        <v>2</v>
      </c>
      <c r="C16" s="41">
        <v>0</v>
      </c>
      <c r="D16" s="41">
        <v>1</v>
      </c>
      <c r="E16" s="41">
        <v>1</v>
      </c>
      <c r="F16" s="41">
        <v>2</v>
      </c>
      <c r="G16" s="42">
        <v>3</v>
      </c>
    </row>
    <row r="17" spans="2:7">
      <c r="B17" s="48">
        <v>3</v>
      </c>
      <c r="C17" s="41">
        <v>1</v>
      </c>
      <c r="D17" s="41">
        <v>1</v>
      </c>
      <c r="E17" s="41">
        <v>2</v>
      </c>
      <c r="F17" s="41">
        <v>3</v>
      </c>
      <c r="G17" s="42">
        <v>4</v>
      </c>
    </row>
    <row r="18" spans="2:7">
      <c r="B18" s="48">
        <v>4</v>
      </c>
      <c r="C18" s="41">
        <v>2</v>
      </c>
      <c r="D18" s="41">
        <v>2</v>
      </c>
      <c r="E18" s="41">
        <v>3</v>
      </c>
      <c r="F18" s="41">
        <v>4</v>
      </c>
      <c r="G18" s="42">
        <v>4</v>
      </c>
    </row>
    <row r="19" spans="2:7" ht="15.75" thickBot="1">
      <c r="B19" s="49">
        <v>5</v>
      </c>
      <c r="C19" s="43">
        <v>3</v>
      </c>
      <c r="D19" s="43">
        <v>4</v>
      </c>
      <c r="E19" s="43">
        <v>4</v>
      </c>
      <c r="F19" s="43">
        <v>4</v>
      </c>
      <c r="G19" s="44">
        <v>4</v>
      </c>
    </row>
    <row r="20" spans="2:7">
      <c r="B20" s="69"/>
      <c r="C20" s="69"/>
      <c r="D20" s="69"/>
      <c r="E20" s="69"/>
      <c r="F20" s="69"/>
      <c r="G20" s="69"/>
    </row>
    <row r="21" spans="2:7">
      <c r="B21" s="69" t="s">
        <v>302</v>
      </c>
      <c r="C21" s="69">
        <f>+'Step 3 to 6'!I36</f>
        <v>4</v>
      </c>
      <c r="D21" s="69"/>
      <c r="E21" s="69"/>
      <c r="F21" s="69"/>
      <c r="G21" s="69"/>
    </row>
    <row r="22" spans="2:7">
      <c r="B22" s="139" t="s">
        <v>305</v>
      </c>
      <c r="C22" s="139">
        <f>+'Step 1 and 2'!C100</f>
        <v>2</v>
      </c>
      <c r="D22" s="69"/>
      <c r="E22" s="69"/>
      <c r="F22" s="69"/>
      <c r="G22" s="69"/>
    </row>
    <row r="23" spans="2:7">
      <c r="D23" s="69"/>
      <c r="E23" s="69"/>
      <c r="F23" s="69"/>
      <c r="G23" s="69"/>
    </row>
    <row r="24" spans="2:7" ht="15.75" thickBot="1">
      <c r="B24" t="s">
        <v>327</v>
      </c>
    </row>
    <row r="25" spans="2:7" ht="27" thickBot="1">
      <c r="B25" s="439" t="s">
        <v>128</v>
      </c>
      <c r="C25" s="440"/>
      <c r="D25" s="100" t="s">
        <v>129</v>
      </c>
    </row>
    <row r="26" spans="2:7">
      <c r="B26" s="441" t="s">
        <v>130</v>
      </c>
      <c r="C26" s="442"/>
      <c r="D26" s="306">
        <v>1</v>
      </c>
    </row>
    <row r="27" spans="2:7">
      <c r="B27" s="443" t="s">
        <v>131</v>
      </c>
      <c r="C27" s="444"/>
      <c r="D27" s="307">
        <v>3</v>
      </c>
    </row>
    <row r="28" spans="2:7" ht="15.75" thickBot="1">
      <c r="B28" s="445" t="s">
        <v>132</v>
      </c>
      <c r="C28" s="446"/>
      <c r="D28" s="308">
        <v>5</v>
      </c>
    </row>
    <row r="30" spans="2:7" ht="15.75" thickBot="1"/>
    <row r="31" spans="2:7" ht="30">
      <c r="B31" s="146" t="s">
        <v>0</v>
      </c>
      <c r="C31" s="143" t="s">
        <v>1</v>
      </c>
      <c r="D31" s="5" t="s">
        <v>303</v>
      </c>
      <c r="E31" s="5" t="s">
        <v>274</v>
      </c>
      <c r="F31" s="5" t="s">
        <v>275</v>
      </c>
      <c r="G31" s="262" t="s">
        <v>276</v>
      </c>
    </row>
    <row r="32" spans="2:7" ht="30.75" thickBot="1">
      <c r="B32" s="147"/>
      <c r="C32" s="148"/>
      <c r="D32" s="148" t="s">
        <v>273</v>
      </c>
      <c r="E32" s="261" t="s">
        <v>304</v>
      </c>
      <c r="F32" s="58" t="s">
        <v>306</v>
      </c>
      <c r="G32" s="83" t="s">
        <v>277</v>
      </c>
    </row>
    <row r="33" spans="2:7">
      <c r="B33" s="67" t="str">
        <f>+'Steps 10 - 11  Pop Conseq'!A26</f>
        <v>Facility z</v>
      </c>
      <c r="C33" s="63" t="str">
        <f>+'Steps 10 - 11  Pop Conseq'!B26</f>
        <v>Fire (Ethylene Oxide)</v>
      </c>
      <c r="D33" s="68">
        <f>+'Step 14 Max Conseq'!F31</f>
        <v>2</v>
      </c>
      <c r="E33" s="64">
        <f>VLOOKUP(D33,$B$15:$G$19,7-C$21,FALSE)</f>
        <v>1</v>
      </c>
      <c r="F33" s="64">
        <f>+C$22</f>
        <v>2</v>
      </c>
      <c r="G33" s="65">
        <f>+IF((E33-F33)&gt;1,D$28,IF((E33-F33)&gt;0,D$27,D$26))</f>
        <v>1</v>
      </c>
    </row>
    <row r="34" spans="2:7">
      <c r="B34" s="8" t="str">
        <f>+'Steps 10 - 11  Pop Conseq'!A27</f>
        <v>Facility z</v>
      </c>
      <c r="C34" s="9" t="str">
        <f>+'Steps 10 - 11  Pop Conseq'!B27</f>
        <v>Explosion (Ethylene Oxide)</v>
      </c>
      <c r="D34" s="10">
        <f>+'Step 14 Max Conseq'!F32</f>
        <v>3</v>
      </c>
      <c r="E34" s="53">
        <f t="shared" ref="E34:E36" si="0">VLOOKUP(D34,$B$15:$G$19,7-C$21,FALSE)</f>
        <v>1</v>
      </c>
      <c r="F34" s="53">
        <f>+C$22</f>
        <v>2</v>
      </c>
      <c r="G34" s="162">
        <f>+IF((E34-F34)&gt;1,D$28,IF((E34-F34)&gt;0,D$27,D$26))</f>
        <v>1</v>
      </c>
    </row>
    <row r="35" spans="2:7">
      <c r="B35" s="8" t="str">
        <f>+'Steps 10 - 11  Pop Conseq'!A28</f>
        <v>Facility z</v>
      </c>
      <c r="C35" s="9" t="str">
        <f>+'Steps 10 - 11  Pop Conseq'!B28</f>
        <v>Toxic Gas (Chlorine) (L)</v>
      </c>
      <c r="D35" s="10">
        <f>+'Step 14 Max Conseq'!F33</f>
        <v>5</v>
      </c>
      <c r="E35" s="53">
        <f t="shared" si="0"/>
        <v>4</v>
      </c>
      <c r="F35" s="53">
        <f>+C$22</f>
        <v>2</v>
      </c>
      <c r="G35" s="162">
        <f>+IF((E35-F35)&gt;1,D$28,IF((E35-F35)&gt;0,D$27,D$26))</f>
        <v>5</v>
      </c>
    </row>
    <row r="36" spans="2:7">
      <c r="B36" s="8" t="str">
        <f>+'Steps 10 - 11  Pop Conseq'!A29</f>
        <v>Facility z</v>
      </c>
      <c r="C36" s="9" t="str">
        <f>+'Steps 10 - 11  Pop Conseq'!B29</f>
        <v>Toxic Gas (Chlorine) (S)</v>
      </c>
      <c r="D36" s="10">
        <f>+'Step 14 Max Conseq'!F34</f>
        <v>3</v>
      </c>
      <c r="E36" s="53">
        <f t="shared" si="0"/>
        <v>1</v>
      </c>
      <c r="F36" s="53">
        <f>+C$22</f>
        <v>2</v>
      </c>
      <c r="G36" s="162">
        <f>+IF((E36-F36)&gt;1,D$28,IF((E36-F36)&gt;0,D$27,D$26))</f>
        <v>1</v>
      </c>
    </row>
    <row r="37" spans="2:7">
      <c r="B37" s="8" t="str">
        <f>+'Steps 10 - 11  Pop Conseq'!A30</f>
        <v>step 10-11 facility</v>
      </c>
      <c r="C37" s="9" t="str">
        <f>+'Steps 10 - 11  Pop Conseq'!B30</f>
        <v>step 10 - 11 hazard</v>
      </c>
      <c r="D37" s="10" t="e">
        <f>+'Step 14 Max Conseq'!F35</f>
        <v>#VALUE!</v>
      </c>
      <c r="E37" s="53" t="e">
        <f t="shared" ref="E37" si="1">VLOOKUP(D37,$B$15:$G$19,7-C$21,FALSE)</f>
        <v>#VALUE!</v>
      </c>
      <c r="F37" s="53">
        <f>+C$22</f>
        <v>2</v>
      </c>
      <c r="G37" s="162" t="e">
        <f>+IF((E37-F37)&gt;1,D$28,IF((E37-F37)&gt;0,D$27,D$26))</f>
        <v>#VALUE!</v>
      </c>
    </row>
    <row r="38" spans="2:7">
      <c r="B38" s="8" t="str">
        <f>+'Steps 10 - 11  Pop Conseq'!A31</f>
        <v>Roads x</v>
      </c>
      <c r="C38" s="9" t="str">
        <f>+'Steps 10 - 11  Pop Conseq'!B31</f>
        <v>Fire  (Gasoline)</v>
      </c>
      <c r="D38" s="10">
        <f>+'Step 14 Max Conseq'!F36</f>
        <v>2</v>
      </c>
      <c r="E38" s="53">
        <f t="shared" ref="E38:E52" si="2">VLOOKUP(D38,$B$15:$G$19,7-C$21,FALSE)</f>
        <v>1</v>
      </c>
      <c r="F38" s="53">
        <f t="shared" ref="F38:F52" si="3">+C$22</f>
        <v>2</v>
      </c>
      <c r="G38" s="162">
        <f t="shared" ref="G38:G52" si="4">+IF((E38-F38)&gt;1,D$28,IF((E38-F38)&gt;0,D$27,D$26))</f>
        <v>1</v>
      </c>
    </row>
    <row r="39" spans="2:7">
      <c r="B39" s="8" t="str">
        <f>+'Steps 10 - 11  Pop Conseq'!A32</f>
        <v>Roads x</v>
      </c>
      <c r="C39" s="9" t="str">
        <f>+'Steps 10 - 11  Pop Conseq'!B32</f>
        <v>Toxic Gas (Ammonia) (L)</v>
      </c>
      <c r="D39" s="10">
        <f>+'Step 14 Max Conseq'!F37</f>
        <v>5</v>
      </c>
      <c r="E39" s="53">
        <f t="shared" si="2"/>
        <v>4</v>
      </c>
      <c r="F39" s="53">
        <f t="shared" si="3"/>
        <v>2</v>
      </c>
      <c r="G39" s="162">
        <f t="shared" si="4"/>
        <v>5</v>
      </c>
    </row>
    <row r="40" spans="2:7">
      <c r="B40" s="8" t="str">
        <f>+'Steps 10 - 11  Pop Conseq'!A33</f>
        <v>Roads x</v>
      </c>
      <c r="C40" s="9" t="str">
        <f>+'Steps 10 - 11  Pop Conseq'!B33</f>
        <v>Toxic Gas (Ammonia) (S)</v>
      </c>
      <c r="D40" s="10">
        <f>+'Step 14 Max Conseq'!F38</f>
        <v>3</v>
      </c>
      <c r="E40" s="53">
        <f t="shared" si="2"/>
        <v>1</v>
      </c>
      <c r="F40" s="53">
        <f t="shared" si="3"/>
        <v>2</v>
      </c>
      <c r="G40" s="162">
        <f t="shared" si="4"/>
        <v>1</v>
      </c>
    </row>
    <row r="41" spans="2:7">
      <c r="B41" s="8" t="str">
        <f>+'Steps 10 - 11  Pop Conseq'!A34</f>
        <v>Roads x</v>
      </c>
      <c r="C41" s="9" t="str">
        <f>+'Steps 10 - 11  Pop Conseq'!B34</f>
        <v>Toxic Liquid (37% HCl) (L)</v>
      </c>
      <c r="D41" s="10">
        <f>+'Step 14 Max Conseq'!F39</f>
        <v>3</v>
      </c>
      <c r="E41" s="53">
        <f t="shared" si="2"/>
        <v>1</v>
      </c>
      <c r="F41" s="53">
        <f t="shared" si="3"/>
        <v>2</v>
      </c>
      <c r="G41" s="162">
        <f t="shared" si="4"/>
        <v>1</v>
      </c>
    </row>
    <row r="42" spans="2:7">
      <c r="B42" s="8" t="str">
        <f>+'Steps 10 - 11  Pop Conseq'!A35</f>
        <v>Roads x</v>
      </c>
      <c r="C42" s="9" t="str">
        <f>+'Steps 10 - 11  Pop Conseq'!B35</f>
        <v>Toxic Liquid (37% HCl) (S)</v>
      </c>
      <c r="D42" s="10">
        <f>+'Step 14 Max Conseq'!F41</f>
        <v>2</v>
      </c>
      <c r="E42" s="53">
        <f t="shared" si="2"/>
        <v>1</v>
      </c>
      <c r="F42" s="53">
        <f t="shared" si="3"/>
        <v>2</v>
      </c>
      <c r="G42" s="162">
        <f t="shared" si="4"/>
        <v>1</v>
      </c>
    </row>
    <row r="43" spans="2:7">
      <c r="B43" s="8" t="str">
        <f>+'Steps 10 - 11  Pop Conseq'!A36</f>
        <v>Roads y</v>
      </c>
      <c r="C43" s="9" t="str">
        <f>+'Steps 10 - 11  Pop Conseq'!B36</f>
        <v>Fire  (Gasoline)</v>
      </c>
      <c r="D43" s="10">
        <f>+'Step 14 Max Conseq'!F41</f>
        <v>2</v>
      </c>
      <c r="E43" s="53">
        <f t="shared" si="2"/>
        <v>1</v>
      </c>
      <c r="F43" s="53">
        <f t="shared" si="3"/>
        <v>2</v>
      </c>
      <c r="G43" s="162">
        <f t="shared" si="4"/>
        <v>1</v>
      </c>
    </row>
    <row r="44" spans="2:7">
      <c r="B44" s="8" t="str">
        <f>+'Steps 10 - 11  Pop Conseq'!A37</f>
        <v>Roads u</v>
      </c>
      <c r="C44" s="9" t="str">
        <f>+'Steps 10 - 11  Pop Conseq'!B37</f>
        <v>Fire  (Gasoline)</v>
      </c>
      <c r="D44" s="10">
        <f>+'Step 14 Max Conseq'!F42</f>
        <v>2</v>
      </c>
      <c r="E44" s="53">
        <f t="shared" si="2"/>
        <v>1</v>
      </c>
      <c r="F44" s="53">
        <f t="shared" si="3"/>
        <v>2</v>
      </c>
      <c r="G44" s="162">
        <f t="shared" si="4"/>
        <v>1</v>
      </c>
    </row>
    <row r="45" spans="2:7">
      <c r="B45" s="8" t="str">
        <f>+'Steps 10 - 11  Pop Conseq'!A38</f>
        <v>Roads u</v>
      </c>
      <c r="C45" s="9" t="str">
        <f>+'Steps 10 - 11  Pop Conseq'!B38</f>
        <v>Toxic Liquid (37% HCl) (L)</v>
      </c>
      <c r="D45" s="10">
        <f>+'Step 14 Max Conseq'!F43</f>
        <v>3</v>
      </c>
      <c r="E45" s="53">
        <f t="shared" si="2"/>
        <v>1</v>
      </c>
      <c r="F45" s="53">
        <f t="shared" si="3"/>
        <v>2</v>
      </c>
      <c r="G45" s="162">
        <f t="shared" si="4"/>
        <v>1</v>
      </c>
    </row>
    <row r="46" spans="2:7">
      <c r="B46" s="8" t="str">
        <f>+'Steps 10 - 11  Pop Conseq'!A39</f>
        <v>Roads u</v>
      </c>
      <c r="C46" s="9" t="str">
        <f>+'Steps 10 - 11  Pop Conseq'!B39</f>
        <v>Toxic Liquid (37% HCl) (S)</v>
      </c>
      <c r="D46" s="10">
        <f>+'Step 14 Max Conseq'!F44</f>
        <v>3</v>
      </c>
      <c r="E46" s="53">
        <f t="shared" si="2"/>
        <v>1</v>
      </c>
      <c r="F46" s="53">
        <f t="shared" si="3"/>
        <v>2</v>
      </c>
      <c r="G46" s="162">
        <f t="shared" si="4"/>
        <v>1</v>
      </c>
    </row>
    <row r="47" spans="2:7">
      <c r="B47" s="8" t="str">
        <f>+'Steps 10 - 11  Pop Conseq'!A40</f>
        <v>Road w</v>
      </c>
      <c r="C47" s="9" t="str">
        <f>+'Steps 10 - 11  Pop Conseq'!B40</f>
        <v>Fire  (Gasoline)</v>
      </c>
      <c r="D47" s="10">
        <f>+'Step 14 Max Conseq'!F45</f>
        <v>2</v>
      </c>
      <c r="E47" s="53">
        <f t="shared" si="2"/>
        <v>1</v>
      </c>
      <c r="F47" s="53">
        <f t="shared" si="3"/>
        <v>2</v>
      </c>
      <c r="G47" s="162">
        <f t="shared" si="4"/>
        <v>1</v>
      </c>
    </row>
    <row r="48" spans="2:7">
      <c r="B48" s="8" t="str">
        <f>+'Steps 10 - 11  Pop Conseq'!A41</f>
        <v>Road w</v>
      </c>
      <c r="C48" s="9" t="str">
        <f>+'Steps 10 - 11  Pop Conseq'!B41</f>
        <v>Toxic Gas (Ammonia) (L)</v>
      </c>
      <c r="D48" s="10">
        <f>+'Step 14 Max Conseq'!F46</f>
        <v>5</v>
      </c>
      <c r="E48" s="53">
        <f t="shared" si="2"/>
        <v>4</v>
      </c>
      <c r="F48" s="53">
        <f t="shared" si="3"/>
        <v>2</v>
      </c>
      <c r="G48" s="162">
        <f t="shared" si="4"/>
        <v>5</v>
      </c>
    </row>
    <row r="49" spans="2:7">
      <c r="B49" s="8" t="str">
        <f>+'Steps 10 - 11  Pop Conseq'!A42</f>
        <v>Road w</v>
      </c>
      <c r="C49" s="9" t="str">
        <f>+'Steps 10 - 11  Pop Conseq'!B42</f>
        <v>Toxic Gas (Ammonia) (S)</v>
      </c>
      <c r="D49" s="10">
        <f>+'Step 14 Max Conseq'!F47</f>
        <v>3</v>
      </c>
      <c r="E49" s="53">
        <f t="shared" si="2"/>
        <v>1</v>
      </c>
      <c r="F49" s="53">
        <f t="shared" si="3"/>
        <v>2</v>
      </c>
      <c r="G49" s="162">
        <f t="shared" si="4"/>
        <v>1</v>
      </c>
    </row>
    <row r="50" spans="2:7">
      <c r="B50" s="8" t="str">
        <f>+'Steps 10 - 11  Pop Conseq'!A43</f>
        <v>Railroad s</v>
      </c>
      <c r="C50" s="9" t="str">
        <f>+'Steps 10 - 11  Pop Conseq'!B43</f>
        <v>BLEVE (Ethylene Oxide)</v>
      </c>
      <c r="D50" s="10">
        <f>+'Step 14 Max Conseq'!F48</f>
        <v>3</v>
      </c>
      <c r="E50" s="53">
        <f t="shared" si="2"/>
        <v>1</v>
      </c>
      <c r="F50" s="53">
        <f t="shared" si="3"/>
        <v>2</v>
      </c>
      <c r="G50" s="162">
        <f t="shared" si="4"/>
        <v>1</v>
      </c>
    </row>
    <row r="51" spans="2:7">
      <c r="B51" s="8" t="str">
        <f>+'Steps 10 - 11  Pop Conseq'!A44</f>
        <v>Railroad s</v>
      </c>
      <c r="C51" s="9" t="str">
        <f>+'Steps 10 - 11  Pop Conseq'!B44</f>
        <v>Toxic Gas (Chlorine) (L)</v>
      </c>
      <c r="D51" s="10">
        <f>+'Step 14 Max Conseq'!F49</f>
        <v>5</v>
      </c>
      <c r="E51" s="53">
        <f t="shared" si="2"/>
        <v>4</v>
      </c>
      <c r="F51" s="53">
        <f t="shared" si="3"/>
        <v>2</v>
      </c>
      <c r="G51" s="162">
        <f t="shared" si="4"/>
        <v>5</v>
      </c>
    </row>
    <row r="52" spans="2:7">
      <c r="B52" s="336" t="str">
        <f>+'Steps 10 - 11  Pop Conseq'!A45</f>
        <v>Railroad s</v>
      </c>
      <c r="C52" s="337" t="str">
        <f>+'Steps 10 - 11  Pop Conseq'!B45</f>
        <v>Toxic Gas (Chlorine)  (S)</v>
      </c>
      <c r="D52" s="350">
        <f>+'Step 14 Max Conseq'!F50</f>
        <v>5</v>
      </c>
      <c r="E52" s="351">
        <f t="shared" si="2"/>
        <v>4</v>
      </c>
      <c r="F52" s="351">
        <f t="shared" si="3"/>
        <v>2</v>
      </c>
      <c r="G52" s="352">
        <f t="shared" si="4"/>
        <v>5</v>
      </c>
    </row>
    <row r="53" spans="2:7" ht="15.75" thickBot="1">
      <c r="B53" s="11" t="str">
        <f>+'Steps 10 - 11  Pop Conseq'!A46</f>
        <v>step 10-12 route</v>
      </c>
      <c r="C53" s="12" t="str">
        <f>+'Steps 10 - 11  Pop Conseq'!B46</f>
        <v>step 10 - 11 hazard</v>
      </c>
      <c r="D53" s="13" t="e">
        <f>+'Step 14 Max Conseq'!F51</f>
        <v>#VALUE!</v>
      </c>
      <c r="E53" s="57" t="e">
        <f t="shared" ref="E53" si="5">VLOOKUP(D53,$B$15:$G$19,7-C$21,FALSE)</f>
        <v>#VALUE!</v>
      </c>
      <c r="F53" s="57">
        <f t="shared" ref="F53" si="6">+C$22</f>
        <v>2</v>
      </c>
      <c r="G53" s="163" t="e">
        <f t="shared" ref="G53" si="7">+IF((E53-F53)&gt;1,D$28,IF((E53-F53)&gt;0,D$27,D$26))</f>
        <v>#VALUE!</v>
      </c>
    </row>
  </sheetData>
  <customSheetViews>
    <customSheetView guid="{3DB30FED-CC59-45C7-A6C7-CEC6DAE12EDE}">
      <selection activeCell="E52" sqref="E52"/>
      <pageMargins left="0.7" right="0.7" top="0.75" bottom="0.75" header="0.3" footer="0.3"/>
      <pageSetup orientation="portrait" r:id="rId1"/>
    </customSheetView>
  </customSheetViews>
  <mergeCells count="10">
    <mergeCell ref="B2:G2"/>
    <mergeCell ref="B25:C25"/>
    <mergeCell ref="B26:C26"/>
    <mergeCell ref="B27:C27"/>
    <mergeCell ref="B28:C28"/>
    <mergeCell ref="B4:G5"/>
    <mergeCell ref="C10:G10"/>
    <mergeCell ref="B10:B11"/>
    <mergeCell ref="C14:G14"/>
    <mergeCell ref="C12:G12"/>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sheetPr codeName="Sheet8"/>
  <dimension ref="A1:P128"/>
  <sheetViews>
    <sheetView topLeftCell="D33" workbookViewId="0">
      <selection activeCell="F131" sqref="F131"/>
    </sheetView>
  </sheetViews>
  <sheetFormatPr defaultRowHeight="15"/>
  <cols>
    <col min="1" max="1" width="16.42578125" customWidth="1"/>
    <col min="2" max="2" width="28.42578125" customWidth="1"/>
    <col min="3" max="3" width="15.5703125" customWidth="1"/>
    <col min="4" max="4" width="38.7109375" customWidth="1"/>
    <col min="5" max="5" width="25.28515625" customWidth="1"/>
    <col min="6" max="6" width="19.7109375" customWidth="1"/>
    <col min="7" max="7" width="16.140625" customWidth="1"/>
    <col min="8" max="8" width="17.140625" customWidth="1"/>
    <col min="9" max="9" width="18.42578125" customWidth="1"/>
  </cols>
  <sheetData>
    <row r="1" spans="2:16">
      <c r="F1" s="294" t="s">
        <v>334</v>
      </c>
    </row>
    <row r="2" spans="2:16">
      <c r="B2" s="400" t="s">
        <v>364</v>
      </c>
      <c r="C2" s="400"/>
      <c r="D2" s="400"/>
      <c r="E2" s="400"/>
      <c r="F2" s="61">
        <v>4</v>
      </c>
      <c r="G2" s="234"/>
      <c r="H2" s="234"/>
    </row>
    <row r="4" spans="2:16" ht="15.75" thickBot="1"/>
    <row r="5" spans="2:16" ht="27" thickBot="1">
      <c r="C5" s="312" t="s">
        <v>112</v>
      </c>
      <c r="D5" s="459" t="s">
        <v>113</v>
      </c>
      <c r="E5" s="460"/>
    </row>
    <row r="6" spans="2:16">
      <c r="C6" s="311">
        <v>1</v>
      </c>
      <c r="D6" s="442" t="s">
        <v>133</v>
      </c>
      <c r="E6" s="461"/>
    </row>
    <row r="7" spans="2:16">
      <c r="C7" s="309">
        <v>2</v>
      </c>
      <c r="D7" s="444" t="s">
        <v>134</v>
      </c>
      <c r="E7" s="462"/>
    </row>
    <row r="8" spans="2:16">
      <c r="C8" s="309">
        <v>3</v>
      </c>
      <c r="D8" s="444" t="s">
        <v>135</v>
      </c>
      <c r="E8" s="462"/>
    </row>
    <row r="9" spans="2:16">
      <c r="C9" s="309">
        <v>4</v>
      </c>
      <c r="D9" s="444" t="s">
        <v>136</v>
      </c>
      <c r="E9" s="462"/>
    </row>
    <row r="10" spans="2:16" ht="15.75" thickBot="1">
      <c r="C10" s="310">
        <v>5</v>
      </c>
      <c r="D10" s="446" t="s">
        <v>137</v>
      </c>
      <c r="E10" s="463"/>
    </row>
    <row r="11" spans="2:16">
      <c r="C11" s="140"/>
      <c r="D11" s="135"/>
    </row>
    <row r="12" spans="2:16">
      <c r="C12" s="140"/>
      <c r="D12" s="135"/>
      <c r="I12" s="234"/>
      <c r="J12" s="234"/>
      <c r="K12" s="234"/>
      <c r="L12" s="234"/>
      <c r="M12" s="234"/>
      <c r="N12" s="234"/>
      <c r="O12" s="234"/>
      <c r="P12" s="234"/>
    </row>
    <row r="13" spans="2:16" ht="15.75" thickBot="1">
      <c r="B13" s="294" t="s">
        <v>365</v>
      </c>
      <c r="D13" s="141"/>
      <c r="I13" s="234"/>
      <c r="J13" s="234"/>
      <c r="K13" s="234"/>
      <c r="L13" s="234"/>
      <c r="M13" s="234"/>
      <c r="N13" s="234"/>
      <c r="O13" s="234"/>
      <c r="P13" s="234"/>
    </row>
    <row r="14" spans="2:16">
      <c r="B14" s="70" t="s">
        <v>143</v>
      </c>
      <c r="C14" s="50">
        <v>5</v>
      </c>
      <c r="D14" s="50">
        <v>4</v>
      </c>
      <c r="E14" s="50">
        <v>3</v>
      </c>
      <c r="F14" s="50">
        <v>2</v>
      </c>
      <c r="G14" s="71">
        <v>1</v>
      </c>
    </row>
    <row r="15" spans="2:16" ht="15.75" thickBot="1">
      <c r="B15" s="73" t="s">
        <v>107</v>
      </c>
      <c r="C15" s="74">
        <v>1</v>
      </c>
      <c r="D15" s="74">
        <v>1</v>
      </c>
      <c r="E15" s="74">
        <v>1</v>
      </c>
      <c r="F15" s="74">
        <v>2</v>
      </c>
      <c r="G15" s="75">
        <v>3</v>
      </c>
    </row>
    <row r="16" spans="2:16">
      <c r="B16" s="70" t="s">
        <v>106</v>
      </c>
      <c r="C16" s="447" t="s">
        <v>103</v>
      </c>
      <c r="D16" s="448"/>
      <c r="E16" s="448"/>
      <c r="F16" s="448"/>
      <c r="G16" s="449"/>
    </row>
    <row r="17" spans="1:7">
      <c r="A17">
        <v>1</v>
      </c>
      <c r="B17" s="28" t="s">
        <v>139</v>
      </c>
      <c r="C17" s="72">
        <v>5</v>
      </c>
      <c r="D17" s="72">
        <v>5</v>
      </c>
      <c r="E17" s="72">
        <v>5</v>
      </c>
      <c r="F17" s="72">
        <v>5</v>
      </c>
      <c r="G17" s="29">
        <v>5</v>
      </c>
    </row>
    <row r="18" spans="1:7">
      <c r="A18">
        <v>2</v>
      </c>
      <c r="B18" s="24" t="s">
        <v>140</v>
      </c>
      <c r="C18" s="51">
        <v>60</v>
      </c>
      <c r="D18" s="51">
        <v>45</v>
      </c>
      <c r="E18" s="51">
        <v>30</v>
      </c>
      <c r="F18" s="51">
        <v>30</v>
      </c>
      <c r="G18" s="25">
        <v>30</v>
      </c>
    </row>
    <row r="19" spans="1:7">
      <c r="A19">
        <v>3</v>
      </c>
      <c r="B19" s="73" t="s">
        <v>141</v>
      </c>
      <c r="C19" s="51">
        <v>60</v>
      </c>
      <c r="D19" s="51">
        <v>10</v>
      </c>
      <c r="E19" s="51">
        <v>10</v>
      </c>
      <c r="F19" s="51">
        <v>10</v>
      </c>
      <c r="G19" s="25">
        <v>10</v>
      </c>
    </row>
    <row r="20" spans="1:7" ht="15.75" thickBot="1">
      <c r="A20">
        <v>4</v>
      </c>
      <c r="B20" s="82" t="s">
        <v>142</v>
      </c>
      <c r="C20" s="74">
        <v>90</v>
      </c>
      <c r="D20" s="74">
        <v>60</v>
      </c>
      <c r="E20" s="74">
        <v>45</v>
      </c>
      <c r="F20" s="74">
        <v>30</v>
      </c>
      <c r="G20" s="75">
        <v>30</v>
      </c>
    </row>
    <row r="21" spans="1:7">
      <c r="B21" s="70"/>
      <c r="C21" s="456" t="s">
        <v>115</v>
      </c>
      <c r="D21" s="457"/>
      <c r="E21" s="457"/>
      <c r="F21" s="457"/>
      <c r="G21" s="458"/>
    </row>
    <row r="22" spans="1:7">
      <c r="A22">
        <v>6</v>
      </c>
      <c r="B22" s="28" t="s">
        <v>111</v>
      </c>
      <c r="C22" s="78">
        <v>5</v>
      </c>
      <c r="D22" s="79">
        <v>10</v>
      </c>
      <c r="E22" s="79">
        <v>100</v>
      </c>
      <c r="F22" s="79">
        <v>200</v>
      </c>
      <c r="G22" s="80">
        <v>500</v>
      </c>
    </row>
    <row r="23" spans="1:7">
      <c r="A23">
        <v>7</v>
      </c>
      <c r="B23" s="28" t="s">
        <v>116</v>
      </c>
      <c r="C23" s="78">
        <v>1</v>
      </c>
      <c r="D23" s="79">
        <v>2</v>
      </c>
      <c r="E23" s="79">
        <v>3</v>
      </c>
      <c r="F23" s="79">
        <v>4</v>
      </c>
      <c r="G23" s="80">
        <v>4</v>
      </c>
    </row>
    <row r="24" spans="1:7">
      <c r="A24">
        <v>8</v>
      </c>
      <c r="B24" s="24" t="s">
        <v>104</v>
      </c>
      <c r="C24" s="51">
        <v>1</v>
      </c>
      <c r="D24" s="51">
        <v>2</v>
      </c>
      <c r="E24" s="51">
        <v>3</v>
      </c>
      <c r="F24" s="51">
        <v>4</v>
      </c>
      <c r="G24" s="25">
        <v>4</v>
      </c>
    </row>
    <row r="25" spans="1:7" ht="15.75" thickBot="1">
      <c r="A25">
        <v>9</v>
      </c>
      <c r="B25" s="26" t="s">
        <v>105</v>
      </c>
      <c r="C25" s="52">
        <v>1</v>
      </c>
      <c r="D25" s="52">
        <v>1</v>
      </c>
      <c r="E25" s="52">
        <v>2</v>
      </c>
      <c r="F25" s="52">
        <v>4</v>
      </c>
      <c r="G25" s="27">
        <v>4</v>
      </c>
    </row>
    <row r="26" spans="1:7">
      <c r="B26" s="14"/>
      <c r="C26" s="14"/>
      <c r="D26" s="14"/>
      <c r="E26" s="14"/>
      <c r="F26" s="14"/>
      <c r="G26" s="14"/>
    </row>
    <row r="27" spans="1:7">
      <c r="B27" s="61" t="s">
        <v>307</v>
      </c>
      <c r="C27" s="14"/>
      <c r="D27" s="14">
        <f>+'Step 3 to 6'!I36</f>
        <v>4</v>
      </c>
      <c r="E27" s="14"/>
      <c r="F27" s="14"/>
      <c r="G27" s="14"/>
    </row>
    <row r="28" spans="1:7">
      <c r="B28" s="378" t="s">
        <v>394</v>
      </c>
      <c r="C28" s="378"/>
      <c r="D28" s="378"/>
      <c r="E28" s="380" t="s">
        <v>393</v>
      </c>
      <c r="F28" s="380"/>
    </row>
    <row r="29" spans="1:7" ht="15.75" thickBot="1">
      <c r="A29" s="315" t="s">
        <v>110</v>
      </c>
      <c r="B29" s="14"/>
      <c r="C29" s="14"/>
      <c r="D29" s="14"/>
      <c r="E29" s="14"/>
      <c r="F29" s="14"/>
      <c r="G29" s="14"/>
    </row>
    <row r="30" spans="1:7" ht="60">
      <c r="A30" s="118" t="s">
        <v>0</v>
      </c>
      <c r="B30" s="120" t="s">
        <v>1</v>
      </c>
      <c r="C30" s="120" t="s">
        <v>272</v>
      </c>
      <c r="D30" s="120" t="s">
        <v>117</v>
      </c>
      <c r="E30" s="120" t="s">
        <v>144</v>
      </c>
      <c r="F30" s="120" t="s">
        <v>138</v>
      </c>
      <c r="G30" s="86" t="s">
        <v>121</v>
      </c>
    </row>
    <row r="31" spans="1:7" ht="15.75" thickBot="1">
      <c r="A31" s="119"/>
      <c r="B31" s="121"/>
      <c r="C31" s="121"/>
      <c r="D31" s="58" t="s">
        <v>97</v>
      </c>
      <c r="E31" s="58" t="s">
        <v>97</v>
      </c>
      <c r="F31" s="58" t="s">
        <v>109</v>
      </c>
      <c r="G31" s="153"/>
    </row>
    <row r="32" spans="1:7">
      <c r="A32" s="67" t="str">
        <f>+'Steps 10 - 11  Pop Conseq'!A26</f>
        <v>Facility z</v>
      </c>
      <c r="B32" s="63" t="str">
        <f>+'Steps 10 - 11  Pop Conseq'!B26</f>
        <v>Fire (Ethylene Oxide)</v>
      </c>
      <c r="C32" s="151">
        <f>+F$2</f>
        <v>4</v>
      </c>
      <c r="D32" s="187">
        <f t="shared" ref="D32:D36" si="0">VLOOKUP($A$17,$A$17:$G$20,8-$D$27,FALSE)</f>
        <v>5</v>
      </c>
      <c r="E32" s="179">
        <v>5</v>
      </c>
      <c r="F32" s="152">
        <f t="shared" ref="F32:F36" si="1">+E32/D32</f>
        <v>1</v>
      </c>
      <c r="G32" s="117">
        <f t="shared" ref="G32:G36" si="2">IF(F32&lt;1.01,1,IF(F32&lt;1.26,2,IF(F32&lt;1.51,3,IF(F32&lt;2.01,4,5))))</f>
        <v>1</v>
      </c>
    </row>
    <row r="33" spans="1:7">
      <c r="A33" s="8" t="str">
        <f>+'Steps 10 - 11  Pop Conseq'!A27</f>
        <v>Facility z</v>
      </c>
      <c r="B33" s="9" t="str">
        <f>+'Steps 10 - 11  Pop Conseq'!B27</f>
        <v>Explosion (Ethylene Oxide)</v>
      </c>
      <c r="C33" s="93">
        <f>+F$2</f>
        <v>4</v>
      </c>
      <c r="D33" s="188">
        <f t="shared" si="0"/>
        <v>5</v>
      </c>
      <c r="E33" s="180">
        <v>5</v>
      </c>
      <c r="F33" s="101">
        <f t="shared" si="1"/>
        <v>1</v>
      </c>
      <c r="G33" s="77">
        <f t="shared" si="2"/>
        <v>1</v>
      </c>
    </row>
    <row r="34" spans="1:7">
      <c r="A34" s="8" t="str">
        <f>+'Steps 10 - 11  Pop Conseq'!A28</f>
        <v>Facility z</v>
      </c>
      <c r="B34" s="9" t="str">
        <f>+'Steps 10 - 11  Pop Conseq'!B28</f>
        <v>Toxic Gas (Chlorine) (L)</v>
      </c>
      <c r="C34" s="93">
        <f>+F$2</f>
        <v>4</v>
      </c>
      <c r="D34" s="188">
        <f t="shared" si="0"/>
        <v>5</v>
      </c>
      <c r="E34" s="180">
        <v>5</v>
      </c>
      <c r="F34" s="101">
        <f t="shared" si="1"/>
        <v>1</v>
      </c>
      <c r="G34" s="77">
        <f t="shared" si="2"/>
        <v>1</v>
      </c>
    </row>
    <row r="35" spans="1:7">
      <c r="A35" s="8" t="str">
        <f>+'Steps 10 - 11  Pop Conseq'!A29</f>
        <v>Facility z</v>
      </c>
      <c r="B35" s="9" t="str">
        <f>+'Steps 10 - 11  Pop Conseq'!B29</f>
        <v>Toxic Gas (Chlorine) (S)</v>
      </c>
      <c r="C35" s="93">
        <f>+F$2</f>
        <v>4</v>
      </c>
      <c r="D35" s="188">
        <f t="shared" si="0"/>
        <v>5</v>
      </c>
      <c r="E35" s="180">
        <v>5</v>
      </c>
      <c r="F35" s="101">
        <f t="shared" si="1"/>
        <v>1</v>
      </c>
      <c r="G35" s="77">
        <f t="shared" si="2"/>
        <v>1</v>
      </c>
    </row>
    <row r="36" spans="1:7">
      <c r="A36" s="8"/>
      <c r="B36" s="9"/>
      <c r="C36" s="93">
        <f>+F$2</f>
        <v>4</v>
      </c>
      <c r="D36" s="188">
        <f t="shared" si="0"/>
        <v>5</v>
      </c>
      <c r="E36" s="180"/>
      <c r="F36" s="101">
        <f t="shared" si="1"/>
        <v>0</v>
      </c>
      <c r="G36" s="77">
        <f t="shared" si="2"/>
        <v>1</v>
      </c>
    </row>
    <row r="37" spans="1:7">
      <c r="A37" s="108" t="s">
        <v>383</v>
      </c>
      <c r="B37" s="9"/>
      <c r="C37" s="93"/>
      <c r="D37" s="76"/>
      <c r="E37" s="180"/>
      <c r="F37" s="101"/>
      <c r="G37" s="77"/>
    </row>
    <row r="38" spans="1:7">
      <c r="A38" s="8" t="str">
        <f>+'Steps 10 - 11  Pop Conseq'!A31</f>
        <v>Roads x</v>
      </c>
      <c r="B38" s="9" t="str">
        <f>+'Steps 10 - 11  Pop Conseq'!B31</f>
        <v>Fire  (Gasoline)</v>
      </c>
      <c r="C38" s="93">
        <f t="shared" ref="C38:C52" si="3">+F$2</f>
        <v>4</v>
      </c>
      <c r="D38" s="76">
        <f t="shared" ref="D38:D52" si="4">VLOOKUP(B$17,$B$17:$G$20,6-C38,FALSE)</f>
        <v>5</v>
      </c>
      <c r="E38" s="180">
        <v>10</v>
      </c>
      <c r="F38" s="101">
        <f t="shared" ref="F38:F49" si="5">+E38/D38</f>
        <v>2</v>
      </c>
      <c r="G38" s="77">
        <f t="shared" ref="G38:G47" si="6">IF(F38&lt;1.01,1,IF(F38&lt;1.26,2,IF(F38&lt;1.51,3,IF(F38&lt;2.01,4,5))))</f>
        <v>4</v>
      </c>
    </row>
    <row r="39" spans="1:7">
      <c r="A39" s="8" t="str">
        <f>+'Steps 10 - 11  Pop Conseq'!A32</f>
        <v>Roads x</v>
      </c>
      <c r="B39" s="9" t="str">
        <f>+'Steps 10 - 11  Pop Conseq'!B32</f>
        <v>Toxic Gas (Ammonia) (L)</v>
      </c>
      <c r="C39" s="93">
        <f t="shared" si="3"/>
        <v>4</v>
      </c>
      <c r="D39" s="76">
        <f t="shared" si="4"/>
        <v>5</v>
      </c>
      <c r="E39" s="180">
        <v>10</v>
      </c>
      <c r="F39" s="101">
        <f t="shared" si="5"/>
        <v>2</v>
      </c>
      <c r="G39" s="77">
        <f t="shared" si="6"/>
        <v>4</v>
      </c>
    </row>
    <row r="40" spans="1:7">
      <c r="A40" s="8" t="str">
        <f>+'Steps 10 - 11  Pop Conseq'!A33</f>
        <v>Roads x</v>
      </c>
      <c r="B40" s="9" t="str">
        <f>+'Steps 10 - 11  Pop Conseq'!B33</f>
        <v>Toxic Gas (Ammonia) (S)</v>
      </c>
      <c r="C40" s="93">
        <f t="shared" si="3"/>
        <v>4</v>
      </c>
      <c r="D40" s="76">
        <f t="shared" si="4"/>
        <v>5</v>
      </c>
      <c r="E40" s="180">
        <v>10</v>
      </c>
      <c r="F40" s="101">
        <f t="shared" si="5"/>
        <v>2</v>
      </c>
      <c r="G40" s="77">
        <f t="shared" si="6"/>
        <v>4</v>
      </c>
    </row>
    <row r="41" spans="1:7">
      <c r="A41" s="8" t="str">
        <f>+'Steps 10 - 11  Pop Conseq'!A34</f>
        <v>Roads x</v>
      </c>
      <c r="B41" s="9" t="str">
        <f>+'Steps 10 - 11  Pop Conseq'!B34</f>
        <v>Toxic Liquid (37% HCl) (L)</v>
      </c>
      <c r="C41" s="93">
        <f t="shared" si="3"/>
        <v>4</v>
      </c>
      <c r="D41" s="76">
        <f t="shared" si="4"/>
        <v>5</v>
      </c>
      <c r="E41" s="180">
        <v>10</v>
      </c>
      <c r="F41" s="101">
        <f t="shared" si="5"/>
        <v>2</v>
      </c>
      <c r="G41" s="77">
        <f t="shared" si="6"/>
        <v>4</v>
      </c>
    </row>
    <row r="42" spans="1:7">
      <c r="A42" s="8" t="str">
        <f>+'Steps 10 - 11  Pop Conseq'!A35</f>
        <v>Roads x</v>
      </c>
      <c r="B42" s="9" t="str">
        <f>+'Steps 10 - 11  Pop Conseq'!B35</f>
        <v>Toxic Liquid (37% HCl) (S)</v>
      </c>
      <c r="C42" s="93">
        <f t="shared" si="3"/>
        <v>4</v>
      </c>
      <c r="D42" s="76">
        <f t="shared" si="4"/>
        <v>5</v>
      </c>
      <c r="E42" s="180">
        <v>10</v>
      </c>
      <c r="F42" s="101">
        <f t="shared" si="5"/>
        <v>2</v>
      </c>
      <c r="G42" s="77">
        <f t="shared" si="6"/>
        <v>4</v>
      </c>
    </row>
    <row r="43" spans="1:7">
      <c r="A43" s="8" t="str">
        <f>+'Steps 10 - 11  Pop Conseq'!A36</f>
        <v>Roads y</v>
      </c>
      <c r="B43" s="9" t="str">
        <f>+'Steps 10 - 11  Pop Conseq'!B36</f>
        <v>Fire  (Gasoline)</v>
      </c>
      <c r="C43" s="93">
        <f t="shared" si="3"/>
        <v>4</v>
      </c>
      <c r="D43" s="76">
        <f t="shared" si="4"/>
        <v>5</v>
      </c>
      <c r="E43" s="180">
        <v>10</v>
      </c>
      <c r="F43" s="101">
        <f t="shared" si="5"/>
        <v>2</v>
      </c>
      <c r="G43" s="77">
        <f t="shared" si="6"/>
        <v>4</v>
      </c>
    </row>
    <row r="44" spans="1:7">
      <c r="A44" s="8" t="str">
        <f>+'Steps 10 - 11  Pop Conseq'!A37</f>
        <v>Roads u</v>
      </c>
      <c r="B44" s="9" t="str">
        <f>+'Steps 10 - 11  Pop Conseq'!B37</f>
        <v>Fire  (Gasoline)</v>
      </c>
      <c r="C44" s="93">
        <f t="shared" si="3"/>
        <v>4</v>
      </c>
      <c r="D44" s="76">
        <f t="shared" si="4"/>
        <v>5</v>
      </c>
      <c r="E44" s="180">
        <v>10</v>
      </c>
      <c r="F44" s="101">
        <f t="shared" si="5"/>
        <v>2</v>
      </c>
      <c r="G44" s="77">
        <f t="shared" si="6"/>
        <v>4</v>
      </c>
    </row>
    <row r="45" spans="1:7">
      <c r="A45" s="8" t="str">
        <f>+'Steps 10 - 11  Pop Conseq'!A38</f>
        <v>Roads u</v>
      </c>
      <c r="B45" s="9" t="str">
        <f>+'Steps 10 - 11  Pop Conseq'!B38</f>
        <v>Toxic Liquid (37% HCl) (L)</v>
      </c>
      <c r="C45" s="93">
        <f t="shared" si="3"/>
        <v>4</v>
      </c>
      <c r="D45" s="76">
        <f t="shared" si="4"/>
        <v>5</v>
      </c>
      <c r="E45" s="180">
        <v>10</v>
      </c>
      <c r="F45" s="101">
        <f t="shared" si="5"/>
        <v>2</v>
      </c>
      <c r="G45" s="77">
        <f t="shared" si="6"/>
        <v>4</v>
      </c>
    </row>
    <row r="46" spans="1:7">
      <c r="A46" s="8" t="str">
        <f>+'Steps 10 - 11  Pop Conseq'!A39</f>
        <v>Roads u</v>
      </c>
      <c r="B46" s="9" t="str">
        <f>+'Steps 10 - 11  Pop Conseq'!B39</f>
        <v>Toxic Liquid (37% HCl) (S)</v>
      </c>
      <c r="C46" s="93">
        <f t="shared" si="3"/>
        <v>4</v>
      </c>
      <c r="D46" s="76">
        <f t="shared" si="4"/>
        <v>5</v>
      </c>
      <c r="E46" s="180">
        <v>10</v>
      </c>
      <c r="F46" s="101">
        <f t="shared" si="5"/>
        <v>2</v>
      </c>
      <c r="G46" s="77">
        <f t="shared" si="6"/>
        <v>4</v>
      </c>
    </row>
    <row r="47" spans="1:7">
      <c r="A47" s="8" t="str">
        <f>+'Steps 10 - 11  Pop Conseq'!A40</f>
        <v>Road w</v>
      </c>
      <c r="B47" s="9" t="str">
        <f>+'Steps 10 - 11  Pop Conseq'!B40</f>
        <v>Fire  (Gasoline)</v>
      </c>
      <c r="C47" s="93">
        <f t="shared" si="3"/>
        <v>4</v>
      </c>
      <c r="D47" s="76">
        <f t="shared" si="4"/>
        <v>5</v>
      </c>
      <c r="E47" s="180">
        <v>10</v>
      </c>
      <c r="F47" s="101">
        <f t="shared" si="5"/>
        <v>2</v>
      </c>
      <c r="G47" s="77">
        <f t="shared" si="6"/>
        <v>4</v>
      </c>
    </row>
    <row r="48" spans="1:7">
      <c r="A48" s="8" t="str">
        <f>+'Steps 10 - 11  Pop Conseq'!A41</f>
        <v>Road w</v>
      </c>
      <c r="B48" s="9" t="str">
        <f>+'Steps 10 - 11  Pop Conseq'!B41</f>
        <v>Toxic Gas (Ammonia) (L)</v>
      </c>
      <c r="C48" s="93">
        <f t="shared" si="3"/>
        <v>4</v>
      </c>
      <c r="D48" s="76">
        <f t="shared" si="4"/>
        <v>5</v>
      </c>
      <c r="E48" s="180">
        <v>10</v>
      </c>
      <c r="F48" s="101">
        <f t="shared" si="5"/>
        <v>2</v>
      </c>
      <c r="G48" s="77">
        <f t="shared" ref="G48:G52" si="7">IF(F48&lt;1.01,1,IF(F48&lt;1.26,2,IF(F48&lt;1.51,3,IF(F48&lt;2.01,4,5))))</f>
        <v>4</v>
      </c>
    </row>
    <row r="49" spans="1:9">
      <c r="A49" s="8" t="str">
        <f>+'Steps 10 - 11  Pop Conseq'!A42</f>
        <v>Road w</v>
      </c>
      <c r="B49" s="9" t="str">
        <f>+'Steps 10 - 11  Pop Conseq'!B42</f>
        <v>Toxic Gas (Ammonia) (S)</v>
      </c>
      <c r="C49" s="93">
        <f t="shared" si="3"/>
        <v>4</v>
      </c>
      <c r="D49" s="76">
        <f t="shared" si="4"/>
        <v>5</v>
      </c>
      <c r="E49" s="180">
        <v>10</v>
      </c>
      <c r="F49" s="101">
        <f t="shared" si="5"/>
        <v>2</v>
      </c>
      <c r="G49" s="77">
        <f t="shared" si="7"/>
        <v>4</v>
      </c>
    </row>
    <row r="50" spans="1:9">
      <c r="A50" s="8" t="str">
        <f>+'Steps 10 - 11  Pop Conseq'!A43</f>
        <v>Railroad s</v>
      </c>
      <c r="B50" s="9" t="str">
        <f>+'Steps 10 - 11  Pop Conseq'!B43</f>
        <v>BLEVE (Ethylene Oxide)</v>
      </c>
      <c r="C50" s="93">
        <f t="shared" si="3"/>
        <v>4</v>
      </c>
      <c r="D50" s="76">
        <f t="shared" si="4"/>
        <v>5</v>
      </c>
      <c r="E50" s="180">
        <v>10</v>
      </c>
      <c r="F50" s="101">
        <f t="shared" ref="F50:F52" si="8">+E50/D50</f>
        <v>2</v>
      </c>
      <c r="G50" s="77">
        <f t="shared" si="7"/>
        <v>4</v>
      </c>
    </row>
    <row r="51" spans="1:9">
      <c r="A51" s="8" t="str">
        <f>+'Steps 10 - 11  Pop Conseq'!A44</f>
        <v>Railroad s</v>
      </c>
      <c r="B51" s="9" t="str">
        <f>+'Steps 10 - 11  Pop Conseq'!B44</f>
        <v>Toxic Gas (Chlorine) (L)</v>
      </c>
      <c r="C51" s="93">
        <f t="shared" si="3"/>
        <v>4</v>
      </c>
      <c r="D51" s="76">
        <f t="shared" si="4"/>
        <v>5</v>
      </c>
      <c r="E51" s="180">
        <v>10</v>
      </c>
      <c r="F51" s="101">
        <f t="shared" si="8"/>
        <v>2</v>
      </c>
      <c r="G51" s="77">
        <f t="shared" si="7"/>
        <v>4</v>
      </c>
    </row>
    <row r="52" spans="1:9" ht="15.75" thickBot="1">
      <c r="A52" s="11" t="str">
        <f>+'Steps 10 - 11  Pop Conseq'!A45</f>
        <v>Railroad s</v>
      </c>
      <c r="B52" s="12" t="str">
        <f>+'Steps 10 - 11  Pop Conseq'!B45</f>
        <v>Toxic Gas (Chlorine)  (S)</v>
      </c>
      <c r="C52" s="94">
        <f t="shared" si="3"/>
        <v>4</v>
      </c>
      <c r="D52" s="58">
        <f t="shared" si="4"/>
        <v>5</v>
      </c>
      <c r="E52" s="181">
        <v>10</v>
      </c>
      <c r="F52" s="150">
        <f t="shared" si="8"/>
        <v>2</v>
      </c>
      <c r="G52" s="83">
        <f t="shared" si="7"/>
        <v>4</v>
      </c>
    </row>
    <row r="53" spans="1:9">
      <c r="A53" s="22"/>
      <c r="B53" s="22"/>
      <c r="C53" s="225"/>
      <c r="D53" s="69"/>
      <c r="E53" s="348"/>
      <c r="F53" s="349"/>
      <c r="G53" s="69"/>
    </row>
    <row r="55" spans="1:9" ht="15.75" thickBot="1">
      <c r="A55" s="315" t="s">
        <v>119</v>
      </c>
    </row>
    <row r="56" spans="1:9" ht="64.5" customHeight="1">
      <c r="A56" s="122" t="s">
        <v>0</v>
      </c>
      <c r="B56" s="124" t="s">
        <v>1</v>
      </c>
      <c r="C56" s="120" t="s">
        <v>272</v>
      </c>
      <c r="D56" s="124" t="s">
        <v>118</v>
      </c>
      <c r="E56" s="124" t="str">
        <f>+CONCATENATE("Average Response Time for Incident Commander capable of responding at the Tier ",VLOOKUP(A23,A22:G25,8-D27,FALSE)," to Arrive at Scene")</f>
        <v>Average Response Time for Incident Commander capable of responding at the Tier 2 to Arrive at Scene</v>
      </c>
      <c r="F56" s="124" t="s">
        <v>138</v>
      </c>
      <c r="G56" s="84" t="s">
        <v>311</v>
      </c>
      <c r="H56" s="85"/>
      <c r="I56" s="21"/>
    </row>
    <row r="57" spans="1:9" ht="15.75" thickBot="1">
      <c r="B57" s="66"/>
      <c r="C57" s="123"/>
      <c r="D57" s="123"/>
      <c r="E57" s="154" t="s">
        <v>97</v>
      </c>
      <c r="F57" s="154" t="s">
        <v>97</v>
      </c>
      <c r="G57" s="171" t="s">
        <v>109</v>
      </c>
      <c r="H57" s="21"/>
      <c r="I57" s="14"/>
    </row>
    <row r="58" spans="1:9">
      <c r="A58" s="155" t="str">
        <f>+'Steps 10 - 11  Pop Conseq'!A26</f>
        <v>Facility z</v>
      </c>
      <c r="B58" s="156" t="str">
        <f>+'Steps 10 - 11  Pop Conseq'!B26</f>
        <v>Fire (Ethylene Oxide)</v>
      </c>
      <c r="C58" s="89">
        <f>+F$2</f>
        <v>4</v>
      </c>
      <c r="D58" s="185">
        <f>VLOOKUP($A$18,$A$17:$G$20,8-$D$27,FALSE)</f>
        <v>45</v>
      </c>
      <c r="E58" s="182">
        <v>15</v>
      </c>
      <c r="F58" s="157">
        <f t="shared" ref="F58:F61" si="9">+E58/D58</f>
        <v>0.33333333333333331</v>
      </c>
      <c r="G58" s="158">
        <f t="shared" ref="G58:G61" si="10">IF(F58&lt;1.01,1,IF(F58&lt;1.26,2,IF(F58&lt;1.51,3,IF(F58&lt;2.01,4,5))))</f>
        <v>1</v>
      </c>
    </row>
    <row r="59" spans="1:9">
      <c r="A59" s="104" t="str">
        <f>+'Steps 10 - 11  Pop Conseq'!A27</f>
        <v>Facility z</v>
      </c>
      <c r="B59" s="105" t="str">
        <f>+'Steps 10 - 11  Pop Conseq'!B27</f>
        <v>Explosion (Ethylene Oxide)</v>
      </c>
      <c r="C59" s="91">
        <f>+F$2</f>
        <v>4</v>
      </c>
      <c r="D59" s="185">
        <f t="shared" ref="D59:D62" si="11">VLOOKUP($A$18,$A$17:$G$20,8-$D$27,FALSE)</f>
        <v>45</v>
      </c>
      <c r="E59" s="183">
        <v>15</v>
      </c>
      <c r="F59" s="159">
        <f t="shared" si="9"/>
        <v>0.33333333333333331</v>
      </c>
      <c r="G59" s="42">
        <f t="shared" si="10"/>
        <v>1</v>
      </c>
    </row>
    <row r="60" spans="1:9">
      <c r="A60" s="104" t="str">
        <f>+'Steps 10 - 11  Pop Conseq'!A28</f>
        <v>Facility z</v>
      </c>
      <c r="B60" s="105" t="str">
        <f>+'Steps 10 - 11  Pop Conseq'!B28</f>
        <v>Toxic Gas (Chlorine) (L)</v>
      </c>
      <c r="C60" s="91">
        <f>+F$2</f>
        <v>4</v>
      </c>
      <c r="D60" s="185">
        <f t="shared" si="11"/>
        <v>45</v>
      </c>
      <c r="E60" s="183">
        <v>15</v>
      </c>
      <c r="F60" s="159">
        <f t="shared" si="9"/>
        <v>0.33333333333333331</v>
      </c>
      <c r="G60" s="42">
        <f t="shared" si="10"/>
        <v>1</v>
      </c>
    </row>
    <row r="61" spans="1:9">
      <c r="A61" s="104" t="str">
        <f>+'Steps 10 - 11  Pop Conseq'!A29</f>
        <v>Facility z</v>
      </c>
      <c r="B61" s="105" t="str">
        <f>+'Steps 10 - 11  Pop Conseq'!B29</f>
        <v>Toxic Gas (Chlorine) (S)</v>
      </c>
      <c r="C61" s="91">
        <f>+F$2</f>
        <v>4</v>
      </c>
      <c r="D61" s="185">
        <f t="shared" si="11"/>
        <v>45</v>
      </c>
      <c r="E61" s="183">
        <v>15</v>
      </c>
      <c r="F61" s="159">
        <f t="shared" si="9"/>
        <v>0.33333333333333331</v>
      </c>
      <c r="G61" s="42">
        <f t="shared" si="10"/>
        <v>1</v>
      </c>
    </row>
    <row r="62" spans="1:9" ht="15.75" customHeight="1" thickBot="1">
      <c r="A62" s="104" t="str">
        <f>+'Steps 10 - 11  Pop Conseq'!A30</f>
        <v>step 10-11 facility</v>
      </c>
      <c r="B62" s="105" t="str">
        <f>+'Steps 10 - 11  Pop Conseq'!B30</f>
        <v>step 10 - 11 hazard</v>
      </c>
      <c r="C62" s="91">
        <f>+F$2</f>
        <v>4</v>
      </c>
      <c r="D62" s="185">
        <f t="shared" si="11"/>
        <v>45</v>
      </c>
      <c r="E62" s="353" t="s">
        <v>389</v>
      </c>
      <c r="F62" s="362" t="e">
        <f t="shared" ref="F62" si="12">+E62/D62</f>
        <v>#VALUE!</v>
      </c>
      <c r="G62" s="363" t="e">
        <f t="shared" ref="G62" si="13">IF(F62&lt;1.01,1,IF(F62&lt;1.26,2,IF(F62&lt;1.51,3,IF(F62&lt;2.01,4,5))))</f>
        <v>#VALUE!</v>
      </c>
    </row>
    <row r="63" spans="1:9">
      <c r="A63" s="104" t="str">
        <f>+'Steps 10 - 11  Pop Conseq'!A31</f>
        <v>Roads x</v>
      </c>
      <c r="B63" s="105" t="str">
        <f>+'Steps 10 - 11  Pop Conseq'!B31</f>
        <v>Fire  (Gasoline)</v>
      </c>
      <c r="C63" s="91">
        <f t="shared" ref="C63:C77" si="14">+F$2</f>
        <v>4</v>
      </c>
      <c r="D63" s="185">
        <f t="shared" ref="D63:D78" si="15">VLOOKUP($A$18,$A$17:$G$20,8-$D$27,FALSE)</f>
        <v>45</v>
      </c>
      <c r="E63" s="183">
        <v>30</v>
      </c>
      <c r="F63" s="159">
        <f t="shared" ref="F63:F74" si="16">+E63/D63</f>
        <v>0.66666666666666663</v>
      </c>
      <c r="G63" s="42">
        <f t="shared" ref="G63:G72" si="17">IF(F63&lt;1.01,1,IF(F63&lt;1.26,2,IF(F63&lt;1.51,3,IF(F63&lt;2.01,4,5))))</f>
        <v>1</v>
      </c>
    </row>
    <row r="64" spans="1:9">
      <c r="A64" s="104" t="str">
        <f>+'Steps 10 - 11  Pop Conseq'!A32</f>
        <v>Roads x</v>
      </c>
      <c r="B64" s="105" t="str">
        <f>+'Steps 10 - 11  Pop Conseq'!B32</f>
        <v>Toxic Gas (Ammonia) (L)</v>
      </c>
      <c r="C64" s="91">
        <f t="shared" si="14"/>
        <v>4</v>
      </c>
      <c r="D64" s="185">
        <f t="shared" si="15"/>
        <v>45</v>
      </c>
      <c r="E64" s="183">
        <v>30</v>
      </c>
      <c r="F64" s="159">
        <f t="shared" si="16"/>
        <v>0.66666666666666663</v>
      </c>
      <c r="G64" s="42">
        <f t="shared" si="17"/>
        <v>1</v>
      </c>
    </row>
    <row r="65" spans="1:7">
      <c r="A65" s="104" t="str">
        <f>+'Steps 10 - 11  Pop Conseq'!A33</f>
        <v>Roads x</v>
      </c>
      <c r="B65" s="105" t="str">
        <f>+'Steps 10 - 11  Pop Conseq'!B33</f>
        <v>Toxic Gas (Ammonia) (S)</v>
      </c>
      <c r="C65" s="91">
        <f t="shared" si="14"/>
        <v>4</v>
      </c>
      <c r="D65" s="185">
        <f t="shared" si="15"/>
        <v>45</v>
      </c>
      <c r="E65" s="183">
        <v>30</v>
      </c>
      <c r="F65" s="159">
        <f t="shared" si="16"/>
        <v>0.66666666666666663</v>
      </c>
      <c r="G65" s="42">
        <f t="shared" si="17"/>
        <v>1</v>
      </c>
    </row>
    <row r="66" spans="1:7">
      <c r="A66" s="104" t="str">
        <f>+'Steps 10 - 11  Pop Conseq'!A34</f>
        <v>Roads x</v>
      </c>
      <c r="B66" s="105" t="str">
        <f>+'Steps 10 - 11  Pop Conseq'!B34</f>
        <v>Toxic Liquid (37% HCl) (L)</v>
      </c>
      <c r="C66" s="91">
        <f t="shared" si="14"/>
        <v>4</v>
      </c>
      <c r="D66" s="185">
        <f t="shared" si="15"/>
        <v>45</v>
      </c>
      <c r="E66" s="183">
        <v>30</v>
      </c>
      <c r="F66" s="159">
        <f t="shared" si="16"/>
        <v>0.66666666666666663</v>
      </c>
      <c r="G66" s="42">
        <f t="shared" si="17"/>
        <v>1</v>
      </c>
    </row>
    <row r="67" spans="1:7">
      <c r="A67" s="104" t="str">
        <f>+'Steps 10 - 11  Pop Conseq'!A35</f>
        <v>Roads x</v>
      </c>
      <c r="B67" s="105" t="str">
        <f>+'Steps 10 - 11  Pop Conseq'!B35</f>
        <v>Toxic Liquid (37% HCl) (S)</v>
      </c>
      <c r="C67" s="91">
        <f t="shared" si="14"/>
        <v>4</v>
      </c>
      <c r="D67" s="185">
        <f t="shared" si="15"/>
        <v>45</v>
      </c>
      <c r="E67" s="183">
        <v>30</v>
      </c>
      <c r="F67" s="159">
        <f t="shared" si="16"/>
        <v>0.66666666666666663</v>
      </c>
      <c r="G67" s="42">
        <f t="shared" si="17"/>
        <v>1</v>
      </c>
    </row>
    <row r="68" spans="1:7">
      <c r="A68" s="104" t="str">
        <f>+'Steps 10 - 11  Pop Conseq'!A36</f>
        <v>Roads y</v>
      </c>
      <c r="B68" s="105" t="str">
        <f>+'Steps 10 - 11  Pop Conseq'!B36</f>
        <v>Fire  (Gasoline)</v>
      </c>
      <c r="C68" s="91">
        <f t="shared" si="14"/>
        <v>4</v>
      </c>
      <c r="D68" s="185">
        <f t="shared" si="15"/>
        <v>45</v>
      </c>
      <c r="E68" s="183">
        <v>15</v>
      </c>
      <c r="F68" s="159">
        <f t="shared" si="16"/>
        <v>0.33333333333333331</v>
      </c>
      <c r="G68" s="42">
        <f t="shared" si="17"/>
        <v>1</v>
      </c>
    </row>
    <row r="69" spans="1:7">
      <c r="A69" s="104" t="str">
        <f>+'Steps 10 - 11  Pop Conseq'!A37</f>
        <v>Roads u</v>
      </c>
      <c r="B69" s="105" t="str">
        <f>+'Steps 10 - 11  Pop Conseq'!B37</f>
        <v>Fire  (Gasoline)</v>
      </c>
      <c r="C69" s="91">
        <f t="shared" si="14"/>
        <v>4</v>
      </c>
      <c r="D69" s="185">
        <f t="shared" si="15"/>
        <v>45</v>
      </c>
      <c r="E69" s="183">
        <v>20</v>
      </c>
      <c r="F69" s="159">
        <f t="shared" si="16"/>
        <v>0.44444444444444442</v>
      </c>
      <c r="G69" s="42">
        <f t="shared" si="17"/>
        <v>1</v>
      </c>
    </row>
    <row r="70" spans="1:7">
      <c r="A70" s="104" t="str">
        <f>+'Steps 10 - 11  Pop Conseq'!A38</f>
        <v>Roads u</v>
      </c>
      <c r="B70" s="105" t="str">
        <f>+'Steps 10 - 11  Pop Conseq'!B38</f>
        <v>Toxic Liquid (37% HCl) (L)</v>
      </c>
      <c r="C70" s="91">
        <f t="shared" si="14"/>
        <v>4</v>
      </c>
      <c r="D70" s="185">
        <f t="shared" si="15"/>
        <v>45</v>
      </c>
      <c r="E70" s="183">
        <v>20</v>
      </c>
      <c r="F70" s="159">
        <f t="shared" si="16"/>
        <v>0.44444444444444442</v>
      </c>
      <c r="G70" s="42">
        <f t="shared" si="17"/>
        <v>1</v>
      </c>
    </row>
    <row r="71" spans="1:7">
      <c r="A71" s="104" t="str">
        <f>+'Steps 10 - 11  Pop Conseq'!A39</f>
        <v>Roads u</v>
      </c>
      <c r="B71" s="105" t="str">
        <f>+'Steps 10 - 11  Pop Conseq'!B39</f>
        <v>Toxic Liquid (37% HCl) (S)</v>
      </c>
      <c r="C71" s="91">
        <f t="shared" si="14"/>
        <v>4</v>
      </c>
      <c r="D71" s="185">
        <f t="shared" si="15"/>
        <v>45</v>
      </c>
      <c r="E71" s="183">
        <v>20</v>
      </c>
      <c r="F71" s="159">
        <f t="shared" si="16"/>
        <v>0.44444444444444442</v>
      </c>
      <c r="G71" s="42">
        <f t="shared" si="17"/>
        <v>1</v>
      </c>
    </row>
    <row r="72" spans="1:7">
      <c r="A72" s="104" t="str">
        <f>+'Steps 10 - 11  Pop Conseq'!A40</f>
        <v>Road w</v>
      </c>
      <c r="B72" s="105" t="str">
        <f>+'Steps 10 - 11  Pop Conseq'!B40</f>
        <v>Fire  (Gasoline)</v>
      </c>
      <c r="C72" s="91">
        <f t="shared" si="14"/>
        <v>4</v>
      </c>
      <c r="D72" s="185">
        <f t="shared" si="15"/>
        <v>45</v>
      </c>
      <c r="E72" s="183">
        <v>20</v>
      </c>
      <c r="F72" s="159">
        <f t="shared" si="16"/>
        <v>0.44444444444444442</v>
      </c>
      <c r="G72" s="42">
        <f t="shared" si="17"/>
        <v>1</v>
      </c>
    </row>
    <row r="73" spans="1:7">
      <c r="A73" s="104" t="str">
        <f>+'Steps 10 - 11  Pop Conseq'!A41</f>
        <v>Road w</v>
      </c>
      <c r="B73" s="105" t="str">
        <f>+'Steps 10 - 11  Pop Conseq'!B41</f>
        <v>Toxic Gas (Ammonia) (L)</v>
      </c>
      <c r="C73" s="91">
        <f t="shared" si="14"/>
        <v>4</v>
      </c>
      <c r="D73" s="185">
        <f t="shared" si="15"/>
        <v>45</v>
      </c>
      <c r="E73" s="183">
        <v>15</v>
      </c>
      <c r="F73" s="159">
        <f t="shared" si="16"/>
        <v>0.33333333333333331</v>
      </c>
      <c r="G73" s="42">
        <f t="shared" ref="G73:G77" si="18">IF(F73&lt;1.01,1,IF(F73&lt;1.26,2,IF(F73&lt;1.51,3,IF(F73&lt;2.01,4,5))))</f>
        <v>1</v>
      </c>
    </row>
    <row r="74" spans="1:7">
      <c r="A74" s="104" t="str">
        <f>+'Steps 10 - 11  Pop Conseq'!A42</f>
        <v>Road w</v>
      </c>
      <c r="B74" s="105" t="str">
        <f>+'Steps 10 - 11  Pop Conseq'!B42</f>
        <v>Toxic Gas (Ammonia) (S)</v>
      </c>
      <c r="C74" s="91">
        <f t="shared" si="14"/>
        <v>4</v>
      </c>
      <c r="D74" s="185">
        <f t="shared" si="15"/>
        <v>45</v>
      </c>
      <c r="E74" s="183">
        <v>15</v>
      </c>
      <c r="F74" s="159">
        <f t="shared" si="16"/>
        <v>0.33333333333333331</v>
      </c>
      <c r="G74" s="42">
        <f t="shared" si="18"/>
        <v>1</v>
      </c>
    </row>
    <row r="75" spans="1:7">
      <c r="A75" s="104" t="str">
        <f>+'Steps 10 - 11  Pop Conseq'!A43</f>
        <v>Railroad s</v>
      </c>
      <c r="B75" s="105" t="str">
        <f>+'Steps 10 - 11  Pop Conseq'!B43</f>
        <v>BLEVE (Ethylene Oxide)</v>
      </c>
      <c r="C75" s="91">
        <f t="shared" si="14"/>
        <v>4</v>
      </c>
      <c r="D75" s="185">
        <f t="shared" si="15"/>
        <v>45</v>
      </c>
      <c r="E75" s="183">
        <v>15</v>
      </c>
      <c r="F75" s="159">
        <f t="shared" ref="F75:F77" si="19">+E75/D75</f>
        <v>0.33333333333333331</v>
      </c>
      <c r="G75" s="42">
        <f t="shared" si="18"/>
        <v>1</v>
      </c>
    </row>
    <row r="76" spans="1:7">
      <c r="A76" s="104" t="str">
        <f>+'Steps 10 - 11  Pop Conseq'!A44</f>
        <v>Railroad s</v>
      </c>
      <c r="B76" s="105" t="str">
        <f>+'Steps 10 - 11  Pop Conseq'!B44</f>
        <v>Toxic Gas (Chlorine) (L)</v>
      </c>
      <c r="C76" s="91">
        <f t="shared" si="14"/>
        <v>4</v>
      </c>
      <c r="D76" s="185">
        <f t="shared" si="15"/>
        <v>45</v>
      </c>
      <c r="E76" s="183">
        <v>15</v>
      </c>
      <c r="F76" s="159">
        <f t="shared" si="19"/>
        <v>0.33333333333333331</v>
      </c>
      <c r="G76" s="42">
        <f t="shared" si="18"/>
        <v>1</v>
      </c>
    </row>
    <row r="77" spans="1:7">
      <c r="A77" s="357" t="str">
        <f>+'Steps 10 - 11  Pop Conseq'!A45</f>
        <v>Railroad s</v>
      </c>
      <c r="B77" s="358" t="str">
        <f>+'Steps 10 - 11  Pop Conseq'!B45</f>
        <v>Toxic Gas (Chlorine)  (S)</v>
      </c>
      <c r="C77" s="359">
        <f t="shared" si="14"/>
        <v>4</v>
      </c>
      <c r="D77" s="360">
        <f t="shared" si="15"/>
        <v>45</v>
      </c>
      <c r="E77" s="361">
        <v>15</v>
      </c>
      <c r="F77" s="160">
        <f t="shared" si="19"/>
        <v>0.33333333333333331</v>
      </c>
      <c r="G77" s="161">
        <f t="shared" si="18"/>
        <v>1</v>
      </c>
    </row>
    <row r="78" spans="1:7" ht="15.75" customHeight="1" thickBot="1">
      <c r="A78" s="113" t="str">
        <f>+'Steps 10 - 11  Pop Conseq'!A46</f>
        <v>step 10-12 route</v>
      </c>
      <c r="B78" s="114" t="str">
        <f>+'Steps 10 - 11  Pop Conseq'!B46</f>
        <v>step 10 - 11 hazard</v>
      </c>
      <c r="C78" s="92">
        <f t="shared" ref="C78" si="20">+F$2</f>
        <v>4</v>
      </c>
      <c r="D78" s="186">
        <f t="shared" si="15"/>
        <v>45</v>
      </c>
      <c r="E78" s="353" t="s">
        <v>389</v>
      </c>
      <c r="F78" s="190" t="e">
        <f t="shared" ref="F78" si="21">+E78/D78</f>
        <v>#VALUE!</v>
      </c>
      <c r="G78" s="44" t="e">
        <f t="shared" ref="G78" si="22">IF(F78&lt;1.01,1,IF(F78&lt;1.26,2,IF(F78&lt;1.51,3,IF(F78&lt;2.01,4,5))))</f>
        <v>#VALUE!</v>
      </c>
    </row>
    <row r="80" spans="1:7" ht="15.75" thickBot="1">
      <c r="A80" s="315" t="s">
        <v>308</v>
      </c>
    </row>
    <row r="81" spans="1:7" ht="60">
      <c r="A81" s="142" t="s">
        <v>0</v>
      </c>
      <c r="B81" s="149" t="s">
        <v>1</v>
      </c>
      <c r="C81" s="178" t="s">
        <v>272</v>
      </c>
      <c r="D81" s="149" t="s">
        <v>314</v>
      </c>
      <c r="E81" s="149" t="str">
        <f>CONCATENATE("Average Response Time for Rescue Team Capable of Rescuing ",VLOOKUP(A22,A22:G25,8-D27,FALSE), " People/hr to Arrive at Scene")</f>
        <v>Average Response Time for Rescue Team Capable of Rescuing 10 People/hr to Arrive at Scene</v>
      </c>
      <c r="F81" s="172" t="s">
        <v>138</v>
      </c>
      <c r="G81" s="102" t="s">
        <v>310</v>
      </c>
    </row>
    <row r="82" spans="1:7" ht="15.75" thickBot="1">
      <c r="B82" s="66"/>
      <c r="C82" s="144"/>
      <c r="D82" s="144"/>
      <c r="E82" s="154" t="s">
        <v>97</v>
      </c>
      <c r="F82" s="173" t="s">
        <v>97</v>
      </c>
      <c r="G82" s="43" t="s">
        <v>109</v>
      </c>
    </row>
    <row r="83" spans="1:7">
      <c r="A83" s="155" t="str">
        <f>+'Steps 10 - 11  Pop Conseq'!A26</f>
        <v>Facility z</v>
      </c>
      <c r="B83" s="156" t="str">
        <f>+'Steps 10 - 11  Pop Conseq'!B26</f>
        <v>Fire (Ethylene Oxide)</v>
      </c>
      <c r="C83" s="89">
        <f>+F$2</f>
        <v>4</v>
      </c>
      <c r="D83" s="189">
        <f>VLOOKUP($A$19,$A$17:$G$20,8-$D$27,FALSE)</f>
        <v>10</v>
      </c>
      <c r="E83" s="182">
        <v>15</v>
      </c>
      <c r="F83" s="174">
        <f t="shared" ref="F83:F86" si="23">+E83/D83</f>
        <v>1.5</v>
      </c>
      <c r="G83" s="46">
        <f t="shared" ref="G83:G86" si="24">IF(F83&lt;1.01,1,IF(F83&lt;1.26,2,IF(F83&lt;1.51,3,IF(F83&lt;2.01,4,5))))</f>
        <v>3</v>
      </c>
    </row>
    <row r="84" spans="1:7">
      <c r="A84" s="104" t="str">
        <f>+'Steps 10 - 11  Pop Conseq'!A27</f>
        <v>Facility z</v>
      </c>
      <c r="B84" s="105" t="str">
        <f>+'Steps 10 - 11  Pop Conseq'!B27</f>
        <v>Explosion (Ethylene Oxide)</v>
      </c>
      <c r="C84" s="91">
        <f>+F$2</f>
        <v>4</v>
      </c>
      <c r="D84" s="185">
        <f t="shared" ref="D84:D87" si="25">VLOOKUP($A$19,$A$17:$G$20,8-$D$27,FALSE)</f>
        <v>10</v>
      </c>
      <c r="E84" s="183">
        <v>15</v>
      </c>
      <c r="F84" s="175">
        <f t="shared" si="23"/>
        <v>1.5</v>
      </c>
      <c r="G84" s="41">
        <f t="shared" si="24"/>
        <v>3</v>
      </c>
    </row>
    <row r="85" spans="1:7">
      <c r="A85" s="104" t="str">
        <f>+'Steps 10 - 11  Pop Conseq'!A28</f>
        <v>Facility z</v>
      </c>
      <c r="B85" s="105" t="str">
        <f>+'Steps 10 - 11  Pop Conseq'!B28</f>
        <v>Toxic Gas (Chlorine) (L)</v>
      </c>
      <c r="C85" s="91">
        <f>+F$2</f>
        <v>4</v>
      </c>
      <c r="D85" s="185">
        <f t="shared" si="25"/>
        <v>10</v>
      </c>
      <c r="E85" s="183">
        <v>15</v>
      </c>
      <c r="F85" s="175">
        <f t="shared" si="23"/>
        <v>1.5</v>
      </c>
      <c r="G85" s="41">
        <f t="shared" si="24"/>
        <v>3</v>
      </c>
    </row>
    <row r="86" spans="1:7">
      <c r="A86" s="104" t="str">
        <f>+'Steps 10 - 11  Pop Conseq'!A29</f>
        <v>Facility z</v>
      </c>
      <c r="B86" s="105" t="str">
        <f>+'Steps 10 - 11  Pop Conseq'!B29</f>
        <v>Toxic Gas (Chlorine) (S)</v>
      </c>
      <c r="C86" s="91">
        <f>+F$2</f>
        <v>4</v>
      </c>
      <c r="D86" s="185">
        <f t="shared" si="25"/>
        <v>10</v>
      </c>
      <c r="E86" s="183">
        <v>15</v>
      </c>
      <c r="F86" s="175">
        <f t="shared" si="23"/>
        <v>1.5</v>
      </c>
      <c r="G86" s="41">
        <f t="shared" si="24"/>
        <v>3</v>
      </c>
    </row>
    <row r="87" spans="1:7" ht="30">
      <c r="A87" s="104" t="str">
        <f>+'Steps 10 - 11  Pop Conseq'!A30</f>
        <v>step 10-11 facility</v>
      </c>
      <c r="B87" s="105" t="str">
        <f>+'Steps 10 - 11  Pop Conseq'!B30</f>
        <v>step 10 - 11 hazard</v>
      </c>
      <c r="C87" s="91">
        <f>+F$2</f>
        <v>4</v>
      </c>
      <c r="D87" s="185">
        <f t="shared" si="25"/>
        <v>10</v>
      </c>
      <c r="E87" s="183">
        <v>15</v>
      </c>
      <c r="F87" s="175">
        <f t="shared" ref="F87" si="26">+E87/D87</f>
        <v>1.5</v>
      </c>
      <c r="G87" s="41">
        <f t="shared" ref="G87" si="27">IF(F87&lt;1.01,1,IF(F87&lt;1.26,2,IF(F87&lt;1.51,3,IF(F87&lt;2.01,4,5))))</f>
        <v>3</v>
      </c>
    </row>
    <row r="88" spans="1:7">
      <c r="A88" s="104" t="str">
        <f>+'Steps 10 - 11  Pop Conseq'!A31</f>
        <v>Roads x</v>
      </c>
      <c r="B88" s="105" t="str">
        <f>+'Steps 10 - 11  Pop Conseq'!B31</f>
        <v>Fire  (Gasoline)</v>
      </c>
      <c r="C88" s="91">
        <f t="shared" ref="C88:C102" si="28">+F$2</f>
        <v>4</v>
      </c>
      <c r="D88" s="185">
        <f t="shared" ref="D88:D103" si="29">VLOOKUP($A$19,$A$17:$G$20,8-$D$27,FALSE)</f>
        <v>10</v>
      </c>
      <c r="E88" s="183">
        <v>45</v>
      </c>
      <c r="F88" s="175">
        <f t="shared" ref="F88:F102" si="30">+E88/D88</f>
        <v>4.5</v>
      </c>
      <c r="G88" s="41">
        <f t="shared" ref="G88:G102" si="31">IF(F88&lt;1.01,1,IF(F88&lt;1.26,2,IF(F88&lt;1.51,3,IF(F88&lt;2.01,4,5))))</f>
        <v>5</v>
      </c>
    </row>
    <row r="89" spans="1:7">
      <c r="A89" s="104" t="str">
        <f>+'Steps 10 - 11  Pop Conseq'!A32</f>
        <v>Roads x</v>
      </c>
      <c r="B89" s="105" t="str">
        <f>+'Steps 10 - 11  Pop Conseq'!B32</f>
        <v>Toxic Gas (Ammonia) (L)</v>
      </c>
      <c r="C89" s="91">
        <f t="shared" si="28"/>
        <v>4</v>
      </c>
      <c r="D89" s="185">
        <f t="shared" si="29"/>
        <v>10</v>
      </c>
      <c r="E89" s="183">
        <v>45</v>
      </c>
      <c r="F89" s="175">
        <f t="shared" si="30"/>
        <v>4.5</v>
      </c>
      <c r="G89" s="41">
        <f t="shared" si="31"/>
        <v>5</v>
      </c>
    </row>
    <row r="90" spans="1:7">
      <c r="A90" s="104" t="str">
        <f>+'Steps 10 - 11  Pop Conseq'!A33</f>
        <v>Roads x</v>
      </c>
      <c r="B90" s="105" t="str">
        <f>+'Steps 10 - 11  Pop Conseq'!B33</f>
        <v>Toxic Gas (Ammonia) (S)</v>
      </c>
      <c r="C90" s="91">
        <f t="shared" si="28"/>
        <v>4</v>
      </c>
      <c r="D90" s="185">
        <f t="shared" si="29"/>
        <v>10</v>
      </c>
      <c r="E90" s="183">
        <v>45</v>
      </c>
      <c r="F90" s="175">
        <f t="shared" si="30"/>
        <v>4.5</v>
      </c>
      <c r="G90" s="41">
        <f t="shared" si="31"/>
        <v>5</v>
      </c>
    </row>
    <row r="91" spans="1:7">
      <c r="A91" s="104" t="str">
        <f>+'Steps 10 - 11  Pop Conseq'!A34</f>
        <v>Roads x</v>
      </c>
      <c r="B91" s="105" t="str">
        <f>+'Steps 10 - 11  Pop Conseq'!B34</f>
        <v>Toxic Liquid (37% HCl) (L)</v>
      </c>
      <c r="C91" s="91">
        <f t="shared" si="28"/>
        <v>4</v>
      </c>
      <c r="D91" s="185">
        <f t="shared" si="29"/>
        <v>10</v>
      </c>
      <c r="E91" s="183">
        <v>45</v>
      </c>
      <c r="F91" s="175">
        <f t="shared" si="30"/>
        <v>4.5</v>
      </c>
      <c r="G91" s="41">
        <f t="shared" si="31"/>
        <v>5</v>
      </c>
    </row>
    <row r="92" spans="1:7">
      <c r="A92" s="104" t="str">
        <f>+'Steps 10 - 11  Pop Conseq'!A35</f>
        <v>Roads x</v>
      </c>
      <c r="B92" s="105" t="str">
        <f>+'Steps 10 - 11  Pop Conseq'!B35</f>
        <v>Toxic Liquid (37% HCl) (S)</v>
      </c>
      <c r="C92" s="91">
        <f t="shared" si="28"/>
        <v>4</v>
      </c>
      <c r="D92" s="185">
        <f t="shared" si="29"/>
        <v>10</v>
      </c>
      <c r="E92" s="183">
        <v>45</v>
      </c>
      <c r="F92" s="175">
        <f t="shared" si="30"/>
        <v>4.5</v>
      </c>
      <c r="G92" s="41">
        <f t="shared" si="31"/>
        <v>5</v>
      </c>
    </row>
    <row r="93" spans="1:7">
      <c r="A93" s="104" t="str">
        <f>+'Steps 10 - 11  Pop Conseq'!A36</f>
        <v>Roads y</v>
      </c>
      <c r="B93" s="105" t="str">
        <f>+'Steps 10 - 11  Pop Conseq'!B36</f>
        <v>Fire  (Gasoline)</v>
      </c>
      <c r="C93" s="91">
        <f t="shared" si="28"/>
        <v>4</v>
      </c>
      <c r="D93" s="185">
        <f t="shared" si="29"/>
        <v>10</v>
      </c>
      <c r="E93" s="183">
        <v>30</v>
      </c>
      <c r="F93" s="175">
        <f t="shared" si="30"/>
        <v>3</v>
      </c>
      <c r="G93" s="41">
        <f t="shared" si="31"/>
        <v>5</v>
      </c>
    </row>
    <row r="94" spans="1:7">
      <c r="A94" s="104" t="str">
        <f>+'Steps 10 - 11  Pop Conseq'!A37</f>
        <v>Roads u</v>
      </c>
      <c r="B94" s="105" t="str">
        <f>+'Steps 10 - 11  Pop Conseq'!B37</f>
        <v>Fire  (Gasoline)</v>
      </c>
      <c r="C94" s="91">
        <f t="shared" si="28"/>
        <v>4</v>
      </c>
      <c r="D94" s="185">
        <f t="shared" si="29"/>
        <v>10</v>
      </c>
      <c r="E94" s="183">
        <v>30</v>
      </c>
      <c r="F94" s="175">
        <f t="shared" si="30"/>
        <v>3</v>
      </c>
      <c r="G94" s="41">
        <f t="shared" si="31"/>
        <v>5</v>
      </c>
    </row>
    <row r="95" spans="1:7">
      <c r="A95" s="104" t="str">
        <f>+'Steps 10 - 11  Pop Conseq'!A38</f>
        <v>Roads u</v>
      </c>
      <c r="B95" s="105" t="str">
        <f>+'Steps 10 - 11  Pop Conseq'!B38</f>
        <v>Toxic Liquid (37% HCl) (L)</v>
      </c>
      <c r="C95" s="91">
        <f t="shared" si="28"/>
        <v>4</v>
      </c>
      <c r="D95" s="185">
        <f t="shared" si="29"/>
        <v>10</v>
      </c>
      <c r="E95" s="183">
        <v>30</v>
      </c>
      <c r="F95" s="175">
        <f t="shared" si="30"/>
        <v>3</v>
      </c>
      <c r="G95" s="41">
        <f t="shared" si="31"/>
        <v>5</v>
      </c>
    </row>
    <row r="96" spans="1:7">
      <c r="A96" s="104" t="str">
        <f>+'Steps 10 - 11  Pop Conseq'!A39</f>
        <v>Roads u</v>
      </c>
      <c r="B96" s="105" t="str">
        <f>+'Steps 10 - 11  Pop Conseq'!B39</f>
        <v>Toxic Liquid (37% HCl) (S)</v>
      </c>
      <c r="C96" s="91">
        <f t="shared" si="28"/>
        <v>4</v>
      </c>
      <c r="D96" s="185">
        <f t="shared" si="29"/>
        <v>10</v>
      </c>
      <c r="E96" s="183">
        <v>30</v>
      </c>
      <c r="F96" s="175">
        <f t="shared" si="30"/>
        <v>3</v>
      </c>
      <c r="G96" s="41">
        <f t="shared" si="31"/>
        <v>5</v>
      </c>
    </row>
    <row r="97" spans="1:8">
      <c r="A97" s="104" t="str">
        <f>+'Steps 10 - 11  Pop Conseq'!A40</f>
        <v>Road w</v>
      </c>
      <c r="B97" s="105" t="str">
        <f>+'Steps 10 - 11  Pop Conseq'!B40</f>
        <v>Fire  (Gasoline)</v>
      </c>
      <c r="C97" s="91">
        <f t="shared" si="28"/>
        <v>4</v>
      </c>
      <c r="D97" s="185">
        <f t="shared" si="29"/>
        <v>10</v>
      </c>
      <c r="E97" s="183">
        <v>45</v>
      </c>
      <c r="F97" s="175">
        <f t="shared" si="30"/>
        <v>4.5</v>
      </c>
      <c r="G97" s="41">
        <f t="shared" si="31"/>
        <v>5</v>
      </c>
    </row>
    <row r="98" spans="1:8">
      <c r="A98" s="104" t="str">
        <f>+'Steps 10 - 11  Pop Conseq'!A41</f>
        <v>Road w</v>
      </c>
      <c r="B98" s="105" t="str">
        <f>+'Steps 10 - 11  Pop Conseq'!B41</f>
        <v>Toxic Gas (Ammonia) (L)</v>
      </c>
      <c r="C98" s="91">
        <f t="shared" si="28"/>
        <v>4</v>
      </c>
      <c r="D98" s="185">
        <f t="shared" si="29"/>
        <v>10</v>
      </c>
      <c r="E98" s="183">
        <v>45</v>
      </c>
      <c r="F98" s="175">
        <f t="shared" si="30"/>
        <v>4.5</v>
      </c>
      <c r="G98" s="41">
        <f t="shared" si="31"/>
        <v>5</v>
      </c>
    </row>
    <row r="99" spans="1:8">
      <c r="A99" s="104" t="str">
        <f>+'Steps 10 - 11  Pop Conseq'!A42</f>
        <v>Road w</v>
      </c>
      <c r="B99" s="105" t="str">
        <f>+'Steps 10 - 11  Pop Conseq'!B42</f>
        <v>Toxic Gas (Ammonia) (S)</v>
      </c>
      <c r="C99" s="91">
        <f t="shared" si="28"/>
        <v>4</v>
      </c>
      <c r="D99" s="185">
        <f t="shared" si="29"/>
        <v>10</v>
      </c>
      <c r="E99" s="183">
        <v>45</v>
      </c>
      <c r="F99" s="175">
        <f t="shared" si="30"/>
        <v>4.5</v>
      </c>
      <c r="G99" s="41">
        <f t="shared" si="31"/>
        <v>5</v>
      </c>
    </row>
    <row r="100" spans="1:8">
      <c r="A100" s="104" t="str">
        <f>+'Steps 10 - 11  Pop Conseq'!A43</f>
        <v>Railroad s</v>
      </c>
      <c r="B100" s="105" t="str">
        <f>+'Steps 10 - 11  Pop Conseq'!B43</f>
        <v>BLEVE (Ethylene Oxide)</v>
      </c>
      <c r="C100" s="91">
        <f t="shared" si="28"/>
        <v>4</v>
      </c>
      <c r="D100" s="185">
        <f t="shared" si="29"/>
        <v>10</v>
      </c>
      <c r="E100" s="183">
        <v>45</v>
      </c>
      <c r="F100" s="175">
        <f t="shared" si="30"/>
        <v>4.5</v>
      </c>
      <c r="G100" s="41">
        <f t="shared" si="31"/>
        <v>5</v>
      </c>
    </row>
    <row r="101" spans="1:8">
      <c r="A101" s="104" t="str">
        <f>+'Steps 10 - 11  Pop Conseq'!A44</f>
        <v>Railroad s</v>
      </c>
      <c r="B101" s="105" t="str">
        <f>+'Steps 10 - 11  Pop Conseq'!B44</f>
        <v>Toxic Gas (Chlorine) (L)</v>
      </c>
      <c r="C101" s="91">
        <f t="shared" si="28"/>
        <v>4</v>
      </c>
      <c r="D101" s="185">
        <f t="shared" si="29"/>
        <v>10</v>
      </c>
      <c r="E101" s="183">
        <v>45</v>
      </c>
      <c r="F101" s="175">
        <f t="shared" si="30"/>
        <v>4.5</v>
      </c>
      <c r="G101" s="41">
        <f t="shared" si="31"/>
        <v>5</v>
      </c>
    </row>
    <row r="102" spans="1:8" ht="15.75" thickBot="1">
      <c r="A102" s="113" t="str">
        <f>+'Steps 10 - 11  Pop Conseq'!A45</f>
        <v>Railroad s</v>
      </c>
      <c r="B102" s="114" t="str">
        <f>+'Steps 10 - 11  Pop Conseq'!B45</f>
        <v>Toxic Gas (Chlorine)  (S)</v>
      </c>
      <c r="C102" s="92">
        <f t="shared" si="28"/>
        <v>4</v>
      </c>
      <c r="D102" s="186">
        <f t="shared" si="29"/>
        <v>10</v>
      </c>
      <c r="E102" s="184">
        <v>45</v>
      </c>
      <c r="F102" s="176">
        <f t="shared" si="30"/>
        <v>4.5</v>
      </c>
      <c r="G102" s="43">
        <f t="shared" si="31"/>
        <v>5</v>
      </c>
    </row>
    <row r="103" spans="1:8" ht="15.75" customHeight="1" thickBot="1">
      <c r="A103" s="113" t="str">
        <f>+'Steps 10 - 11  Pop Conseq'!A46</f>
        <v>step 10-12 route</v>
      </c>
      <c r="B103" s="114" t="str">
        <f>+'Steps 10 - 11  Pop Conseq'!B46</f>
        <v>step 10 - 11 hazard</v>
      </c>
      <c r="C103" s="92">
        <f t="shared" ref="C103" si="32">+F$2</f>
        <v>4</v>
      </c>
      <c r="D103" s="186">
        <f t="shared" si="29"/>
        <v>10</v>
      </c>
      <c r="E103" s="353" t="s">
        <v>389</v>
      </c>
      <c r="F103" s="354" t="e">
        <f t="shared" ref="F103" si="33">+E103/D103</f>
        <v>#VALUE!</v>
      </c>
      <c r="G103" s="355" t="e">
        <f t="shared" ref="G103" si="34">IF(F103&lt;1.01,1,IF(F103&lt;1.26,2,IF(F103&lt;1.51,3,IF(F103&lt;2.01,4,5))))</f>
        <v>#VALUE!</v>
      </c>
    </row>
    <row r="105" spans="1:8" ht="15.75" thickBot="1">
      <c r="A105" s="315" t="s">
        <v>313</v>
      </c>
    </row>
    <row r="106" spans="1:8" ht="75">
      <c r="A106" s="142" t="s">
        <v>0</v>
      </c>
      <c r="B106" s="149" t="s">
        <v>1</v>
      </c>
      <c r="C106" s="143" t="s">
        <v>272</v>
      </c>
      <c r="D106" s="149" t="s">
        <v>309</v>
      </c>
      <c r="E106" s="149" t="str">
        <f>+CONCATENATE("Average Response Time for Tier Level ", VLOOKUP(A24,A22:G25,8-D27,FALSE)," Control Team having access to ",VLOOKUP(A25,A22:G25,8-D27,FALSE)," Tier 3/4 team to Arrive at Scene")</f>
        <v>Average Response Time for Tier Level 2 Control Team having access to 1 Tier 3/4 team to Arrive at Scene</v>
      </c>
      <c r="F106" s="172" t="s">
        <v>138</v>
      </c>
      <c r="G106" s="102" t="s">
        <v>310</v>
      </c>
      <c r="H106" s="177" t="s">
        <v>312</v>
      </c>
    </row>
    <row r="107" spans="1:8" ht="15.75" thickBot="1">
      <c r="B107" s="66"/>
      <c r="C107" s="144"/>
      <c r="D107" s="144"/>
      <c r="E107" s="154" t="s">
        <v>97</v>
      </c>
      <c r="F107" s="173" t="s">
        <v>97</v>
      </c>
      <c r="G107" s="43" t="s">
        <v>109</v>
      </c>
      <c r="H107" s="27"/>
    </row>
    <row r="108" spans="1:8">
      <c r="A108" s="155" t="str">
        <f>+'Steps 10 - 11  Pop Conseq'!A26</f>
        <v>Facility z</v>
      </c>
      <c r="B108" s="156" t="str">
        <f>+'Steps 10 - 11  Pop Conseq'!B26</f>
        <v>Fire (Ethylene Oxide)</v>
      </c>
      <c r="C108" s="89">
        <f>+F$2</f>
        <v>4</v>
      </c>
      <c r="D108" s="189">
        <f>VLOOKUP($A$20,$A$17:$G$20,8-$D$27,FALSE)</f>
        <v>60</v>
      </c>
      <c r="E108" s="182">
        <v>15</v>
      </c>
      <c r="F108" s="157">
        <f t="shared" ref="F108:F111" si="35">+E108/D108</f>
        <v>0.25</v>
      </c>
      <c r="G108" s="90">
        <f t="shared" ref="G108:G111" si="36">IF(F108&lt;1.01,1,IF(F108&lt;1.26,2,IF(F108&lt;1.51,3,IF(F108&lt;2.01,4,5))))</f>
        <v>1</v>
      </c>
      <c r="H108" s="29">
        <f t="shared" ref="H108:H128" si="37">MAX(G32,G58,G83,G108)</f>
        <v>3</v>
      </c>
    </row>
    <row r="109" spans="1:8">
      <c r="A109" s="104" t="str">
        <f>+'Steps 10 - 11  Pop Conseq'!A27</f>
        <v>Facility z</v>
      </c>
      <c r="B109" s="105" t="str">
        <f>+'Steps 10 - 11  Pop Conseq'!B27</f>
        <v>Explosion (Ethylene Oxide)</v>
      </c>
      <c r="C109" s="91">
        <f>+F$2</f>
        <v>4</v>
      </c>
      <c r="D109" s="185">
        <f t="shared" ref="D109:D112" si="38">VLOOKUP($A$20,$A$17:$G$20,8-$D$27,FALSE)</f>
        <v>60</v>
      </c>
      <c r="E109" s="183">
        <v>15</v>
      </c>
      <c r="F109" s="159">
        <f t="shared" si="35"/>
        <v>0.25</v>
      </c>
      <c r="G109" s="41">
        <f t="shared" si="36"/>
        <v>1</v>
      </c>
      <c r="H109" s="29">
        <f t="shared" si="37"/>
        <v>3</v>
      </c>
    </row>
    <row r="110" spans="1:8">
      <c r="A110" s="104" t="str">
        <f>+'Steps 10 - 11  Pop Conseq'!A28</f>
        <v>Facility z</v>
      </c>
      <c r="B110" s="105" t="str">
        <f>+'Steps 10 - 11  Pop Conseq'!B28</f>
        <v>Toxic Gas (Chlorine) (L)</v>
      </c>
      <c r="C110" s="91">
        <f>+F$2</f>
        <v>4</v>
      </c>
      <c r="D110" s="185">
        <f t="shared" si="38"/>
        <v>60</v>
      </c>
      <c r="E110" s="183">
        <v>15</v>
      </c>
      <c r="F110" s="159">
        <f t="shared" si="35"/>
        <v>0.25</v>
      </c>
      <c r="G110" s="41">
        <f t="shared" si="36"/>
        <v>1</v>
      </c>
      <c r="H110" s="29">
        <f t="shared" si="37"/>
        <v>3</v>
      </c>
    </row>
    <row r="111" spans="1:8">
      <c r="A111" s="104" t="str">
        <f>+'Steps 10 - 11  Pop Conseq'!A29</f>
        <v>Facility z</v>
      </c>
      <c r="B111" s="105" t="str">
        <f>+'Steps 10 - 11  Pop Conseq'!B29</f>
        <v>Toxic Gas (Chlorine) (S)</v>
      </c>
      <c r="C111" s="91">
        <f>+F$2</f>
        <v>4</v>
      </c>
      <c r="D111" s="185">
        <f t="shared" si="38"/>
        <v>60</v>
      </c>
      <c r="E111" s="183">
        <v>15</v>
      </c>
      <c r="F111" s="159">
        <f t="shared" si="35"/>
        <v>0.25</v>
      </c>
      <c r="G111" s="41">
        <f t="shared" si="36"/>
        <v>1</v>
      </c>
      <c r="H111" s="29">
        <f t="shared" si="37"/>
        <v>3</v>
      </c>
    </row>
    <row r="112" spans="1:8" ht="15.75" customHeight="1">
      <c r="A112" s="104" t="str">
        <f>+'Steps 10 - 11  Pop Conseq'!A30</f>
        <v>step 10-11 facility</v>
      </c>
      <c r="B112" s="105" t="str">
        <f>+'Steps 10 - 11  Pop Conseq'!B30</f>
        <v>step 10 - 11 hazard</v>
      </c>
      <c r="C112" s="91">
        <f>+F$2</f>
        <v>4</v>
      </c>
      <c r="D112" s="185">
        <f t="shared" si="38"/>
        <v>60</v>
      </c>
      <c r="E112" s="356" t="s">
        <v>389</v>
      </c>
      <c r="F112" s="159" t="e">
        <f t="shared" ref="F112" si="39">+E112/D112</f>
        <v>#VALUE!</v>
      </c>
      <c r="G112" s="41" t="e">
        <f t="shared" ref="G112" si="40">IF(F112&lt;1.01,1,IF(F112&lt;1.26,2,IF(F112&lt;1.51,3,IF(F112&lt;2.01,4,5))))</f>
        <v>#VALUE!</v>
      </c>
      <c r="H112" s="29" t="e">
        <f t="shared" si="37"/>
        <v>#VALUE!</v>
      </c>
    </row>
    <row r="113" spans="1:8">
      <c r="A113" s="104" t="str">
        <f>+'Steps 10 - 11  Pop Conseq'!A31</f>
        <v>Roads x</v>
      </c>
      <c r="B113" s="105" t="str">
        <f>+'Steps 10 - 11  Pop Conseq'!B31</f>
        <v>Fire  (Gasoline)</v>
      </c>
      <c r="C113" s="91">
        <f t="shared" ref="C113:C128" si="41">+F$2</f>
        <v>4</v>
      </c>
      <c r="D113" s="185">
        <f t="shared" ref="D113:D128" si="42">VLOOKUP($A$20,$A$17:$G$20,8-$D$27,FALSE)</f>
        <v>60</v>
      </c>
      <c r="E113" s="183">
        <v>45</v>
      </c>
      <c r="F113" s="159">
        <f t="shared" ref="F113:F127" si="43">+E113/D113</f>
        <v>0.75</v>
      </c>
      <c r="G113" s="41">
        <f t="shared" ref="G113:G127" si="44">IF(F113&lt;1.01,1,IF(F113&lt;1.26,2,IF(F113&lt;1.51,3,IF(F113&lt;2.01,4,5))))</f>
        <v>1</v>
      </c>
      <c r="H113" s="29">
        <f t="shared" si="37"/>
        <v>5</v>
      </c>
    </row>
    <row r="114" spans="1:8">
      <c r="A114" s="104" t="str">
        <f>+'Steps 10 - 11  Pop Conseq'!A32</f>
        <v>Roads x</v>
      </c>
      <c r="B114" s="105" t="str">
        <f>+'Steps 10 - 11  Pop Conseq'!B32</f>
        <v>Toxic Gas (Ammonia) (L)</v>
      </c>
      <c r="C114" s="91">
        <f t="shared" si="41"/>
        <v>4</v>
      </c>
      <c r="D114" s="185">
        <f t="shared" si="42"/>
        <v>60</v>
      </c>
      <c r="E114" s="183">
        <v>45</v>
      </c>
      <c r="F114" s="159">
        <f t="shared" si="43"/>
        <v>0.75</v>
      </c>
      <c r="G114" s="41">
        <f t="shared" si="44"/>
        <v>1</v>
      </c>
      <c r="H114" s="29">
        <f t="shared" si="37"/>
        <v>5</v>
      </c>
    </row>
    <row r="115" spans="1:8">
      <c r="A115" s="104" t="str">
        <f>+'Steps 10 - 11  Pop Conseq'!A33</f>
        <v>Roads x</v>
      </c>
      <c r="B115" s="105" t="str">
        <f>+'Steps 10 - 11  Pop Conseq'!B33</f>
        <v>Toxic Gas (Ammonia) (S)</v>
      </c>
      <c r="C115" s="91">
        <f t="shared" si="41"/>
        <v>4</v>
      </c>
      <c r="D115" s="185">
        <f t="shared" si="42"/>
        <v>60</v>
      </c>
      <c r="E115" s="183">
        <v>45</v>
      </c>
      <c r="F115" s="159">
        <f t="shared" si="43"/>
        <v>0.75</v>
      </c>
      <c r="G115" s="41">
        <f t="shared" si="44"/>
        <v>1</v>
      </c>
      <c r="H115" s="29">
        <f t="shared" si="37"/>
        <v>5</v>
      </c>
    </row>
    <row r="116" spans="1:8">
      <c r="A116" s="104" t="str">
        <f>+'Steps 10 - 11  Pop Conseq'!A34</f>
        <v>Roads x</v>
      </c>
      <c r="B116" s="105" t="str">
        <f>+'Steps 10 - 11  Pop Conseq'!B34</f>
        <v>Toxic Liquid (37% HCl) (L)</v>
      </c>
      <c r="C116" s="91">
        <f t="shared" si="41"/>
        <v>4</v>
      </c>
      <c r="D116" s="185">
        <f t="shared" si="42"/>
        <v>60</v>
      </c>
      <c r="E116" s="183">
        <v>45</v>
      </c>
      <c r="F116" s="159">
        <f t="shared" si="43"/>
        <v>0.75</v>
      </c>
      <c r="G116" s="41">
        <f t="shared" si="44"/>
        <v>1</v>
      </c>
      <c r="H116" s="29">
        <f t="shared" si="37"/>
        <v>5</v>
      </c>
    </row>
    <row r="117" spans="1:8">
      <c r="A117" s="104" t="str">
        <f>+'Steps 10 - 11  Pop Conseq'!A35</f>
        <v>Roads x</v>
      </c>
      <c r="B117" s="105" t="str">
        <f>+'Steps 10 - 11  Pop Conseq'!B35</f>
        <v>Toxic Liquid (37% HCl) (S)</v>
      </c>
      <c r="C117" s="91">
        <f t="shared" si="41"/>
        <v>4</v>
      </c>
      <c r="D117" s="185">
        <f t="shared" si="42"/>
        <v>60</v>
      </c>
      <c r="E117" s="183">
        <v>45</v>
      </c>
      <c r="F117" s="159">
        <f t="shared" si="43"/>
        <v>0.75</v>
      </c>
      <c r="G117" s="41">
        <f t="shared" si="44"/>
        <v>1</v>
      </c>
      <c r="H117" s="29">
        <f t="shared" si="37"/>
        <v>5</v>
      </c>
    </row>
    <row r="118" spans="1:8">
      <c r="A118" s="104" t="str">
        <f>+'Steps 10 - 11  Pop Conseq'!A36</f>
        <v>Roads y</v>
      </c>
      <c r="B118" s="105" t="str">
        <f>+'Steps 10 - 11  Pop Conseq'!B36</f>
        <v>Fire  (Gasoline)</v>
      </c>
      <c r="C118" s="91">
        <f t="shared" si="41"/>
        <v>4</v>
      </c>
      <c r="D118" s="185">
        <f t="shared" si="42"/>
        <v>60</v>
      </c>
      <c r="E118" s="183">
        <v>30</v>
      </c>
      <c r="F118" s="159">
        <f t="shared" si="43"/>
        <v>0.5</v>
      </c>
      <c r="G118" s="41">
        <f t="shared" si="44"/>
        <v>1</v>
      </c>
      <c r="H118" s="29">
        <f t="shared" si="37"/>
        <v>5</v>
      </c>
    </row>
    <row r="119" spans="1:8">
      <c r="A119" s="104" t="str">
        <f>+'Steps 10 - 11  Pop Conseq'!A37</f>
        <v>Roads u</v>
      </c>
      <c r="B119" s="105" t="str">
        <f>+'Steps 10 - 11  Pop Conseq'!B37</f>
        <v>Fire  (Gasoline)</v>
      </c>
      <c r="C119" s="91">
        <f t="shared" si="41"/>
        <v>4</v>
      </c>
      <c r="D119" s="185">
        <f t="shared" si="42"/>
        <v>60</v>
      </c>
      <c r="E119" s="183">
        <v>30</v>
      </c>
      <c r="F119" s="159">
        <f t="shared" si="43"/>
        <v>0.5</v>
      </c>
      <c r="G119" s="41">
        <f t="shared" si="44"/>
        <v>1</v>
      </c>
      <c r="H119" s="29">
        <f t="shared" si="37"/>
        <v>5</v>
      </c>
    </row>
    <row r="120" spans="1:8">
      <c r="A120" s="104" t="str">
        <f>+'Steps 10 - 11  Pop Conseq'!A38</f>
        <v>Roads u</v>
      </c>
      <c r="B120" s="105" t="str">
        <f>+'Steps 10 - 11  Pop Conseq'!B38</f>
        <v>Toxic Liquid (37% HCl) (L)</v>
      </c>
      <c r="C120" s="91">
        <f t="shared" si="41"/>
        <v>4</v>
      </c>
      <c r="D120" s="185">
        <f t="shared" si="42"/>
        <v>60</v>
      </c>
      <c r="E120" s="183">
        <v>30</v>
      </c>
      <c r="F120" s="159">
        <f t="shared" si="43"/>
        <v>0.5</v>
      </c>
      <c r="G120" s="41">
        <f t="shared" si="44"/>
        <v>1</v>
      </c>
      <c r="H120" s="29">
        <f t="shared" si="37"/>
        <v>5</v>
      </c>
    </row>
    <row r="121" spans="1:8">
      <c r="A121" s="104" t="str">
        <f>+'Steps 10 - 11  Pop Conseq'!A39</f>
        <v>Roads u</v>
      </c>
      <c r="B121" s="105" t="str">
        <f>+'Steps 10 - 11  Pop Conseq'!B39</f>
        <v>Toxic Liquid (37% HCl) (S)</v>
      </c>
      <c r="C121" s="91">
        <f t="shared" si="41"/>
        <v>4</v>
      </c>
      <c r="D121" s="185">
        <f t="shared" si="42"/>
        <v>60</v>
      </c>
      <c r="E121" s="183">
        <v>30</v>
      </c>
      <c r="F121" s="159">
        <f t="shared" si="43"/>
        <v>0.5</v>
      </c>
      <c r="G121" s="41">
        <f t="shared" si="44"/>
        <v>1</v>
      </c>
      <c r="H121" s="29">
        <f t="shared" si="37"/>
        <v>5</v>
      </c>
    </row>
    <row r="122" spans="1:8">
      <c r="A122" s="104" t="str">
        <f>+'Steps 10 - 11  Pop Conseq'!A40</f>
        <v>Road w</v>
      </c>
      <c r="B122" s="105" t="str">
        <f>+'Steps 10 - 11  Pop Conseq'!B40</f>
        <v>Fire  (Gasoline)</v>
      </c>
      <c r="C122" s="91">
        <f t="shared" si="41"/>
        <v>4</v>
      </c>
      <c r="D122" s="185">
        <f t="shared" si="42"/>
        <v>60</v>
      </c>
      <c r="E122" s="183">
        <v>45</v>
      </c>
      <c r="F122" s="159">
        <f t="shared" si="43"/>
        <v>0.75</v>
      </c>
      <c r="G122" s="41">
        <f t="shared" si="44"/>
        <v>1</v>
      </c>
      <c r="H122" s="29">
        <f t="shared" si="37"/>
        <v>5</v>
      </c>
    </row>
    <row r="123" spans="1:8">
      <c r="A123" s="104" t="str">
        <f>+'Steps 10 - 11  Pop Conseq'!A41</f>
        <v>Road w</v>
      </c>
      <c r="B123" s="105" t="str">
        <f>+'Steps 10 - 11  Pop Conseq'!B41</f>
        <v>Toxic Gas (Ammonia) (L)</v>
      </c>
      <c r="C123" s="91">
        <f t="shared" si="41"/>
        <v>4</v>
      </c>
      <c r="D123" s="185">
        <f t="shared" si="42"/>
        <v>60</v>
      </c>
      <c r="E123" s="183">
        <v>45</v>
      </c>
      <c r="F123" s="159">
        <f t="shared" si="43"/>
        <v>0.75</v>
      </c>
      <c r="G123" s="41">
        <f t="shared" si="44"/>
        <v>1</v>
      </c>
      <c r="H123" s="29">
        <f t="shared" si="37"/>
        <v>5</v>
      </c>
    </row>
    <row r="124" spans="1:8">
      <c r="A124" s="104" t="str">
        <f>+'Steps 10 - 11  Pop Conseq'!A42</f>
        <v>Road w</v>
      </c>
      <c r="B124" s="105" t="str">
        <f>+'Steps 10 - 11  Pop Conseq'!B42</f>
        <v>Toxic Gas (Ammonia) (S)</v>
      </c>
      <c r="C124" s="91">
        <f t="shared" si="41"/>
        <v>4</v>
      </c>
      <c r="D124" s="185">
        <f t="shared" si="42"/>
        <v>60</v>
      </c>
      <c r="E124" s="183">
        <v>45</v>
      </c>
      <c r="F124" s="159">
        <f t="shared" si="43"/>
        <v>0.75</v>
      </c>
      <c r="G124" s="41">
        <f t="shared" si="44"/>
        <v>1</v>
      </c>
      <c r="H124" s="29">
        <f t="shared" si="37"/>
        <v>5</v>
      </c>
    </row>
    <row r="125" spans="1:8">
      <c r="A125" s="104" t="str">
        <f>+'Steps 10 - 11  Pop Conseq'!A43</f>
        <v>Railroad s</v>
      </c>
      <c r="B125" s="105" t="str">
        <f>+'Steps 10 - 11  Pop Conseq'!B43</f>
        <v>BLEVE (Ethylene Oxide)</v>
      </c>
      <c r="C125" s="91">
        <f t="shared" si="41"/>
        <v>4</v>
      </c>
      <c r="D125" s="185">
        <f t="shared" si="42"/>
        <v>60</v>
      </c>
      <c r="E125" s="183">
        <v>45</v>
      </c>
      <c r="F125" s="159">
        <f t="shared" si="43"/>
        <v>0.75</v>
      </c>
      <c r="G125" s="41">
        <f t="shared" si="44"/>
        <v>1</v>
      </c>
      <c r="H125" s="29">
        <f t="shared" si="37"/>
        <v>5</v>
      </c>
    </row>
    <row r="126" spans="1:8">
      <c r="A126" s="104" t="str">
        <f>+'Steps 10 - 11  Pop Conseq'!A44</f>
        <v>Railroad s</v>
      </c>
      <c r="B126" s="105" t="str">
        <f>+'Steps 10 - 11  Pop Conseq'!B44</f>
        <v>Toxic Gas (Chlorine) (L)</v>
      </c>
      <c r="C126" s="91">
        <f t="shared" si="41"/>
        <v>4</v>
      </c>
      <c r="D126" s="185">
        <f t="shared" si="42"/>
        <v>60</v>
      </c>
      <c r="E126" s="183">
        <v>45</v>
      </c>
      <c r="F126" s="159">
        <f t="shared" si="43"/>
        <v>0.75</v>
      </c>
      <c r="G126" s="41">
        <f t="shared" si="44"/>
        <v>1</v>
      </c>
      <c r="H126" s="29">
        <f t="shared" si="37"/>
        <v>5</v>
      </c>
    </row>
    <row r="127" spans="1:8" ht="15.75" thickBot="1">
      <c r="A127" s="113" t="str">
        <f>+'Steps 10 - 11  Pop Conseq'!A45</f>
        <v>Railroad s</v>
      </c>
      <c r="B127" s="114" t="str">
        <f>+'Steps 10 - 11  Pop Conseq'!B45</f>
        <v>Toxic Gas (Chlorine)  (S)</v>
      </c>
      <c r="C127" s="92">
        <f t="shared" si="41"/>
        <v>4</v>
      </c>
      <c r="D127" s="186">
        <f t="shared" si="42"/>
        <v>60</v>
      </c>
      <c r="E127" s="184">
        <v>45</v>
      </c>
      <c r="F127" s="190">
        <f t="shared" si="43"/>
        <v>0.75</v>
      </c>
      <c r="G127" s="43">
        <f t="shared" si="44"/>
        <v>1</v>
      </c>
      <c r="H127" s="29">
        <f t="shared" si="37"/>
        <v>5</v>
      </c>
    </row>
    <row r="128" spans="1:8" ht="15.75" thickBot="1">
      <c r="A128" s="113" t="str">
        <f>+'Steps 10 - 11  Pop Conseq'!A46</f>
        <v>step 10-12 route</v>
      </c>
      <c r="B128" s="114" t="str">
        <f>+'Steps 10 - 11  Pop Conseq'!B46</f>
        <v>step 10 - 11 hazard</v>
      </c>
      <c r="C128" s="92">
        <f t="shared" si="41"/>
        <v>4</v>
      </c>
      <c r="D128" s="186">
        <f t="shared" si="42"/>
        <v>60</v>
      </c>
      <c r="E128" s="184" t="s">
        <v>389</v>
      </c>
      <c r="F128" s="190" t="e">
        <f t="shared" ref="F128" si="45">+E128/D128</f>
        <v>#VALUE!</v>
      </c>
      <c r="G128" s="43" t="e">
        <f t="shared" ref="G128" si="46">IF(F128&lt;1.01,1,IF(F128&lt;1.26,2,IF(F128&lt;1.51,3,IF(F128&lt;2.01,4,5))))</f>
        <v>#VALUE!</v>
      </c>
      <c r="H128" s="29" t="e">
        <f t="shared" si="37"/>
        <v>#VALUE!</v>
      </c>
    </row>
  </sheetData>
  <customSheetViews>
    <customSheetView guid="{3DB30FED-CC59-45C7-A6C7-CEC6DAE12EDE}">
      <pageMargins left="0.7" right="0.7" top="0.75" bottom="0.75" header="0.3" footer="0.3"/>
      <pageSetup orientation="portrait" r:id="rId1"/>
    </customSheetView>
  </customSheetViews>
  <mergeCells count="9">
    <mergeCell ref="B2:E2"/>
    <mergeCell ref="C16:G16"/>
    <mergeCell ref="C21:G21"/>
    <mergeCell ref="D5:E5"/>
    <mergeCell ref="D6:E6"/>
    <mergeCell ref="D7:E7"/>
    <mergeCell ref="D8:E8"/>
    <mergeCell ref="D9:E9"/>
    <mergeCell ref="D10:E10"/>
  </mergeCell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sheetPr codeName="Sheet9"/>
  <dimension ref="B2:J62"/>
  <sheetViews>
    <sheetView topLeftCell="A32" workbookViewId="0">
      <selection activeCell="C43" sqref="C43:C44"/>
    </sheetView>
  </sheetViews>
  <sheetFormatPr defaultRowHeight="15"/>
  <cols>
    <col min="2" max="2" width="17.28515625" customWidth="1"/>
    <col min="3" max="3" width="27.5703125" customWidth="1"/>
    <col min="4" max="4" width="23.42578125" customWidth="1"/>
    <col min="5" max="5" width="17.28515625" customWidth="1"/>
    <col min="6" max="6" width="18" customWidth="1"/>
    <col min="7" max="7" width="15.140625" customWidth="1"/>
    <col min="8" max="8" width="15.28515625" customWidth="1"/>
    <col min="9" max="9" width="16.42578125" customWidth="1"/>
    <col min="10" max="10" width="9.140625" customWidth="1"/>
  </cols>
  <sheetData>
    <row r="2" spans="2:9">
      <c r="B2" s="438" t="s">
        <v>366</v>
      </c>
      <c r="C2" s="438"/>
      <c r="D2" s="438"/>
      <c r="E2" s="438"/>
      <c r="F2" s="438"/>
      <c r="G2" s="438"/>
    </row>
    <row r="3" spans="2:9">
      <c r="B3" s="438"/>
      <c r="C3" s="438"/>
      <c r="D3" s="438"/>
      <c r="E3" s="438"/>
      <c r="F3" s="438"/>
      <c r="G3" s="438"/>
    </row>
    <row r="4" spans="2:9">
      <c r="B4" s="438"/>
      <c r="C4" s="438"/>
      <c r="D4" s="438"/>
      <c r="E4" s="438"/>
      <c r="F4" s="438"/>
      <c r="G4" s="438"/>
    </row>
    <row r="5" spans="2:9">
      <c r="B5" s="438"/>
      <c r="C5" s="438"/>
      <c r="D5" s="438"/>
      <c r="E5" s="438"/>
      <c r="F5" s="438"/>
      <c r="G5" s="438"/>
    </row>
    <row r="7" spans="2:9" ht="15" customHeight="1">
      <c r="B7" s="438" t="s">
        <v>367</v>
      </c>
      <c r="C7" s="438"/>
      <c r="D7" s="438"/>
      <c r="E7" s="438"/>
      <c r="F7" s="438"/>
      <c r="G7" s="438"/>
    </row>
    <row r="8" spans="2:9">
      <c r="B8" s="438"/>
      <c r="C8" s="438"/>
      <c r="D8" s="438"/>
      <c r="E8" s="438"/>
      <c r="F8" s="438"/>
      <c r="G8" s="438"/>
    </row>
    <row r="9" spans="2:9" ht="18" customHeight="1">
      <c r="B9" s="316"/>
      <c r="C9" s="316"/>
      <c r="D9" s="316"/>
      <c r="E9" s="316"/>
      <c r="F9" s="316"/>
      <c r="G9" s="316"/>
    </row>
    <row r="10" spans="2:9" ht="18" customHeight="1">
      <c r="B10" s="438" t="s">
        <v>368</v>
      </c>
      <c r="C10" s="438"/>
      <c r="D10" s="438"/>
      <c r="E10" s="438"/>
      <c r="F10" s="438"/>
      <c r="G10" s="438"/>
    </row>
    <row r="11" spans="2:9" ht="18" customHeight="1">
      <c r="B11" s="438"/>
      <c r="C11" s="438"/>
      <c r="D11" s="438"/>
      <c r="E11" s="438"/>
      <c r="F11" s="438"/>
      <c r="G11" s="438"/>
      <c r="I11" s="234"/>
    </row>
    <row r="12" spans="2:9" ht="18" customHeight="1">
      <c r="B12" s="438"/>
      <c r="C12" s="438"/>
      <c r="D12" s="438"/>
      <c r="E12" s="438"/>
      <c r="F12" s="438"/>
      <c r="G12" s="438"/>
      <c r="I12" s="234"/>
    </row>
    <row r="13" spans="2:9" ht="18" customHeight="1">
      <c r="B13" s="438"/>
      <c r="C13" s="438"/>
      <c r="D13" s="438"/>
      <c r="E13" s="438"/>
      <c r="F13" s="438"/>
      <c r="G13" s="438"/>
      <c r="I13" s="234"/>
    </row>
    <row r="14" spans="2:9">
      <c r="B14" s="438"/>
      <c r="C14" s="438"/>
      <c r="D14" s="438"/>
      <c r="E14" s="438"/>
      <c r="F14" s="438"/>
      <c r="G14" s="438"/>
      <c r="I14" s="234"/>
    </row>
    <row r="15" spans="2:9">
      <c r="B15" s="438"/>
      <c r="C15" s="438"/>
      <c r="D15" s="438"/>
      <c r="E15" s="438"/>
      <c r="F15" s="438"/>
      <c r="G15" s="438"/>
      <c r="I15" s="234"/>
    </row>
    <row r="16" spans="2:9">
      <c r="B16" s="438"/>
      <c r="C16" s="438"/>
      <c r="D16" s="438"/>
      <c r="E16" s="438"/>
      <c r="F16" s="438"/>
      <c r="G16" s="438"/>
      <c r="I16" s="234"/>
    </row>
    <row r="17" spans="2:9">
      <c r="B17" s="438"/>
      <c r="C17" s="438"/>
      <c r="D17" s="438"/>
      <c r="E17" s="438"/>
      <c r="F17" s="438"/>
      <c r="G17" s="438"/>
      <c r="I17" s="234"/>
    </row>
    <row r="18" spans="2:9">
      <c r="I18" s="234"/>
    </row>
    <row r="19" spans="2:9">
      <c r="B19" s="438" t="s">
        <v>369</v>
      </c>
      <c r="C19" s="438"/>
      <c r="D19" s="438"/>
      <c r="E19" s="438"/>
      <c r="F19" s="438"/>
      <c r="G19" s="438"/>
      <c r="I19" s="234"/>
    </row>
    <row r="20" spans="2:9">
      <c r="I20" s="234"/>
    </row>
    <row r="22" spans="2:9">
      <c r="B22" s="294" t="s">
        <v>126</v>
      </c>
    </row>
    <row r="23" spans="2:9" ht="15.75" thickBot="1">
      <c r="B23" s="98" t="s">
        <v>328</v>
      </c>
      <c r="C23" s="98"/>
      <c r="D23" s="69"/>
    </row>
    <row r="24" spans="2:9" ht="30.75" thickBot="1">
      <c r="B24" s="317" t="s">
        <v>72</v>
      </c>
      <c r="C24" s="318" t="s">
        <v>73</v>
      </c>
      <c r="D24" s="319" t="s">
        <v>74</v>
      </c>
    </row>
    <row r="25" spans="2:9">
      <c r="B25" s="67" t="s">
        <v>75</v>
      </c>
      <c r="C25" s="320">
        <v>5</v>
      </c>
      <c r="D25" s="321" t="s">
        <v>76</v>
      </c>
    </row>
    <row r="26" spans="2:9" ht="17.25">
      <c r="B26" s="8" t="s">
        <v>77</v>
      </c>
      <c r="C26" s="93">
        <v>4</v>
      </c>
      <c r="D26" s="322" t="s">
        <v>78</v>
      </c>
    </row>
    <row r="27" spans="2:9" ht="17.25">
      <c r="B27" s="8" t="s">
        <v>79</v>
      </c>
      <c r="C27" s="93">
        <v>3</v>
      </c>
      <c r="D27" s="322" t="s">
        <v>80</v>
      </c>
    </row>
    <row r="28" spans="2:9" ht="17.25">
      <c r="B28" s="8" t="s">
        <v>81</v>
      </c>
      <c r="C28" s="93">
        <v>2</v>
      </c>
      <c r="D28" s="322" t="s">
        <v>82</v>
      </c>
    </row>
    <row r="29" spans="2:9" ht="18" thickBot="1">
      <c r="B29" s="11" t="s">
        <v>83</v>
      </c>
      <c r="C29" s="94">
        <v>1</v>
      </c>
      <c r="D29" s="323" t="s">
        <v>84</v>
      </c>
    </row>
    <row r="30" spans="2:9">
      <c r="B30" s="22"/>
      <c r="C30" s="225"/>
      <c r="D30" s="22"/>
    </row>
    <row r="31" spans="2:9">
      <c r="B31" s="23" t="s">
        <v>319</v>
      </c>
    </row>
    <row r="32" spans="2:9">
      <c r="B32" s="378" t="s">
        <v>392</v>
      </c>
      <c r="C32" s="378"/>
      <c r="D32" s="378"/>
      <c r="E32" s="380" t="s">
        <v>393</v>
      </c>
    </row>
    <row r="33" spans="2:10" ht="15.75" thickBot="1">
      <c r="B33" s="315" t="s">
        <v>127</v>
      </c>
    </row>
    <row r="34" spans="2:10" ht="30">
      <c r="B34" s="464" t="s">
        <v>0</v>
      </c>
      <c r="C34" s="466" t="s">
        <v>1</v>
      </c>
      <c r="D34" s="149" t="s">
        <v>2</v>
      </c>
      <c r="E34" s="149" t="s">
        <v>22</v>
      </c>
      <c r="F34" s="324" t="s">
        <v>329</v>
      </c>
    </row>
    <row r="35" spans="2:10" ht="15.75" thickBot="1">
      <c r="B35" s="465"/>
      <c r="C35" s="467"/>
      <c r="D35" s="325" t="s">
        <v>3</v>
      </c>
      <c r="E35" s="325" t="s">
        <v>23</v>
      </c>
      <c r="F35" s="326" t="s">
        <v>5</v>
      </c>
    </row>
    <row r="36" spans="2:10">
      <c r="B36" s="369" t="str">
        <f>+'Steps 10 - 11  Pop Conseq'!A26</f>
        <v>Facility z</v>
      </c>
      <c r="C36" s="370" t="s">
        <v>19</v>
      </c>
      <c r="D36" s="371">
        <v>1</v>
      </c>
      <c r="E36" s="372">
        <v>0.1</v>
      </c>
      <c r="F36" s="324">
        <f>IF(E36&gt;1,5,IF(E36&gt;0.01,4,IF(E36&gt;0.0001,3,IF(E36&gt;0.000001,2,1))))</f>
        <v>4</v>
      </c>
    </row>
    <row r="37" spans="2:10">
      <c r="B37" s="8" t="str">
        <f>+'Steps 10 - 11  Pop Conseq'!A27</f>
        <v>Facility z</v>
      </c>
      <c r="C37" s="9" t="s">
        <v>19</v>
      </c>
      <c r="D37" s="218">
        <v>1</v>
      </c>
      <c r="E37" s="229">
        <v>1.0000000000000001E-5</v>
      </c>
      <c r="F37" s="54">
        <f>IF(E37&gt;1,5,IF(E37&gt;0.01,4,IF(E37&gt;0.0001,3,IF(E37&gt;0.000001,2,1))))</f>
        <v>2</v>
      </c>
    </row>
    <row r="38" spans="2:10">
      <c r="B38" s="8" t="str">
        <f>+'Steps 10 - 11  Pop Conseq'!A28</f>
        <v>Facility z</v>
      </c>
      <c r="C38" s="9" t="s">
        <v>19</v>
      </c>
      <c r="D38" s="218">
        <v>1</v>
      </c>
      <c r="E38" s="229">
        <v>1E-3</v>
      </c>
      <c r="F38" s="54">
        <v>3</v>
      </c>
    </row>
    <row r="39" spans="2:10">
      <c r="B39" s="8" t="str">
        <f>+'Steps 10 - 11  Pop Conseq'!A29</f>
        <v>Facility z</v>
      </c>
      <c r="C39" s="9" t="s">
        <v>19</v>
      </c>
      <c r="D39" s="218">
        <v>1</v>
      </c>
      <c r="E39" s="229">
        <v>0.1</v>
      </c>
      <c r="F39" s="54">
        <f>IF(E39&gt;1,5,IF(E39&gt;0.01,4,IF(E39&gt;0.0001,3,IF(E39&gt;0.000001,2,1))))</f>
        <v>4</v>
      </c>
    </row>
    <row r="40" spans="2:10" ht="15.75" thickBot="1">
      <c r="B40" s="11" t="str">
        <f>+'Steps 10 - 11  Pop Conseq'!A30</f>
        <v>step 10-11 facility</v>
      </c>
      <c r="C40" s="12" t="s">
        <v>19</v>
      </c>
      <c r="D40" s="368" t="s">
        <v>390</v>
      </c>
      <c r="E40" s="368" t="s">
        <v>390</v>
      </c>
      <c r="F40" s="19">
        <f>IF(E40&gt;1,5,IF(E40&gt;0.01,4,IF(E40&gt;0.0001,3,IF(E40&gt;0.000001,2,1))))</f>
        <v>5</v>
      </c>
    </row>
    <row r="42" spans="2:10" s="97" customFormat="1" ht="15.75" thickBot="1">
      <c r="B42" s="23" t="s">
        <v>125</v>
      </c>
    </row>
    <row r="43" spans="2:10" ht="30">
      <c r="B43" s="468" t="s">
        <v>0</v>
      </c>
      <c r="C43" s="420" t="s">
        <v>1</v>
      </c>
      <c r="D43" s="327" t="s">
        <v>399</v>
      </c>
      <c r="E43" s="95" t="s">
        <v>64</v>
      </c>
      <c r="F43" s="95" t="s">
        <v>69</v>
      </c>
      <c r="G43" s="59" t="s">
        <v>67</v>
      </c>
      <c r="H43" s="95" t="s">
        <v>71</v>
      </c>
      <c r="I43" s="95" t="s">
        <v>22</v>
      </c>
      <c r="J43" s="7" t="s">
        <v>4</v>
      </c>
    </row>
    <row r="44" spans="2:10" ht="18" thickBot="1">
      <c r="B44" s="469"/>
      <c r="C44" s="421"/>
      <c r="D44" s="96" t="s">
        <v>3</v>
      </c>
      <c r="E44" s="58" t="s">
        <v>65</v>
      </c>
      <c r="F44" s="58" t="s">
        <v>66</v>
      </c>
      <c r="G44" s="58" t="s">
        <v>68</v>
      </c>
      <c r="H44" s="58" t="s">
        <v>70</v>
      </c>
      <c r="I44" s="96" t="s">
        <v>23</v>
      </c>
      <c r="J44" s="19" t="s">
        <v>5</v>
      </c>
    </row>
    <row r="45" spans="2:10">
      <c r="B45" s="62" t="str">
        <f>+'Steps 10 - 11  Pop Conseq'!A31</f>
        <v>Roads x</v>
      </c>
      <c r="C45" s="64" t="str">
        <f>+'Steps 10 - 11  Pop Conseq'!B31</f>
        <v>Fire  (Gasoline)</v>
      </c>
      <c r="D45" s="218">
        <v>1</v>
      </c>
      <c r="E45" s="226">
        <v>500</v>
      </c>
      <c r="F45" s="226">
        <v>100</v>
      </c>
      <c r="G45" s="226">
        <v>1.65</v>
      </c>
      <c r="H45" s="227">
        <v>0.2</v>
      </c>
      <c r="I45" s="384">
        <f t="shared" ref="I45:I59" si="0">+E45*F45*G45*H45/1000000</f>
        <v>1.6500000000000001E-2</v>
      </c>
      <c r="J45" s="7">
        <f t="shared" ref="J45:J59" si="1">IF(I45&gt;1,5,IF(I45&gt;0.01,4,IF(I45&gt;0.0001,3,IF(I45&gt;0.000001,2,1))))</f>
        <v>4</v>
      </c>
    </row>
    <row r="46" spans="2:10">
      <c r="B46" s="55" t="str">
        <f>+'Steps 10 - 11  Pop Conseq'!A32</f>
        <v>Roads x</v>
      </c>
      <c r="C46" s="53" t="str">
        <f>+'Steps 10 - 11  Pop Conseq'!B32</f>
        <v>Toxic Gas (Ammonia) (L)</v>
      </c>
      <c r="D46" s="218">
        <v>1</v>
      </c>
      <c r="E46" s="228">
        <v>100</v>
      </c>
      <c r="F46" s="228">
        <v>40</v>
      </c>
      <c r="G46" s="228">
        <v>1.65</v>
      </c>
      <c r="H46" s="228">
        <v>0.01</v>
      </c>
      <c r="I46" s="385">
        <f t="shared" si="0"/>
        <v>6.6000000000000005E-5</v>
      </c>
      <c r="J46" s="54">
        <f t="shared" si="1"/>
        <v>2</v>
      </c>
    </row>
    <row r="47" spans="2:10">
      <c r="B47" s="55" t="str">
        <f>+'Steps 10 - 11  Pop Conseq'!A33</f>
        <v>Roads x</v>
      </c>
      <c r="C47" s="53" t="str">
        <f>+'Steps 10 - 11  Pop Conseq'!B33</f>
        <v>Toxic Gas (Ammonia) (S)</v>
      </c>
      <c r="D47" s="218">
        <v>1</v>
      </c>
      <c r="E47" s="228">
        <v>100</v>
      </c>
      <c r="F47" s="228">
        <v>40</v>
      </c>
      <c r="G47" s="228">
        <v>1.65</v>
      </c>
      <c r="H47" s="228">
        <v>0.02</v>
      </c>
      <c r="I47" s="385">
        <f t="shared" si="0"/>
        <v>1.3200000000000001E-4</v>
      </c>
      <c r="J47" s="54">
        <f t="shared" si="1"/>
        <v>3</v>
      </c>
    </row>
    <row r="48" spans="2:10">
      <c r="B48" s="55" t="str">
        <f>+'Steps 10 - 11  Pop Conseq'!A34</f>
        <v>Roads x</v>
      </c>
      <c r="C48" s="53" t="str">
        <f>+'Steps 10 - 11  Pop Conseq'!B34</f>
        <v>Toxic Liquid (37% HCl) (L)</v>
      </c>
      <c r="D48" s="218">
        <v>1</v>
      </c>
      <c r="E48" s="228">
        <v>25</v>
      </c>
      <c r="F48" s="228">
        <v>60</v>
      </c>
      <c r="G48" s="228">
        <v>1.65</v>
      </c>
      <c r="H48" s="228">
        <v>0.01</v>
      </c>
      <c r="I48" s="385">
        <f t="shared" si="0"/>
        <v>2.4749999999999999E-5</v>
      </c>
      <c r="J48" s="54">
        <f t="shared" si="1"/>
        <v>2</v>
      </c>
    </row>
    <row r="49" spans="2:10">
      <c r="B49" s="55" t="str">
        <f>+'Steps 10 - 11  Pop Conseq'!A35</f>
        <v>Roads x</v>
      </c>
      <c r="C49" s="53" t="str">
        <f>+'Steps 10 - 11  Pop Conseq'!B35</f>
        <v>Toxic Liquid (37% HCl) (S)</v>
      </c>
      <c r="D49" s="218">
        <v>1</v>
      </c>
      <c r="E49" s="228">
        <v>25</v>
      </c>
      <c r="F49" s="228">
        <v>60</v>
      </c>
      <c r="G49" s="228">
        <v>1.65</v>
      </c>
      <c r="H49" s="228">
        <v>0.02</v>
      </c>
      <c r="I49" s="385">
        <f t="shared" si="0"/>
        <v>4.9499999999999997E-5</v>
      </c>
      <c r="J49" s="54">
        <f t="shared" si="1"/>
        <v>2</v>
      </c>
    </row>
    <row r="50" spans="2:10">
      <c r="B50" s="55" t="str">
        <f>+'Steps 10 - 11  Pop Conseq'!A36</f>
        <v>Roads y</v>
      </c>
      <c r="C50" s="53" t="str">
        <f>+'Steps 10 - 11  Pop Conseq'!B36</f>
        <v>Fire  (Gasoline)</v>
      </c>
      <c r="D50" s="218">
        <v>1</v>
      </c>
      <c r="E50" s="228">
        <v>200</v>
      </c>
      <c r="F50" s="228">
        <v>50</v>
      </c>
      <c r="G50" s="228">
        <v>3</v>
      </c>
      <c r="H50" s="228">
        <v>0.2</v>
      </c>
      <c r="I50" s="385">
        <f t="shared" si="0"/>
        <v>6.0000000000000001E-3</v>
      </c>
      <c r="J50" s="54">
        <f t="shared" si="1"/>
        <v>3</v>
      </c>
    </row>
    <row r="51" spans="2:10">
      <c r="B51" s="55" t="str">
        <f>+'Steps 10 - 11  Pop Conseq'!A37</f>
        <v>Roads u</v>
      </c>
      <c r="C51" s="53" t="str">
        <f>+'Steps 10 - 11  Pop Conseq'!B37</f>
        <v>Fire  (Gasoline)</v>
      </c>
      <c r="D51" s="218">
        <v>1</v>
      </c>
      <c r="E51" s="228">
        <v>12</v>
      </c>
      <c r="F51" s="228">
        <v>25</v>
      </c>
      <c r="G51" s="228">
        <v>1.65</v>
      </c>
      <c r="H51" s="228">
        <v>0.2</v>
      </c>
      <c r="I51" s="385">
        <f t="shared" si="0"/>
        <v>9.8999999999999994E-5</v>
      </c>
      <c r="J51" s="54">
        <f t="shared" si="1"/>
        <v>2</v>
      </c>
    </row>
    <row r="52" spans="2:10">
      <c r="B52" s="55" t="str">
        <f>+'Steps 10 - 11  Pop Conseq'!A38</f>
        <v>Roads u</v>
      </c>
      <c r="C52" s="53" t="str">
        <f>+'Steps 10 - 11  Pop Conseq'!B38</f>
        <v>Toxic Liquid (37% HCl) (L)</v>
      </c>
      <c r="D52" s="218">
        <v>1</v>
      </c>
      <c r="E52" s="228">
        <v>25</v>
      </c>
      <c r="F52" s="228">
        <v>60</v>
      </c>
      <c r="G52" s="228">
        <v>1.65</v>
      </c>
      <c r="H52" s="228">
        <v>0.01</v>
      </c>
      <c r="I52" s="385">
        <f t="shared" si="0"/>
        <v>2.4749999999999999E-5</v>
      </c>
      <c r="J52" s="54">
        <f t="shared" si="1"/>
        <v>2</v>
      </c>
    </row>
    <row r="53" spans="2:10">
      <c r="B53" s="55" t="str">
        <f>+'Steps 10 - 11  Pop Conseq'!A39</f>
        <v>Roads u</v>
      </c>
      <c r="C53" s="53" t="str">
        <f>+'Steps 10 - 11  Pop Conseq'!B39</f>
        <v>Toxic Liquid (37% HCl) (S)</v>
      </c>
      <c r="D53" s="218">
        <v>1</v>
      </c>
      <c r="E53" s="228">
        <v>25</v>
      </c>
      <c r="F53" s="228">
        <v>60</v>
      </c>
      <c r="G53" s="228">
        <v>1.65</v>
      </c>
      <c r="H53" s="228">
        <v>0.02</v>
      </c>
      <c r="I53" s="385">
        <f t="shared" si="0"/>
        <v>4.9499999999999997E-5</v>
      </c>
      <c r="J53" s="54">
        <f t="shared" si="1"/>
        <v>2</v>
      </c>
    </row>
    <row r="54" spans="2:10">
      <c r="B54" s="55" t="str">
        <f>+'Steps 10 - 11  Pop Conseq'!A40</f>
        <v>Road w</v>
      </c>
      <c r="C54" s="53" t="str">
        <f>+'Steps 10 - 11  Pop Conseq'!B40</f>
        <v>Fire  (Gasoline)</v>
      </c>
      <c r="D54" s="218">
        <v>1</v>
      </c>
      <c r="E54" s="228">
        <v>100</v>
      </c>
      <c r="F54" s="228">
        <v>30</v>
      </c>
      <c r="G54" s="228">
        <v>1.65</v>
      </c>
      <c r="H54" s="228">
        <v>0.2</v>
      </c>
      <c r="I54" s="385">
        <f t="shared" si="0"/>
        <v>9.8999999999999999E-4</v>
      </c>
      <c r="J54" s="54">
        <f t="shared" si="1"/>
        <v>3</v>
      </c>
    </row>
    <row r="55" spans="2:10">
      <c r="B55" s="55" t="str">
        <f>+'Steps 10 - 11  Pop Conseq'!A41</f>
        <v>Road w</v>
      </c>
      <c r="C55" s="53" t="str">
        <f>+'Steps 10 - 11  Pop Conseq'!B41</f>
        <v>Toxic Gas (Ammonia) (L)</v>
      </c>
      <c r="D55" s="218">
        <v>1</v>
      </c>
      <c r="E55" s="228">
        <v>80</v>
      </c>
      <c r="F55" s="228">
        <v>40</v>
      </c>
      <c r="G55" s="228">
        <v>1.65</v>
      </c>
      <c r="H55" s="228">
        <v>0.01</v>
      </c>
      <c r="I55" s="385">
        <f t="shared" si="0"/>
        <v>5.2800000000000003E-5</v>
      </c>
      <c r="J55" s="54">
        <f t="shared" si="1"/>
        <v>2</v>
      </c>
    </row>
    <row r="56" spans="2:10">
      <c r="B56" s="55" t="str">
        <f>+'Steps 10 - 11  Pop Conseq'!A42</f>
        <v>Road w</v>
      </c>
      <c r="C56" s="53" t="str">
        <f>+'Steps 10 - 11  Pop Conseq'!B42</f>
        <v>Toxic Gas (Ammonia) (S)</v>
      </c>
      <c r="D56" s="218">
        <v>1</v>
      </c>
      <c r="E56" s="228">
        <v>80</v>
      </c>
      <c r="F56" s="228">
        <v>40</v>
      </c>
      <c r="G56" s="228">
        <v>1.65</v>
      </c>
      <c r="H56" s="228">
        <v>0.02</v>
      </c>
      <c r="I56" s="385">
        <f t="shared" si="0"/>
        <v>1.0560000000000001E-4</v>
      </c>
      <c r="J56" s="54">
        <f t="shared" si="1"/>
        <v>3</v>
      </c>
    </row>
    <row r="57" spans="2:10">
      <c r="B57" s="55" t="str">
        <f>+'Steps 10 - 11  Pop Conseq'!A43</f>
        <v>Railroad s</v>
      </c>
      <c r="C57" s="53" t="str">
        <f>+'Steps 10 - 11  Pop Conseq'!B43</f>
        <v>BLEVE (Ethylene Oxide)</v>
      </c>
      <c r="D57" s="218">
        <v>1</v>
      </c>
      <c r="E57" s="228">
        <v>250</v>
      </c>
      <c r="F57" s="228">
        <v>100</v>
      </c>
      <c r="G57" s="228">
        <v>3</v>
      </c>
      <c r="H57" s="214">
        <v>0.02</v>
      </c>
      <c r="I57" s="385">
        <f t="shared" si="0"/>
        <v>1.5E-3</v>
      </c>
      <c r="J57" s="54">
        <f t="shared" si="1"/>
        <v>3</v>
      </c>
    </row>
    <row r="58" spans="2:10">
      <c r="B58" s="55" t="str">
        <f>+'Steps 10 - 11  Pop Conseq'!A44</f>
        <v>Railroad s</v>
      </c>
      <c r="C58" s="53" t="str">
        <f>+'Steps 10 - 11  Pop Conseq'!B44</f>
        <v>Toxic Gas (Chlorine) (L)</v>
      </c>
      <c r="D58" s="218">
        <v>1</v>
      </c>
      <c r="E58" s="230">
        <v>50</v>
      </c>
      <c r="F58" s="228">
        <v>100</v>
      </c>
      <c r="G58" s="228">
        <v>3</v>
      </c>
      <c r="H58" s="228">
        <v>0.01</v>
      </c>
      <c r="I58" s="385">
        <f t="shared" si="0"/>
        <v>1.4999999999999999E-4</v>
      </c>
      <c r="J58" s="54">
        <f t="shared" si="1"/>
        <v>3</v>
      </c>
    </row>
    <row r="59" spans="2:10">
      <c r="B59" s="364" t="str">
        <f>+'Steps 10 - 11  Pop Conseq'!A45</f>
        <v>Railroad s</v>
      </c>
      <c r="C59" s="351" t="str">
        <f>+'Steps 10 - 11  Pop Conseq'!B45</f>
        <v>Toxic Gas (Chlorine)  (S)</v>
      </c>
      <c r="D59" s="343">
        <v>1</v>
      </c>
      <c r="E59" s="365">
        <v>50</v>
      </c>
      <c r="F59" s="366">
        <v>100</v>
      </c>
      <c r="G59" s="366">
        <v>3</v>
      </c>
      <c r="H59" s="366">
        <v>0.02</v>
      </c>
      <c r="I59" s="386">
        <f t="shared" si="0"/>
        <v>2.9999999999999997E-4</v>
      </c>
      <c r="J59" s="367">
        <f t="shared" si="1"/>
        <v>3</v>
      </c>
    </row>
    <row r="60" spans="2:10" ht="15.75" thickBot="1">
      <c r="B60" s="56" t="str">
        <f>+'Steps 10 - 11  Pop Conseq'!A46</f>
        <v>step 10-12 route</v>
      </c>
      <c r="C60" s="57" t="str">
        <f>+'Steps 10 - 11  Pop Conseq'!B46</f>
        <v>step 10 - 11 hazard</v>
      </c>
      <c r="D60" s="368" t="s">
        <v>390</v>
      </c>
      <c r="E60" s="368" t="s">
        <v>390</v>
      </c>
      <c r="F60" s="368" t="s">
        <v>390</v>
      </c>
      <c r="G60" s="368" t="s">
        <v>390</v>
      </c>
      <c r="H60" s="368" t="s">
        <v>390</v>
      </c>
      <c r="I60" s="387" t="e">
        <f t="shared" ref="I60" si="2">+E60*F60*G60*H60/1000000</f>
        <v>#VALUE!</v>
      </c>
      <c r="J60" s="19" t="e">
        <f t="shared" ref="J60" si="3">IF(I60&gt;1,5,IF(I60&gt;0.01,4,IF(I60&gt;0.0001,3,IF(I60&gt;0.000001,2,1))))</f>
        <v>#VALUE!</v>
      </c>
    </row>
    <row r="62" spans="2:10" s="97" customFormat="1"/>
  </sheetData>
  <customSheetViews>
    <customSheetView guid="{3DB30FED-CC59-45C7-A6C7-CEC6DAE12EDE}">
      <selection activeCell="F30" sqref="F30"/>
      <pageMargins left="0.7" right="0.7" top="0.75" bottom="0.75" header="0.3" footer="0.3"/>
      <pageSetup orientation="portrait" r:id="rId1"/>
    </customSheetView>
  </customSheetViews>
  <mergeCells count="8">
    <mergeCell ref="B34:B35"/>
    <mergeCell ref="C34:C35"/>
    <mergeCell ref="B43:B44"/>
    <mergeCell ref="C43:C44"/>
    <mergeCell ref="B2:G5"/>
    <mergeCell ref="B7:G8"/>
    <mergeCell ref="B10:G17"/>
    <mergeCell ref="B19:G19"/>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Step 1 and 2</vt:lpstr>
      <vt:lpstr>Step 3 to 6</vt:lpstr>
      <vt:lpstr>Steps 10 - 11  Pop Conseq</vt:lpstr>
      <vt:lpstr>Steps 12 - 13 Env Conseq</vt:lpstr>
      <vt:lpstr>Step 14 Max Conseq</vt:lpstr>
      <vt:lpstr>Step 16  ERC</vt:lpstr>
      <vt:lpstr>Step 17 RTF</vt:lpstr>
      <vt:lpstr>Step 19 Vulnerability</vt:lpstr>
      <vt:lpstr>Step 20 Risk </vt:lpstr>
    </vt:vector>
  </TitlesOfParts>
  <Company>Battelle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mcsweeney</dc:creator>
  <cp:lastModifiedBy>ITS</cp:lastModifiedBy>
  <cp:lastPrinted>2010-09-29T04:00:40Z</cp:lastPrinted>
  <dcterms:created xsi:type="dcterms:W3CDTF">2010-02-13T01:44:11Z</dcterms:created>
  <dcterms:modified xsi:type="dcterms:W3CDTF">2011-04-12T16:55:59Z</dcterms:modified>
</cp:coreProperties>
</file>