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1225\Documents\NCHRP\Project work\"/>
    </mc:Choice>
  </mc:AlternateContent>
  <bookViews>
    <workbookView xWindow="0" yWindow="0" windowWidth="23970" windowHeight="9660" tabRatio="930"/>
  </bookViews>
  <sheets>
    <sheet name="Inputs" sheetId="16" r:id="rId1"/>
    <sheet name="Output" sheetId="3" r:id="rId2"/>
    <sheet name="Constants" sheetId="2" r:id="rId3"/>
    <sheet name="Abbr&amp;Acronyms" sheetId="35" r:id="rId4"/>
    <sheet name="Defaults" sheetId="5" r:id="rId5"/>
    <sheet name="Fuel Prices" sheetId="6" r:id="rId6"/>
    <sheet name="Vehicle Price" sheetId="19" r:id="rId7"/>
    <sheet name="Infrastructure and Maintenance" sheetId="32" r:id="rId8"/>
    <sheet name="Fuel Consumption" sheetId="17" r:id="rId9"/>
    <sheet name="Annual VMT" sheetId="24" r:id="rId10"/>
    <sheet name="Annual Fuel Costs" sheetId="26" r:id="rId11"/>
    <sheet name="Annual Vehicle Costs" sheetId="27" r:id="rId12"/>
    <sheet name="Combined Costs" sheetId="28" r:id="rId13"/>
    <sheet name="Baseline and Atl Fuel Emissions" sheetId="15" r:id="rId14"/>
    <sheet name="Emission Rates - Vehicles" sheetId="33" r:id="rId15"/>
    <sheet name="Emission Rates - Fuels" sheetId="34" r:id="rId16"/>
    <sheet name="Funding Sources" sheetId="23" r:id="rId17"/>
    <sheet name="Resource library" sheetId="4" r:id="rId18"/>
    <sheet name="Overview" sheetId="31" r:id="rId19"/>
    <sheet name="Overview_OLD" sheetId="1" state="hidden" r:id="rId20"/>
  </sheets>
  <externalReferences>
    <externalReference r:id="rId21"/>
  </externalReferences>
  <definedNames>
    <definedName name="_ftn1" localSheetId="17">'Resource library'!$A$60</definedName>
    <definedName name="diesel_gallon2GGE" localSheetId="3">#REF!</definedName>
    <definedName name="diesel_gallon2GGE" localSheetId="15">#REF!</definedName>
    <definedName name="diesel_gallon2GGE" localSheetId="14">#REF!</definedName>
    <definedName name="diesel_gallon2GGE" localSheetId="7">#REF!</definedName>
    <definedName name="diesel_gallon2GGE">#REF!</definedName>
    <definedName name="LNG_gallon2GGE" localSheetId="3">#REF!</definedName>
    <definedName name="LNG_gallon2GGE" localSheetId="15">#REF!</definedName>
    <definedName name="LNG_gallon2GGE" localSheetId="14">#REF!</definedName>
    <definedName name="LNG_gallon2GGE" localSheetId="7">#REF!</definedName>
    <definedName name="LNG_gallon2GGE">#REF!</definedName>
    <definedName name="location_costs">'[1]Background Data'!$B$449:$B$501</definedName>
    <definedName name="LPG_gallon2GGE" localSheetId="3">#REF!</definedName>
    <definedName name="LPG_gallon2GGE" localSheetId="15">#REF!</definedName>
    <definedName name="LPG_gallon2GGE" localSheetId="14">#REF!</definedName>
    <definedName name="LPG_gallon2GGE" localSheetId="7">#REF!</definedName>
    <definedName name="LPG_gallon2GGE">#REF!</definedName>
    <definedName name="state_name">[1]Inputs!$C$3</definedName>
  </definedNames>
  <calcPr calcId="152511" calcMode="manual" iterate="1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6" l="1"/>
  <c r="C35" i="16" l="1"/>
  <c r="C34" i="16"/>
  <c r="C33" i="16"/>
  <c r="B27" i="27" l="1"/>
  <c r="B26" i="27"/>
  <c r="B25" i="27"/>
  <c r="B18" i="17"/>
  <c r="B17" i="17"/>
  <c r="B16" i="17"/>
  <c r="B15" i="28"/>
  <c r="B14" i="28"/>
  <c r="B13" i="28"/>
  <c r="B17" i="26"/>
  <c r="B16" i="26"/>
  <c r="B15" i="26"/>
  <c r="J35" i="16"/>
  <c r="B9" i="6" s="1"/>
  <c r="B10" i="26"/>
  <c r="G43" i="26"/>
  <c r="G42" i="26"/>
  <c r="G41" i="26"/>
  <c r="G40" i="26"/>
  <c r="G39" i="26"/>
  <c r="G38" i="26"/>
  <c r="G37" i="26"/>
  <c r="G36" i="26"/>
  <c r="G35" i="26"/>
  <c r="G34" i="2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B13" i="6"/>
  <c r="D10" i="33"/>
  <c r="D9" i="33"/>
  <c r="D8" i="33"/>
  <c r="D24" i="33"/>
  <c r="D23" i="33"/>
  <c r="D22" i="33"/>
  <c r="D17" i="33"/>
  <c r="D16" i="33"/>
  <c r="D15" i="33"/>
  <c r="D20" i="27"/>
  <c r="D19" i="27"/>
  <c r="D18" i="27"/>
  <c r="D17" i="27"/>
  <c r="D46" i="19"/>
  <c r="D45" i="19"/>
  <c r="D44" i="19"/>
  <c r="C30" i="2"/>
  <c r="I356" i="6" l="1"/>
  <c r="I178" i="6"/>
  <c r="I96" i="6"/>
  <c r="I264" i="6"/>
  <c r="I64" i="6"/>
  <c r="I221" i="6"/>
  <c r="I136" i="6"/>
  <c r="I320" i="6"/>
  <c r="I48" i="6"/>
  <c r="I114" i="6"/>
  <c r="I200" i="6"/>
  <c r="I288" i="6"/>
  <c r="I80" i="6"/>
  <c r="I157" i="6"/>
  <c r="I242" i="6"/>
  <c r="I352" i="6"/>
  <c r="I40" i="6"/>
  <c r="I56" i="6"/>
  <c r="I72" i="6"/>
  <c r="I88" i="6"/>
  <c r="I104" i="6"/>
  <c r="I125" i="6"/>
  <c r="I146" i="6"/>
  <c r="I168" i="6"/>
  <c r="I189" i="6"/>
  <c r="I210" i="6"/>
  <c r="I232" i="6"/>
  <c r="I253" i="6"/>
  <c r="I274" i="6"/>
  <c r="I304" i="6"/>
  <c r="I336" i="6"/>
  <c r="I41" i="6"/>
  <c r="I57" i="6"/>
  <c r="I73" i="6"/>
  <c r="I89" i="6"/>
  <c r="I105" i="6"/>
  <c r="I126" i="6"/>
  <c r="I148" i="6"/>
  <c r="I169" i="6"/>
  <c r="I190" i="6"/>
  <c r="I212" i="6"/>
  <c r="I233" i="6"/>
  <c r="I254" i="6"/>
  <c r="I276" i="6"/>
  <c r="I305" i="6"/>
  <c r="I337" i="6"/>
  <c r="I49" i="6"/>
  <c r="I65" i="6"/>
  <c r="I81" i="6"/>
  <c r="I97" i="6"/>
  <c r="I116" i="6"/>
  <c r="I137" i="6"/>
  <c r="I158" i="6"/>
  <c r="I180" i="6"/>
  <c r="I201" i="6"/>
  <c r="I222" i="6"/>
  <c r="I244" i="6"/>
  <c r="I265" i="6"/>
  <c r="I289" i="6"/>
  <c r="I321" i="6"/>
  <c r="I353" i="6"/>
  <c r="I36" i="6"/>
  <c r="I44" i="6"/>
  <c r="I52" i="6"/>
  <c r="I60" i="6"/>
  <c r="I68" i="6"/>
  <c r="I76" i="6"/>
  <c r="I84" i="6"/>
  <c r="I92" i="6"/>
  <c r="I100" i="6"/>
  <c r="I109" i="6"/>
  <c r="I120" i="6"/>
  <c r="I130" i="6"/>
  <c r="I141" i="6"/>
  <c r="I152" i="6"/>
  <c r="I162" i="6"/>
  <c r="I173" i="6"/>
  <c r="I184" i="6"/>
  <c r="I194" i="6"/>
  <c r="I205" i="6"/>
  <c r="I216" i="6"/>
  <c r="I226" i="6"/>
  <c r="I237" i="6"/>
  <c r="I248" i="6"/>
  <c r="I258" i="6"/>
  <c r="I269" i="6"/>
  <c r="I280" i="6"/>
  <c r="I296" i="6"/>
  <c r="I312" i="6"/>
  <c r="I328" i="6"/>
  <c r="I344" i="6"/>
  <c r="I37" i="6"/>
  <c r="I45" i="6"/>
  <c r="I53" i="6"/>
  <c r="I61" i="6"/>
  <c r="I69" i="6"/>
  <c r="I77" i="6"/>
  <c r="I85" i="6"/>
  <c r="I93" i="6"/>
  <c r="I101" i="6"/>
  <c r="I110" i="6"/>
  <c r="I121" i="6"/>
  <c r="I132" i="6"/>
  <c r="I142" i="6"/>
  <c r="I153" i="6"/>
  <c r="I164" i="6"/>
  <c r="I174" i="6"/>
  <c r="I185" i="6"/>
  <c r="I196" i="6"/>
  <c r="I206" i="6"/>
  <c r="I217" i="6"/>
  <c r="I228" i="6"/>
  <c r="I238" i="6"/>
  <c r="I249" i="6"/>
  <c r="I260" i="6"/>
  <c r="I270" i="6"/>
  <c r="I281" i="6"/>
  <c r="I297" i="6"/>
  <c r="I313" i="6"/>
  <c r="I329" i="6"/>
  <c r="I345" i="6"/>
  <c r="I38" i="6"/>
  <c r="I42" i="6"/>
  <c r="I46" i="6"/>
  <c r="I50" i="6"/>
  <c r="I54" i="6"/>
  <c r="I58" i="6"/>
  <c r="I62" i="6"/>
  <c r="I66" i="6"/>
  <c r="I70" i="6"/>
  <c r="I74" i="6"/>
  <c r="I78" i="6"/>
  <c r="I82" i="6"/>
  <c r="I86" i="6"/>
  <c r="I90" i="6"/>
  <c r="I94" i="6"/>
  <c r="I98" i="6"/>
  <c r="I102" i="6"/>
  <c r="I106" i="6"/>
  <c r="I112" i="6"/>
  <c r="I117" i="6"/>
  <c r="I122" i="6"/>
  <c r="I128" i="6"/>
  <c r="I133" i="6"/>
  <c r="I138" i="6"/>
  <c r="I144" i="6"/>
  <c r="I149" i="6"/>
  <c r="I154" i="6"/>
  <c r="I160" i="6"/>
  <c r="I165" i="6"/>
  <c r="I170" i="6"/>
  <c r="I176" i="6"/>
  <c r="I181" i="6"/>
  <c r="I186" i="6"/>
  <c r="I192" i="6"/>
  <c r="I197" i="6"/>
  <c r="I202" i="6"/>
  <c r="I208" i="6"/>
  <c r="I213" i="6"/>
  <c r="I218" i="6"/>
  <c r="I224" i="6"/>
  <c r="I229" i="6"/>
  <c r="I234" i="6"/>
  <c r="I240" i="6"/>
  <c r="I245" i="6"/>
  <c r="I250" i="6"/>
  <c r="I256" i="6"/>
  <c r="I261" i="6"/>
  <c r="I266" i="6"/>
  <c r="I272" i="6"/>
  <c r="I277" i="6"/>
  <c r="I284" i="6"/>
  <c r="I292" i="6"/>
  <c r="I300" i="6"/>
  <c r="I308" i="6"/>
  <c r="I316" i="6"/>
  <c r="I324" i="6"/>
  <c r="I332" i="6"/>
  <c r="I340" i="6"/>
  <c r="I348" i="6"/>
  <c r="I355" i="6"/>
  <c r="I351" i="6"/>
  <c r="I347" i="6"/>
  <c r="I343" i="6"/>
  <c r="I339" i="6"/>
  <c r="I335" i="6"/>
  <c r="I331" i="6"/>
  <c r="I327" i="6"/>
  <c r="I323" i="6"/>
  <c r="I319" i="6"/>
  <c r="I315" i="6"/>
  <c r="I311" i="6"/>
  <c r="I307" i="6"/>
  <c r="I303" i="6"/>
  <c r="I299" i="6"/>
  <c r="I295" i="6"/>
  <c r="I291" i="6"/>
  <c r="I287" i="6"/>
  <c r="I283" i="6"/>
  <c r="I279" i="6"/>
  <c r="I275" i="6"/>
  <c r="I271" i="6"/>
  <c r="I267" i="6"/>
  <c r="I263" i="6"/>
  <c r="I259" i="6"/>
  <c r="I255" i="6"/>
  <c r="I251" i="6"/>
  <c r="I247" i="6"/>
  <c r="I243" i="6"/>
  <c r="I239" i="6"/>
  <c r="I235" i="6"/>
  <c r="I231" i="6"/>
  <c r="I227" i="6"/>
  <c r="I223" i="6"/>
  <c r="I219" i="6"/>
  <c r="I215" i="6"/>
  <c r="I211" i="6"/>
  <c r="I207" i="6"/>
  <c r="I203" i="6"/>
  <c r="I199" i="6"/>
  <c r="I195" i="6"/>
  <c r="I191" i="6"/>
  <c r="I187" i="6"/>
  <c r="I183" i="6"/>
  <c r="I179" i="6"/>
  <c r="I175" i="6"/>
  <c r="I171" i="6"/>
  <c r="I167" i="6"/>
  <c r="I163" i="6"/>
  <c r="I159" i="6"/>
  <c r="I155" i="6"/>
  <c r="I151" i="6"/>
  <c r="I147" i="6"/>
  <c r="I143" i="6"/>
  <c r="I139" i="6"/>
  <c r="I135" i="6"/>
  <c r="I131" i="6"/>
  <c r="I127" i="6"/>
  <c r="I123" i="6"/>
  <c r="I119" i="6"/>
  <c r="I115" i="6"/>
  <c r="I111" i="6"/>
  <c r="I107" i="6"/>
  <c r="I358" i="6"/>
  <c r="I354" i="6"/>
  <c r="I350" i="6"/>
  <c r="I346" i="6"/>
  <c r="I342" i="6"/>
  <c r="I338" i="6"/>
  <c r="I334" i="6"/>
  <c r="I330" i="6"/>
  <c r="I326" i="6"/>
  <c r="I322" i="6"/>
  <c r="I318" i="6"/>
  <c r="I314" i="6"/>
  <c r="I310" i="6"/>
  <c r="I306" i="6"/>
  <c r="I302" i="6"/>
  <c r="I298" i="6"/>
  <c r="I294" i="6"/>
  <c r="I290" i="6"/>
  <c r="I286" i="6"/>
  <c r="I282" i="6"/>
  <c r="I35" i="6"/>
  <c r="I39" i="6"/>
  <c r="I43" i="6"/>
  <c r="I47" i="6"/>
  <c r="I51" i="6"/>
  <c r="I55" i="6"/>
  <c r="I59" i="6"/>
  <c r="I63" i="6"/>
  <c r="I67" i="6"/>
  <c r="I71" i="6"/>
  <c r="I75" i="6"/>
  <c r="I79" i="6"/>
  <c r="I83" i="6"/>
  <c r="I87" i="6"/>
  <c r="I91" i="6"/>
  <c r="I95" i="6"/>
  <c r="I99" i="6"/>
  <c r="I103" i="6"/>
  <c r="I108" i="6"/>
  <c r="I113" i="6"/>
  <c r="I118" i="6"/>
  <c r="I124" i="6"/>
  <c r="I129" i="6"/>
  <c r="I134" i="6"/>
  <c r="I140" i="6"/>
  <c r="I145" i="6"/>
  <c r="I150" i="6"/>
  <c r="I156" i="6"/>
  <c r="I161" i="6"/>
  <c r="I166" i="6"/>
  <c r="I172" i="6"/>
  <c r="I177" i="6"/>
  <c r="I182" i="6"/>
  <c r="I188" i="6"/>
  <c r="I193" i="6"/>
  <c r="I198" i="6"/>
  <c r="I204" i="6"/>
  <c r="I209" i="6"/>
  <c r="I214" i="6"/>
  <c r="I220" i="6"/>
  <c r="I225" i="6"/>
  <c r="I230" i="6"/>
  <c r="I236" i="6"/>
  <c r="I241" i="6"/>
  <c r="I246" i="6"/>
  <c r="I252" i="6"/>
  <c r="I257" i="6"/>
  <c r="I262" i="6"/>
  <c r="I268" i="6"/>
  <c r="I273" i="6"/>
  <c r="I278" i="6"/>
  <c r="I285" i="6"/>
  <c r="I293" i="6"/>
  <c r="I301" i="6"/>
  <c r="I309" i="6"/>
  <c r="I317" i="6"/>
  <c r="I325" i="6"/>
  <c r="I333" i="6"/>
  <c r="I341" i="6"/>
  <c r="I349" i="6"/>
  <c r="I357" i="6"/>
  <c r="E22" i="33"/>
  <c r="E16" i="33"/>
  <c r="E15" i="33"/>
  <c r="E8" i="33"/>
  <c r="G15" i="33"/>
  <c r="B6" i="6" l="1"/>
  <c r="B8" i="6"/>
  <c r="J16" i="3"/>
  <c r="B7" i="28"/>
  <c r="B6" i="15"/>
  <c r="B6" i="28"/>
  <c r="B6" i="27"/>
  <c r="B6" i="24"/>
  <c r="B6" i="17"/>
  <c r="B6" i="26"/>
  <c r="A22" i="26" s="1"/>
  <c r="B37" i="27" l="1"/>
  <c r="B22" i="28"/>
  <c r="B21" i="28"/>
  <c r="B20" i="28"/>
  <c r="C28" i="6"/>
  <c r="C24" i="6"/>
  <c r="C20" i="6"/>
  <c r="C27" i="6"/>
  <c r="C23" i="6"/>
  <c r="C19" i="6"/>
  <c r="C26" i="6"/>
  <c r="C22" i="6"/>
  <c r="C25" i="6"/>
  <c r="C21" i="6"/>
  <c r="E11" i="15"/>
  <c r="D10" i="15"/>
  <c r="C9" i="15"/>
  <c r="E10" i="15"/>
  <c r="D9" i="15"/>
  <c r="E9" i="15"/>
  <c r="C11" i="15"/>
  <c r="D11" i="15"/>
  <c r="C10" i="15"/>
  <c r="D62" i="28"/>
  <c r="H62" i="28"/>
  <c r="E62" i="28"/>
  <c r="I62" i="28"/>
  <c r="B61" i="28"/>
  <c r="F62" i="28"/>
  <c r="J62" i="28"/>
  <c r="C62" i="28"/>
  <c r="G62" i="28"/>
  <c r="K62" i="28"/>
  <c r="B7" i="6"/>
  <c r="A72" i="3"/>
  <c r="K11" i="15"/>
  <c r="J11" i="15"/>
  <c r="K10" i="15"/>
  <c r="J10" i="15"/>
  <c r="K9" i="15"/>
  <c r="J9" i="15"/>
  <c r="I11" i="15"/>
  <c r="I10" i="15"/>
  <c r="I9" i="15"/>
  <c r="B33" i="26"/>
  <c r="A58" i="15" l="1"/>
  <c r="A36" i="15"/>
  <c r="A17" i="15"/>
  <c r="A49" i="26"/>
  <c r="C13" i="34" l="1"/>
  <c r="C12" i="34"/>
  <c r="C11" i="34"/>
  <c r="C10" i="34"/>
  <c r="C9" i="34"/>
  <c r="C8" i="34"/>
  <c r="C7" i="34"/>
  <c r="C6" i="34"/>
  <c r="B10" i="34"/>
  <c r="B11" i="34"/>
  <c r="B8" i="34"/>
  <c r="B7" i="34"/>
  <c r="B9" i="34"/>
  <c r="B6" i="34"/>
  <c r="B12" i="34"/>
  <c r="B13" i="34"/>
  <c r="C24" i="33"/>
  <c r="G24" i="33" s="1"/>
  <c r="H24" i="33"/>
  <c r="B24" i="33" s="1"/>
  <c r="C23" i="33"/>
  <c r="G23" i="33" s="1"/>
  <c r="H23" i="33"/>
  <c r="B23" i="33" s="1"/>
  <c r="H22" i="33"/>
  <c r="B22" i="33" s="1"/>
  <c r="I22" i="33"/>
  <c r="I23" i="33" s="1"/>
  <c r="C17" i="33"/>
  <c r="H17" i="33"/>
  <c r="B17" i="33" s="1"/>
  <c r="H16" i="33"/>
  <c r="B16" i="33" s="1"/>
  <c r="I16" i="33"/>
  <c r="I17" i="33" s="1"/>
  <c r="E17" i="33" s="1"/>
  <c r="H15" i="33"/>
  <c r="C15" i="33" s="1"/>
  <c r="I15" i="33"/>
  <c r="C10" i="33"/>
  <c r="H10" i="33"/>
  <c r="B10" i="33" s="1"/>
  <c r="H9" i="33"/>
  <c r="G9" i="33" s="1"/>
  <c r="H8" i="33"/>
  <c r="B8" i="33" s="1"/>
  <c r="I8" i="33"/>
  <c r="I24" i="33" l="1"/>
  <c r="E24" i="33" s="1"/>
  <c r="E23" i="33"/>
  <c r="C8" i="33"/>
  <c r="G8" i="33"/>
  <c r="G17" i="33"/>
  <c r="G10" i="33"/>
  <c r="C16" i="33"/>
  <c r="B15" i="33"/>
  <c r="C9" i="33"/>
  <c r="C22" i="33"/>
  <c r="G22" i="33" s="1"/>
  <c r="I9" i="33"/>
  <c r="B9" i="33"/>
  <c r="G16" i="33"/>
  <c r="I10" i="33" l="1"/>
  <c r="E10" i="33" s="1"/>
  <c r="E9" i="33"/>
  <c r="H78" i="32"/>
  <c r="H79" i="32" s="1"/>
  <c r="C62" i="32" s="1"/>
  <c r="B10" i="32" s="1"/>
  <c r="H72" i="32"/>
  <c r="C61" i="32" s="1"/>
  <c r="E10" i="32" s="1"/>
  <c r="G71" i="32"/>
  <c r="G70" i="32"/>
  <c r="I90" i="32"/>
  <c r="C89" i="32" s="1"/>
  <c r="C88" i="32"/>
  <c r="I56" i="32"/>
  <c r="C55" i="32" s="1"/>
  <c r="E6" i="32" s="1"/>
  <c r="C54" i="32"/>
  <c r="I50" i="32"/>
  <c r="C49" i="32" s="1"/>
  <c r="C50" i="32" s="1"/>
  <c r="B9" i="32" s="1"/>
  <c r="G72" i="32" l="1"/>
  <c r="D61" i="32" s="1"/>
  <c r="E11" i="32" s="1"/>
  <c r="E13" i="32"/>
  <c r="E14" i="32"/>
  <c r="E9" i="32"/>
  <c r="G78" i="32"/>
  <c r="G79" i="32" s="1"/>
  <c r="D62" i="32" s="1"/>
  <c r="B11" i="32" s="1"/>
  <c r="C56" i="32"/>
  <c r="B6" i="32" s="1"/>
  <c r="C90" i="32"/>
  <c r="B13" i="32" s="1"/>
  <c r="E15" i="32"/>
  <c r="B15" i="32" l="1"/>
  <c r="B14" i="32"/>
  <c r="K43" i="3" l="1"/>
  <c r="J43" i="3"/>
  <c r="I43" i="3"/>
  <c r="H43" i="3"/>
  <c r="G43" i="3"/>
  <c r="F43" i="3"/>
  <c r="E43" i="3"/>
  <c r="D43" i="3"/>
  <c r="C43" i="3"/>
  <c r="A53" i="3"/>
  <c r="I17" i="27"/>
  <c r="H17" i="27"/>
  <c r="G17" i="27"/>
  <c r="F17" i="27"/>
  <c r="E17" i="27"/>
  <c r="C17" i="27"/>
  <c r="B17" i="27"/>
  <c r="A41" i="3"/>
  <c r="B59" i="3"/>
  <c r="K47" i="3"/>
  <c r="J47" i="3"/>
  <c r="I47" i="3"/>
  <c r="H47" i="3"/>
  <c r="G47" i="3"/>
  <c r="F47" i="3"/>
  <c r="E47" i="3"/>
  <c r="D47" i="3"/>
  <c r="C47" i="3"/>
  <c r="B54" i="3"/>
  <c r="K59" i="3"/>
  <c r="J59" i="3"/>
  <c r="I59" i="3"/>
  <c r="H59" i="3"/>
  <c r="G59" i="3"/>
  <c r="F59" i="3"/>
  <c r="E59" i="3"/>
  <c r="D59" i="3"/>
  <c r="B47" i="3"/>
  <c r="L62" i="28" l="1"/>
  <c r="C59" i="3"/>
  <c r="L61" i="28"/>
  <c r="A47" i="28" l="1"/>
  <c r="B37" i="28"/>
  <c r="B27" i="28"/>
  <c r="B8" i="26" l="1"/>
  <c r="I20" i="27" l="1"/>
  <c r="H20" i="27"/>
  <c r="G20" i="27"/>
  <c r="F20" i="27"/>
  <c r="E20" i="27"/>
  <c r="I19" i="27"/>
  <c r="H19" i="27"/>
  <c r="F19" i="27"/>
  <c r="E19" i="27"/>
  <c r="I18" i="27"/>
  <c r="H18" i="27"/>
  <c r="F18" i="27"/>
  <c r="E18" i="27"/>
  <c r="A33" i="27"/>
  <c r="K43" i="26"/>
  <c r="I43" i="26"/>
  <c r="E43" i="26"/>
  <c r="K42" i="26"/>
  <c r="I42" i="26"/>
  <c r="E42" i="26"/>
  <c r="K41" i="26"/>
  <c r="I41" i="26"/>
  <c r="E41" i="26"/>
  <c r="K40" i="26"/>
  <c r="I40" i="26"/>
  <c r="E40" i="26"/>
  <c r="K39" i="26"/>
  <c r="I39" i="26"/>
  <c r="E39" i="26"/>
  <c r="K38" i="26"/>
  <c r="I38" i="26"/>
  <c r="E38" i="26"/>
  <c r="K37" i="26"/>
  <c r="I37" i="26"/>
  <c r="E37" i="26"/>
  <c r="K36" i="26"/>
  <c r="I36" i="26"/>
  <c r="E36" i="26"/>
  <c r="K35" i="26"/>
  <c r="I35" i="26"/>
  <c r="E35" i="26"/>
  <c r="K34" i="26"/>
  <c r="I34" i="26"/>
  <c r="E34" i="26"/>
  <c r="G26" i="16" l="1"/>
  <c r="B11" i="19" s="1"/>
  <c r="G25" i="16"/>
  <c r="B10" i="19" s="1"/>
  <c r="G24" i="16"/>
  <c r="B9" i="19" s="1"/>
  <c r="B11" i="6"/>
  <c r="C35" i="2"/>
  <c r="C34" i="2"/>
  <c r="C33" i="2"/>
  <c r="C29" i="2"/>
  <c r="C31" i="2"/>
  <c r="C28" i="2"/>
  <c r="C32" i="2"/>
  <c r="J214" i="6" l="1"/>
  <c r="J250" i="6"/>
  <c r="J322" i="6"/>
  <c r="J358" i="6"/>
  <c r="J286" i="6"/>
  <c r="J70" i="6"/>
  <c r="J106" i="6"/>
  <c r="J142" i="6"/>
  <c r="J178" i="6"/>
  <c r="K766" i="6"/>
  <c r="J357" i="6" s="1"/>
  <c r="K765" i="6"/>
  <c r="J356" i="6" s="1"/>
  <c r="K764" i="6"/>
  <c r="J355" i="6" s="1"/>
  <c r="K763" i="6"/>
  <c r="J354" i="6" s="1"/>
  <c r="K762" i="6"/>
  <c r="J353" i="6" s="1"/>
  <c r="K761" i="6"/>
  <c r="J352" i="6" s="1"/>
  <c r="K760" i="6"/>
  <c r="J351" i="6" s="1"/>
  <c r="K759" i="6"/>
  <c r="J350" i="6" s="1"/>
  <c r="K758" i="6"/>
  <c r="J349" i="6" s="1"/>
  <c r="K757" i="6"/>
  <c r="J348" i="6" s="1"/>
  <c r="K756" i="6"/>
  <c r="J347" i="6" s="1"/>
  <c r="K755" i="6"/>
  <c r="J346" i="6" s="1"/>
  <c r="K754" i="6"/>
  <c r="J345" i="6" s="1"/>
  <c r="K753" i="6"/>
  <c r="J344" i="6" s="1"/>
  <c r="K752" i="6"/>
  <c r="J343" i="6" s="1"/>
  <c r="K751" i="6"/>
  <c r="J342" i="6" s="1"/>
  <c r="K750" i="6"/>
  <c r="J341" i="6" s="1"/>
  <c r="K749" i="6"/>
  <c r="J340" i="6" s="1"/>
  <c r="K748" i="6"/>
  <c r="J339" i="6" s="1"/>
  <c r="K747" i="6"/>
  <c r="J338" i="6" s="1"/>
  <c r="K746" i="6"/>
  <c r="J337" i="6" s="1"/>
  <c r="K745" i="6"/>
  <c r="J336" i="6" s="1"/>
  <c r="K744" i="6"/>
  <c r="J335" i="6" s="1"/>
  <c r="K743" i="6"/>
  <c r="J334" i="6" s="1"/>
  <c r="K742" i="6"/>
  <c r="J333" i="6" s="1"/>
  <c r="K741" i="6"/>
  <c r="J332" i="6" s="1"/>
  <c r="K740" i="6"/>
  <c r="J331" i="6" s="1"/>
  <c r="K739" i="6"/>
  <c r="J330" i="6" s="1"/>
  <c r="K738" i="6"/>
  <c r="J329" i="6" s="1"/>
  <c r="K737" i="6"/>
  <c r="J328" i="6" s="1"/>
  <c r="K736" i="6"/>
  <c r="J327" i="6" s="1"/>
  <c r="K735" i="6"/>
  <c r="J326" i="6" s="1"/>
  <c r="K734" i="6"/>
  <c r="J325" i="6" s="1"/>
  <c r="K733" i="6"/>
  <c r="J324" i="6" s="1"/>
  <c r="K732" i="6"/>
  <c r="J323" i="6" s="1"/>
  <c r="K727" i="6"/>
  <c r="J321" i="6" s="1"/>
  <c r="K726" i="6"/>
  <c r="J320" i="6" s="1"/>
  <c r="K725" i="6"/>
  <c r="J319" i="6" s="1"/>
  <c r="K724" i="6"/>
  <c r="J318" i="6" s="1"/>
  <c r="K723" i="6"/>
  <c r="J317" i="6" s="1"/>
  <c r="K722" i="6"/>
  <c r="J316" i="6" s="1"/>
  <c r="K721" i="6"/>
  <c r="J315" i="6" s="1"/>
  <c r="K720" i="6"/>
  <c r="J314" i="6" s="1"/>
  <c r="K719" i="6"/>
  <c r="J313" i="6" s="1"/>
  <c r="K718" i="6"/>
  <c r="J312" i="6" s="1"/>
  <c r="K717" i="6"/>
  <c r="J311" i="6" s="1"/>
  <c r="K716" i="6"/>
  <c r="J310" i="6" s="1"/>
  <c r="K715" i="6"/>
  <c r="J309" i="6" s="1"/>
  <c r="K714" i="6"/>
  <c r="J308" i="6" s="1"/>
  <c r="K713" i="6"/>
  <c r="J307" i="6" s="1"/>
  <c r="K712" i="6"/>
  <c r="J306" i="6" s="1"/>
  <c r="K711" i="6"/>
  <c r="J305" i="6" s="1"/>
  <c r="K710" i="6"/>
  <c r="J304" i="6" s="1"/>
  <c r="K709" i="6"/>
  <c r="J303" i="6" s="1"/>
  <c r="K708" i="6"/>
  <c r="J302" i="6" s="1"/>
  <c r="K707" i="6"/>
  <c r="J301" i="6" s="1"/>
  <c r="K706" i="6"/>
  <c r="J300" i="6" s="1"/>
  <c r="K705" i="6"/>
  <c r="J299" i="6" s="1"/>
  <c r="K704" i="6"/>
  <c r="J298" i="6" s="1"/>
  <c r="K703" i="6"/>
  <c r="J297" i="6" s="1"/>
  <c r="K702" i="6"/>
  <c r="J296" i="6" s="1"/>
  <c r="K701" i="6"/>
  <c r="J295" i="6" s="1"/>
  <c r="K700" i="6"/>
  <c r="J294" i="6" s="1"/>
  <c r="K699" i="6"/>
  <c r="J293" i="6" s="1"/>
  <c r="K698" i="6"/>
  <c r="J292" i="6" s="1"/>
  <c r="K697" i="6"/>
  <c r="J291" i="6" s="1"/>
  <c r="K696" i="6"/>
  <c r="J290" i="6" s="1"/>
  <c r="K695" i="6"/>
  <c r="J289" i="6" s="1"/>
  <c r="K694" i="6"/>
  <c r="J288" i="6" s="1"/>
  <c r="K693" i="6"/>
  <c r="J287" i="6" s="1"/>
  <c r="K688" i="6"/>
  <c r="J285" i="6" s="1"/>
  <c r="K687" i="6"/>
  <c r="J284" i="6" s="1"/>
  <c r="K686" i="6"/>
  <c r="J283" i="6" s="1"/>
  <c r="K685" i="6"/>
  <c r="J282" i="6" s="1"/>
  <c r="K684" i="6"/>
  <c r="J281" i="6" s="1"/>
  <c r="K683" i="6"/>
  <c r="J280" i="6" s="1"/>
  <c r="K682" i="6"/>
  <c r="J279" i="6" s="1"/>
  <c r="K681" i="6"/>
  <c r="J278" i="6" s="1"/>
  <c r="K680" i="6"/>
  <c r="J277" i="6" s="1"/>
  <c r="K679" i="6"/>
  <c r="J276" i="6" s="1"/>
  <c r="K678" i="6"/>
  <c r="J275" i="6" s="1"/>
  <c r="K677" i="6"/>
  <c r="J274" i="6" s="1"/>
  <c r="K676" i="6"/>
  <c r="J273" i="6" s="1"/>
  <c r="K675" i="6"/>
  <c r="J272" i="6" s="1"/>
  <c r="K674" i="6"/>
  <c r="J271" i="6" s="1"/>
  <c r="K673" i="6"/>
  <c r="J270" i="6" s="1"/>
  <c r="K672" i="6"/>
  <c r="J269" i="6" s="1"/>
  <c r="K671" i="6"/>
  <c r="J268" i="6" s="1"/>
  <c r="K670" i="6"/>
  <c r="J267" i="6" s="1"/>
  <c r="K669" i="6"/>
  <c r="J266" i="6" s="1"/>
  <c r="K668" i="6"/>
  <c r="J265" i="6" s="1"/>
  <c r="K667" i="6"/>
  <c r="J264" i="6" s="1"/>
  <c r="K666" i="6"/>
  <c r="J263" i="6" s="1"/>
  <c r="K665" i="6"/>
  <c r="J262" i="6" s="1"/>
  <c r="K664" i="6"/>
  <c r="J261" i="6" s="1"/>
  <c r="K663" i="6"/>
  <c r="J260" i="6" s="1"/>
  <c r="K662" i="6"/>
  <c r="J259" i="6" s="1"/>
  <c r="K661" i="6"/>
  <c r="J258" i="6" s="1"/>
  <c r="K660" i="6"/>
  <c r="J257" i="6" s="1"/>
  <c r="K659" i="6"/>
  <c r="J256" i="6" s="1"/>
  <c r="K658" i="6"/>
  <c r="J255" i="6" s="1"/>
  <c r="K657" i="6"/>
  <c r="J254" i="6" s="1"/>
  <c r="K656" i="6"/>
  <c r="J253" i="6" s="1"/>
  <c r="K655" i="6"/>
  <c r="J252" i="6" s="1"/>
  <c r="K654" i="6"/>
  <c r="J251" i="6" s="1"/>
  <c r="K649" i="6"/>
  <c r="J249" i="6" s="1"/>
  <c r="K648" i="6"/>
  <c r="J248" i="6" s="1"/>
  <c r="K647" i="6"/>
  <c r="J247" i="6" s="1"/>
  <c r="K646" i="6"/>
  <c r="J246" i="6" s="1"/>
  <c r="K645" i="6"/>
  <c r="J245" i="6" s="1"/>
  <c r="K644" i="6"/>
  <c r="J244" i="6" s="1"/>
  <c r="K643" i="6"/>
  <c r="J243" i="6" s="1"/>
  <c r="K642" i="6"/>
  <c r="J242" i="6" s="1"/>
  <c r="K641" i="6"/>
  <c r="J241" i="6" s="1"/>
  <c r="K640" i="6"/>
  <c r="J240" i="6" s="1"/>
  <c r="K639" i="6"/>
  <c r="J239" i="6" s="1"/>
  <c r="K638" i="6"/>
  <c r="J238" i="6" s="1"/>
  <c r="K637" i="6"/>
  <c r="J237" i="6" s="1"/>
  <c r="K636" i="6"/>
  <c r="J236" i="6" s="1"/>
  <c r="K635" i="6"/>
  <c r="J235" i="6" s="1"/>
  <c r="K634" i="6"/>
  <c r="J234" i="6" s="1"/>
  <c r="K633" i="6"/>
  <c r="J233" i="6" s="1"/>
  <c r="K632" i="6"/>
  <c r="J232" i="6" s="1"/>
  <c r="K631" i="6"/>
  <c r="J231" i="6" s="1"/>
  <c r="K630" i="6"/>
  <c r="J230" i="6" s="1"/>
  <c r="K629" i="6"/>
  <c r="J229" i="6" s="1"/>
  <c r="K628" i="6"/>
  <c r="J228" i="6" s="1"/>
  <c r="K627" i="6"/>
  <c r="J227" i="6" s="1"/>
  <c r="K626" i="6"/>
  <c r="J226" i="6" s="1"/>
  <c r="K625" i="6"/>
  <c r="J225" i="6" s="1"/>
  <c r="K624" i="6"/>
  <c r="J224" i="6" s="1"/>
  <c r="K623" i="6"/>
  <c r="J223" i="6" s="1"/>
  <c r="K622" i="6"/>
  <c r="J222" i="6" s="1"/>
  <c r="K621" i="6"/>
  <c r="J221" i="6" s="1"/>
  <c r="K620" i="6"/>
  <c r="J220" i="6" s="1"/>
  <c r="K619" i="6"/>
  <c r="J219" i="6" s="1"/>
  <c r="K618" i="6"/>
  <c r="J218" i="6" s="1"/>
  <c r="K617" i="6"/>
  <c r="J217" i="6" s="1"/>
  <c r="K616" i="6"/>
  <c r="J216" i="6" s="1"/>
  <c r="K615" i="6"/>
  <c r="J215" i="6" s="1"/>
  <c r="K610" i="6"/>
  <c r="J213" i="6" s="1"/>
  <c r="K609" i="6"/>
  <c r="J212" i="6" s="1"/>
  <c r="K608" i="6"/>
  <c r="J211" i="6" s="1"/>
  <c r="K607" i="6"/>
  <c r="J210" i="6" s="1"/>
  <c r="K606" i="6"/>
  <c r="J209" i="6" s="1"/>
  <c r="K605" i="6"/>
  <c r="J208" i="6" s="1"/>
  <c r="K604" i="6"/>
  <c r="J207" i="6" s="1"/>
  <c r="K603" i="6"/>
  <c r="J206" i="6" s="1"/>
  <c r="K602" i="6"/>
  <c r="J205" i="6" s="1"/>
  <c r="K601" i="6"/>
  <c r="J204" i="6" s="1"/>
  <c r="K600" i="6"/>
  <c r="J203" i="6" s="1"/>
  <c r="K599" i="6"/>
  <c r="J202" i="6" s="1"/>
  <c r="K598" i="6"/>
  <c r="J201" i="6" s="1"/>
  <c r="K597" i="6"/>
  <c r="J200" i="6" s="1"/>
  <c r="K596" i="6"/>
  <c r="J199" i="6" s="1"/>
  <c r="K595" i="6"/>
  <c r="J198" i="6" s="1"/>
  <c r="K594" i="6"/>
  <c r="J197" i="6" s="1"/>
  <c r="K593" i="6"/>
  <c r="J196" i="6" s="1"/>
  <c r="K592" i="6"/>
  <c r="J195" i="6" s="1"/>
  <c r="K591" i="6"/>
  <c r="J194" i="6" s="1"/>
  <c r="K590" i="6"/>
  <c r="J193" i="6" s="1"/>
  <c r="K589" i="6"/>
  <c r="J192" i="6" s="1"/>
  <c r="K588" i="6"/>
  <c r="J191" i="6" s="1"/>
  <c r="K587" i="6"/>
  <c r="J190" i="6" s="1"/>
  <c r="K586" i="6"/>
  <c r="J189" i="6" s="1"/>
  <c r="K585" i="6"/>
  <c r="J188" i="6" s="1"/>
  <c r="K584" i="6"/>
  <c r="J187" i="6" s="1"/>
  <c r="K583" i="6"/>
  <c r="J186" i="6" s="1"/>
  <c r="K582" i="6"/>
  <c r="J185" i="6" s="1"/>
  <c r="K581" i="6"/>
  <c r="J184" i="6" s="1"/>
  <c r="K580" i="6"/>
  <c r="J183" i="6" s="1"/>
  <c r="K579" i="6"/>
  <c r="J182" i="6" s="1"/>
  <c r="K578" i="6"/>
  <c r="J181" i="6" s="1"/>
  <c r="K577" i="6"/>
  <c r="J180" i="6" s="1"/>
  <c r="K576" i="6"/>
  <c r="J179" i="6" s="1"/>
  <c r="K571" i="6"/>
  <c r="J177" i="6" s="1"/>
  <c r="K570" i="6"/>
  <c r="J176" i="6" s="1"/>
  <c r="K569" i="6"/>
  <c r="J175" i="6" s="1"/>
  <c r="K568" i="6"/>
  <c r="J174" i="6" s="1"/>
  <c r="K567" i="6"/>
  <c r="J173" i="6" s="1"/>
  <c r="K566" i="6"/>
  <c r="J172" i="6" s="1"/>
  <c r="K565" i="6"/>
  <c r="J171" i="6" s="1"/>
  <c r="K564" i="6"/>
  <c r="J170" i="6" s="1"/>
  <c r="K563" i="6"/>
  <c r="J169" i="6" s="1"/>
  <c r="K562" i="6"/>
  <c r="J168" i="6" s="1"/>
  <c r="K561" i="6"/>
  <c r="J167" i="6" s="1"/>
  <c r="K560" i="6"/>
  <c r="J166" i="6" s="1"/>
  <c r="K559" i="6"/>
  <c r="J165" i="6" s="1"/>
  <c r="K558" i="6"/>
  <c r="J164" i="6" s="1"/>
  <c r="K557" i="6"/>
  <c r="J163" i="6" s="1"/>
  <c r="K556" i="6"/>
  <c r="J162" i="6" s="1"/>
  <c r="K555" i="6"/>
  <c r="J161" i="6" s="1"/>
  <c r="K554" i="6"/>
  <c r="J160" i="6" s="1"/>
  <c r="K553" i="6"/>
  <c r="J159" i="6" s="1"/>
  <c r="K552" i="6"/>
  <c r="J158" i="6" s="1"/>
  <c r="K551" i="6"/>
  <c r="J157" i="6" s="1"/>
  <c r="K550" i="6"/>
  <c r="J156" i="6" s="1"/>
  <c r="K549" i="6"/>
  <c r="J155" i="6" s="1"/>
  <c r="K548" i="6"/>
  <c r="J154" i="6" s="1"/>
  <c r="K547" i="6"/>
  <c r="J153" i="6" s="1"/>
  <c r="K546" i="6"/>
  <c r="J152" i="6" s="1"/>
  <c r="K545" i="6"/>
  <c r="J151" i="6" s="1"/>
  <c r="K544" i="6"/>
  <c r="J150" i="6" s="1"/>
  <c r="K543" i="6"/>
  <c r="J149" i="6" s="1"/>
  <c r="K542" i="6"/>
  <c r="J148" i="6" s="1"/>
  <c r="K541" i="6"/>
  <c r="J147" i="6" s="1"/>
  <c r="K540" i="6"/>
  <c r="J146" i="6" s="1"/>
  <c r="K539" i="6"/>
  <c r="J145" i="6" s="1"/>
  <c r="K538" i="6"/>
  <c r="J144" i="6" s="1"/>
  <c r="K537" i="6"/>
  <c r="J143" i="6" s="1"/>
  <c r="K532" i="6"/>
  <c r="J141" i="6" s="1"/>
  <c r="K531" i="6"/>
  <c r="J140" i="6" s="1"/>
  <c r="K530" i="6"/>
  <c r="J139" i="6" s="1"/>
  <c r="K529" i="6"/>
  <c r="J138" i="6" s="1"/>
  <c r="K528" i="6"/>
  <c r="J137" i="6" s="1"/>
  <c r="K527" i="6"/>
  <c r="J136" i="6" s="1"/>
  <c r="K526" i="6"/>
  <c r="J135" i="6" s="1"/>
  <c r="K525" i="6"/>
  <c r="J134" i="6" s="1"/>
  <c r="K524" i="6"/>
  <c r="J133" i="6" s="1"/>
  <c r="K523" i="6"/>
  <c r="J132" i="6" s="1"/>
  <c r="K522" i="6"/>
  <c r="J131" i="6" s="1"/>
  <c r="K521" i="6"/>
  <c r="J130" i="6" s="1"/>
  <c r="K520" i="6"/>
  <c r="J129" i="6" s="1"/>
  <c r="K519" i="6"/>
  <c r="J128" i="6" s="1"/>
  <c r="K518" i="6"/>
  <c r="J127" i="6" s="1"/>
  <c r="K517" i="6"/>
  <c r="J126" i="6" s="1"/>
  <c r="K516" i="6"/>
  <c r="J125" i="6" s="1"/>
  <c r="K515" i="6"/>
  <c r="J124" i="6" s="1"/>
  <c r="K514" i="6"/>
  <c r="J123" i="6" s="1"/>
  <c r="K513" i="6"/>
  <c r="J122" i="6" s="1"/>
  <c r="K512" i="6"/>
  <c r="J121" i="6" s="1"/>
  <c r="K511" i="6"/>
  <c r="J120" i="6" s="1"/>
  <c r="K510" i="6"/>
  <c r="J119" i="6" s="1"/>
  <c r="K509" i="6"/>
  <c r="J118" i="6" s="1"/>
  <c r="K508" i="6"/>
  <c r="J117" i="6" s="1"/>
  <c r="K507" i="6"/>
  <c r="J116" i="6" s="1"/>
  <c r="K506" i="6"/>
  <c r="J115" i="6" s="1"/>
  <c r="K505" i="6"/>
  <c r="J114" i="6" s="1"/>
  <c r="K504" i="6"/>
  <c r="J113" i="6" s="1"/>
  <c r="K503" i="6"/>
  <c r="J112" i="6" s="1"/>
  <c r="K502" i="6"/>
  <c r="J111" i="6" s="1"/>
  <c r="K501" i="6"/>
  <c r="J110" i="6" s="1"/>
  <c r="K500" i="6"/>
  <c r="J109" i="6" s="1"/>
  <c r="K499" i="6"/>
  <c r="J108" i="6" s="1"/>
  <c r="K498" i="6"/>
  <c r="J107" i="6" s="1"/>
  <c r="K493" i="6"/>
  <c r="J105" i="6" s="1"/>
  <c r="K492" i="6"/>
  <c r="J104" i="6" s="1"/>
  <c r="K491" i="6"/>
  <c r="J103" i="6" s="1"/>
  <c r="K490" i="6"/>
  <c r="J102" i="6" s="1"/>
  <c r="K489" i="6"/>
  <c r="J101" i="6" s="1"/>
  <c r="K488" i="6"/>
  <c r="J100" i="6" s="1"/>
  <c r="K487" i="6"/>
  <c r="J99" i="6" s="1"/>
  <c r="K486" i="6"/>
  <c r="J98" i="6" s="1"/>
  <c r="K485" i="6"/>
  <c r="J97" i="6" s="1"/>
  <c r="K484" i="6"/>
  <c r="J96" i="6" s="1"/>
  <c r="K483" i="6"/>
  <c r="J95" i="6" s="1"/>
  <c r="K482" i="6"/>
  <c r="J94" i="6" s="1"/>
  <c r="K481" i="6"/>
  <c r="J93" i="6" s="1"/>
  <c r="K480" i="6"/>
  <c r="J92" i="6" s="1"/>
  <c r="K479" i="6"/>
  <c r="J91" i="6" s="1"/>
  <c r="K478" i="6"/>
  <c r="J90" i="6" s="1"/>
  <c r="K477" i="6"/>
  <c r="J89" i="6" s="1"/>
  <c r="K476" i="6"/>
  <c r="J88" i="6" s="1"/>
  <c r="K475" i="6"/>
  <c r="J87" i="6" s="1"/>
  <c r="K474" i="6"/>
  <c r="J86" i="6" s="1"/>
  <c r="K473" i="6"/>
  <c r="J85" i="6" s="1"/>
  <c r="K472" i="6"/>
  <c r="J84" i="6" s="1"/>
  <c r="K471" i="6"/>
  <c r="J83" i="6" s="1"/>
  <c r="K470" i="6"/>
  <c r="J82" i="6" s="1"/>
  <c r="K469" i="6"/>
  <c r="J81" i="6" s="1"/>
  <c r="K468" i="6"/>
  <c r="J80" i="6" s="1"/>
  <c r="K467" i="6"/>
  <c r="J79" i="6" s="1"/>
  <c r="K466" i="6"/>
  <c r="J78" i="6" s="1"/>
  <c r="K465" i="6"/>
  <c r="J77" i="6" s="1"/>
  <c r="K464" i="6"/>
  <c r="J76" i="6" s="1"/>
  <c r="K463" i="6"/>
  <c r="J75" i="6" s="1"/>
  <c r="K462" i="6"/>
  <c r="J74" i="6" s="1"/>
  <c r="K461" i="6"/>
  <c r="J73" i="6" s="1"/>
  <c r="K460" i="6"/>
  <c r="J72" i="6" s="1"/>
  <c r="K459" i="6"/>
  <c r="J71" i="6" s="1"/>
  <c r="K454" i="6"/>
  <c r="J69" i="6" s="1"/>
  <c r="K453" i="6"/>
  <c r="J68" i="6" s="1"/>
  <c r="K452" i="6"/>
  <c r="J67" i="6" s="1"/>
  <c r="K451" i="6"/>
  <c r="J66" i="6" s="1"/>
  <c r="K450" i="6"/>
  <c r="J65" i="6" s="1"/>
  <c r="K449" i="6"/>
  <c r="J64" i="6" s="1"/>
  <c r="K448" i="6"/>
  <c r="J63" i="6" s="1"/>
  <c r="K447" i="6"/>
  <c r="J62" i="6" s="1"/>
  <c r="K446" i="6"/>
  <c r="J61" i="6" s="1"/>
  <c r="K445" i="6"/>
  <c r="J60" i="6" s="1"/>
  <c r="K444" i="6"/>
  <c r="J59" i="6" s="1"/>
  <c r="K443" i="6"/>
  <c r="J58" i="6" s="1"/>
  <c r="K442" i="6"/>
  <c r="J57" i="6" s="1"/>
  <c r="K441" i="6"/>
  <c r="J56" i="6" s="1"/>
  <c r="K440" i="6"/>
  <c r="J55" i="6" s="1"/>
  <c r="K439" i="6"/>
  <c r="J54" i="6" s="1"/>
  <c r="K438" i="6"/>
  <c r="J53" i="6" s="1"/>
  <c r="K437" i="6"/>
  <c r="J52" i="6" s="1"/>
  <c r="K436" i="6"/>
  <c r="J51" i="6" s="1"/>
  <c r="K435" i="6"/>
  <c r="J50" i="6" s="1"/>
  <c r="K434" i="6"/>
  <c r="J49" i="6" s="1"/>
  <c r="K433" i="6"/>
  <c r="J48" i="6" s="1"/>
  <c r="K432" i="6"/>
  <c r="J47" i="6" s="1"/>
  <c r="K431" i="6"/>
  <c r="J46" i="6" s="1"/>
  <c r="K430" i="6"/>
  <c r="J45" i="6" s="1"/>
  <c r="K429" i="6"/>
  <c r="J44" i="6" s="1"/>
  <c r="K428" i="6"/>
  <c r="J43" i="6" s="1"/>
  <c r="K427" i="6"/>
  <c r="J42" i="6" s="1"/>
  <c r="K426" i="6"/>
  <c r="J41" i="6" s="1"/>
  <c r="K425" i="6"/>
  <c r="J40" i="6" s="1"/>
  <c r="K424" i="6"/>
  <c r="J39" i="6" s="1"/>
  <c r="K423" i="6"/>
  <c r="J38" i="6" s="1"/>
  <c r="K422" i="6"/>
  <c r="J37" i="6" s="1"/>
  <c r="K421" i="6"/>
  <c r="J36" i="6" s="1"/>
  <c r="K420" i="6"/>
  <c r="J35" i="6" s="1"/>
  <c r="A358" i="6" l="1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C40" i="26" l="1"/>
  <c r="C36" i="26"/>
  <c r="C43" i="26"/>
  <c r="C39" i="26"/>
  <c r="C35" i="26"/>
  <c r="C42" i="26"/>
  <c r="C38" i="26"/>
  <c r="C34" i="26"/>
  <c r="C41" i="26"/>
  <c r="C37" i="26"/>
  <c r="B11" i="24"/>
  <c r="B10" i="24"/>
  <c r="B9" i="24"/>
  <c r="A29" i="17"/>
  <c r="B10" i="17"/>
  <c r="B11" i="17"/>
  <c r="B9" i="17"/>
  <c r="D358" i="6" l="1"/>
  <c r="D356" i="6"/>
  <c r="D354" i="6"/>
  <c r="D352" i="6"/>
  <c r="D350" i="6"/>
  <c r="D348" i="6"/>
  <c r="D346" i="6"/>
  <c r="D344" i="6"/>
  <c r="D342" i="6"/>
  <c r="D340" i="6"/>
  <c r="D338" i="6"/>
  <c r="D336" i="6"/>
  <c r="D334" i="6"/>
  <c r="D332" i="6"/>
  <c r="D330" i="6"/>
  <c r="D328" i="6"/>
  <c r="D326" i="6"/>
  <c r="D324" i="6"/>
  <c r="D322" i="6"/>
  <c r="D320" i="6"/>
  <c r="D318" i="6"/>
  <c r="D316" i="6"/>
  <c r="D314" i="6"/>
  <c r="D312" i="6"/>
  <c r="D310" i="6"/>
  <c r="D308" i="6"/>
  <c r="D306" i="6"/>
  <c r="D304" i="6"/>
  <c r="D302" i="6"/>
  <c r="D300" i="6"/>
  <c r="D298" i="6"/>
  <c r="D296" i="6"/>
  <c r="D294" i="6"/>
  <c r="D292" i="6"/>
  <c r="D290" i="6"/>
  <c r="D288" i="6"/>
  <c r="D286" i="6"/>
  <c r="D284" i="6"/>
  <c r="D282" i="6"/>
  <c r="D280" i="6"/>
  <c r="D278" i="6"/>
  <c r="D276" i="6"/>
  <c r="D274" i="6"/>
  <c r="D272" i="6"/>
  <c r="D270" i="6"/>
  <c r="D268" i="6"/>
  <c r="D266" i="6"/>
  <c r="D264" i="6"/>
  <c r="D262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353" i="6"/>
  <c r="D345" i="6"/>
  <c r="D337" i="6"/>
  <c r="D329" i="6"/>
  <c r="D321" i="6"/>
  <c r="D313" i="6"/>
  <c r="D305" i="6"/>
  <c r="D297" i="6"/>
  <c r="D289" i="6"/>
  <c r="D281" i="6"/>
  <c r="D273" i="6"/>
  <c r="D265" i="6"/>
  <c r="D186" i="6"/>
  <c r="D182" i="6"/>
  <c r="D178" i="6"/>
  <c r="D174" i="6"/>
  <c r="D351" i="6"/>
  <c r="D343" i="6"/>
  <c r="D335" i="6"/>
  <c r="D327" i="6"/>
  <c r="D319" i="6"/>
  <c r="D311" i="6"/>
  <c r="D303" i="6"/>
  <c r="D295" i="6"/>
  <c r="D287" i="6"/>
  <c r="D279" i="6"/>
  <c r="D271" i="6"/>
  <c r="D263" i="6"/>
  <c r="D187" i="6"/>
  <c r="D183" i="6"/>
  <c r="D179" i="6"/>
  <c r="D175" i="6"/>
  <c r="D355" i="6"/>
  <c r="D347" i="6"/>
  <c r="D339" i="6"/>
  <c r="D331" i="6"/>
  <c r="D323" i="6"/>
  <c r="D315" i="6"/>
  <c r="D307" i="6"/>
  <c r="D299" i="6"/>
  <c r="D291" i="6"/>
  <c r="D283" i="6"/>
  <c r="D275" i="6"/>
  <c r="D267" i="6"/>
  <c r="D185" i="6"/>
  <c r="D181" i="6"/>
  <c r="D177" i="6"/>
  <c r="D173" i="6"/>
  <c r="D333" i="6"/>
  <c r="D301" i="6"/>
  <c r="D269" i="6"/>
  <c r="D180" i="6"/>
  <c r="D170" i="6"/>
  <c r="D166" i="6"/>
  <c r="D162" i="6"/>
  <c r="D158" i="6"/>
  <c r="D154" i="6"/>
  <c r="D150" i="6"/>
  <c r="D146" i="6"/>
  <c r="D142" i="6"/>
  <c r="D138" i="6"/>
  <c r="D134" i="6"/>
  <c r="D130" i="6"/>
  <c r="D126" i="6"/>
  <c r="D122" i="6"/>
  <c r="D118" i="6"/>
  <c r="D114" i="6"/>
  <c r="D110" i="6"/>
  <c r="D106" i="6"/>
  <c r="D102" i="6"/>
  <c r="D98" i="6"/>
  <c r="D94" i="6"/>
  <c r="D90" i="6"/>
  <c r="D86" i="6"/>
  <c r="D82" i="6"/>
  <c r="D78" i="6"/>
  <c r="D74" i="6"/>
  <c r="D66" i="6"/>
  <c r="D49" i="6"/>
  <c r="D45" i="6"/>
  <c r="D41" i="6"/>
  <c r="D349" i="6"/>
  <c r="D172" i="6"/>
  <c r="D160" i="6"/>
  <c r="D144" i="6"/>
  <c r="D132" i="6"/>
  <c r="D116" i="6"/>
  <c r="D96" i="6"/>
  <c r="D80" i="6"/>
  <c r="D68" i="6"/>
  <c r="D55" i="6"/>
  <c r="D51" i="6"/>
  <c r="D47" i="6"/>
  <c r="D357" i="6"/>
  <c r="D325" i="6"/>
  <c r="D293" i="6"/>
  <c r="D261" i="6"/>
  <c r="D184" i="6"/>
  <c r="D169" i="6"/>
  <c r="D165" i="6"/>
  <c r="D161" i="6"/>
  <c r="D157" i="6"/>
  <c r="D153" i="6"/>
  <c r="D149" i="6"/>
  <c r="D145" i="6"/>
  <c r="D141" i="6"/>
  <c r="D137" i="6"/>
  <c r="D133" i="6"/>
  <c r="D129" i="6"/>
  <c r="D125" i="6"/>
  <c r="D121" i="6"/>
  <c r="D117" i="6"/>
  <c r="D113" i="6"/>
  <c r="D109" i="6"/>
  <c r="D105" i="6"/>
  <c r="D101" i="6"/>
  <c r="D97" i="6"/>
  <c r="D93" i="6"/>
  <c r="D89" i="6"/>
  <c r="D85" i="6"/>
  <c r="D81" i="6"/>
  <c r="D77" i="6"/>
  <c r="D73" i="6"/>
  <c r="D69" i="6"/>
  <c r="D65" i="6"/>
  <c r="D61" i="6"/>
  <c r="D57" i="6"/>
  <c r="D54" i="6"/>
  <c r="D50" i="6"/>
  <c r="D46" i="6"/>
  <c r="D42" i="6"/>
  <c r="D38" i="6"/>
  <c r="D285" i="6"/>
  <c r="D168" i="6"/>
  <c r="D156" i="6"/>
  <c r="D140" i="6"/>
  <c r="D124" i="6"/>
  <c r="D112" i="6"/>
  <c r="D100" i="6"/>
  <c r="D88" i="6"/>
  <c r="D72" i="6"/>
  <c r="D60" i="6"/>
  <c r="D35" i="6"/>
  <c r="D341" i="6"/>
  <c r="D309" i="6"/>
  <c r="D277" i="6"/>
  <c r="D176" i="6"/>
  <c r="D171" i="6"/>
  <c r="D167" i="6"/>
  <c r="D163" i="6"/>
  <c r="D159" i="6"/>
  <c r="D155" i="6"/>
  <c r="D151" i="6"/>
  <c r="D147" i="6"/>
  <c r="D143" i="6"/>
  <c r="D139" i="6"/>
  <c r="D135" i="6"/>
  <c r="D131" i="6"/>
  <c r="D127" i="6"/>
  <c r="D123" i="6"/>
  <c r="D119" i="6"/>
  <c r="D115" i="6"/>
  <c r="D111" i="6"/>
  <c r="D107" i="6"/>
  <c r="D103" i="6"/>
  <c r="D99" i="6"/>
  <c r="D95" i="6"/>
  <c r="D91" i="6"/>
  <c r="D87" i="6"/>
  <c r="D83" i="6"/>
  <c r="D79" i="6"/>
  <c r="D75" i="6"/>
  <c r="D71" i="6"/>
  <c r="D67" i="6"/>
  <c r="D63" i="6"/>
  <c r="D59" i="6"/>
  <c r="D56" i="6"/>
  <c r="D52" i="6"/>
  <c r="D48" i="6"/>
  <c r="D44" i="6"/>
  <c r="D40" i="6"/>
  <c r="D36" i="6"/>
  <c r="D70" i="6"/>
  <c r="D62" i="6"/>
  <c r="D58" i="6"/>
  <c r="D53" i="6"/>
  <c r="D37" i="6"/>
  <c r="D317" i="6"/>
  <c r="D188" i="6"/>
  <c r="D164" i="6"/>
  <c r="D152" i="6"/>
  <c r="D148" i="6"/>
  <c r="D136" i="6"/>
  <c r="D128" i="6"/>
  <c r="D120" i="6"/>
  <c r="D108" i="6"/>
  <c r="D104" i="6"/>
  <c r="D92" i="6"/>
  <c r="D84" i="6"/>
  <c r="D76" i="6"/>
  <c r="D64" i="6"/>
  <c r="D43" i="6"/>
  <c r="D3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59" i="6"/>
  <c r="C255" i="6"/>
  <c r="C251" i="6"/>
  <c r="C247" i="6"/>
  <c r="C243" i="6"/>
  <c r="C239" i="6"/>
  <c r="C235" i="6"/>
  <c r="C231" i="6"/>
  <c r="C227" i="6"/>
  <c r="C223" i="6"/>
  <c r="C219" i="6"/>
  <c r="C215" i="6"/>
  <c r="C211" i="6"/>
  <c r="C207" i="6"/>
  <c r="C203" i="6"/>
  <c r="C199" i="6"/>
  <c r="C197" i="6"/>
  <c r="C195" i="6"/>
  <c r="C193" i="6"/>
  <c r="C191" i="6"/>
  <c r="C189" i="6"/>
  <c r="C185" i="6"/>
  <c r="C181" i="6"/>
  <c r="C177" i="6"/>
  <c r="C173" i="6"/>
  <c r="C258" i="6"/>
  <c r="C254" i="6"/>
  <c r="C250" i="6"/>
  <c r="C246" i="6"/>
  <c r="C242" i="6"/>
  <c r="C238" i="6"/>
  <c r="C234" i="6"/>
  <c r="C230" i="6"/>
  <c r="C226" i="6"/>
  <c r="C222" i="6"/>
  <c r="C218" i="6"/>
  <c r="C214" i="6"/>
  <c r="C210" i="6"/>
  <c r="C206" i="6"/>
  <c r="C202" i="6"/>
  <c r="C186" i="6"/>
  <c r="C182" i="6"/>
  <c r="C178" i="6"/>
  <c r="C174" i="6"/>
  <c r="C260" i="6"/>
  <c r="C256" i="6"/>
  <c r="C252" i="6"/>
  <c r="C248" i="6"/>
  <c r="C244" i="6"/>
  <c r="C240" i="6"/>
  <c r="C236" i="6"/>
  <c r="C232" i="6"/>
  <c r="C228" i="6"/>
  <c r="C224" i="6"/>
  <c r="C220" i="6"/>
  <c r="C216" i="6"/>
  <c r="C212" i="6"/>
  <c r="C208" i="6"/>
  <c r="C204" i="6"/>
  <c r="C200" i="6"/>
  <c r="C188" i="6"/>
  <c r="C184" i="6"/>
  <c r="C180" i="6"/>
  <c r="C176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249" i="6"/>
  <c r="C233" i="6"/>
  <c r="C217" i="6"/>
  <c r="C201" i="6"/>
  <c r="C192" i="6"/>
  <c r="C175" i="6"/>
  <c r="C196" i="6"/>
  <c r="C245" i="6"/>
  <c r="C229" i="6"/>
  <c r="C213" i="6"/>
  <c r="C198" i="6"/>
  <c r="C190" i="6"/>
  <c r="C179" i="6"/>
  <c r="C241" i="6"/>
  <c r="C209" i="6"/>
  <c r="C183" i="6"/>
  <c r="C253" i="6"/>
  <c r="C237" i="6"/>
  <c r="C221" i="6"/>
  <c r="C205" i="6"/>
  <c r="C194" i="6"/>
  <c r="C187" i="6"/>
  <c r="C257" i="6"/>
  <c r="C225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6" i="6"/>
  <c r="B74" i="6"/>
  <c r="B72" i="6"/>
  <c r="B70" i="6"/>
  <c r="B67" i="6"/>
  <c r="B64" i="6"/>
  <c r="B62" i="6"/>
  <c r="B59" i="6"/>
  <c r="B77" i="6"/>
  <c r="B75" i="6"/>
  <c r="B73" i="6"/>
  <c r="B71" i="6"/>
  <c r="B69" i="6"/>
  <c r="B68" i="6"/>
  <c r="B66" i="6"/>
  <c r="B65" i="6"/>
  <c r="B63" i="6"/>
  <c r="B61" i="6"/>
  <c r="B60" i="6"/>
  <c r="B58" i="6"/>
  <c r="B56" i="6"/>
  <c r="B52" i="6"/>
  <c r="B42" i="6"/>
  <c r="B38" i="6"/>
  <c r="B53" i="6"/>
  <c r="B49" i="6"/>
  <c r="B45" i="6"/>
  <c r="B41" i="6"/>
  <c r="B37" i="6"/>
  <c r="B54" i="6"/>
  <c r="B50" i="6"/>
  <c r="B46" i="6"/>
  <c r="B55" i="6"/>
  <c r="B51" i="6"/>
  <c r="B47" i="6"/>
  <c r="B43" i="6"/>
  <c r="B39" i="6"/>
  <c r="B35" i="6"/>
  <c r="B48" i="6"/>
  <c r="B44" i="6"/>
  <c r="B40" i="6"/>
  <c r="B36" i="6"/>
  <c r="B57" i="6"/>
  <c r="G356" i="6"/>
  <c r="G352" i="6"/>
  <c r="G348" i="6"/>
  <c r="G344" i="6"/>
  <c r="G340" i="6"/>
  <c r="G336" i="6"/>
  <c r="G332" i="6"/>
  <c r="G328" i="6"/>
  <c r="G324" i="6"/>
  <c r="G320" i="6"/>
  <c r="G316" i="6"/>
  <c r="G312" i="6"/>
  <c r="G308" i="6"/>
  <c r="G304" i="6"/>
  <c r="G300" i="6"/>
  <c r="G296" i="6"/>
  <c r="G292" i="6"/>
  <c r="G288" i="6"/>
  <c r="G284" i="6"/>
  <c r="G280" i="6"/>
  <c r="G276" i="6"/>
  <c r="G272" i="6"/>
  <c r="G268" i="6"/>
  <c r="G264" i="6"/>
  <c r="G260" i="6"/>
  <c r="G256" i="6"/>
  <c r="G252" i="6"/>
  <c r="G248" i="6"/>
  <c r="G357" i="6"/>
  <c r="G353" i="6"/>
  <c r="G349" i="6"/>
  <c r="G345" i="6"/>
  <c r="G341" i="6"/>
  <c r="G337" i="6"/>
  <c r="G333" i="6"/>
  <c r="G329" i="6"/>
  <c r="G325" i="6"/>
  <c r="G321" i="6"/>
  <c r="G317" i="6"/>
  <c r="G313" i="6"/>
  <c r="G309" i="6"/>
  <c r="G305" i="6"/>
  <c r="G301" i="6"/>
  <c r="G297" i="6"/>
  <c r="G293" i="6"/>
  <c r="G289" i="6"/>
  <c r="G285" i="6"/>
  <c r="G281" i="6"/>
  <c r="G277" i="6"/>
  <c r="G273" i="6"/>
  <c r="G269" i="6"/>
  <c r="G265" i="6"/>
  <c r="G261" i="6"/>
  <c r="G257" i="6"/>
  <c r="G253" i="6"/>
  <c r="G249" i="6"/>
  <c r="G351" i="6"/>
  <c r="G343" i="6"/>
  <c r="G335" i="6"/>
  <c r="G327" i="6"/>
  <c r="G319" i="6"/>
  <c r="G311" i="6"/>
  <c r="G303" i="6"/>
  <c r="G295" i="6"/>
  <c r="G287" i="6"/>
  <c r="G279" i="6"/>
  <c r="G271" i="6"/>
  <c r="G263" i="6"/>
  <c r="G255" i="6"/>
  <c r="G247" i="6"/>
  <c r="G242" i="6"/>
  <c r="G238" i="6"/>
  <c r="G234" i="6"/>
  <c r="G230" i="6"/>
  <c r="G226" i="6"/>
  <c r="G222" i="6"/>
  <c r="G218" i="6"/>
  <c r="G214" i="6"/>
  <c r="G210" i="6"/>
  <c r="G206" i="6"/>
  <c r="G202" i="6"/>
  <c r="G358" i="6"/>
  <c r="G350" i="6"/>
  <c r="G342" i="6"/>
  <c r="G334" i="6"/>
  <c r="G326" i="6"/>
  <c r="G318" i="6"/>
  <c r="G310" i="6"/>
  <c r="G302" i="6"/>
  <c r="G294" i="6"/>
  <c r="G286" i="6"/>
  <c r="G278" i="6"/>
  <c r="G270" i="6"/>
  <c r="G262" i="6"/>
  <c r="G254" i="6"/>
  <c r="G246" i="6"/>
  <c r="G243" i="6"/>
  <c r="G239" i="6"/>
  <c r="G235" i="6"/>
  <c r="G231" i="6"/>
  <c r="G227" i="6"/>
  <c r="G223" i="6"/>
  <c r="G219" i="6"/>
  <c r="G215" i="6"/>
  <c r="G211" i="6"/>
  <c r="G207" i="6"/>
  <c r="G203" i="6"/>
  <c r="G199" i="6"/>
  <c r="G354" i="6"/>
  <c r="G346" i="6"/>
  <c r="G338" i="6"/>
  <c r="G330" i="6"/>
  <c r="G322" i="6"/>
  <c r="G314" i="6"/>
  <c r="G306" i="6"/>
  <c r="G298" i="6"/>
  <c r="G290" i="6"/>
  <c r="G282" i="6"/>
  <c r="G274" i="6"/>
  <c r="G266" i="6"/>
  <c r="G258" i="6"/>
  <c r="G250" i="6"/>
  <c r="G245" i="6"/>
  <c r="G241" i="6"/>
  <c r="G237" i="6"/>
  <c r="G233" i="6"/>
  <c r="G229" i="6"/>
  <c r="G225" i="6"/>
  <c r="G221" i="6"/>
  <c r="G217" i="6"/>
  <c r="G213" i="6"/>
  <c r="G209" i="6"/>
  <c r="G205" i="6"/>
  <c r="G201" i="6"/>
  <c r="G197" i="6"/>
  <c r="G193" i="6"/>
  <c r="G189" i="6"/>
  <c r="G339" i="6"/>
  <c r="G307" i="6"/>
  <c r="G275" i="6"/>
  <c r="G244" i="6"/>
  <c r="G228" i="6"/>
  <c r="G212" i="6"/>
  <c r="G198" i="6"/>
  <c r="G196" i="6"/>
  <c r="G194" i="6"/>
  <c r="G186" i="6"/>
  <c r="G182" i="6"/>
  <c r="G178" i="6"/>
  <c r="G174" i="6"/>
  <c r="G170" i="6"/>
  <c r="G166" i="6"/>
  <c r="G162" i="6"/>
  <c r="G158" i="6"/>
  <c r="G154" i="6"/>
  <c r="G150" i="6"/>
  <c r="G146" i="6"/>
  <c r="G142" i="6"/>
  <c r="G138" i="6"/>
  <c r="G134" i="6"/>
  <c r="G130" i="6"/>
  <c r="G126" i="6"/>
  <c r="G122" i="6"/>
  <c r="G118" i="6"/>
  <c r="G114" i="6"/>
  <c r="G110" i="6"/>
  <c r="G347" i="6"/>
  <c r="G315" i="6"/>
  <c r="G283" i="6"/>
  <c r="G251" i="6"/>
  <c r="G232" i="6"/>
  <c r="G216" i="6"/>
  <c r="G200" i="6"/>
  <c r="G192" i="6"/>
  <c r="G190" i="6"/>
  <c r="G187" i="6"/>
  <c r="G183" i="6"/>
  <c r="G179" i="6"/>
  <c r="G175" i="6"/>
  <c r="G171" i="6"/>
  <c r="G167" i="6"/>
  <c r="G163" i="6"/>
  <c r="G159" i="6"/>
  <c r="G155" i="6"/>
  <c r="G151" i="6"/>
  <c r="G147" i="6"/>
  <c r="G143" i="6"/>
  <c r="G139" i="6"/>
  <c r="G135" i="6"/>
  <c r="G131" i="6"/>
  <c r="G127" i="6"/>
  <c r="G123" i="6"/>
  <c r="G119" i="6"/>
  <c r="G115" i="6"/>
  <c r="G111" i="6"/>
  <c r="G107" i="6"/>
  <c r="G103" i="6"/>
  <c r="G99" i="6"/>
  <c r="G331" i="6"/>
  <c r="G299" i="6"/>
  <c r="G267" i="6"/>
  <c r="G240" i="6"/>
  <c r="G224" i="6"/>
  <c r="G208" i="6"/>
  <c r="G191" i="6"/>
  <c r="G185" i="6"/>
  <c r="G181" i="6"/>
  <c r="G177" i="6"/>
  <c r="G173" i="6"/>
  <c r="G169" i="6"/>
  <c r="G165" i="6"/>
  <c r="G161" i="6"/>
  <c r="G157" i="6"/>
  <c r="G153" i="6"/>
  <c r="G149" i="6"/>
  <c r="G145" i="6"/>
  <c r="G141" i="6"/>
  <c r="G137" i="6"/>
  <c r="G133" i="6"/>
  <c r="G129" i="6"/>
  <c r="G125" i="6"/>
  <c r="G121" i="6"/>
  <c r="G117" i="6"/>
  <c r="G113" i="6"/>
  <c r="G109" i="6"/>
  <c r="G105" i="6"/>
  <c r="G101" i="6"/>
  <c r="G97" i="6"/>
  <c r="G323" i="6"/>
  <c r="G220" i="6"/>
  <c r="G180" i="6"/>
  <c r="G164" i="6"/>
  <c r="G148" i="6"/>
  <c r="G132" i="6"/>
  <c r="G116" i="6"/>
  <c r="G104" i="6"/>
  <c r="G95" i="6"/>
  <c r="G91" i="6"/>
  <c r="G87" i="6"/>
  <c r="G83" i="6"/>
  <c r="G79" i="6"/>
  <c r="G75" i="6"/>
  <c r="G71" i="6"/>
  <c r="G67" i="6"/>
  <c r="G63" i="6"/>
  <c r="G59" i="6"/>
  <c r="G55" i="6"/>
  <c r="G51" i="6"/>
  <c r="G47" i="6"/>
  <c r="G43" i="6"/>
  <c r="G39" i="6"/>
  <c r="G35" i="6"/>
  <c r="G355" i="6"/>
  <c r="G236" i="6"/>
  <c r="G184" i="6"/>
  <c r="G168" i="6"/>
  <c r="G152" i="6"/>
  <c r="G136" i="6"/>
  <c r="G120" i="6"/>
  <c r="G106" i="6"/>
  <c r="G98" i="6"/>
  <c r="G96" i="6"/>
  <c r="G92" i="6"/>
  <c r="G88" i="6"/>
  <c r="G84" i="6"/>
  <c r="G80" i="6"/>
  <c r="G76" i="6"/>
  <c r="G72" i="6"/>
  <c r="G68" i="6"/>
  <c r="G64" i="6"/>
  <c r="G60" i="6"/>
  <c r="G56" i="6"/>
  <c r="G52" i="6"/>
  <c r="G48" i="6"/>
  <c r="G44" i="6"/>
  <c r="G40" i="6"/>
  <c r="G36" i="6"/>
  <c r="G291" i="6"/>
  <c r="G204" i="6"/>
  <c r="G176" i="6"/>
  <c r="G160" i="6"/>
  <c r="G144" i="6"/>
  <c r="G112" i="6"/>
  <c r="G90" i="6"/>
  <c r="G82" i="6"/>
  <c r="G74" i="6"/>
  <c r="G66" i="6"/>
  <c r="G58" i="6"/>
  <c r="G50" i="6"/>
  <c r="G42" i="6"/>
  <c r="G156" i="6"/>
  <c r="G140" i="6"/>
  <c r="G108" i="6"/>
  <c r="G89" i="6"/>
  <c r="G81" i="6"/>
  <c r="G73" i="6"/>
  <c r="G65" i="6"/>
  <c r="G57" i="6"/>
  <c r="G49" i="6"/>
  <c r="G41" i="6"/>
  <c r="G259" i="6"/>
  <c r="G188" i="6"/>
  <c r="G124" i="6"/>
  <c r="G100" i="6"/>
  <c r="G93" i="6"/>
  <c r="G85" i="6"/>
  <c r="G77" i="6"/>
  <c r="G69" i="6"/>
  <c r="G61" i="6"/>
  <c r="G53" i="6"/>
  <c r="G45" i="6"/>
  <c r="G37" i="6"/>
  <c r="G70" i="6"/>
  <c r="G38" i="6"/>
  <c r="G102" i="6"/>
  <c r="G78" i="6"/>
  <c r="G46" i="6"/>
  <c r="G172" i="6"/>
  <c r="G94" i="6"/>
  <c r="G62" i="6"/>
  <c r="G86" i="6"/>
  <c r="G195" i="6"/>
  <c r="G128" i="6"/>
  <c r="G54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357" i="6"/>
  <c r="E355" i="6"/>
  <c r="E353" i="6"/>
  <c r="E351" i="6"/>
  <c r="E349" i="6"/>
  <c r="E347" i="6"/>
  <c r="E345" i="6"/>
  <c r="E343" i="6"/>
  <c r="E341" i="6"/>
  <c r="E339" i="6"/>
  <c r="E337" i="6"/>
  <c r="E335" i="6"/>
  <c r="E333" i="6"/>
  <c r="E331" i="6"/>
  <c r="E329" i="6"/>
  <c r="E327" i="6"/>
  <c r="E325" i="6"/>
  <c r="E323" i="6"/>
  <c r="E321" i="6"/>
  <c r="E319" i="6"/>
  <c r="E317" i="6"/>
  <c r="E315" i="6"/>
  <c r="E313" i="6"/>
  <c r="E311" i="6"/>
  <c r="E309" i="6"/>
  <c r="E307" i="6"/>
  <c r="E305" i="6"/>
  <c r="E303" i="6"/>
  <c r="E301" i="6"/>
  <c r="E299" i="6"/>
  <c r="E297" i="6"/>
  <c r="E295" i="6"/>
  <c r="E293" i="6"/>
  <c r="E291" i="6"/>
  <c r="E289" i="6"/>
  <c r="E287" i="6"/>
  <c r="E285" i="6"/>
  <c r="E283" i="6"/>
  <c r="E281" i="6"/>
  <c r="E279" i="6"/>
  <c r="E277" i="6"/>
  <c r="E275" i="6"/>
  <c r="E273" i="6"/>
  <c r="E271" i="6"/>
  <c r="E269" i="6"/>
  <c r="E267" i="6"/>
  <c r="E265" i="6"/>
  <c r="E263" i="6"/>
  <c r="E261" i="6"/>
  <c r="E358" i="6"/>
  <c r="E356" i="6"/>
  <c r="E354" i="6"/>
  <c r="E352" i="6"/>
  <c r="E350" i="6"/>
  <c r="E348" i="6"/>
  <c r="E346" i="6"/>
  <c r="E344" i="6"/>
  <c r="E342" i="6"/>
  <c r="E340" i="6"/>
  <c r="E338" i="6"/>
  <c r="E336" i="6"/>
  <c r="E334" i="6"/>
  <c r="E332" i="6"/>
  <c r="E330" i="6"/>
  <c r="E328" i="6"/>
  <c r="E326" i="6"/>
  <c r="E324" i="6"/>
  <c r="E322" i="6"/>
  <c r="E320" i="6"/>
  <c r="E318" i="6"/>
  <c r="E316" i="6"/>
  <c r="E314" i="6"/>
  <c r="E312" i="6"/>
  <c r="E310" i="6"/>
  <c r="E308" i="6"/>
  <c r="E306" i="6"/>
  <c r="E304" i="6"/>
  <c r="E302" i="6"/>
  <c r="E300" i="6"/>
  <c r="E298" i="6"/>
  <c r="E296" i="6"/>
  <c r="E294" i="6"/>
  <c r="E292" i="6"/>
  <c r="E290" i="6"/>
  <c r="E288" i="6"/>
  <c r="E286" i="6"/>
  <c r="E284" i="6"/>
  <c r="E282" i="6"/>
  <c r="E280" i="6"/>
  <c r="E278" i="6"/>
  <c r="E276" i="6"/>
  <c r="E274" i="6"/>
  <c r="E272" i="6"/>
  <c r="E270" i="6"/>
  <c r="E268" i="6"/>
  <c r="E266" i="6"/>
  <c r="E264" i="6"/>
  <c r="E262" i="6"/>
  <c r="E187" i="6"/>
  <c r="E183" i="6"/>
  <c r="E179" i="6"/>
  <c r="E175" i="6"/>
  <c r="E198" i="6"/>
  <c r="E196" i="6"/>
  <c r="E194" i="6"/>
  <c r="E192" i="6"/>
  <c r="E190" i="6"/>
  <c r="E188" i="6"/>
  <c r="E184" i="6"/>
  <c r="E180" i="6"/>
  <c r="E176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197" i="6"/>
  <c r="E195" i="6"/>
  <c r="E193" i="6"/>
  <c r="E191" i="6"/>
  <c r="E189" i="6"/>
  <c r="E186" i="6"/>
  <c r="E182" i="6"/>
  <c r="E178" i="6"/>
  <c r="E174" i="6"/>
  <c r="E185" i="6"/>
  <c r="E38" i="6"/>
  <c r="E173" i="6"/>
  <c r="E55" i="6"/>
  <c r="E51" i="6"/>
  <c r="E47" i="6"/>
  <c r="E43" i="6"/>
  <c r="E39" i="6"/>
  <c r="E35" i="6"/>
  <c r="E40" i="6"/>
  <c r="E181" i="6"/>
  <c r="E53" i="6"/>
  <c r="E49" i="6"/>
  <c r="E45" i="6"/>
  <c r="E41" i="6"/>
  <c r="E37" i="6"/>
  <c r="E54" i="6"/>
  <c r="E50" i="6"/>
  <c r="E46" i="6"/>
  <c r="E42" i="6"/>
  <c r="E177" i="6"/>
  <c r="E52" i="6"/>
  <c r="E48" i="6"/>
  <c r="E44" i="6"/>
  <c r="E36" i="6"/>
  <c r="F355" i="6"/>
  <c r="F351" i="6"/>
  <c r="F347" i="6"/>
  <c r="F343" i="6"/>
  <c r="F339" i="6"/>
  <c r="F335" i="6"/>
  <c r="F331" i="6"/>
  <c r="F327" i="6"/>
  <c r="F323" i="6"/>
  <c r="F319" i="6"/>
  <c r="F315" i="6"/>
  <c r="F311" i="6"/>
  <c r="F307" i="6"/>
  <c r="F303" i="6"/>
  <c r="F299" i="6"/>
  <c r="F295" i="6"/>
  <c r="F291" i="6"/>
  <c r="F287" i="6"/>
  <c r="F283" i="6"/>
  <c r="F279" i="6"/>
  <c r="F275" i="6"/>
  <c r="F271" i="6"/>
  <c r="F267" i="6"/>
  <c r="F263" i="6"/>
  <c r="F259" i="6"/>
  <c r="F255" i="6"/>
  <c r="F251" i="6"/>
  <c r="F247" i="6"/>
  <c r="F356" i="6"/>
  <c r="F352" i="6"/>
  <c r="F348" i="6"/>
  <c r="F344" i="6"/>
  <c r="F340" i="6"/>
  <c r="F336" i="6"/>
  <c r="F332" i="6"/>
  <c r="F328" i="6"/>
  <c r="F324" i="6"/>
  <c r="F320" i="6"/>
  <c r="F316" i="6"/>
  <c r="F312" i="6"/>
  <c r="F308" i="6"/>
  <c r="F304" i="6"/>
  <c r="F300" i="6"/>
  <c r="F296" i="6"/>
  <c r="F292" i="6"/>
  <c r="F288" i="6"/>
  <c r="F284" i="6"/>
  <c r="F280" i="6"/>
  <c r="F276" i="6"/>
  <c r="F272" i="6"/>
  <c r="F268" i="6"/>
  <c r="F264" i="6"/>
  <c r="F260" i="6"/>
  <c r="F256" i="6"/>
  <c r="F252" i="6"/>
  <c r="F248" i="6"/>
  <c r="F354" i="6"/>
  <c r="F346" i="6"/>
  <c r="F338" i="6"/>
  <c r="F330" i="6"/>
  <c r="F322" i="6"/>
  <c r="F314" i="6"/>
  <c r="F306" i="6"/>
  <c r="F298" i="6"/>
  <c r="F290" i="6"/>
  <c r="F282" i="6"/>
  <c r="F274" i="6"/>
  <c r="F266" i="6"/>
  <c r="F258" i="6"/>
  <c r="F250" i="6"/>
  <c r="F245" i="6"/>
  <c r="F241" i="6"/>
  <c r="F237" i="6"/>
  <c r="F233" i="6"/>
  <c r="F229" i="6"/>
  <c r="F225" i="6"/>
  <c r="F221" i="6"/>
  <c r="F217" i="6"/>
  <c r="F213" i="6"/>
  <c r="F209" i="6"/>
  <c r="F205" i="6"/>
  <c r="F201" i="6"/>
  <c r="F353" i="6"/>
  <c r="F345" i="6"/>
  <c r="F337" i="6"/>
  <c r="F329" i="6"/>
  <c r="F321" i="6"/>
  <c r="F313" i="6"/>
  <c r="F305" i="6"/>
  <c r="F297" i="6"/>
  <c r="F289" i="6"/>
  <c r="F281" i="6"/>
  <c r="F273" i="6"/>
  <c r="F265" i="6"/>
  <c r="F257" i="6"/>
  <c r="F249" i="6"/>
  <c r="F242" i="6"/>
  <c r="F238" i="6"/>
  <c r="F234" i="6"/>
  <c r="F230" i="6"/>
  <c r="F226" i="6"/>
  <c r="F222" i="6"/>
  <c r="F218" i="6"/>
  <c r="F214" i="6"/>
  <c r="F210" i="6"/>
  <c r="F206" i="6"/>
  <c r="F202" i="6"/>
  <c r="F198" i="6"/>
  <c r="F357" i="6"/>
  <c r="F349" i="6"/>
  <c r="F341" i="6"/>
  <c r="F333" i="6"/>
  <c r="F325" i="6"/>
  <c r="F317" i="6"/>
  <c r="F309" i="6"/>
  <c r="F301" i="6"/>
  <c r="F293" i="6"/>
  <c r="F285" i="6"/>
  <c r="F277" i="6"/>
  <c r="F269" i="6"/>
  <c r="F261" i="6"/>
  <c r="F253" i="6"/>
  <c r="F244" i="6"/>
  <c r="F240" i="6"/>
  <c r="F236" i="6"/>
  <c r="F232" i="6"/>
  <c r="F228" i="6"/>
  <c r="F224" i="6"/>
  <c r="F220" i="6"/>
  <c r="F216" i="6"/>
  <c r="F212" i="6"/>
  <c r="F208" i="6"/>
  <c r="F204" i="6"/>
  <c r="F200" i="6"/>
  <c r="F196" i="6"/>
  <c r="F192" i="6"/>
  <c r="F350" i="6"/>
  <c r="F318" i="6"/>
  <c r="F286" i="6"/>
  <c r="F254" i="6"/>
  <c r="F239" i="6"/>
  <c r="F223" i="6"/>
  <c r="F207" i="6"/>
  <c r="F191" i="6"/>
  <c r="F189" i="6"/>
  <c r="F185" i="6"/>
  <c r="F181" i="6"/>
  <c r="F177" i="6"/>
  <c r="F173" i="6"/>
  <c r="F169" i="6"/>
  <c r="F165" i="6"/>
  <c r="F161" i="6"/>
  <c r="F157" i="6"/>
  <c r="F153" i="6"/>
  <c r="F149" i="6"/>
  <c r="F145" i="6"/>
  <c r="F141" i="6"/>
  <c r="F137" i="6"/>
  <c r="F133" i="6"/>
  <c r="F129" i="6"/>
  <c r="F125" i="6"/>
  <c r="F121" i="6"/>
  <c r="F117" i="6"/>
  <c r="F113" i="6"/>
  <c r="F109" i="6"/>
  <c r="F358" i="6"/>
  <c r="F326" i="6"/>
  <c r="F294" i="6"/>
  <c r="F262" i="6"/>
  <c r="F243" i="6"/>
  <c r="F227" i="6"/>
  <c r="F211" i="6"/>
  <c r="F194" i="6"/>
  <c r="F186" i="6"/>
  <c r="F182" i="6"/>
  <c r="F178" i="6"/>
  <c r="F174" i="6"/>
  <c r="F170" i="6"/>
  <c r="F166" i="6"/>
  <c r="F162" i="6"/>
  <c r="F158" i="6"/>
  <c r="F154" i="6"/>
  <c r="F150" i="6"/>
  <c r="F146" i="6"/>
  <c r="F142" i="6"/>
  <c r="F138" i="6"/>
  <c r="F134" i="6"/>
  <c r="F130" i="6"/>
  <c r="F126" i="6"/>
  <c r="F122" i="6"/>
  <c r="F118" i="6"/>
  <c r="F114" i="6"/>
  <c r="F110" i="6"/>
  <c r="F106" i="6"/>
  <c r="F102" i="6"/>
  <c r="F98" i="6"/>
  <c r="F342" i="6"/>
  <c r="F310" i="6"/>
  <c r="F278" i="6"/>
  <c r="F246" i="6"/>
  <c r="F235" i="6"/>
  <c r="F219" i="6"/>
  <c r="F203" i="6"/>
  <c r="F199" i="6"/>
  <c r="F195" i="6"/>
  <c r="F193" i="6"/>
  <c r="F188" i="6"/>
  <c r="F184" i="6"/>
  <c r="F180" i="6"/>
  <c r="F176" i="6"/>
  <c r="F172" i="6"/>
  <c r="F168" i="6"/>
  <c r="F164" i="6"/>
  <c r="F160" i="6"/>
  <c r="F156" i="6"/>
  <c r="F152" i="6"/>
  <c r="F148" i="6"/>
  <c r="F144" i="6"/>
  <c r="F140" i="6"/>
  <c r="F136" i="6"/>
  <c r="F132" i="6"/>
  <c r="F128" i="6"/>
  <c r="F124" i="6"/>
  <c r="F120" i="6"/>
  <c r="F116" i="6"/>
  <c r="F112" i="6"/>
  <c r="F108" i="6"/>
  <c r="F104" i="6"/>
  <c r="F100" i="6"/>
  <c r="F175" i="6"/>
  <c r="F159" i="6"/>
  <c r="F143" i="6"/>
  <c r="F127" i="6"/>
  <c r="F111" i="6"/>
  <c r="F107" i="6"/>
  <c r="F99" i="6"/>
  <c r="F94" i="6"/>
  <c r="F90" i="6"/>
  <c r="F86" i="6"/>
  <c r="F82" i="6"/>
  <c r="F78" i="6"/>
  <c r="F74" i="6"/>
  <c r="F70" i="6"/>
  <c r="F66" i="6"/>
  <c r="F62" i="6"/>
  <c r="F58" i="6"/>
  <c r="F54" i="6"/>
  <c r="F50" i="6"/>
  <c r="F46" i="6"/>
  <c r="F42" i="6"/>
  <c r="F38" i="6"/>
  <c r="F270" i="6"/>
  <c r="F215" i="6"/>
  <c r="F197" i="6"/>
  <c r="F190" i="6"/>
  <c r="F179" i="6"/>
  <c r="F163" i="6"/>
  <c r="F147" i="6"/>
  <c r="F131" i="6"/>
  <c r="F115" i="6"/>
  <c r="F101" i="6"/>
  <c r="F95" i="6"/>
  <c r="F91" i="6"/>
  <c r="F87" i="6"/>
  <c r="F83" i="6"/>
  <c r="F79" i="6"/>
  <c r="F75" i="6"/>
  <c r="F71" i="6"/>
  <c r="F67" i="6"/>
  <c r="F63" i="6"/>
  <c r="F59" i="6"/>
  <c r="F55" i="6"/>
  <c r="F51" i="6"/>
  <c r="F47" i="6"/>
  <c r="F43" i="6"/>
  <c r="F39" i="6"/>
  <c r="F35" i="6"/>
  <c r="F334" i="6"/>
  <c r="F187" i="6"/>
  <c r="F171" i="6"/>
  <c r="F155" i="6"/>
  <c r="F231" i="6"/>
  <c r="F183" i="6"/>
  <c r="F123" i="6"/>
  <c r="F105" i="6"/>
  <c r="F93" i="6"/>
  <c r="F85" i="6"/>
  <c r="F77" i="6"/>
  <c r="F69" i="6"/>
  <c r="F61" i="6"/>
  <c r="F53" i="6"/>
  <c r="F45" i="6"/>
  <c r="F37" i="6"/>
  <c r="F119" i="6"/>
  <c r="F103" i="6"/>
  <c r="F92" i="6"/>
  <c r="F84" i="6"/>
  <c r="F76" i="6"/>
  <c r="F68" i="6"/>
  <c r="F60" i="6"/>
  <c r="F52" i="6"/>
  <c r="F44" i="6"/>
  <c r="F36" i="6"/>
  <c r="F167" i="6"/>
  <c r="F135" i="6"/>
  <c r="F96" i="6"/>
  <c r="F88" i="6"/>
  <c r="F80" i="6"/>
  <c r="F72" i="6"/>
  <c r="F64" i="6"/>
  <c r="F56" i="6"/>
  <c r="F48" i="6"/>
  <c r="F40" i="6"/>
  <c r="F151" i="6"/>
  <c r="F81" i="6"/>
  <c r="F49" i="6"/>
  <c r="F302" i="6"/>
  <c r="F139" i="6"/>
  <c r="F89" i="6"/>
  <c r="F57" i="6"/>
  <c r="F73" i="6"/>
  <c r="F41" i="6"/>
  <c r="F97" i="6"/>
  <c r="F65" i="6"/>
  <c r="B46" i="19"/>
  <c r="B20" i="27" s="1"/>
  <c r="B45" i="19"/>
  <c r="B19" i="27" s="1"/>
  <c r="B44" i="19"/>
  <c r="B18" i="27" s="1"/>
  <c r="C46" i="19"/>
  <c r="C20" i="27" s="1"/>
  <c r="C45" i="19"/>
  <c r="C19" i="27" s="1"/>
  <c r="C44" i="19"/>
  <c r="C18" i="27" s="1"/>
  <c r="G45" i="19"/>
  <c r="G19" i="27" s="1"/>
  <c r="G44" i="19"/>
  <c r="G18" i="27" s="1"/>
  <c r="B27" i="19"/>
  <c r="B12" i="27" s="1"/>
  <c r="B28" i="19"/>
  <c r="B13" i="27" s="1"/>
  <c r="B38" i="27" s="1"/>
  <c r="B26" i="19"/>
  <c r="B11" i="27" s="1"/>
  <c r="B36" i="27" s="1"/>
  <c r="C10" i="19"/>
  <c r="D10" i="19" s="1"/>
  <c r="C11" i="19"/>
  <c r="D11" i="19" s="1"/>
  <c r="C9" i="19"/>
  <c r="B20" i="19"/>
  <c r="B55" i="16"/>
  <c r="B8" i="28" s="1"/>
  <c r="E25" i="16"/>
  <c r="E26" i="16"/>
  <c r="E24" i="16"/>
  <c r="C26" i="16"/>
  <c r="C24" i="16"/>
  <c r="B21" i="19"/>
  <c r="B46" i="16"/>
  <c r="B39" i="17" s="1"/>
  <c r="B10" i="6" l="1"/>
  <c r="B39" i="16" s="1"/>
  <c r="B12" i="6"/>
  <c r="B40" i="16" s="1"/>
  <c r="B46" i="27"/>
  <c r="B45" i="27"/>
  <c r="B44" i="27"/>
  <c r="B60" i="15"/>
  <c r="B38" i="15"/>
  <c r="B65" i="15"/>
  <c r="B66" i="3"/>
  <c r="B59" i="28"/>
  <c r="B43" i="27"/>
  <c r="B59" i="26"/>
  <c r="B19" i="15"/>
  <c r="B52" i="3"/>
  <c r="B40" i="3"/>
  <c r="M61" i="28"/>
  <c r="C29" i="28" s="1"/>
  <c r="C39" i="28" s="1"/>
  <c r="K18" i="3" s="1"/>
  <c r="M62" i="28"/>
  <c r="C30" i="28" s="1"/>
  <c r="C40" i="28" s="1"/>
  <c r="K19" i="3" s="1"/>
  <c r="B25" i="19"/>
  <c r="B49" i="28"/>
  <c r="B10" i="27"/>
  <c r="B21" i="26"/>
  <c r="B35" i="27"/>
  <c r="B51" i="26"/>
  <c r="H357" i="6"/>
  <c r="H353" i="6"/>
  <c r="H349" i="6"/>
  <c r="H345" i="6"/>
  <c r="H341" i="6"/>
  <c r="H337" i="6"/>
  <c r="H333" i="6"/>
  <c r="H329" i="6"/>
  <c r="H325" i="6"/>
  <c r="H321" i="6"/>
  <c r="H317" i="6"/>
  <c r="H313" i="6"/>
  <c r="H309" i="6"/>
  <c r="H305" i="6"/>
  <c r="H301" i="6"/>
  <c r="H297" i="6"/>
  <c r="H293" i="6"/>
  <c r="H289" i="6"/>
  <c r="H285" i="6"/>
  <c r="H281" i="6"/>
  <c r="H277" i="6"/>
  <c r="H273" i="6"/>
  <c r="H269" i="6"/>
  <c r="H265" i="6"/>
  <c r="H261" i="6"/>
  <c r="H257" i="6"/>
  <c r="H253" i="6"/>
  <c r="H249" i="6"/>
  <c r="H245" i="6"/>
  <c r="H358" i="6"/>
  <c r="H354" i="6"/>
  <c r="H350" i="6"/>
  <c r="H346" i="6"/>
  <c r="H342" i="6"/>
  <c r="H338" i="6"/>
  <c r="H334" i="6"/>
  <c r="H330" i="6"/>
  <c r="H326" i="6"/>
  <c r="H322" i="6"/>
  <c r="H318" i="6"/>
  <c r="H314" i="6"/>
  <c r="H310" i="6"/>
  <c r="H306" i="6"/>
  <c r="H302" i="6"/>
  <c r="H298" i="6"/>
  <c r="H294" i="6"/>
  <c r="H290" i="6"/>
  <c r="H286" i="6"/>
  <c r="H282" i="6"/>
  <c r="H278" i="6"/>
  <c r="H274" i="6"/>
  <c r="H270" i="6"/>
  <c r="H266" i="6"/>
  <c r="H262" i="6"/>
  <c r="H258" i="6"/>
  <c r="H254" i="6"/>
  <c r="H250" i="6"/>
  <c r="H246" i="6"/>
  <c r="H356" i="6"/>
  <c r="H348" i="6"/>
  <c r="H340" i="6"/>
  <c r="H332" i="6"/>
  <c r="H324" i="6"/>
  <c r="H316" i="6"/>
  <c r="H308" i="6"/>
  <c r="H300" i="6"/>
  <c r="H292" i="6"/>
  <c r="H284" i="6"/>
  <c r="H276" i="6"/>
  <c r="H268" i="6"/>
  <c r="H260" i="6"/>
  <c r="H252" i="6"/>
  <c r="H243" i="6"/>
  <c r="H239" i="6"/>
  <c r="H235" i="6"/>
  <c r="H231" i="6"/>
  <c r="H227" i="6"/>
  <c r="H223" i="6"/>
  <c r="H219" i="6"/>
  <c r="H215" i="6"/>
  <c r="H211" i="6"/>
  <c r="H207" i="6"/>
  <c r="H203" i="6"/>
  <c r="H355" i="6"/>
  <c r="H347" i="6"/>
  <c r="H339" i="6"/>
  <c r="H331" i="6"/>
  <c r="H323" i="6"/>
  <c r="H315" i="6"/>
  <c r="H307" i="6"/>
  <c r="H299" i="6"/>
  <c r="H291" i="6"/>
  <c r="H283" i="6"/>
  <c r="H275" i="6"/>
  <c r="H267" i="6"/>
  <c r="H259" i="6"/>
  <c r="H251" i="6"/>
  <c r="H244" i="6"/>
  <c r="H240" i="6"/>
  <c r="H236" i="6"/>
  <c r="H232" i="6"/>
  <c r="H228" i="6"/>
  <c r="H224" i="6"/>
  <c r="H220" i="6"/>
  <c r="H216" i="6"/>
  <c r="H212" i="6"/>
  <c r="H208" i="6"/>
  <c r="H204" i="6"/>
  <c r="H200" i="6"/>
  <c r="H351" i="6"/>
  <c r="H343" i="6"/>
  <c r="H335" i="6"/>
  <c r="H327" i="6"/>
  <c r="H319" i="6"/>
  <c r="H311" i="6"/>
  <c r="H303" i="6"/>
  <c r="H295" i="6"/>
  <c r="H287" i="6"/>
  <c r="H279" i="6"/>
  <c r="H271" i="6"/>
  <c r="H263" i="6"/>
  <c r="H255" i="6"/>
  <c r="H247" i="6"/>
  <c r="H242" i="6"/>
  <c r="H238" i="6"/>
  <c r="H234" i="6"/>
  <c r="H230" i="6"/>
  <c r="H226" i="6"/>
  <c r="H222" i="6"/>
  <c r="H218" i="6"/>
  <c r="H214" i="6"/>
  <c r="H210" i="6"/>
  <c r="H206" i="6"/>
  <c r="H202" i="6"/>
  <c r="H198" i="6"/>
  <c r="H194" i="6"/>
  <c r="H190" i="6"/>
  <c r="H328" i="6"/>
  <c r="H296" i="6"/>
  <c r="H264" i="6"/>
  <c r="H233" i="6"/>
  <c r="H217" i="6"/>
  <c r="H201" i="6"/>
  <c r="H192" i="6"/>
  <c r="H187" i="6"/>
  <c r="H183" i="6"/>
  <c r="H179" i="6"/>
  <c r="H175" i="6"/>
  <c r="H171" i="6"/>
  <c r="H167" i="6"/>
  <c r="H163" i="6"/>
  <c r="H159" i="6"/>
  <c r="H155" i="6"/>
  <c r="H151" i="6"/>
  <c r="H147" i="6"/>
  <c r="H143" i="6"/>
  <c r="H139" i="6"/>
  <c r="H135" i="6"/>
  <c r="H131" i="6"/>
  <c r="H127" i="6"/>
  <c r="H123" i="6"/>
  <c r="H119" i="6"/>
  <c r="H115" i="6"/>
  <c r="H111" i="6"/>
  <c r="H336" i="6"/>
  <c r="H304" i="6"/>
  <c r="H272" i="6"/>
  <c r="H237" i="6"/>
  <c r="H221" i="6"/>
  <c r="H205" i="6"/>
  <c r="H197" i="6"/>
  <c r="H195" i="6"/>
  <c r="H188" i="6"/>
  <c r="H184" i="6"/>
  <c r="H180" i="6"/>
  <c r="H176" i="6"/>
  <c r="H172" i="6"/>
  <c r="H168" i="6"/>
  <c r="H164" i="6"/>
  <c r="H160" i="6"/>
  <c r="H156" i="6"/>
  <c r="H152" i="6"/>
  <c r="H148" i="6"/>
  <c r="H144" i="6"/>
  <c r="H140" i="6"/>
  <c r="H136" i="6"/>
  <c r="H132" i="6"/>
  <c r="H128" i="6"/>
  <c r="H124" i="6"/>
  <c r="H120" i="6"/>
  <c r="H116" i="6"/>
  <c r="H112" i="6"/>
  <c r="H108" i="6"/>
  <c r="H104" i="6"/>
  <c r="H100" i="6"/>
  <c r="H352" i="6"/>
  <c r="H320" i="6"/>
  <c r="H288" i="6"/>
  <c r="H256" i="6"/>
  <c r="H229" i="6"/>
  <c r="H213" i="6"/>
  <c r="H196" i="6"/>
  <c r="H189" i="6"/>
  <c r="H186" i="6"/>
  <c r="H182" i="6"/>
  <c r="H178" i="6"/>
  <c r="H174" i="6"/>
  <c r="H170" i="6"/>
  <c r="H166" i="6"/>
  <c r="H162" i="6"/>
  <c r="H158" i="6"/>
  <c r="H154" i="6"/>
  <c r="H150" i="6"/>
  <c r="H146" i="6"/>
  <c r="H142" i="6"/>
  <c r="H138" i="6"/>
  <c r="H134" i="6"/>
  <c r="H130" i="6"/>
  <c r="H126" i="6"/>
  <c r="H122" i="6"/>
  <c r="H118" i="6"/>
  <c r="H114" i="6"/>
  <c r="H110" i="6"/>
  <c r="H106" i="6"/>
  <c r="H102" i="6"/>
  <c r="H98" i="6"/>
  <c r="H280" i="6"/>
  <c r="H241" i="6"/>
  <c r="H199" i="6"/>
  <c r="H191" i="6"/>
  <c r="H185" i="6"/>
  <c r="H169" i="6"/>
  <c r="H153" i="6"/>
  <c r="H137" i="6"/>
  <c r="H121" i="6"/>
  <c r="H101" i="6"/>
  <c r="H96" i="6"/>
  <c r="H92" i="6"/>
  <c r="H88" i="6"/>
  <c r="H84" i="6"/>
  <c r="H80" i="6"/>
  <c r="H76" i="6"/>
  <c r="H72" i="6"/>
  <c r="H68" i="6"/>
  <c r="H64" i="6"/>
  <c r="H60" i="6"/>
  <c r="H56" i="6"/>
  <c r="H52" i="6"/>
  <c r="H48" i="6"/>
  <c r="H44" i="6"/>
  <c r="H40" i="6"/>
  <c r="H36" i="6"/>
  <c r="H312" i="6"/>
  <c r="H173" i="6"/>
  <c r="H157" i="6"/>
  <c r="H141" i="6"/>
  <c r="H125" i="6"/>
  <c r="H109" i="6"/>
  <c r="H103" i="6"/>
  <c r="H93" i="6"/>
  <c r="H89" i="6"/>
  <c r="H85" i="6"/>
  <c r="H81" i="6"/>
  <c r="H77" i="6"/>
  <c r="H73" i="6"/>
  <c r="H69" i="6"/>
  <c r="H65" i="6"/>
  <c r="H61" i="6"/>
  <c r="H57" i="6"/>
  <c r="H53" i="6"/>
  <c r="H49" i="6"/>
  <c r="H45" i="6"/>
  <c r="H41" i="6"/>
  <c r="H37" i="6"/>
  <c r="H248" i="6"/>
  <c r="H225" i="6"/>
  <c r="H193" i="6"/>
  <c r="H181" i="6"/>
  <c r="H165" i="6"/>
  <c r="H149" i="6"/>
  <c r="H161" i="6"/>
  <c r="H133" i="6"/>
  <c r="H99" i="6"/>
  <c r="H95" i="6"/>
  <c r="H87" i="6"/>
  <c r="H79" i="6"/>
  <c r="H71" i="6"/>
  <c r="H63" i="6"/>
  <c r="H55" i="6"/>
  <c r="H47" i="6"/>
  <c r="H39" i="6"/>
  <c r="H344" i="6"/>
  <c r="H209" i="6"/>
  <c r="H177" i="6"/>
  <c r="H129" i="6"/>
  <c r="H97" i="6"/>
  <c r="H94" i="6"/>
  <c r="H86" i="6"/>
  <c r="H78" i="6"/>
  <c r="H70" i="6"/>
  <c r="H62" i="6"/>
  <c r="H54" i="6"/>
  <c r="H46" i="6"/>
  <c r="H38" i="6"/>
  <c r="H145" i="6"/>
  <c r="H113" i="6"/>
  <c r="H105" i="6"/>
  <c r="H90" i="6"/>
  <c r="H82" i="6"/>
  <c r="H74" i="6"/>
  <c r="H66" i="6"/>
  <c r="H58" i="6"/>
  <c r="H50" i="6"/>
  <c r="H42" i="6"/>
  <c r="H107" i="6"/>
  <c r="H91" i="6"/>
  <c r="H59" i="6"/>
  <c r="H67" i="6"/>
  <c r="H35" i="6"/>
  <c r="H117" i="6"/>
  <c r="H83" i="6"/>
  <c r="H51" i="6"/>
  <c r="H43" i="6"/>
  <c r="H75" i="6"/>
  <c r="C20" i="19"/>
  <c r="D11" i="24"/>
  <c r="B20" i="24" s="1"/>
  <c r="D11" i="17"/>
  <c r="C11" i="24"/>
  <c r="C11" i="17"/>
  <c r="C9" i="17"/>
  <c r="C9" i="24"/>
  <c r="C21" i="19"/>
  <c r="D9" i="17"/>
  <c r="D9" i="24"/>
  <c r="C10" i="24"/>
  <c r="C10" i="17"/>
  <c r="C46" i="16"/>
  <c r="C39" i="17" s="1"/>
  <c r="A19" i="6"/>
  <c r="B31" i="17"/>
  <c r="B17" i="24"/>
  <c r="B18" i="19"/>
  <c r="B7" i="5"/>
  <c r="C25" i="16" s="1"/>
  <c r="J19" i="6" l="1"/>
  <c r="J34" i="26" s="1"/>
  <c r="F19" i="6"/>
  <c r="F34" i="26" s="1"/>
  <c r="D19" i="6"/>
  <c r="D34" i="26" s="1"/>
  <c r="H19" i="6"/>
  <c r="H34" i="26" s="1"/>
  <c r="C38" i="15"/>
  <c r="C65" i="15"/>
  <c r="C66" i="3"/>
  <c r="C19" i="15"/>
  <c r="C59" i="28"/>
  <c r="C43" i="27"/>
  <c r="C59" i="26"/>
  <c r="C60" i="15"/>
  <c r="B47" i="27"/>
  <c r="B60" i="28" s="1"/>
  <c r="B47" i="15"/>
  <c r="B52" i="15"/>
  <c r="B42" i="15"/>
  <c r="B23" i="15"/>
  <c r="B33" i="15"/>
  <c r="B28" i="15"/>
  <c r="B39" i="27"/>
  <c r="B50" i="28" s="1"/>
  <c r="C52" i="3"/>
  <c r="C40" i="3"/>
  <c r="C49" i="28"/>
  <c r="C35" i="27"/>
  <c r="C10" i="27"/>
  <c r="C21" i="26"/>
  <c r="C51" i="26"/>
  <c r="A34" i="26"/>
  <c r="C25" i="17"/>
  <c r="D10" i="24"/>
  <c r="C19" i="24" s="1"/>
  <c r="D10" i="17"/>
  <c r="C26" i="17" s="1"/>
  <c r="C27" i="17"/>
  <c r="D21" i="19"/>
  <c r="C20" i="24"/>
  <c r="D20" i="19"/>
  <c r="D46" i="16"/>
  <c r="D39" i="17" s="1"/>
  <c r="C31" i="17"/>
  <c r="A20" i="6"/>
  <c r="C17" i="24"/>
  <c r="C25" i="19"/>
  <c r="C18" i="19"/>
  <c r="B19" i="19"/>
  <c r="B19" i="6" l="1"/>
  <c r="B34" i="26" s="1"/>
  <c r="B18" i="24"/>
  <c r="B26" i="15" s="1"/>
  <c r="B40" i="17"/>
  <c r="J20" i="6"/>
  <c r="J35" i="26" s="1"/>
  <c r="F20" i="6"/>
  <c r="F35" i="26" s="1"/>
  <c r="D26" i="17"/>
  <c r="D33" i="17" s="1"/>
  <c r="D24" i="26" s="1"/>
  <c r="B26" i="17"/>
  <c r="D41" i="17" s="1"/>
  <c r="D25" i="17"/>
  <c r="B32" i="17" s="1"/>
  <c r="B25" i="17"/>
  <c r="D27" i="17"/>
  <c r="D34" i="17" s="1"/>
  <c r="D25" i="26" s="1"/>
  <c r="B27" i="17"/>
  <c r="H20" i="6"/>
  <c r="H35" i="26" s="1"/>
  <c r="D20" i="6"/>
  <c r="D35" i="26" s="1"/>
  <c r="D65" i="15"/>
  <c r="D66" i="3"/>
  <c r="D19" i="15"/>
  <c r="D59" i="28"/>
  <c r="D43" i="27"/>
  <c r="D59" i="26"/>
  <c r="D60" i="15"/>
  <c r="D38" i="15"/>
  <c r="B50" i="15"/>
  <c r="C52" i="15"/>
  <c r="C42" i="15"/>
  <c r="C47" i="15"/>
  <c r="C33" i="15"/>
  <c r="C23" i="15"/>
  <c r="C28" i="15"/>
  <c r="C51" i="15"/>
  <c r="C46" i="15"/>
  <c r="C41" i="15"/>
  <c r="C32" i="15"/>
  <c r="C27" i="15"/>
  <c r="C22" i="15"/>
  <c r="D52" i="3"/>
  <c r="D40" i="3"/>
  <c r="B42" i="3"/>
  <c r="B46" i="3"/>
  <c r="B48" i="3" s="1"/>
  <c r="D49" i="28"/>
  <c r="D10" i="27"/>
  <c r="D21" i="26"/>
  <c r="D35" i="27"/>
  <c r="D51" i="26"/>
  <c r="A35" i="26"/>
  <c r="E21" i="19"/>
  <c r="D20" i="24"/>
  <c r="C19" i="19"/>
  <c r="C40" i="17" s="1"/>
  <c r="E20" i="19"/>
  <c r="D19" i="24"/>
  <c r="B19" i="24"/>
  <c r="C35" i="19"/>
  <c r="C27" i="19" s="1"/>
  <c r="C12" i="27" s="1"/>
  <c r="C37" i="27" s="1"/>
  <c r="C36" i="19"/>
  <c r="C28" i="19" s="1"/>
  <c r="C13" i="27" s="1"/>
  <c r="C38" i="27" s="1"/>
  <c r="E46" i="16"/>
  <c r="E39" i="17" s="1"/>
  <c r="D17" i="24"/>
  <c r="D31" i="17"/>
  <c r="A21" i="6"/>
  <c r="D25" i="19"/>
  <c r="D18" i="19"/>
  <c r="B63" i="28" l="1"/>
  <c r="B21" i="15"/>
  <c r="B45" i="15"/>
  <c r="B20" i="6"/>
  <c r="B35" i="26" s="1"/>
  <c r="E42" i="17"/>
  <c r="B31" i="15"/>
  <c r="B42" i="17"/>
  <c r="B29" i="26" s="1"/>
  <c r="B62" i="26" s="1"/>
  <c r="C42" i="17"/>
  <c r="C29" i="26" s="1"/>
  <c r="C62" i="26" s="1"/>
  <c r="B41" i="17"/>
  <c r="B28" i="26" s="1"/>
  <c r="B61" i="26" s="1"/>
  <c r="C41" i="17"/>
  <c r="C28" i="26" s="1"/>
  <c r="C61" i="26" s="1"/>
  <c r="B40" i="15"/>
  <c r="D42" i="17"/>
  <c r="D29" i="26" s="1"/>
  <c r="E19" i="24"/>
  <c r="E41" i="15" s="1"/>
  <c r="E41" i="17"/>
  <c r="E28" i="26" s="1"/>
  <c r="C45" i="27"/>
  <c r="C46" i="27"/>
  <c r="F21" i="6"/>
  <c r="F36" i="26" s="1"/>
  <c r="J21" i="6"/>
  <c r="J36" i="26" s="1"/>
  <c r="B27" i="26"/>
  <c r="B60" i="26" s="1"/>
  <c r="C27" i="26"/>
  <c r="C60" i="26" s="1"/>
  <c r="E29" i="26"/>
  <c r="D28" i="26"/>
  <c r="H21" i="6"/>
  <c r="H36" i="26" s="1"/>
  <c r="D21" i="6"/>
  <c r="D36" i="26" s="1"/>
  <c r="E19" i="15"/>
  <c r="E59" i="28"/>
  <c r="E43" i="27"/>
  <c r="E59" i="26"/>
  <c r="E60" i="15"/>
  <c r="E38" i="15"/>
  <c r="E65" i="15"/>
  <c r="E66" i="3"/>
  <c r="D51" i="15"/>
  <c r="D46" i="15"/>
  <c r="D41" i="15"/>
  <c r="D22" i="15"/>
  <c r="D32" i="15"/>
  <c r="D27" i="15"/>
  <c r="B51" i="15"/>
  <c r="B53" i="15" s="1"/>
  <c r="B70" i="3" s="1"/>
  <c r="B46" i="15"/>
  <c r="B41" i="15"/>
  <c r="B32" i="15"/>
  <c r="B27" i="15"/>
  <c r="B29" i="15" s="1"/>
  <c r="B74" i="3" s="1"/>
  <c r="B22" i="15"/>
  <c r="D47" i="15"/>
  <c r="D52" i="15"/>
  <c r="D42" i="15"/>
  <c r="D28" i="15"/>
  <c r="D33" i="15"/>
  <c r="D23" i="15"/>
  <c r="B53" i="28"/>
  <c r="E52" i="3"/>
  <c r="E40" i="3"/>
  <c r="B23" i="26"/>
  <c r="B52" i="26" s="1"/>
  <c r="E49" i="28"/>
  <c r="E10" i="27"/>
  <c r="E21" i="26"/>
  <c r="E35" i="27"/>
  <c r="E51" i="26"/>
  <c r="A36" i="26"/>
  <c r="F20" i="19"/>
  <c r="E33" i="17"/>
  <c r="E24" i="26" s="1"/>
  <c r="D19" i="19"/>
  <c r="D40" i="17" s="1"/>
  <c r="C32" i="17"/>
  <c r="C18" i="24"/>
  <c r="C63" i="28" s="1"/>
  <c r="F21" i="19"/>
  <c r="E20" i="24"/>
  <c r="E34" i="17"/>
  <c r="E25" i="26" s="1"/>
  <c r="B34" i="17"/>
  <c r="B25" i="26" s="1"/>
  <c r="B54" i="26" s="1"/>
  <c r="C34" i="17"/>
  <c r="C25" i="26" s="1"/>
  <c r="B33" i="17"/>
  <c r="B24" i="26" s="1"/>
  <c r="B53" i="26" s="1"/>
  <c r="C33" i="17"/>
  <c r="C24" i="26" s="1"/>
  <c r="D35" i="19"/>
  <c r="D27" i="19" s="1"/>
  <c r="D12" i="27" s="1"/>
  <c r="D37" i="27" s="1"/>
  <c r="D36" i="19"/>
  <c r="D28" i="19" s="1"/>
  <c r="D13" i="27" s="1"/>
  <c r="D38" i="27" s="1"/>
  <c r="F46" i="16"/>
  <c r="F39" i="17" s="1"/>
  <c r="E17" i="24"/>
  <c r="A22" i="6"/>
  <c r="E31" i="17"/>
  <c r="E25" i="19"/>
  <c r="E18" i="19"/>
  <c r="E27" i="15" l="1"/>
  <c r="B24" i="15"/>
  <c r="B73" i="3" s="1"/>
  <c r="B48" i="15"/>
  <c r="B69" i="3" s="1"/>
  <c r="B79" i="3" s="1"/>
  <c r="E46" i="15"/>
  <c r="E32" i="15"/>
  <c r="E22" i="15"/>
  <c r="E51" i="15"/>
  <c r="B34" i="15"/>
  <c r="B75" i="3" s="1"/>
  <c r="C54" i="26"/>
  <c r="H22" i="6"/>
  <c r="B22" i="6" s="1"/>
  <c r="B37" i="26" s="1"/>
  <c r="E54" i="26" s="1"/>
  <c r="C53" i="26"/>
  <c r="B21" i="6"/>
  <c r="B36" i="26" s="1"/>
  <c r="D53" i="26" s="1"/>
  <c r="F42" i="17"/>
  <c r="F29" i="26" s="1"/>
  <c r="B43" i="15"/>
  <c r="B68" i="3" s="1"/>
  <c r="B78" i="3" s="1"/>
  <c r="F41" i="17"/>
  <c r="F28" i="26" s="1"/>
  <c r="D46" i="27"/>
  <c r="D45" i="27"/>
  <c r="D61" i="26"/>
  <c r="D62" i="26"/>
  <c r="D43" i="17"/>
  <c r="D66" i="15" s="1"/>
  <c r="D27" i="26"/>
  <c r="D60" i="26" s="1"/>
  <c r="J22" i="6"/>
  <c r="J37" i="26" s="1"/>
  <c r="F22" i="6"/>
  <c r="F37" i="26" s="1"/>
  <c r="B43" i="17"/>
  <c r="C43" i="17"/>
  <c r="C66" i="15" s="1"/>
  <c r="C71" i="3" s="1"/>
  <c r="B63" i="26"/>
  <c r="B64" i="28" s="1"/>
  <c r="D22" i="6"/>
  <c r="D37" i="26" s="1"/>
  <c r="F60" i="15"/>
  <c r="F38" i="15"/>
  <c r="F65" i="15"/>
  <c r="F66" i="3"/>
  <c r="F43" i="27"/>
  <c r="F59" i="26"/>
  <c r="F19" i="15"/>
  <c r="F59" i="28"/>
  <c r="B80" i="3"/>
  <c r="C50" i="15"/>
  <c r="C53" i="15" s="1"/>
  <c r="C70" i="3" s="1"/>
  <c r="C45" i="15"/>
  <c r="C48" i="15" s="1"/>
  <c r="C69" i="3" s="1"/>
  <c r="C40" i="15"/>
  <c r="C43" i="15" s="1"/>
  <c r="C68" i="3" s="1"/>
  <c r="C21" i="15"/>
  <c r="C24" i="15" s="1"/>
  <c r="C73" i="3" s="1"/>
  <c r="C26" i="15"/>
  <c r="C29" i="15" s="1"/>
  <c r="C74" i="3" s="1"/>
  <c r="C31" i="15"/>
  <c r="C34" i="15" s="1"/>
  <c r="C75" i="3" s="1"/>
  <c r="C53" i="28"/>
  <c r="C55" i="3" s="1"/>
  <c r="C60" i="3"/>
  <c r="E52" i="15"/>
  <c r="E47" i="15"/>
  <c r="E42" i="15"/>
  <c r="E28" i="15"/>
  <c r="E33" i="15"/>
  <c r="E23" i="15"/>
  <c r="B55" i="26"/>
  <c r="B54" i="28" s="1"/>
  <c r="F52" i="3"/>
  <c r="F40" i="3"/>
  <c r="B35" i="17"/>
  <c r="C23" i="26"/>
  <c r="C52" i="26" s="1"/>
  <c r="C35" i="17"/>
  <c r="B60" i="3"/>
  <c r="B55" i="3"/>
  <c r="F49" i="28"/>
  <c r="F10" i="27"/>
  <c r="F21" i="26"/>
  <c r="F35" i="27"/>
  <c r="F51" i="26"/>
  <c r="A37" i="26"/>
  <c r="G21" i="19"/>
  <c r="F20" i="24"/>
  <c r="F34" i="17"/>
  <c r="F25" i="26" s="1"/>
  <c r="E19" i="19"/>
  <c r="D18" i="24"/>
  <c r="D63" i="28" s="1"/>
  <c r="D32" i="17"/>
  <c r="G20" i="19"/>
  <c r="F19" i="24"/>
  <c r="F33" i="17"/>
  <c r="F24" i="26" s="1"/>
  <c r="E35" i="19"/>
  <c r="E27" i="19" s="1"/>
  <c r="E12" i="27" s="1"/>
  <c r="E37" i="27" s="1"/>
  <c r="E36" i="19"/>
  <c r="E28" i="19" s="1"/>
  <c r="E13" i="27" s="1"/>
  <c r="E38" i="27" s="1"/>
  <c r="G46" i="16"/>
  <c r="G39" i="17" s="1"/>
  <c r="A23" i="6"/>
  <c r="F17" i="24"/>
  <c r="F31" i="17"/>
  <c r="F25" i="19"/>
  <c r="F18" i="19"/>
  <c r="D54" i="26" l="1"/>
  <c r="H37" i="26"/>
  <c r="G42" i="17"/>
  <c r="G29" i="26" s="1"/>
  <c r="G41" i="17"/>
  <c r="G28" i="26" s="1"/>
  <c r="E40" i="17"/>
  <c r="E27" i="26" s="1"/>
  <c r="E60" i="26" s="1"/>
  <c r="E46" i="27"/>
  <c r="E45" i="27"/>
  <c r="E62" i="26"/>
  <c r="E61" i="26"/>
  <c r="B66" i="15"/>
  <c r="B71" i="3" s="1"/>
  <c r="F23" i="6"/>
  <c r="F38" i="26" s="1"/>
  <c r="J23" i="6"/>
  <c r="J38" i="26" s="1"/>
  <c r="C78" i="3"/>
  <c r="D23" i="6"/>
  <c r="D38" i="26" s="1"/>
  <c r="H23" i="6"/>
  <c r="H38" i="26" s="1"/>
  <c r="G38" i="15"/>
  <c r="G65" i="15"/>
  <c r="G66" i="3"/>
  <c r="G19" i="15"/>
  <c r="G59" i="28"/>
  <c r="G43" i="27"/>
  <c r="G59" i="26"/>
  <c r="G60" i="15"/>
  <c r="C80" i="3"/>
  <c r="C61" i="15"/>
  <c r="C76" i="3" s="1"/>
  <c r="C81" i="3" s="1"/>
  <c r="B61" i="15"/>
  <c r="B76" i="3" s="1"/>
  <c r="F51" i="15"/>
  <c r="F46" i="15"/>
  <c r="F41" i="15"/>
  <c r="F22" i="15"/>
  <c r="F32" i="15"/>
  <c r="F27" i="15"/>
  <c r="D50" i="15"/>
  <c r="D53" i="15" s="1"/>
  <c r="D70" i="3" s="1"/>
  <c r="D45" i="15"/>
  <c r="D48" i="15" s="1"/>
  <c r="D69" i="3" s="1"/>
  <c r="D40" i="15"/>
  <c r="D43" i="15" s="1"/>
  <c r="D68" i="3" s="1"/>
  <c r="D21" i="15"/>
  <c r="D24" i="15" s="1"/>
  <c r="D73" i="3" s="1"/>
  <c r="D26" i="15"/>
  <c r="D29" i="15" s="1"/>
  <c r="D74" i="3" s="1"/>
  <c r="D31" i="15"/>
  <c r="D34" i="15" s="1"/>
  <c r="D75" i="3" s="1"/>
  <c r="D53" i="28"/>
  <c r="F52" i="15"/>
  <c r="F47" i="15"/>
  <c r="F42" i="15"/>
  <c r="F33" i="15"/>
  <c r="F23" i="15"/>
  <c r="F28" i="15"/>
  <c r="C79" i="3"/>
  <c r="C55" i="26"/>
  <c r="C54" i="28" s="1"/>
  <c r="C56" i="3" s="1"/>
  <c r="G52" i="3"/>
  <c r="G40" i="3"/>
  <c r="C63" i="26"/>
  <c r="C64" i="28" s="1"/>
  <c r="D71" i="3"/>
  <c r="D23" i="26"/>
  <c r="D52" i="26" s="1"/>
  <c r="D35" i="17"/>
  <c r="B61" i="3"/>
  <c r="B62" i="3" s="1"/>
  <c r="B56" i="3"/>
  <c r="B57" i="3" s="1"/>
  <c r="B65" i="28"/>
  <c r="G49" i="28"/>
  <c r="G35" i="27"/>
  <c r="G10" i="27"/>
  <c r="G21" i="26"/>
  <c r="G51" i="26"/>
  <c r="E53" i="26"/>
  <c r="A38" i="26"/>
  <c r="H20" i="19"/>
  <c r="G19" i="24"/>
  <c r="G33" i="17"/>
  <c r="G24" i="26" s="1"/>
  <c r="F19" i="19"/>
  <c r="F40" i="17" s="1"/>
  <c r="E18" i="24"/>
  <c r="E63" i="28" s="1"/>
  <c r="E32" i="17"/>
  <c r="H21" i="19"/>
  <c r="G20" i="24"/>
  <c r="G34" i="17"/>
  <c r="G25" i="26" s="1"/>
  <c r="F36" i="19"/>
  <c r="F28" i="19" s="1"/>
  <c r="F13" i="27" s="1"/>
  <c r="F38" i="27" s="1"/>
  <c r="F35" i="19"/>
  <c r="F27" i="19" s="1"/>
  <c r="F12" i="27" s="1"/>
  <c r="F37" i="27" s="1"/>
  <c r="H46" i="16"/>
  <c r="H39" i="17" s="1"/>
  <c r="A24" i="6"/>
  <c r="G31" i="17"/>
  <c r="G17" i="24"/>
  <c r="G18" i="19"/>
  <c r="G25" i="19"/>
  <c r="B23" i="6" l="1"/>
  <c r="B38" i="26" s="1"/>
  <c r="F54" i="26" s="1"/>
  <c r="E43" i="17"/>
  <c r="E66" i="15" s="1"/>
  <c r="E71" i="3" s="1"/>
  <c r="H42" i="17"/>
  <c r="H29" i="26" s="1"/>
  <c r="H41" i="17"/>
  <c r="H28" i="26" s="1"/>
  <c r="F46" i="27"/>
  <c r="F45" i="27"/>
  <c r="F62" i="26"/>
  <c r="F61" i="26"/>
  <c r="B81" i="3"/>
  <c r="C61" i="3"/>
  <c r="C62" i="3" s="1"/>
  <c r="J24" i="6"/>
  <c r="J39" i="26" s="1"/>
  <c r="F24" i="6"/>
  <c r="F39" i="26" s="1"/>
  <c r="F27" i="26"/>
  <c r="F60" i="26" s="1"/>
  <c r="F43" i="17"/>
  <c r="F66" i="15" s="1"/>
  <c r="D63" i="26"/>
  <c r="D64" i="28" s="1"/>
  <c r="D24" i="6"/>
  <c r="D39" i="26" s="1"/>
  <c r="H24" i="6"/>
  <c r="H39" i="26" s="1"/>
  <c r="H65" i="15"/>
  <c r="H66" i="3"/>
  <c r="H19" i="15"/>
  <c r="H59" i="28"/>
  <c r="H43" i="27"/>
  <c r="H59" i="26"/>
  <c r="H60" i="15"/>
  <c r="H38" i="15"/>
  <c r="D78" i="3"/>
  <c r="D79" i="3"/>
  <c r="D61" i="15"/>
  <c r="D76" i="3" s="1"/>
  <c r="D81" i="3" s="1"/>
  <c r="G52" i="15"/>
  <c r="G47" i="15"/>
  <c r="G42" i="15"/>
  <c r="G23" i="15"/>
  <c r="G28" i="15"/>
  <c r="G33" i="15"/>
  <c r="E50" i="15"/>
  <c r="E53" i="15" s="1"/>
  <c r="E70" i="3" s="1"/>
  <c r="E45" i="15"/>
  <c r="E48" i="15" s="1"/>
  <c r="E69" i="3" s="1"/>
  <c r="E40" i="15"/>
  <c r="E43" i="15" s="1"/>
  <c r="E68" i="3" s="1"/>
  <c r="E31" i="15"/>
  <c r="E34" i="15" s="1"/>
  <c r="E75" i="3" s="1"/>
  <c r="E26" i="15"/>
  <c r="E29" i="15" s="1"/>
  <c r="E74" i="3" s="1"/>
  <c r="E21" i="15"/>
  <c r="E24" i="15" s="1"/>
  <c r="E73" i="3" s="1"/>
  <c r="E53" i="28"/>
  <c r="E55" i="3" s="1"/>
  <c r="E60" i="3"/>
  <c r="G51" i="15"/>
  <c r="G46" i="15"/>
  <c r="G41" i="15"/>
  <c r="G32" i="15"/>
  <c r="G27" i="15"/>
  <c r="G22" i="15"/>
  <c r="D80" i="3"/>
  <c r="D55" i="26"/>
  <c r="D54" i="28" s="1"/>
  <c r="D56" i="3" s="1"/>
  <c r="H52" i="3"/>
  <c r="H40" i="3"/>
  <c r="E23" i="26"/>
  <c r="E52" i="26" s="1"/>
  <c r="E35" i="17"/>
  <c r="D55" i="3"/>
  <c r="D60" i="3"/>
  <c r="H49" i="28"/>
  <c r="H10" i="27"/>
  <c r="H21" i="26"/>
  <c r="H35" i="27"/>
  <c r="H51" i="26"/>
  <c r="A39" i="26"/>
  <c r="I21" i="19"/>
  <c r="H20" i="24"/>
  <c r="H34" i="17"/>
  <c r="H25" i="26" s="1"/>
  <c r="G19" i="19"/>
  <c r="G40" i="17" s="1"/>
  <c r="F18" i="24"/>
  <c r="F63" i="28" s="1"/>
  <c r="F32" i="17"/>
  <c r="I20" i="19"/>
  <c r="H19" i="24"/>
  <c r="H33" i="17"/>
  <c r="H24" i="26" s="1"/>
  <c r="I46" i="16"/>
  <c r="I39" i="17" s="1"/>
  <c r="H17" i="24"/>
  <c r="H31" i="17"/>
  <c r="A25" i="6"/>
  <c r="H25" i="19"/>
  <c r="H18" i="19"/>
  <c r="G35" i="19"/>
  <c r="G36" i="19"/>
  <c r="G28" i="19" s="1"/>
  <c r="G13" i="27" s="1"/>
  <c r="G38" i="27" s="1"/>
  <c r="F53" i="26" l="1"/>
  <c r="B24" i="6"/>
  <c r="B39" i="26" s="1"/>
  <c r="G53" i="26" s="1"/>
  <c r="I42" i="17"/>
  <c r="I29" i="26" s="1"/>
  <c r="I41" i="17"/>
  <c r="I28" i="26" s="1"/>
  <c r="G46" i="27"/>
  <c r="G62" i="26"/>
  <c r="G61" i="26"/>
  <c r="J25" i="6"/>
  <c r="J40" i="26" s="1"/>
  <c r="F25" i="6"/>
  <c r="F40" i="26" s="1"/>
  <c r="G27" i="26"/>
  <c r="G60" i="26" s="1"/>
  <c r="G43" i="17"/>
  <c r="G66" i="15" s="1"/>
  <c r="E63" i="26"/>
  <c r="E64" i="28" s="1"/>
  <c r="D25" i="6"/>
  <c r="D40" i="26" s="1"/>
  <c r="H25" i="6"/>
  <c r="H40" i="26" s="1"/>
  <c r="I19" i="15"/>
  <c r="I59" i="28"/>
  <c r="I43" i="27"/>
  <c r="I59" i="26"/>
  <c r="I60" i="15"/>
  <c r="I38" i="15"/>
  <c r="I65" i="15"/>
  <c r="I66" i="3"/>
  <c r="E78" i="3"/>
  <c r="E79" i="3"/>
  <c r="E61" i="15"/>
  <c r="E76" i="3" s="1"/>
  <c r="E81" i="3" s="1"/>
  <c r="E80" i="3"/>
  <c r="H51" i="15"/>
  <c r="H46" i="15"/>
  <c r="H41" i="15"/>
  <c r="H32" i="15"/>
  <c r="H27" i="15"/>
  <c r="H22" i="15"/>
  <c r="H52" i="15"/>
  <c r="H47" i="15"/>
  <c r="H42" i="15"/>
  <c r="H28" i="15"/>
  <c r="H23" i="15"/>
  <c r="H33" i="15"/>
  <c r="F50" i="15"/>
  <c r="F53" i="15" s="1"/>
  <c r="F70" i="3" s="1"/>
  <c r="F45" i="15"/>
  <c r="F48" i="15" s="1"/>
  <c r="F69" i="3" s="1"/>
  <c r="F40" i="15"/>
  <c r="F43" i="15" s="1"/>
  <c r="F68" i="3" s="1"/>
  <c r="F26" i="15"/>
  <c r="F29" i="15" s="1"/>
  <c r="F74" i="3" s="1"/>
  <c r="F31" i="15"/>
  <c r="F34" i="15" s="1"/>
  <c r="F75" i="3" s="1"/>
  <c r="F21" i="15"/>
  <c r="F24" i="15" s="1"/>
  <c r="F73" i="3" s="1"/>
  <c r="F53" i="28"/>
  <c r="F55" i="3" s="1"/>
  <c r="F60" i="3"/>
  <c r="E55" i="26"/>
  <c r="E54" i="28" s="1"/>
  <c r="E56" i="3" s="1"/>
  <c r="I52" i="3"/>
  <c r="I40" i="3"/>
  <c r="F71" i="3"/>
  <c r="F23" i="26"/>
  <c r="F52" i="26" s="1"/>
  <c r="F35" i="17"/>
  <c r="D61" i="3"/>
  <c r="D62" i="3" s="1"/>
  <c r="I49" i="28"/>
  <c r="I10" i="27"/>
  <c r="I21" i="26"/>
  <c r="I35" i="27"/>
  <c r="I51" i="26"/>
  <c r="A40" i="26"/>
  <c r="G27" i="19"/>
  <c r="G12" i="27" s="1"/>
  <c r="G37" i="27" s="1"/>
  <c r="J20" i="19"/>
  <c r="I19" i="24"/>
  <c r="I33" i="17"/>
  <c r="I24" i="26" s="1"/>
  <c r="H19" i="19"/>
  <c r="H40" i="17" s="1"/>
  <c r="G18" i="24"/>
  <c r="G63" i="28" s="1"/>
  <c r="G32" i="17"/>
  <c r="J21" i="19"/>
  <c r="I20" i="24"/>
  <c r="I34" i="17"/>
  <c r="I25" i="26" s="1"/>
  <c r="H35" i="19"/>
  <c r="H27" i="19" s="1"/>
  <c r="H12" i="27" s="1"/>
  <c r="H37" i="27" s="1"/>
  <c r="H36" i="19"/>
  <c r="H28" i="19" s="1"/>
  <c r="H13" i="27" s="1"/>
  <c r="H38" i="27" s="1"/>
  <c r="J46" i="16"/>
  <c r="J39" i="17" s="1"/>
  <c r="I17" i="24"/>
  <c r="A26" i="6"/>
  <c r="I31" i="17"/>
  <c r="I25" i="19"/>
  <c r="I18" i="19"/>
  <c r="B25" i="6" l="1"/>
  <c r="B40" i="26" s="1"/>
  <c r="H54" i="26" s="1"/>
  <c r="G54" i="26"/>
  <c r="J42" i="17"/>
  <c r="J29" i="26" s="1"/>
  <c r="J41" i="17"/>
  <c r="J28" i="26" s="1"/>
  <c r="H46" i="27"/>
  <c r="G45" i="27"/>
  <c r="H45" i="27"/>
  <c r="H61" i="26"/>
  <c r="H62" i="26"/>
  <c r="E61" i="3"/>
  <c r="E62" i="3" s="1"/>
  <c r="F26" i="6"/>
  <c r="F41" i="26" s="1"/>
  <c r="J26" i="6"/>
  <c r="J41" i="26" s="1"/>
  <c r="H27" i="26"/>
  <c r="H60" i="26" s="1"/>
  <c r="H43" i="17"/>
  <c r="F63" i="26"/>
  <c r="F64" i="28" s="1"/>
  <c r="F79" i="3"/>
  <c r="D26" i="6"/>
  <c r="D41" i="26" s="1"/>
  <c r="H26" i="6"/>
  <c r="H41" i="26" s="1"/>
  <c r="J60" i="15"/>
  <c r="J38" i="15"/>
  <c r="J65" i="15"/>
  <c r="J66" i="3"/>
  <c r="J59" i="26"/>
  <c r="J19" i="15"/>
  <c r="J59" i="28"/>
  <c r="J43" i="27"/>
  <c r="F61" i="15"/>
  <c r="F76" i="3" s="1"/>
  <c r="F81" i="3" s="1"/>
  <c r="I52" i="15"/>
  <c r="I47" i="15"/>
  <c r="I42" i="15"/>
  <c r="I23" i="15"/>
  <c r="I33" i="15"/>
  <c r="I28" i="15"/>
  <c r="I51" i="15"/>
  <c r="I46" i="15"/>
  <c r="I41" i="15"/>
  <c r="I22" i="15"/>
  <c r="I32" i="15"/>
  <c r="I27" i="15"/>
  <c r="F78" i="3"/>
  <c r="G50" i="15"/>
  <c r="G53" i="15" s="1"/>
  <c r="G70" i="3" s="1"/>
  <c r="G45" i="15"/>
  <c r="G48" i="15" s="1"/>
  <c r="G69" i="3" s="1"/>
  <c r="G40" i="15"/>
  <c r="G43" i="15" s="1"/>
  <c r="G68" i="3" s="1"/>
  <c r="G26" i="15"/>
  <c r="G29" i="15" s="1"/>
  <c r="G74" i="3" s="1"/>
  <c r="G21" i="15"/>
  <c r="G24" i="15" s="1"/>
  <c r="G73" i="3" s="1"/>
  <c r="G31" i="15"/>
  <c r="G34" i="15" s="1"/>
  <c r="G75" i="3" s="1"/>
  <c r="G53" i="28"/>
  <c r="F80" i="3"/>
  <c r="F55" i="26"/>
  <c r="F54" i="28" s="1"/>
  <c r="F56" i="3" s="1"/>
  <c r="J52" i="3"/>
  <c r="J40" i="3"/>
  <c r="G71" i="3"/>
  <c r="G23" i="26"/>
  <c r="G52" i="26" s="1"/>
  <c r="G35" i="17"/>
  <c r="J49" i="28"/>
  <c r="J10" i="27"/>
  <c r="J21" i="26"/>
  <c r="J35" i="27"/>
  <c r="J51" i="26"/>
  <c r="A41" i="26"/>
  <c r="K21" i="19"/>
  <c r="J20" i="24"/>
  <c r="J34" i="17"/>
  <c r="J25" i="26" s="1"/>
  <c r="I19" i="19"/>
  <c r="I40" i="17" s="1"/>
  <c r="H18" i="24"/>
  <c r="H63" i="28" s="1"/>
  <c r="H32" i="17"/>
  <c r="K20" i="19"/>
  <c r="J19" i="24"/>
  <c r="J33" i="17"/>
  <c r="J24" i="26" s="1"/>
  <c r="I35" i="19"/>
  <c r="I27" i="19" s="1"/>
  <c r="I12" i="27" s="1"/>
  <c r="I37" i="27" s="1"/>
  <c r="I36" i="19"/>
  <c r="I28" i="19" s="1"/>
  <c r="I13" i="27" s="1"/>
  <c r="I38" i="27" s="1"/>
  <c r="K46" i="16"/>
  <c r="K39" i="17" s="1"/>
  <c r="A27" i="6"/>
  <c r="J17" i="24"/>
  <c r="J31" i="17"/>
  <c r="J25" i="19"/>
  <c r="J18" i="19"/>
  <c r="H53" i="26" l="1"/>
  <c r="B26" i="6"/>
  <c r="B41" i="26" s="1"/>
  <c r="I54" i="26" s="1"/>
  <c r="K42" i="17"/>
  <c r="K29" i="26" s="1"/>
  <c r="K41" i="17"/>
  <c r="K28" i="26" s="1"/>
  <c r="I45" i="27"/>
  <c r="I46" i="27"/>
  <c r="I62" i="26"/>
  <c r="I61" i="26"/>
  <c r="H66" i="15"/>
  <c r="H71" i="3" s="1"/>
  <c r="F61" i="3"/>
  <c r="F62" i="3" s="1"/>
  <c r="I27" i="26"/>
  <c r="I60" i="26" s="1"/>
  <c r="I43" i="17"/>
  <c r="F27" i="6"/>
  <c r="F42" i="26" s="1"/>
  <c r="J27" i="6"/>
  <c r="J42" i="26" s="1"/>
  <c r="G78" i="3"/>
  <c r="D27" i="6"/>
  <c r="D42" i="26" s="1"/>
  <c r="H27" i="6"/>
  <c r="H42" i="26" s="1"/>
  <c r="K38" i="15"/>
  <c r="K65" i="15"/>
  <c r="K66" i="3"/>
  <c r="K19" i="15"/>
  <c r="K59" i="28"/>
  <c r="K43" i="27"/>
  <c r="K59" i="26"/>
  <c r="K60" i="15"/>
  <c r="G80" i="3"/>
  <c r="G61" i="15"/>
  <c r="G76" i="3" s="1"/>
  <c r="G81" i="3" s="1"/>
  <c r="J51" i="15"/>
  <c r="J46" i="15"/>
  <c r="J41" i="15"/>
  <c r="J22" i="15"/>
  <c r="J32" i="15"/>
  <c r="J27" i="15"/>
  <c r="J52" i="15"/>
  <c r="J47" i="15"/>
  <c r="J42" i="15"/>
  <c r="J33" i="15"/>
  <c r="J28" i="15"/>
  <c r="J23" i="15"/>
  <c r="H50" i="15"/>
  <c r="H53" i="15" s="1"/>
  <c r="H70" i="3" s="1"/>
  <c r="H45" i="15"/>
  <c r="H48" i="15" s="1"/>
  <c r="H69" i="3" s="1"/>
  <c r="H40" i="15"/>
  <c r="H43" i="15" s="1"/>
  <c r="H68" i="3" s="1"/>
  <c r="H21" i="15"/>
  <c r="H24" i="15" s="1"/>
  <c r="H73" i="3" s="1"/>
  <c r="H26" i="15"/>
  <c r="H29" i="15" s="1"/>
  <c r="H74" i="3" s="1"/>
  <c r="H31" i="15"/>
  <c r="H34" i="15" s="1"/>
  <c r="H75" i="3" s="1"/>
  <c r="H60" i="3"/>
  <c r="H53" i="28"/>
  <c r="H55" i="3" s="1"/>
  <c r="G79" i="3"/>
  <c r="G55" i="26"/>
  <c r="G54" i="28" s="1"/>
  <c r="G56" i="3" s="1"/>
  <c r="K52" i="3"/>
  <c r="K40" i="3"/>
  <c r="H23" i="26"/>
  <c r="H52" i="26" s="1"/>
  <c r="H35" i="17"/>
  <c r="G60" i="3"/>
  <c r="G55" i="3"/>
  <c r="K49" i="28"/>
  <c r="K35" i="27"/>
  <c r="K10" i="27"/>
  <c r="K21" i="26"/>
  <c r="K51" i="26"/>
  <c r="A42" i="26"/>
  <c r="K19" i="24"/>
  <c r="K33" i="17"/>
  <c r="K24" i="26" s="1"/>
  <c r="J19" i="19"/>
  <c r="J40" i="17" s="1"/>
  <c r="I32" i="17"/>
  <c r="I18" i="24"/>
  <c r="I63" i="28" s="1"/>
  <c r="K20" i="24"/>
  <c r="K34" i="17"/>
  <c r="K25" i="26" s="1"/>
  <c r="J36" i="19"/>
  <c r="J28" i="19" s="1"/>
  <c r="J13" i="27" s="1"/>
  <c r="J38" i="27" s="1"/>
  <c r="J35" i="19"/>
  <c r="J27" i="19" s="1"/>
  <c r="J12" i="27" s="1"/>
  <c r="J37" i="27" s="1"/>
  <c r="K31" i="17"/>
  <c r="K17" i="24"/>
  <c r="A28" i="6"/>
  <c r="K18" i="19"/>
  <c r="K25" i="19"/>
  <c r="I53" i="26" l="1"/>
  <c r="B27" i="6"/>
  <c r="B42" i="26" s="1"/>
  <c r="J53" i="26" s="1"/>
  <c r="J45" i="27"/>
  <c r="J46" i="27"/>
  <c r="J62" i="26"/>
  <c r="J61" i="26"/>
  <c r="I66" i="15"/>
  <c r="I71" i="3" s="1"/>
  <c r="J27" i="26"/>
  <c r="J60" i="26" s="1"/>
  <c r="J43" i="17"/>
  <c r="J66" i="15" s="1"/>
  <c r="F28" i="6"/>
  <c r="F43" i="26" s="1"/>
  <c r="J28" i="6"/>
  <c r="J43" i="26" s="1"/>
  <c r="H78" i="3"/>
  <c r="H28" i="6"/>
  <c r="H43" i="26" s="1"/>
  <c r="D28" i="6"/>
  <c r="D43" i="26" s="1"/>
  <c r="H80" i="3"/>
  <c r="H61" i="15"/>
  <c r="H76" i="3" s="1"/>
  <c r="H81" i="3" s="1"/>
  <c r="K51" i="15"/>
  <c r="K46" i="15"/>
  <c r="K41" i="15"/>
  <c r="K22" i="15"/>
  <c r="K27" i="15"/>
  <c r="K32" i="15"/>
  <c r="K52" i="15"/>
  <c r="K42" i="15"/>
  <c r="K47" i="15"/>
  <c r="K33" i="15"/>
  <c r="K28" i="15"/>
  <c r="K23" i="15"/>
  <c r="I50" i="15"/>
  <c r="I53" i="15" s="1"/>
  <c r="I70" i="3" s="1"/>
  <c r="I45" i="15"/>
  <c r="I48" i="15" s="1"/>
  <c r="I69" i="3" s="1"/>
  <c r="I40" i="15"/>
  <c r="I43" i="15" s="1"/>
  <c r="I68" i="3" s="1"/>
  <c r="I26" i="15"/>
  <c r="I29" i="15" s="1"/>
  <c r="I74" i="3" s="1"/>
  <c r="I21" i="15"/>
  <c r="I24" i="15" s="1"/>
  <c r="I73" i="3" s="1"/>
  <c r="I31" i="15"/>
  <c r="I34" i="15" s="1"/>
  <c r="I75" i="3" s="1"/>
  <c r="I53" i="28"/>
  <c r="I55" i="3" s="1"/>
  <c r="I60" i="3"/>
  <c r="H79" i="3"/>
  <c r="G63" i="26"/>
  <c r="G64" i="28" s="1"/>
  <c r="H55" i="26"/>
  <c r="H54" i="28" s="1"/>
  <c r="H56" i="3" s="1"/>
  <c r="H63" i="26"/>
  <c r="H64" i="28" s="1"/>
  <c r="I23" i="26"/>
  <c r="I52" i="26" s="1"/>
  <c r="I55" i="26" s="1"/>
  <c r="I54" i="28" s="1"/>
  <c r="I35" i="17"/>
  <c r="A43" i="26"/>
  <c r="K19" i="19"/>
  <c r="K40" i="17" s="1"/>
  <c r="J32" i="17"/>
  <c r="J18" i="24"/>
  <c r="J63" i="28" s="1"/>
  <c r="K35" i="19"/>
  <c r="K27" i="19" s="1"/>
  <c r="K12" i="27" s="1"/>
  <c r="K37" i="27" s="1"/>
  <c r="K36" i="19"/>
  <c r="K28" i="19" s="1"/>
  <c r="K13" i="27" s="1"/>
  <c r="K38" i="27" s="1"/>
  <c r="J54" i="26" l="1"/>
  <c r="B28" i="6"/>
  <c r="B43" i="26" s="1"/>
  <c r="K53" i="26" s="1"/>
  <c r="K46" i="27"/>
  <c r="K45" i="27"/>
  <c r="K62" i="26"/>
  <c r="K61" i="26"/>
  <c r="G61" i="3"/>
  <c r="G62" i="3" s="1"/>
  <c r="H61" i="3"/>
  <c r="H62" i="3" s="1"/>
  <c r="K27" i="26"/>
  <c r="K60" i="26" s="1"/>
  <c r="K43" i="17"/>
  <c r="I80" i="3"/>
  <c r="I61" i="15"/>
  <c r="I76" i="3" s="1"/>
  <c r="I81" i="3" s="1"/>
  <c r="J50" i="15"/>
  <c r="J53" i="15" s="1"/>
  <c r="J70" i="3" s="1"/>
  <c r="J45" i="15"/>
  <c r="J48" i="15" s="1"/>
  <c r="J69" i="3" s="1"/>
  <c r="J40" i="15"/>
  <c r="J43" i="15" s="1"/>
  <c r="J68" i="3" s="1"/>
  <c r="J31" i="15"/>
  <c r="J34" i="15" s="1"/>
  <c r="J75" i="3" s="1"/>
  <c r="J26" i="15"/>
  <c r="J29" i="15" s="1"/>
  <c r="J74" i="3" s="1"/>
  <c r="J21" i="15"/>
  <c r="J24" i="15" s="1"/>
  <c r="J73" i="3" s="1"/>
  <c r="J53" i="28"/>
  <c r="J55" i="3" s="1"/>
  <c r="J60" i="3"/>
  <c r="I78" i="3"/>
  <c r="I79" i="3"/>
  <c r="I63" i="26"/>
  <c r="I64" i="28" s="1"/>
  <c r="J71" i="3"/>
  <c r="I56" i="3"/>
  <c r="J23" i="26"/>
  <c r="J52" i="26" s="1"/>
  <c r="J35" i="17"/>
  <c r="K18" i="24"/>
  <c r="K63" i="28" s="1"/>
  <c r="K32" i="17"/>
  <c r="K54" i="26" l="1"/>
  <c r="K66" i="15"/>
  <c r="K71" i="3" s="1"/>
  <c r="B38" i="32"/>
  <c r="C38" i="32"/>
  <c r="I61" i="3"/>
  <c r="I62" i="3" s="1"/>
  <c r="J63" i="26"/>
  <c r="J64" i="28" s="1"/>
  <c r="J79" i="3"/>
  <c r="J80" i="3"/>
  <c r="J61" i="15"/>
  <c r="J76" i="3" s="1"/>
  <c r="J81" i="3" s="1"/>
  <c r="J78" i="3"/>
  <c r="K50" i="15"/>
  <c r="K53" i="15" s="1"/>
  <c r="K70" i="3" s="1"/>
  <c r="K45" i="15"/>
  <c r="K48" i="15" s="1"/>
  <c r="K69" i="3" s="1"/>
  <c r="K40" i="15"/>
  <c r="K43" i="15" s="1"/>
  <c r="K68" i="3" s="1"/>
  <c r="K21" i="15"/>
  <c r="K24" i="15" s="1"/>
  <c r="K73" i="3" s="1"/>
  <c r="K31" i="15"/>
  <c r="K34" i="15" s="1"/>
  <c r="K75" i="3" s="1"/>
  <c r="K26" i="15"/>
  <c r="K29" i="15" s="1"/>
  <c r="K74" i="3" s="1"/>
  <c r="K79" i="3" s="1"/>
  <c r="K53" i="28"/>
  <c r="L53" i="28" s="1"/>
  <c r="L63" i="28"/>
  <c r="J55" i="26"/>
  <c r="J54" i="28" s="1"/>
  <c r="J56" i="3" s="1"/>
  <c r="K23" i="26"/>
  <c r="K52" i="26" s="1"/>
  <c r="K35" i="17"/>
  <c r="D9" i="19"/>
  <c r="F34" i="19" s="1"/>
  <c r="F26" i="19" s="1"/>
  <c r="F11" i="27" s="1"/>
  <c r="F36" i="27" s="1"/>
  <c r="K80" i="3" l="1"/>
  <c r="F39" i="27"/>
  <c r="F50" i="28" s="1"/>
  <c r="F44" i="27"/>
  <c r="F47" i="27" s="1"/>
  <c r="F60" i="28" s="1"/>
  <c r="J61" i="3"/>
  <c r="J62" i="3" s="1"/>
  <c r="K61" i="15"/>
  <c r="K76" i="3" s="1"/>
  <c r="K81" i="3" s="1"/>
  <c r="K78" i="3"/>
  <c r="K55" i="26"/>
  <c r="K54" i="28" s="1"/>
  <c r="L54" i="28" s="1"/>
  <c r="B34" i="32"/>
  <c r="C34" i="32"/>
  <c r="M63" i="28"/>
  <c r="C31" i="28" s="1"/>
  <c r="C41" i="28" s="1"/>
  <c r="K20" i="3" s="1"/>
  <c r="K60" i="3"/>
  <c r="M53" i="28"/>
  <c r="B31" i="28" s="1"/>
  <c r="B41" i="28" s="1"/>
  <c r="J20" i="3" s="1"/>
  <c r="K55" i="3"/>
  <c r="H34" i="19"/>
  <c r="H26" i="19" s="1"/>
  <c r="H11" i="27" s="1"/>
  <c r="H36" i="27" s="1"/>
  <c r="D34" i="19"/>
  <c r="D26" i="19" s="1"/>
  <c r="D11" i="27" s="1"/>
  <c r="D36" i="27" s="1"/>
  <c r="I34" i="19"/>
  <c r="I26" i="19" s="1"/>
  <c r="I11" i="27" s="1"/>
  <c r="I36" i="27" s="1"/>
  <c r="E34" i="19"/>
  <c r="E26" i="19" s="1"/>
  <c r="E11" i="27" s="1"/>
  <c r="E36" i="27" s="1"/>
  <c r="K34" i="19"/>
  <c r="K26" i="19" s="1"/>
  <c r="K11" i="27" s="1"/>
  <c r="K36" i="27" s="1"/>
  <c r="G34" i="19"/>
  <c r="G26" i="19" s="1"/>
  <c r="G11" i="27" s="1"/>
  <c r="G36" i="27" s="1"/>
  <c r="C34" i="19"/>
  <c r="C26" i="19" s="1"/>
  <c r="C11" i="27" s="1"/>
  <c r="C36" i="27" s="1"/>
  <c r="J34" i="19"/>
  <c r="J26" i="19" s="1"/>
  <c r="J11" i="27" s="1"/>
  <c r="J36" i="27" s="1"/>
  <c r="G39" i="27" l="1"/>
  <c r="G50" i="28" s="1"/>
  <c r="G44" i="27"/>
  <c r="G47" i="27" s="1"/>
  <c r="G60" i="28" s="1"/>
  <c r="D39" i="27"/>
  <c r="D50" i="28" s="1"/>
  <c r="D44" i="27"/>
  <c r="D47" i="27" s="1"/>
  <c r="D60" i="28" s="1"/>
  <c r="K39" i="27"/>
  <c r="K50" i="28" s="1"/>
  <c r="K44" i="27"/>
  <c r="K47" i="27" s="1"/>
  <c r="K60" i="28" s="1"/>
  <c r="J39" i="27"/>
  <c r="J50" i="28" s="1"/>
  <c r="J44" i="27"/>
  <c r="J47" i="27" s="1"/>
  <c r="J60" i="28" s="1"/>
  <c r="E39" i="27"/>
  <c r="E50" i="28" s="1"/>
  <c r="E44" i="27"/>
  <c r="E47" i="27" s="1"/>
  <c r="E60" i="28" s="1"/>
  <c r="H39" i="27"/>
  <c r="H50" i="28" s="1"/>
  <c r="H44" i="27"/>
  <c r="H47" i="27" s="1"/>
  <c r="H60" i="28" s="1"/>
  <c r="C39" i="27"/>
  <c r="C50" i="28" s="1"/>
  <c r="C44" i="27"/>
  <c r="C47" i="27" s="1"/>
  <c r="C60" i="28" s="1"/>
  <c r="I39" i="27"/>
  <c r="I50" i="28" s="1"/>
  <c r="I44" i="27"/>
  <c r="I47" i="27" s="1"/>
  <c r="I60" i="28" s="1"/>
  <c r="K56" i="3"/>
  <c r="M54" i="28"/>
  <c r="B32" i="28" s="1"/>
  <c r="B42" i="28" s="1"/>
  <c r="J21" i="3" s="1"/>
  <c r="K63" i="26"/>
  <c r="K64" i="28" s="1"/>
  <c r="C37" i="32"/>
  <c r="C83" i="32" s="1"/>
  <c r="C84" i="32" s="1"/>
  <c r="C32" i="32"/>
  <c r="C33" i="32"/>
  <c r="C43" i="32" s="1"/>
  <c r="C44" i="32" s="1"/>
  <c r="E8" i="32" s="1"/>
  <c r="C39" i="32"/>
  <c r="C35" i="32"/>
  <c r="C48" i="32" s="1"/>
  <c r="C36" i="32"/>
  <c r="B33" i="32"/>
  <c r="B37" i="32"/>
  <c r="B32" i="32"/>
  <c r="B35" i="32"/>
  <c r="B39" i="32"/>
  <c r="B36" i="32"/>
  <c r="F42" i="3"/>
  <c r="L64" i="28" l="1"/>
  <c r="K61" i="3"/>
  <c r="K62" i="3" s="1"/>
  <c r="M64" i="28"/>
  <c r="C32" i="28" s="1"/>
  <c r="C42" i="28" s="1"/>
  <c r="K21" i="3" s="1"/>
  <c r="E12" i="32"/>
  <c r="C85" i="32"/>
  <c r="B12" i="32" s="1"/>
  <c r="C45" i="32"/>
  <c r="E7" i="32"/>
  <c r="F65" i="28"/>
  <c r="F46" i="3"/>
  <c r="F48" i="3" s="1"/>
  <c r="F44" i="3"/>
  <c r="J42" i="3"/>
  <c r="G42" i="3"/>
  <c r="E42" i="3"/>
  <c r="D42" i="3"/>
  <c r="K42" i="3"/>
  <c r="I42" i="3"/>
  <c r="H42" i="3"/>
  <c r="B7" i="32" l="1"/>
  <c r="B8" i="32"/>
  <c r="B51" i="28"/>
  <c r="B43" i="3" s="1"/>
  <c r="B44" i="3" s="1"/>
  <c r="C46" i="3"/>
  <c r="C48" i="3" s="1"/>
  <c r="L60" i="28"/>
  <c r="C42" i="3"/>
  <c r="C44" i="3" s="1"/>
  <c r="L50" i="28"/>
  <c r="D65" i="28"/>
  <c r="D46" i="3"/>
  <c r="D48" i="3" s="1"/>
  <c r="E65" i="28"/>
  <c r="E46" i="3"/>
  <c r="E48" i="3" s="1"/>
  <c r="I65" i="28"/>
  <c r="I46" i="3"/>
  <c r="I48" i="3" s="1"/>
  <c r="I44" i="3"/>
  <c r="J65" i="28"/>
  <c r="J46" i="3"/>
  <c r="J48" i="3" s="1"/>
  <c r="H65" i="28"/>
  <c r="H46" i="3"/>
  <c r="H48" i="3" s="1"/>
  <c r="K65" i="28"/>
  <c r="K46" i="3"/>
  <c r="K48" i="3" s="1"/>
  <c r="H44" i="3"/>
  <c r="G65" i="28"/>
  <c r="G46" i="3"/>
  <c r="G48" i="3" s="1"/>
  <c r="K44" i="3"/>
  <c r="D44" i="3"/>
  <c r="E44" i="3"/>
  <c r="G44" i="3"/>
  <c r="J44" i="3"/>
  <c r="M50" i="28"/>
  <c r="B28" i="28" s="1"/>
  <c r="B38" i="28" s="1"/>
  <c r="J17" i="3" s="1"/>
  <c r="C65" i="28"/>
  <c r="M60" i="28"/>
  <c r="C28" i="28" s="1"/>
  <c r="C38" i="28" s="1"/>
  <c r="K17" i="3" s="1"/>
  <c r="H52" i="28" l="1"/>
  <c r="H54" i="3" s="1"/>
  <c r="H57" i="3" s="1"/>
  <c r="E52" i="28"/>
  <c r="E54" i="3" s="1"/>
  <c r="E57" i="3" s="1"/>
  <c r="G52" i="28"/>
  <c r="G54" i="3" s="1"/>
  <c r="G57" i="3" s="1"/>
  <c r="F52" i="28"/>
  <c r="F55" i="28" s="1"/>
  <c r="C52" i="28"/>
  <c r="C55" i="28" s="1"/>
  <c r="D52" i="28"/>
  <c r="D54" i="3" s="1"/>
  <c r="D57" i="3" s="1"/>
  <c r="J52" i="28"/>
  <c r="J54" i="3" s="1"/>
  <c r="J57" i="3" s="1"/>
  <c r="K52" i="28"/>
  <c r="K54" i="3" s="1"/>
  <c r="K57" i="3" s="1"/>
  <c r="I52" i="28"/>
  <c r="I54" i="3" s="1"/>
  <c r="I57" i="3" s="1"/>
  <c r="B55" i="28"/>
  <c r="M51" i="28"/>
  <c r="B29" i="28" s="1"/>
  <c r="B39" i="28" s="1"/>
  <c r="J18" i="3" s="1"/>
  <c r="L51" i="28"/>
  <c r="H55" i="28"/>
  <c r="L65" i="28"/>
  <c r="M65" i="28"/>
  <c r="C33" i="28" s="1"/>
  <c r="C43" i="28" s="1"/>
  <c r="K22" i="3" s="1"/>
  <c r="F54" i="3" l="1"/>
  <c r="F57" i="3" s="1"/>
  <c r="E55" i="28"/>
  <c r="G55" i="28"/>
  <c r="M52" i="28"/>
  <c r="B30" i="28" s="1"/>
  <c r="B40" i="28" s="1"/>
  <c r="J19" i="3" s="1"/>
  <c r="C54" i="3"/>
  <c r="C57" i="3" s="1"/>
  <c r="K55" i="28"/>
  <c r="D55" i="28"/>
  <c r="J55" i="28"/>
  <c r="L52" i="28"/>
  <c r="I55" i="28"/>
  <c r="M55" i="28" l="1"/>
  <c r="B33" i="28" s="1"/>
  <c r="B43" i="28" s="1"/>
  <c r="J22" i="3" s="1"/>
  <c r="L55" i="28"/>
</calcChain>
</file>

<file path=xl/comments1.xml><?xml version="1.0" encoding="utf-8"?>
<comments xmlns="http://schemas.openxmlformats.org/spreadsheetml/2006/main">
  <authors>
    <author>Rosenfeld, Jeffrey</author>
    <author>Ganesh, Neha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Rosenfeld, Jeffrey:</t>
        </r>
        <r>
          <rPr>
            <sz val="9"/>
            <color indexed="81"/>
            <rFont val="Tahoma"/>
            <family val="2"/>
          </rPr>
          <t xml:space="preserve">
In Route Charging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Rosenfeld, Jeffrey:</t>
        </r>
        <r>
          <rPr>
            <sz val="9"/>
            <color indexed="81"/>
            <rFont val="Tahoma"/>
            <family val="2"/>
          </rPr>
          <t xml:space="preserve">
In Route Charging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Rosenfeld, Jeffrey:</t>
        </r>
        <r>
          <rPr>
            <sz val="9"/>
            <color indexed="81"/>
            <rFont val="Tahoma"/>
            <family val="2"/>
          </rPr>
          <t xml:space="preserve">
Overnight/slower charging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Rosenfeld, Jeffrey:</t>
        </r>
        <r>
          <rPr>
            <sz val="9"/>
            <color indexed="81"/>
            <rFont val="Tahoma"/>
            <family val="2"/>
          </rPr>
          <t xml:space="preserve">
Overnight/slower charging</t>
        </r>
      </text>
    </comment>
    <comment ref="C24" authorId="1" shapeId="0">
      <text>
        <r>
          <rPr>
            <sz val="9"/>
            <color indexed="81"/>
            <rFont val="Tahoma"/>
            <family val="2"/>
          </rPr>
          <t>Lookup AFLEETBackground Data: D878 (Transit bus maintenance cost $1, Volpe) + E 921 (NG Class 4-6 Delivery (incremental $mile)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>Lookup AFLEETBackground Data: D878 (Transit bus maintenance cost $1, Volpe) + E 921 (NG Class 4-6 Delivery (incremental $mile)</t>
        </r>
      </text>
    </comment>
  </commentList>
</comments>
</file>

<file path=xl/sharedStrings.xml><?xml version="1.0" encoding="utf-8"?>
<sst xmlns="http://schemas.openxmlformats.org/spreadsheetml/2006/main" count="1209" uniqueCount="525">
  <si>
    <t>Resource</t>
  </si>
  <si>
    <t>Brief description</t>
  </si>
  <si>
    <t>Link</t>
  </si>
  <si>
    <t>Notes</t>
  </si>
  <si>
    <t>Costs</t>
  </si>
  <si>
    <t>Fleet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</si>
  <si>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Costs: infrastructure, maintenance, fleet/bus procurement, fueling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</si>
  <si>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Savings and payback period compared to conventional fuels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</si>
  <si>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Fleet: type, size, service (urban vs. rural)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</si>
  <si>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Size of fleet conversion or throughput necessary to fully utilize new infrastructure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</si>
  <si>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Fuel/technology: type, lifecycle emissions from transit</t>
    </r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and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 associated GHG emissions/criteria pollutant data, mileage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</si>
  <si>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Funding sources by region/urban, rural; federal/state; local</t>
    </r>
  </si>
  <si>
    <t>[1] APTA Protocol/ICF work for TCRP H 53: Tools for Sustainable Transit</t>
  </si>
  <si>
    <r>
      <t> </t>
    </r>
    <r>
      <rPr>
        <sz val="10"/>
        <color theme="1"/>
        <rFont val="Calibri"/>
        <family val="2"/>
        <scheme val="minor"/>
      </rPr>
      <t>More resources to be cited here?</t>
    </r>
  </si>
  <si>
    <t>https://www.afdc.energy.gov/pdfs/transbus.pdf</t>
  </si>
  <si>
    <t>https://ntl.bts.gov/data/ptcasest.pdf</t>
  </si>
  <si>
    <t>Fleet-Transit Bus</t>
  </si>
  <si>
    <t>Cutaway</t>
  </si>
  <si>
    <t>BOC</t>
  </si>
  <si>
    <t>Savings</t>
  </si>
  <si>
    <t>Vehicle</t>
  </si>
  <si>
    <t>Infrastructure</t>
  </si>
  <si>
    <t>Maintenance</t>
  </si>
  <si>
    <t>Type</t>
  </si>
  <si>
    <t>Size</t>
  </si>
  <si>
    <t>Service</t>
  </si>
  <si>
    <t>Fuel/technology</t>
  </si>
  <si>
    <t>Lifecycle emissions</t>
  </si>
  <si>
    <t>GHG</t>
  </si>
  <si>
    <t>Mileage</t>
  </si>
  <si>
    <t>Funding Sources</t>
  </si>
  <si>
    <t>region</t>
  </si>
  <si>
    <t>federal</t>
  </si>
  <si>
    <t>state</t>
  </si>
  <si>
    <t>local</t>
  </si>
  <si>
    <t>Fuel (region)</t>
  </si>
  <si>
    <t>AFDC</t>
  </si>
  <si>
    <t>Resources</t>
  </si>
  <si>
    <t>Emissions</t>
  </si>
  <si>
    <t>Vehicle category</t>
  </si>
  <si>
    <t>Fuel type</t>
  </si>
  <si>
    <t>https://www.arb.ca.gov/msprog/bus/maintenance_cost.pdf</t>
  </si>
  <si>
    <t>https://ntl.bts.gov/lib/44000/44200/44244/Bus_Lifecycle_Cost_Model_User_s_Guide.pdf</t>
  </si>
  <si>
    <t>https://www.afdc.energy.gov/fuels/</t>
  </si>
  <si>
    <t>https://www.afdc.energy.gov/fuels/prices.html</t>
  </si>
  <si>
    <t>Vehicle Fuels</t>
  </si>
  <si>
    <t>NTD</t>
  </si>
  <si>
    <t>average fuel price</t>
  </si>
  <si>
    <t>projections/currently paying</t>
  </si>
  <si>
    <t>by region</t>
  </si>
  <si>
    <t>scale</t>
  </si>
  <si>
    <t>vans (12, 000 m)</t>
  </si>
  <si>
    <t>Transit</t>
  </si>
  <si>
    <t>avg MPG</t>
  </si>
  <si>
    <t>default input tab</t>
  </si>
  <si>
    <t>baseline costs</t>
  </si>
  <si>
    <t>projected costs</t>
  </si>
  <si>
    <t>annual costs</t>
  </si>
  <si>
    <t>output</t>
  </si>
  <si>
    <t>Criteria</t>
  </si>
  <si>
    <t>tailpipe emissions</t>
  </si>
  <si>
    <t>criteria pollutants</t>
  </si>
  <si>
    <t>fuel emission rate</t>
  </si>
  <si>
    <t>VMT--goes to baseline</t>
  </si>
  <si>
    <t>reduced diesel use</t>
  </si>
  <si>
    <t>Payback period-- NPV</t>
  </si>
  <si>
    <t>infrastructure life</t>
  </si>
  <si>
    <t>upgrades</t>
  </si>
  <si>
    <t>15-20 yrs</t>
  </si>
  <si>
    <t>fleet turnover</t>
  </si>
  <si>
    <t>retirement</t>
  </si>
  <si>
    <t>table to 2030</t>
  </si>
  <si>
    <t>5 years</t>
  </si>
  <si>
    <t>assumption at time period new vehcile would be replaced with another alt fuel vehicle</t>
  </si>
  <si>
    <t xml:space="preserve">matrix-vans, BOC, cutaway, </t>
  </si>
  <si>
    <t>number of buses replaced each year</t>
  </si>
  <si>
    <t>annual fuel consumption</t>
  </si>
  <si>
    <t>replaced per year</t>
  </si>
  <si>
    <t>fuel economy</t>
  </si>
  <si>
    <t>amount of fuel</t>
  </si>
  <si>
    <t>total VMT by vehicle category</t>
  </si>
  <si>
    <t>review interview</t>
  </si>
  <si>
    <t>why the difference in mileage</t>
  </si>
  <si>
    <t>resources in default tab</t>
  </si>
  <si>
    <t>separate tabs for each variable</t>
  </si>
  <si>
    <t>mpg</t>
  </si>
  <si>
    <t>differ for fuel type</t>
  </si>
  <si>
    <t>VMT</t>
  </si>
  <si>
    <t xml:space="preserve">functionalityof having to they may be using both gas and diesel; </t>
  </si>
  <si>
    <t>then based on vehcile category</t>
  </si>
  <si>
    <t>baseline based on this</t>
  </si>
  <si>
    <t>baselines different fuels associated with the baseline</t>
  </si>
  <si>
    <t>gas/diesel</t>
  </si>
  <si>
    <t>annual energy outlook</t>
  </si>
  <si>
    <t>fuel prices</t>
  </si>
  <si>
    <t>current average fuel price</t>
  </si>
  <si>
    <t>Assumptions/constraints</t>
  </si>
  <si>
    <t>Fuel prices (region specific)</t>
  </si>
  <si>
    <t>Vehicle prices</t>
  </si>
  <si>
    <t>Infrastructure prices</t>
  </si>
  <si>
    <t>Maintenance prices</t>
  </si>
  <si>
    <t>Default/inputs</t>
  </si>
  <si>
    <t>Source: U.S. Energy Information Administration</t>
  </si>
  <si>
    <t>Propane</t>
  </si>
  <si>
    <t>https://www.afdc.energy.gov/data/widgets/10309</t>
  </si>
  <si>
    <t>Total Private O&amp;M Cost</t>
  </si>
  <si>
    <t>Assume higher end of range due to more maintenance, 5-8% of upfront costs - http://www.afdc.energy.gov/pdfs/47919.pdf and https://www.dep.state.fl.us/waste/quick_topics/publications/pss/tanks/ethanol/EthanolStorageinUSTandAST.pdf</t>
  </si>
  <si>
    <t>Use average of 5-8% of upfront costs - http://www.afdc.energy.gov/pdfs/47919.pdf</t>
  </si>
  <si>
    <t>Gasoline</t>
  </si>
  <si>
    <t>Diesel</t>
  </si>
  <si>
    <t>Year</t>
  </si>
  <si>
    <t>Fuel</t>
  </si>
  <si>
    <t>Diesel Hybrid</t>
  </si>
  <si>
    <t>Station</t>
  </si>
  <si>
    <t>Transit Bus</t>
  </si>
  <si>
    <t>Compressed Natural Gas (CNG)</t>
  </si>
  <si>
    <t>Propane 2016 $/MMBtu</t>
  </si>
  <si>
    <t>E85 2016 $/MMBtu</t>
  </si>
  <si>
    <t>Motor Gasoline 2016 $/MMBtu</t>
  </si>
  <si>
    <t>Diesel Fuel 2016 $/MMBtu</t>
  </si>
  <si>
    <t>Residual Fuel Oil 2016 $/MMBtu</t>
  </si>
  <si>
    <t>Natural Gas 2016 $/MMBtu</t>
  </si>
  <si>
    <t>Electricity 2016 $/MMBtu</t>
  </si>
  <si>
    <t>Gaseous Hydrogen (G.H2) Fuel Cell Vehicle (FCV)</t>
  </si>
  <si>
    <t>Hardware</t>
  </si>
  <si>
    <t>Elect. Materials</t>
  </si>
  <si>
    <t>Other Materials</t>
  </si>
  <si>
    <t>Electrician Labor</t>
  </si>
  <si>
    <t>Other Labor</t>
  </si>
  <si>
    <t>Mobilization</t>
  </si>
  <si>
    <t>Permiting</t>
  </si>
  <si>
    <t>Transformer</t>
  </si>
  <si>
    <t>Total Hardware Cost</t>
  </si>
  <si>
    <t>Total Installation Cost</t>
  </si>
  <si>
    <t>Total EVSE Cost</t>
  </si>
  <si>
    <t>Demand Charges</t>
  </si>
  <si>
    <t>Data and Connectivity</t>
  </si>
  <si>
    <t xml:space="preserve">State </t>
  </si>
  <si>
    <t>Energy Prices Transportation (West South Central)</t>
  </si>
  <si>
    <t>Energy Prices Transportation (East South Central)</t>
  </si>
  <si>
    <t>Energy Prices Transportation (South Atlantic)</t>
  </si>
  <si>
    <t>Energy Prices Transportation (East North Central)</t>
  </si>
  <si>
    <t>Energy Prices Transportation (New England)</t>
  </si>
  <si>
    <t>Vans</t>
  </si>
  <si>
    <t>Pacific</t>
  </si>
  <si>
    <t xml:space="preserve"> Motor Gasoline 2016 $/MMBtu</t>
  </si>
  <si>
    <t>gCO2e/MJ</t>
  </si>
  <si>
    <t>gCO2e/Unit</t>
  </si>
  <si>
    <t>Gallon</t>
  </si>
  <si>
    <t>GGE</t>
  </si>
  <si>
    <t>Electricity</t>
  </si>
  <si>
    <t>Miles per Diesel Gallon Equivalent</t>
  </si>
  <si>
    <t>Start Year</t>
  </si>
  <si>
    <t>Vehicle Life</t>
  </si>
  <si>
    <t>Van</t>
  </si>
  <si>
    <t>Name of Transit Agency</t>
  </si>
  <si>
    <t>City</t>
  </si>
  <si>
    <t>Vehicle Population</t>
  </si>
  <si>
    <t>Number</t>
  </si>
  <si>
    <t>Alternative Fuel</t>
  </si>
  <si>
    <t>Discount Rate</t>
  </si>
  <si>
    <t xml:space="preserve">Van </t>
  </si>
  <si>
    <t>Fleet Size</t>
  </si>
  <si>
    <t xml:space="preserve">Purchase Schedule </t>
  </si>
  <si>
    <t>Years</t>
  </si>
  <si>
    <t xml:space="preserve">Vehicle Life </t>
  </si>
  <si>
    <t>Conversion</t>
  </si>
  <si>
    <t>Btu/Unit</t>
  </si>
  <si>
    <t>Unit</t>
  </si>
  <si>
    <t>Gal Alt Fuel/Gal Diesel</t>
  </si>
  <si>
    <t>Vehicles</t>
  </si>
  <si>
    <t>Station O&amp;M</t>
  </si>
  <si>
    <t>Vehicle O&amp;M</t>
  </si>
  <si>
    <t>State Name</t>
  </si>
  <si>
    <t>Connecticut</t>
  </si>
  <si>
    <t>Maine</t>
  </si>
  <si>
    <t>Massachusetts</t>
  </si>
  <si>
    <t>New Hampshire</t>
  </si>
  <si>
    <t>Rhode Island</t>
  </si>
  <si>
    <t>Vermont</t>
  </si>
  <si>
    <t>New York</t>
  </si>
  <si>
    <t>Delaware</t>
  </si>
  <si>
    <t>District of Columbia</t>
  </si>
  <si>
    <t>Maryland</t>
  </si>
  <si>
    <t>Pennsylvania</t>
  </si>
  <si>
    <t>Virginia</t>
  </si>
  <si>
    <t>West Virginia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</si>
  <si>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</si>
  <si>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</si>
  <si>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</si>
  <si>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</si>
  <si>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</si>
  <si>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</si>
  <si>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</si>
  <si>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Illinois</t>
  </si>
  <si>
    <t>Indiana</t>
  </si>
  <si>
    <t>Michigan</t>
  </si>
  <si>
    <t>Minnesota</t>
  </si>
  <si>
    <t>Ohio</t>
  </si>
  <si>
    <t>Wisconsin</t>
  </si>
  <si>
    <t>Arkansas</t>
  </si>
  <si>
    <t>Louisiana</t>
  </si>
  <si>
    <t>New Mexico</t>
  </si>
  <si>
    <t>Oklahoma</t>
  </si>
  <si>
    <t>Texas</t>
  </si>
  <si>
    <t>Iowa</t>
  </si>
  <si>
    <t>Kansas</t>
  </si>
  <si>
    <t>Missouri</t>
  </si>
  <si>
    <t>Nebraska</t>
  </si>
  <si>
    <t>Colorado</t>
  </si>
  <si>
    <t>Montana</t>
  </si>
  <si>
    <t>North Dakota</t>
  </si>
  <si>
    <t>South Dakota</t>
  </si>
  <si>
    <t>Utah</t>
  </si>
  <si>
    <t>Wyoming</t>
  </si>
  <si>
    <t>Arizona</t>
  </si>
  <si>
    <t>California</t>
  </si>
  <si>
    <t>Hawaii</t>
  </si>
  <si>
    <t>Nevada</t>
  </si>
  <si>
    <t>Alaska</t>
  </si>
  <si>
    <t>Idaho</t>
  </si>
  <si>
    <t>Oregon</t>
  </si>
  <si>
    <t>Washington</t>
  </si>
  <si>
    <t>New Jersey</t>
  </si>
  <si>
    <t>Alabama</t>
  </si>
  <si>
    <t>Region</t>
  </si>
  <si>
    <t>Mountain</t>
  </si>
  <si>
    <t>West North Central</t>
  </si>
  <si>
    <t>East North Central</t>
  </si>
  <si>
    <t>West South Central</t>
  </si>
  <si>
    <t>East South Central</t>
  </si>
  <si>
    <t>Middle Atlantic</t>
  </si>
  <si>
    <t>New England</t>
  </si>
  <si>
    <t>South Atlantic</t>
  </si>
  <si>
    <t>From Data Sources</t>
  </si>
  <si>
    <t>Region_Year</t>
  </si>
  <si>
    <t>Energy Prices (Pacific)</t>
  </si>
  <si>
    <t>Energy Prices Transportation (Mountain)</t>
  </si>
  <si>
    <t>Energy Prices Transportation (West North Central)</t>
  </si>
  <si>
    <t>Energy Prices Transportation (Middle Atlantic)</t>
  </si>
  <si>
    <t>Propane $/gallon</t>
  </si>
  <si>
    <t>E85 $/gallon</t>
  </si>
  <si>
    <t xml:space="preserve"> Motor Gasoline $/gallon</t>
  </si>
  <si>
    <t>Diesel Fuel $/gallon</t>
  </si>
  <si>
    <t>Residual Fuel Oil $/GGE</t>
  </si>
  <si>
    <t>Natural Gas  $/GGE</t>
  </si>
  <si>
    <t>Electricity $/GGE</t>
  </si>
  <si>
    <r>
      <t xml:space="preserve">2016 $/gallon </t>
    </r>
    <r>
      <rPr>
        <b/>
        <sz val="12"/>
        <color rgb="FFFF0000"/>
        <rFont val="Calibri"/>
        <family val="2"/>
        <scheme val="minor"/>
      </rPr>
      <t>OR</t>
    </r>
    <r>
      <rPr>
        <b/>
        <sz val="12"/>
        <color theme="1"/>
        <rFont val="Calibri"/>
        <family val="2"/>
        <scheme val="minor"/>
      </rPr>
      <t xml:space="preserve"> 2016 $/GGE</t>
    </r>
  </si>
  <si>
    <t>Diesel Fuel</t>
  </si>
  <si>
    <t>E85 (Flex Fuel)</t>
  </si>
  <si>
    <t>Fuel Price</t>
  </si>
  <si>
    <t>Fuels</t>
  </si>
  <si>
    <t>EIA Values</t>
  </si>
  <si>
    <t>User-Defined Values</t>
  </si>
  <si>
    <t>$/gallon</t>
  </si>
  <si>
    <t>Diesel - Default Value</t>
  </si>
  <si>
    <t>Diesel - User-Defined Value</t>
  </si>
  <si>
    <t>Diesel Price - User-Defined</t>
  </si>
  <si>
    <t>Diesel Price - Default Valule</t>
  </si>
  <si>
    <t>State</t>
  </si>
  <si>
    <t>Constants</t>
  </si>
  <si>
    <t>Conversion Factors for Fuels</t>
  </si>
  <si>
    <t>Source:  GREET 2016</t>
  </si>
  <si>
    <t>Fuel Consumption</t>
  </si>
  <si>
    <t>Annual Vehicle Miles Traveled (VMT)</t>
  </si>
  <si>
    <t>Annual Fuel Costs</t>
  </si>
  <si>
    <t>Annual Vehicle Costs</t>
  </si>
  <si>
    <t>Combined Costs</t>
  </si>
  <si>
    <t>Baseline and Alternative Fuel Emissions</t>
  </si>
  <si>
    <t>Diesel Gallon Equivalent (DGE)/yr</t>
  </si>
  <si>
    <t>Energy Economy Ratio (EER)</t>
  </si>
  <si>
    <t>Years for Purchase Schedule</t>
  </si>
  <si>
    <r>
      <t xml:space="preserve">Note:  </t>
    </r>
    <r>
      <rPr>
        <sz val="11"/>
        <color theme="1"/>
        <rFont val="Calibri"/>
        <family val="2"/>
        <scheme val="minor"/>
      </rPr>
      <t>Takes into account new purchases plus alternative fuel replacemement.</t>
    </r>
  </si>
  <si>
    <r>
      <t xml:space="preserve">Note: </t>
    </r>
    <r>
      <rPr>
        <sz val="11"/>
        <color theme="1"/>
        <rFont val="Calibri"/>
        <family val="2"/>
        <scheme val="minor"/>
      </rPr>
      <t xml:space="preserve"> Fuel Comsuption is estimated by taking the population from Vehicle Price for Fleet Size mutiplied by Fuel consumption per year.</t>
    </r>
  </si>
  <si>
    <r>
      <t xml:space="preserve">Note: </t>
    </r>
    <r>
      <rPr>
        <sz val="11"/>
        <color theme="1"/>
        <rFont val="Calibri"/>
        <family val="2"/>
        <scheme val="minor"/>
      </rPr>
      <t xml:space="preserve"> Annual VMT is estimated by taking the population from Vehicle Price for Fleet Size mutiplied by VMT.</t>
    </r>
  </si>
  <si>
    <r>
      <t xml:space="preserve">Note: </t>
    </r>
    <r>
      <rPr>
        <sz val="11"/>
        <color theme="1"/>
        <rFont val="Calibri"/>
        <family val="2"/>
        <scheme val="minor"/>
      </rPr>
      <t xml:space="preserve"> Annual Fuel Costs are estimated by taking fuel consumption mutiplied by fuel price.</t>
    </r>
  </si>
  <si>
    <t>Data Sources</t>
  </si>
  <si>
    <t>U.S. Department of Energy, Alternative Fuels Data Center.  "Average Annual Vehicle Miles Traveled of Major Vehicle Categories," June 2015.</t>
  </si>
  <si>
    <t>Station Operation and Maintenance (O&amp;M) Costs</t>
  </si>
  <si>
    <t>Net Present Value (NPV) Calculation Parameters</t>
  </si>
  <si>
    <t>Miles per Gallon  (MPG)</t>
  </si>
  <si>
    <t>Annual Vehicle Miles Traveled</t>
  </si>
  <si>
    <t>Vehicle Miles Traveled (VMT)</t>
  </si>
  <si>
    <t>Alternative Fuel Unit/yr</t>
  </si>
  <si>
    <t>Vehichle Life</t>
  </si>
  <si>
    <t>New Vehicle Price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</si>
  <si>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Annual Vehicle Costs are estimated by taking the vehichle purchase schedule from Vehicle Price multiplied by new vehicle price from Vehichle Price.</t>
    </r>
  </si>
  <si>
    <t>PM (g/mile)</t>
  </si>
  <si>
    <t>Emission Rates - Vehicles</t>
  </si>
  <si>
    <t>NOx (g/mile)</t>
  </si>
  <si>
    <t>VOC (g/mile)</t>
  </si>
  <si>
    <t>Emission Rates - Fuels</t>
  </si>
  <si>
    <t>Total</t>
  </si>
  <si>
    <t>Body-on-Chassis (BOC)</t>
  </si>
  <si>
    <t>Miles per Gallon (MPG)</t>
  </si>
  <si>
    <t>Diesel Price</t>
  </si>
  <si>
    <t>Resource Library</t>
  </si>
  <si>
    <t>Small System Alternative Fuel Assessment Tool</t>
  </si>
  <si>
    <t>This tool has been designed to help small urban and rural transit agencies evaluate the use of alternative fuel vehicles as part of their fleet.</t>
  </si>
  <si>
    <t>Number of Vehicles in Fleet</t>
  </si>
  <si>
    <t>Vehicle Use Characteristics</t>
  </si>
  <si>
    <t>Discount Rate (%)</t>
  </si>
  <si>
    <t>Default
Value</t>
  </si>
  <si>
    <t>User-Defined
Value</t>
  </si>
  <si>
    <t>Legend</t>
  </si>
  <si>
    <t>Default Value</t>
  </si>
  <si>
    <t>Conventional Fuel</t>
  </si>
  <si>
    <t>Output</t>
  </si>
  <si>
    <t>NPV</t>
  </si>
  <si>
    <t>Calculations</t>
  </si>
  <si>
    <t>Drop-Down Menus</t>
  </si>
  <si>
    <t>Summary - NPV</t>
  </si>
  <si>
    <t>Annual Capital Investment</t>
  </si>
  <si>
    <t>Annual Operating/Fuel Costs</t>
  </si>
  <si>
    <t>Identification of Funding Sources</t>
  </si>
  <si>
    <t>In Millions</t>
  </si>
  <si>
    <t>Cost Element</t>
  </si>
  <si>
    <t>Net Present Value (NPV) of 10-Year Costs (in millions)</t>
  </si>
  <si>
    <t xml:space="preserve">All data elements in this worksheet are required to conduct the alternative fuel assessment. </t>
  </si>
  <si>
    <t>To facilitate completion of the data elements, drop-down menus and default values have been included as part of the tool's design.</t>
  </si>
  <si>
    <t>Users may conduct the assessment based on the default values or based on user-defined values.</t>
  </si>
  <si>
    <t>Active
(for use in calculations)</t>
  </si>
  <si>
    <t xml:space="preserve">Station O&amp;M </t>
  </si>
  <si>
    <t>Vocation Type</t>
  </si>
  <si>
    <t>Source - AFLEET Tool</t>
  </si>
  <si>
    <t>Dispensing Rate</t>
  </si>
  <si>
    <t>Gallons (GGE)/yr</t>
  </si>
  <si>
    <t>Sources</t>
  </si>
  <si>
    <t>GGE/yr</t>
  </si>
  <si>
    <t>http://www.afdc.energy.gov/uploads/publication/propane_costs.pdf</t>
  </si>
  <si>
    <t>Station O&amp;M Costs</t>
  </si>
  <si>
    <t>New Private Time Fill Station</t>
  </si>
  <si>
    <t>http://www.afdc.energy.gov/uploads/publication/cng_infrastructure_costs.pdf</t>
  </si>
  <si>
    <t>AFLEET Tool</t>
  </si>
  <si>
    <t>Ethanol</t>
  </si>
  <si>
    <t>Assumption</t>
  </si>
  <si>
    <t>$/item</t>
  </si>
  <si>
    <t>Tanks</t>
  </si>
  <si>
    <t>http://www.afdc.energy.gov/uploads/publication/increasing_biofuel_deployment.pdf</t>
  </si>
  <si>
    <t>Dispeners</t>
  </si>
  <si>
    <t>Hanging Hardware</t>
  </si>
  <si>
    <t>Assume same as gasoline - http://www.afdc.energy.gov/uploads/publication/increasing_biofuel_deployment.pdf</t>
  </si>
  <si>
    <t>Assume lower end of range due to more maintenance, 5-8% of upfront costs - http://www.afdc.energy.gov/pdfs/47919.pdf and https://www.dep.state.fl.us/waste/quick_topics/publications/pss/tanks/ethanol/EthanolStorageinUSTandAST.pdf</t>
  </si>
  <si>
    <t>Gasoline - http://www.afdc.energy.gov/uploads/publication/increasing_biofuel_deployment.pdf</t>
  </si>
  <si>
    <t>Overnight/Slower Charging</t>
  </si>
  <si>
    <t>DC Fast Overnight</t>
  </si>
  <si>
    <t>Single Station (Cost per charger)</t>
  </si>
  <si>
    <t>In Route Charging</t>
  </si>
  <si>
    <t>http://www.afdc.energy.gov/uploads/publication/evse_cost_report_2015.pdf</t>
  </si>
  <si>
    <t>http://www.afdc.energy.gov/uploads/publication/evse_cost_report_2015.pdf; http://www.nyc.gov/html/tlc/downloads/pdf/electric_taxi_task_force_report_20131231.pdf</t>
  </si>
  <si>
    <t>10% Capital</t>
  </si>
  <si>
    <t>Station Cost (Private)</t>
  </si>
  <si>
    <t>$/Station (Private)</t>
  </si>
  <si>
    <t>Gallons (GGE)/day</t>
  </si>
  <si>
    <t>Station Costs</t>
  </si>
  <si>
    <t>EPA MOVES2014a - http://www.epa.gov/otaq/models/moves/index.htm</t>
  </si>
  <si>
    <t>CNG</t>
  </si>
  <si>
    <t>State Average Moves Data - taken from AFLEET Tool, sourced from EPA Moves</t>
  </si>
  <si>
    <t>US National Factors</t>
  </si>
  <si>
    <t>CO</t>
  </si>
  <si>
    <t>NOx</t>
  </si>
  <si>
    <t>PM2.5</t>
  </si>
  <si>
    <t>VOC</t>
  </si>
  <si>
    <t>Ave State factors for CNG transit bus</t>
  </si>
  <si>
    <t>Lake County Ratios</t>
  </si>
  <si>
    <t>Technology</t>
  </si>
  <si>
    <t>Diesel PM</t>
  </si>
  <si>
    <t>NMOC</t>
  </si>
  <si>
    <t>-</t>
  </si>
  <si>
    <t>CNG/RNG</t>
  </si>
  <si>
    <t>(tailpipe)</t>
  </si>
  <si>
    <t>AFLEET Ratios</t>
  </si>
  <si>
    <t>PM10</t>
  </si>
  <si>
    <t>PM10 (TBW)</t>
  </si>
  <si>
    <t>PM2.5 (TBW)</t>
  </si>
  <si>
    <t>VOC (Evap)</t>
  </si>
  <si>
    <t>Vehicle, Fuel</t>
  </si>
  <si>
    <t>Light Commercial Truck,Diesel</t>
  </si>
  <si>
    <t>Light Commercial Truck, Gasoline</t>
  </si>
  <si>
    <t>Transit Bus, CNG</t>
  </si>
  <si>
    <t>Transit Bus, Diesel</t>
  </si>
  <si>
    <t>Pollutant</t>
  </si>
  <si>
    <t>Value</t>
  </si>
  <si>
    <t>Units</t>
  </si>
  <si>
    <t>Low-sulfur diesel</t>
  </si>
  <si>
    <t>Liquefied petroleum gas (LPG)</t>
  </si>
  <si>
    <t>Methyl ester (biodiesel, BD)</t>
  </si>
  <si>
    <t>MJ/MMBtu</t>
  </si>
  <si>
    <t>From GREET2016 (g/MJ)</t>
  </si>
  <si>
    <t>Upstream</t>
  </si>
  <si>
    <t>Tailpipe</t>
  </si>
  <si>
    <t>WTW</t>
  </si>
  <si>
    <t>ILUC</t>
  </si>
  <si>
    <t>Soy Biodiesel</t>
  </si>
  <si>
    <t>Emission Rates</t>
  </si>
  <si>
    <t>Comment</t>
  </si>
  <si>
    <t>Inputs</t>
  </si>
  <si>
    <t>In-Route Charging</t>
  </si>
  <si>
    <t>item</t>
  </si>
  <si>
    <t>Diesel Fuel/Gasoline</t>
  </si>
  <si>
    <t>Purchase Schedule and Vehicle Price</t>
  </si>
  <si>
    <t>Electricity - Charging Option</t>
  </si>
  <si>
    <t xml:space="preserve">Alternative Fuel </t>
  </si>
  <si>
    <r>
      <t>Electricity -</t>
    </r>
    <r>
      <rPr>
        <b/>
        <sz val="11"/>
        <rFont val="Calibri"/>
        <family val="2"/>
        <scheme val="minor"/>
      </rPr>
      <t xml:space="preserve"> In-Route Charging</t>
    </r>
  </si>
  <si>
    <t>Summary</t>
  </si>
  <si>
    <t>Vehicle Maintenance and Repair ($/mile)</t>
  </si>
  <si>
    <t>Vehicle Maintenace and Repair ($/mile)</t>
  </si>
  <si>
    <t>In millions</t>
  </si>
  <si>
    <t>PM</t>
  </si>
  <si>
    <t>Vehicle Emission Rates</t>
  </si>
  <si>
    <t>Conversion Factor Million Joules to Million BTU</t>
  </si>
  <si>
    <t>Conversion Factor Grams to Pounds</t>
  </si>
  <si>
    <t>gram to pounds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</si>
  <si>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Fuel (GHG) Emissions were calculated by taking Fuel Consumption multiplied by Emission Rate - Fuels. Then, divided by 10^6 to put into MT CO2e.</t>
    </r>
  </si>
  <si>
    <t xml:space="preserve"> Vehicle Emissions (lbs/day)</t>
  </si>
  <si>
    <t>for Alternative Fuel</t>
  </si>
  <si>
    <t>for Diesel Fuel</t>
  </si>
  <si>
    <t>Emission Reductions</t>
  </si>
  <si>
    <t>Default Inputs</t>
  </si>
  <si>
    <t>Fuel Prices</t>
  </si>
  <si>
    <t>Infrastructure and Maintenance Costs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</si>
  <si>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Vehicle emissions are calculated by taking total VMT multiplied times Emission Rates - Vehicles.Then, the product is converted into lbs/day.</t>
    </r>
  </si>
  <si>
    <t>Fuel Emissions (MT CO2e/yr)</t>
  </si>
  <si>
    <r>
      <t xml:space="preserve">GHG </t>
    </r>
    <r>
      <rPr>
        <sz val="8"/>
        <color theme="1"/>
        <rFont val="Calibri"/>
        <family val="2"/>
        <scheme val="minor"/>
      </rPr>
      <t>(MT CO2e/yr)</t>
    </r>
  </si>
  <si>
    <r>
      <t>PM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(lbs/day)</t>
    </r>
  </si>
  <si>
    <r>
      <t>VOC</t>
    </r>
    <r>
      <rPr>
        <sz val="8"/>
        <color theme="1"/>
        <rFont val="Calibri"/>
        <family val="2"/>
        <scheme val="minor"/>
      </rPr>
      <t xml:space="preserve"> (lbs/day)</t>
    </r>
  </si>
  <si>
    <r>
      <t xml:space="preserve">NOx </t>
    </r>
    <r>
      <rPr>
        <sz val="8"/>
        <color theme="1"/>
        <rFont val="Calibri"/>
        <family val="2"/>
        <scheme val="minor"/>
      </rPr>
      <t>(lbs/day)</t>
    </r>
  </si>
  <si>
    <t>Source: U.S. Energy Information Administration, AEO 2017</t>
  </si>
  <si>
    <t>Compressed Natural Gas (CNG) - Conventional (fossil)</t>
  </si>
  <si>
    <t>Compressed Natural Gas (CNG) - Renewable</t>
  </si>
  <si>
    <t>Gasoline Price - Default Valule</t>
  </si>
  <si>
    <t>Gasoline Price - User-Defined</t>
  </si>
  <si>
    <t>Gasoline - Default Value</t>
  </si>
  <si>
    <t>Gasoline - User-Defined Value</t>
  </si>
  <si>
    <t>Gasoline $/gallon</t>
  </si>
  <si>
    <t>Gasoline Price</t>
  </si>
  <si>
    <t>Gasoline Gallon Equivalent (DGE)/yr</t>
  </si>
  <si>
    <t>Biodiesel</t>
  </si>
  <si>
    <t>Fuel Price (2016 $/gallon)</t>
  </si>
  <si>
    <t>User-Defined Value</t>
  </si>
  <si>
    <t>Biodiesel INCREMENTAL PRICE (if applicable)</t>
  </si>
  <si>
    <t>Baseline Fuel</t>
  </si>
  <si>
    <t>Incremental Price of Biodiesel over Diesel Fuel</t>
  </si>
  <si>
    <t>Baseline Fuel by Vehicle Type</t>
  </si>
  <si>
    <t>Conventional Fuel Costs - Gasoline or Diesel Fuel ($/yr)</t>
  </si>
  <si>
    <t>Conventional Fuel Costs - GASOLINE or DIESEL FUEL ($)</t>
  </si>
  <si>
    <t>Cost</t>
  </si>
  <si>
    <t xml:space="preserve">Conventional Fuel Displaced - Gasoline or Diesel Fuel (DGE/yr) </t>
  </si>
  <si>
    <t>Conventional Fuel Displaced (DGE/yr) - GASOLINE or DIESEL FUEL</t>
  </si>
  <si>
    <t>Conventional Fuel - Gasoline or Diesel</t>
  </si>
  <si>
    <t>Conventional Fuel Costs - Gasoline or Diesel Fuel</t>
  </si>
  <si>
    <t>Baseline (Conventional Fuel - Gasoline or Diesel Fuel)</t>
  </si>
  <si>
    <t>Gasoline or Diesel Fuel, Based on Vehicle Type</t>
  </si>
  <si>
    <t>Conversion to Selected Alternative Fuel Is Not Available for This Vehicle Type</t>
  </si>
  <si>
    <r>
      <t xml:space="preserve">Electricity - </t>
    </r>
    <r>
      <rPr>
        <b/>
        <sz val="11"/>
        <rFont val="Calibri"/>
        <family val="2"/>
        <scheme val="minor"/>
      </rPr>
      <t>Overnight Charging</t>
    </r>
  </si>
  <si>
    <t>Version 20170918</t>
  </si>
  <si>
    <r>
      <t xml:space="preserve">Change Factor for </t>
    </r>
    <r>
      <rPr>
        <b/>
        <sz val="11"/>
        <color rgb="FFFF0000"/>
        <rFont val="Calibri"/>
        <family val="2"/>
        <scheme val="minor"/>
      </rPr>
      <t>Gasoline</t>
    </r>
    <r>
      <rPr>
        <b/>
        <sz val="11"/>
        <color theme="1"/>
        <rFont val="Calibri"/>
        <family val="2"/>
        <scheme val="minor"/>
      </rPr>
      <t xml:space="preserve"> Value</t>
    </r>
  </si>
  <si>
    <r>
      <t xml:space="preserve">Change Factor for </t>
    </r>
    <r>
      <rPr>
        <b/>
        <sz val="11"/>
        <color rgb="FFFF0000"/>
        <rFont val="Calibri"/>
        <family val="2"/>
        <scheme val="minor"/>
      </rPr>
      <t>Diesel</t>
    </r>
    <r>
      <rPr>
        <b/>
        <sz val="11"/>
        <color theme="1"/>
        <rFont val="Calibri"/>
        <family val="2"/>
        <scheme val="minor"/>
      </rPr>
      <t xml:space="preserve"> Value</t>
    </r>
  </si>
  <si>
    <r>
      <rPr>
        <b/>
        <sz val="11"/>
        <rFont val="Calibri"/>
        <family val="2"/>
        <scheme val="minor"/>
      </rPr>
      <t>If "</t>
    </r>
    <r>
      <rPr>
        <b/>
        <sz val="11"/>
        <color theme="5" tint="-0.249977111117893"/>
        <rFont val="Calibri"/>
        <family val="2"/>
        <scheme val="minor"/>
      </rPr>
      <t>Electricity</t>
    </r>
    <r>
      <rPr>
        <b/>
        <sz val="11"/>
        <rFont val="Calibri"/>
        <family val="2"/>
        <scheme val="minor"/>
      </rPr>
      <t>" was selected, select the charging option:</t>
    </r>
  </si>
  <si>
    <r>
      <t xml:space="preserve">If </t>
    </r>
    <r>
      <rPr>
        <b/>
        <sz val="11"/>
        <rFont val="Calibri"/>
        <family val="2"/>
        <scheme val="minor"/>
      </rPr>
      <t>"</t>
    </r>
    <r>
      <rPr>
        <b/>
        <sz val="11"/>
        <color theme="5" tint="-0.249977111117893"/>
        <rFont val="Calibri"/>
        <family val="2"/>
        <scheme val="minor"/>
      </rPr>
      <t>Biodiesel</t>
    </r>
    <r>
      <rPr>
        <b/>
        <sz val="11"/>
        <rFont val="Calibri"/>
        <family val="2"/>
        <scheme val="minor"/>
      </rPr>
      <t>"</t>
    </r>
    <r>
      <rPr>
        <b/>
        <sz val="11"/>
        <color theme="1"/>
        <rFont val="Calibri"/>
        <family val="2"/>
        <scheme val="minor"/>
      </rPr>
      <t xml:space="preserve"> was selected, provide INCREMENTAL PRICE over diesel (2016 $/gallon):</t>
    </r>
  </si>
  <si>
    <t>Version 20170928</t>
  </si>
  <si>
    <t>To be updated at a later time</t>
  </si>
  <si>
    <t>Megajoules</t>
  </si>
  <si>
    <t>MJ</t>
  </si>
  <si>
    <t>MMBtu</t>
  </si>
  <si>
    <t>Gram</t>
  </si>
  <si>
    <t>g</t>
  </si>
  <si>
    <t>Million British Thermal Unit</t>
  </si>
  <si>
    <t>Gasoline Gallon Equivalent</t>
  </si>
  <si>
    <t>Diesel Gallong Equivalent</t>
  </si>
  <si>
    <t>DGE</t>
  </si>
  <si>
    <t>BD</t>
  </si>
  <si>
    <t>LPG</t>
  </si>
  <si>
    <t>Liquefied Petroleum Gas</t>
  </si>
  <si>
    <t>Energy Economy Ratio</t>
  </si>
  <si>
    <t>EER</t>
  </si>
  <si>
    <t>Compressed Natural Gas</t>
  </si>
  <si>
    <t>Ethanol 85% blend by volume</t>
  </si>
  <si>
    <t>E85</t>
  </si>
  <si>
    <t>MPG</t>
  </si>
  <si>
    <t>Vehicle Miles Traveled</t>
  </si>
  <si>
    <t>Net Present Value</t>
  </si>
  <si>
    <t>Oxides of Nitrogen</t>
  </si>
  <si>
    <t>Volatile Organic Compounds</t>
  </si>
  <si>
    <t>Particulate Matter</t>
  </si>
  <si>
    <t>Greenhouse Gas Emissions</t>
  </si>
  <si>
    <t>lbs</t>
  </si>
  <si>
    <t>Pounds</t>
  </si>
  <si>
    <t>MT</t>
  </si>
  <si>
    <t>Metric Ton</t>
  </si>
  <si>
    <t>CO2e</t>
  </si>
  <si>
    <t>Carbon Dioxide Equivalent</t>
  </si>
  <si>
    <t xml:space="preserve">VOC </t>
  </si>
  <si>
    <t xml:space="preserve">PM </t>
  </si>
  <si>
    <t xml:space="preserve">GHG </t>
  </si>
  <si>
    <t>O&amp;M</t>
  </si>
  <si>
    <t>Operations and Maintenance</t>
  </si>
  <si>
    <t>Abbreviations and Acronyms</t>
  </si>
  <si>
    <t>Renewable Natural Gas</t>
  </si>
  <si>
    <t>RNG</t>
  </si>
  <si>
    <t>Miles Per Gallon</t>
  </si>
  <si>
    <t>Body-On-Chassis</t>
  </si>
  <si>
    <t>Enter the total fleet population and any fleet specific values for VMT, MPG and vehicle life.</t>
  </si>
  <si>
    <t>Instructions</t>
  </si>
  <si>
    <t>in</t>
  </si>
  <si>
    <t>these</t>
  </si>
  <si>
    <t>colors</t>
  </si>
  <si>
    <t>Required input</t>
  </si>
  <si>
    <t>Optional (User-Defined Values)</t>
  </si>
  <si>
    <t>Tabs ('Constants' through 'Overview') highlighted</t>
  </si>
  <si>
    <t xml:space="preserve">The 'Inputs' tab consists of five sections numbered 1-5 for required/optional user input to run the tool. </t>
  </si>
  <si>
    <t>1. Small System Transit System Fleet Location</t>
  </si>
  <si>
    <t>2. Vehicle Use</t>
  </si>
  <si>
    <t>3. Fuel Use</t>
  </si>
  <si>
    <t>3a. Conventional Fuel</t>
  </si>
  <si>
    <t>3b. Alternative Fuel</t>
  </si>
  <si>
    <t xml:space="preserve">4. Purchase Schedule </t>
  </si>
  <si>
    <t>5. Cost Estimation Parameters</t>
  </si>
  <si>
    <t xml:space="preserve">User inputs on the 'Inputs' tab are marked either required or optional. See Legend. </t>
  </si>
  <si>
    <t>do not require user input. These tabs include reference data tied to 'Inputs' and 'Output' tab.</t>
  </si>
  <si>
    <t>Enter the year new vehicle purchases start and the number of alternative fuels vehicles purchased each year that replace conventional vehicles.</t>
  </si>
  <si>
    <t>Version 20171227</t>
  </si>
  <si>
    <t>Annual Baseline Emissions, Alternative Fuel Emissions, and Emission Reductions</t>
  </si>
  <si>
    <t>The Federal and State Laws and Incentives page on the Alternative Fuel Data Center webpage is the most comprehensive and up-to-date location of additional funding sources for alternative fuels</t>
  </si>
  <si>
    <t xml:space="preserve">www.afdc.energy.gov/laws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</si>
</sst>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&quot;$&quot;* #,##0.0_);_(&quot;$&quot;* \(#,##0.0\);_(&quot;$&quot;* &quot;-&quot;?_);_(@_)"/>
    <numFmt numFmtId="168" formatCode="#,##0.00000"/>
  </numFmts>
  <fonts count="4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28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4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C285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FFB46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9" fillId="0" borderId="0"/>
    <xf numFmtId="0" fontId="22" fillId="0" borderId="0"/>
  </cellStyleXfs>
  <cellXfs count="29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2" borderId="0" xfId="0" applyFont="1" applyFill="1"/>
    <xf numFmtId="0" fontId="3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10"/>
    </xf>
    <xf numFmtId="0" fontId="9" fillId="0" borderId="0" xfId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1"/>
    <xf numFmtId="0" fontId="0" fillId="4" borderId="0" xfId="0" applyFill="1"/>
    <xf numFmtId="0" fontId="10" fillId="4" borderId="0" xfId="0" applyFont="1" applyFill="1"/>
    <xf numFmtId="0" fontId="11" fillId="0" borderId="0" xfId="0" applyFont="1"/>
    <xf numFmtId="0" fontId="9" fillId="0" borderId="0" xfId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Fill="1"/>
    <xf numFmtId="0" fontId="0" fillId="0" borderId="3" xfId="0" applyBorder="1"/>
    <xf numFmtId="0" fontId="20" fillId="7" borderId="3" xfId="5" applyFont="1" applyFill="1" applyBorder="1" applyAlignment="1">
      <alignment horizontal="center"/>
    </xf>
    <xf numFmtId="0" fontId="21" fillId="0" borderId="3" xfId="6" applyFont="1" applyFill="1" applyBorder="1" applyAlignment="1">
      <alignment wrapText="1"/>
    </xf>
    <xf numFmtId="0" fontId="20" fillId="7" borderId="3" xfId="6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8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0" fillId="0" borderId="0" xfId="2" applyNumberFormat="1" applyFont="1" applyAlignment="1">
      <alignment horizontal="center" vertical="center"/>
    </xf>
    <xf numFmtId="0" fontId="0" fillId="9" borderId="3" xfId="0" applyNumberFormat="1" applyFont="1" applyFill="1" applyBorder="1" applyAlignment="1">
      <alignment horizontal="center" vertical="center"/>
    </xf>
    <xf numFmtId="0" fontId="0" fillId="10" borderId="3" xfId="0" applyNumberFormat="1" applyFont="1" applyFill="1" applyBorder="1" applyAlignment="1">
      <alignment horizontal="center" vertical="center"/>
    </xf>
    <xf numFmtId="0" fontId="0" fillId="12" borderId="3" xfId="0" applyNumberFormat="1" applyFont="1" applyFill="1" applyBorder="1" applyAlignment="1">
      <alignment horizontal="center" vertical="center"/>
    </xf>
    <xf numFmtId="0" fontId="0" fillId="11" borderId="3" xfId="0" applyNumberFormat="1" applyFont="1" applyFill="1" applyBorder="1" applyAlignment="1">
      <alignment horizontal="center" vertical="center"/>
    </xf>
    <xf numFmtId="0" fontId="0" fillId="13" borderId="3" xfId="0" applyNumberFormat="1" applyFont="1" applyFill="1" applyBorder="1" applyAlignment="1">
      <alignment horizontal="center" vertical="center"/>
    </xf>
    <xf numFmtId="0" fontId="0" fillId="14" borderId="3" xfId="0" applyNumberFormat="1" applyFont="1" applyFill="1" applyBorder="1" applyAlignment="1">
      <alignment horizontal="center" vertical="center"/>
    </xf>
    <xf numFmtId="0" fontId="0" fillId="15" borderId="3" xfId="0" applyNumberFormat="1" applyFont="1" applyFill="1" applyBorder="1" applyAlignment="1">
      <alignment horizontal="center" vertical="center"/>
    </xf>
    <xf numFmtId="0" fontId="0" fillId="6" borderId="3" xfId="0" applyNumberFormat="1" applyFont="1" applyFill="1" applyBorder="1" applyAlignment="1">
      <alignment horizontal="center" vertical="center"/>
    </xf>
    <xf numFmtId="0" fontId="0" fillId="16" borderId="3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16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10" fillId="8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 wrapText="1"/>
    </xf>
    <xf numFmtId="37" fontId="0" fillId="0" borderId="3" xfId="0" applyNumberFormat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/>
    <xf numFmtId="0" fontId="0" fillId="0" borderId="3" xfId="0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8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3" fontId="0" fillId="0" borderId="3" xfId="3" applyNumberFormat="1" applyFont="1" applyFill="1" applyBorder="1" applyAlignment="1">
      <alignment horizontal="center" vertical="center"/>
    </xf>
    <xf numFmtId="37" fontId="0" fillId="0" borderId="3" xfId="3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3" fontId="0" fillId="0" borderId="3" xfId="3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0" fillId="8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5" fontId="0" fillId="0" borderId="3" xfId="3" applyNumberFormat="1" applyFont="1" applyBorder="1" applyAlignment="1">
      <alignment horizontal="center" vertical="center"/>
    </xf>
    <xf numFmtId="0" fontId="26" fillId="2" borderId="0" xfId="0" applyFont="1" applyFill="1" applyAlignment="1"/>
    <xf numFmtId="0" fontId="0" fillId="0" borderId="0" xfId="0" applyAlignment="1">
      <alignment horizont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4" fillId="5" borderId="3" xfId="0" applyFont="1" applyFill="1" applyBorder="1" applyAlignment="1">
      <alignment vertical="center"/>
    </xf>
    <xf numFmtId="0" fontId="14" fillId="5" borderId="3" xfId="0" applyNumberFormat="1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7" fontId="0" fillId="20" borderId="3" xfId="3" applyNumberFormat="1" applyFont="1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165" fontId="0" fillId="20" borderId="3" xfId="0" applyNumberFormat="1" applyFill="1" applyBorder="1" applyAlignment="1">
      <alignment horizontal="center" vertical="center"/>
    </xf>
    <xf numFmtId="9" fontId="0" fillId="2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0" fillId="20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0" fontId="0" fillId="20" borderId="0" xfId="0" applyFill="1"/>
    <xf numFmtId="0" fontId="0" fillId="20" borderId="3" xfId="0" applyFill="1" applyBorder="1" applyAlignment="1">
      <alignment vertical="center"/>
    </xf>
    <xf numFmtId="9" fontId="0" fillId="20" borderId="0" xfId="0" applyNumberFormat="1" applyFill="1" applyAlignment="1">
      <alignment horizontal="left" vertical="center"/>
    </xf>
    <xf numFmtId="0" fontId="17" fillId="20" borderId="0" xfId="0" applyFont="1" applyFill="1" applyAlignment="1">
      <alignment vertical="center"/>
    </xf>
    <xf numFmtId="0" fontId="0" fillId="20" borderId="3" xfId="0" applyFill="1" applyBorder="1" applyAlignment="1">
      <alignment horizontal="left" vertical="center"/>
    </xf>
    <xf numFmtId="5" fontId="0" fillId="20" borderId="3" xfId="4" applyNumberFormat="1" applyFont="1" applyFill="1" applyBorder="1" applyAlignment="1">
      <alignment horizontal="center" vertical="center"/>
    </xf>
    <xf numFmtId="3" fontId="0" fillId="20" borderId="3" xfId="0" applyNumberFormat="1" applyFill="1" applyBorder="1" applyAlignment="1">
      <alignment horizontal="center" vertical="center"/>
    </xf>
    <xf numFmtId="0" fontId="16" fillId="20" borderId="0" xfId="0" applyFont="1" applyFill="1" applyAlignment="1">
      <alignment vertical="center"/>
    </xf>
    <xf numFmtId="0" fontId="0" fillId="20" borderId="4" xfId="0" applyNumberFormat="1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/>
    </xf>
    <xf numFmtId="5" fontId="0" fillId="20" borderId="0" xfId="0" applyNumberFormat="1" applyFill="1"/>
    <xf numFmtId="0" fontId="32" fillId="0" borderId="3" xfId="0" applyFont="1" applyBorder="1" applyAlignment="1">
      <alignment horizontal="right" vertical="center"/>
    </xf>
    <xf numFmtId="5" fontId="32" fillId="0" borderId="3" xfId="3" applyNumberFormat="1" applyFont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8" fontId="1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8" fontId="10" fillId="0" borderId="0" xfId="0" applyNumberFormat="1" applyFont="1" applyBorder="1" applyAlignment="1">
      <alignment horizontal="center" vertical="center"/>
    </xf>
    <xf numFmtId="8" fontId="14" fillId="0" borderId="0" xfId="0" applyNumberFormat="1" applyFont="1" applyBorder="1" applyAlignment="1">
      <alignment horizontal="center" vertical="center"/>
    </xf>
    <xf numFmtId="5" fontId="32" fillId="0" borderId="4" xfId="3" applyNumberFormat="1" applyFon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8" fontId="10" fillId="0" borderId="2" xfId="0" applyNumberFormat="1" applyFont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5" fontId="0" fillId="0" borderId="7" xfId="0" applyNumberFormat="1" applyBorder="1" applyAlignment="1">
      <alignment horizontal="center" vertical="center"/>
    </xf>
    <xf numFmtId="5" fontId="10" fillId="0" borderId="7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/>
    </xf>
    <xf numFmtId="37" fontId="10" fillId="0" borderId="3" xfId="0" applyNumberFormat="1" applyFont="1" applyBorder="1" applyAlignment="1">
      <alignment horizontal="center"/>
    </xf>
    <xf numFmtId="0" fontId="10" fillId="8" borderId="3" xfId="0" applyFont="1" applyFill="1" applyBorder="1" applyAlignment="1">
      <alignment horizontal="center" vertical="center"/>
    </xf>
    <xf numFmtId="7" fontId="0" fillId="0" borderId="3" xfId="4" applyNumberFormat="1" applyFont="1" applyBorder="1" applyAlignment="1">
      <alignment horizontal="center" vertical="center"/>
    </xf>
    <xf numFmtId="7" fontId="0" fillId="0" borderId="3" xfId="4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0" fillId="0" borderId="3" xfId="0" applyFill="1" applyBorder="1" applyAlignment="1">
      <alignment vertical="center" wrapText="1"/>
    </xf>
    <xf numFmtId="9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168" fontId="0" fillId="0" borderId="3" xfId="0" applyNumberForma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5" fontId="0" fillId="0" borderId="3" xfId="4" applyNumberFormat="1" applyFont="1" applyFill="1" applyBorder="1" applyAlignment="1">
      <alignment horizontal="center" vertical="center"/>
    </xf>
    <xf numFmtId="0" fontId="23" fillId="20" borderId="0" xfId="0" applyFont="1" applyFill="1" applyAlignment="1">
      <alignment vertical="center"/>
    </xf>
    <xf numFmtId="165" fontId="0" fillId="20" borderId="0" xfId="0" applyNumberFormat="1" applyFont="1" applyFill="1" applyAlignment="1">
      <alignment horizontal="left" vertical="center"/>
    </xf>
    <xf numFmtId="0" fontId="34" fillId="0" borderId="0" xfId="0" applyFont="1" applyAlignment="1">
      <alignment vertical="center"/>
    </xf>
    <xf numFmtId="7" fontId="0" fillId="0" borderId="0" xfId="4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37" fontId="0" fillId="0" borderId="3" xfId="3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0" fillId="21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vertical="center" wrapText="1"/>
    </xf>
    <xf numFmtId="0" fontId="0" fillId="21" borderId="0" xfId="0" applyFill="1" applyBorder="1" applyAlignment="1">
      <alignment vertical="center"/>
    </xf>
    <xf numFmtId="167" fontId="0" fillId="21" borderId="0" xfId="0" applyNumberFormat="1" applyFill="1" applyAlignment="1">
      <alignment vertical="center"/>
    </xf>
    <xf numFmtId="0" fontId="10" fillId="21" borderId="0" xfId="0" applyFont="1" applyFill="1" applyAlignment="1">
      <alignment horizontal="center" vertical="center"/>
    </xf>
    <xf numFmtId="164" fontId="0" fillId="21" borderId="0" xfId="0" applyNumberFormat="1" applyFill="1" applyBorder="1" applyAlignment="1">
      <alignment horizontal="left" vertical="center"/>
    </xf>
    <xf numFmtId="164" fontId="10" fillId="21" borderId="0" xfId="0" applyNumberFormat="1" applyFont="1" applyFill="1" applyBorder="1" applyAlignment="1">
      <alignment vertical="center"/>
    </xf>
    <xf numFmtId="0" fontId="0" fillId="21" borderId="3" xfId="0" applyFill="1" applyBorder="1" applyAlignment="1">
      <alignment vertical="center"/>
    </xf>
    <xf numFmtId="166" fontId="0" fillId="21" borderId="3" xfId="4" applyNumberFormat="1" applyFont="1" applyFill="1" applyBorder="1" applyAlignment="1">
      <alignment vertical="center"/>
    </xf>
    <xf numFmtId="0" fontId="0" fillId="21" borderId="3" xfId="0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6" fillId="21" borderId="0" xfId="0" applyFont="1" applyFill="1" applyAlignment="1">
      <alignment vertical="center"/>
    </xf>
    <xf numFmtId="37" fontId="15" fillId="0" borderId="3" xfId="3" applyNumberFormat="1" applyFont="1" applyFill="1" applyBorder="1" applyAlignment="1">
      <alignment horizontal="center" vertical="center"/>
    </xf>
    <xf numFmtId="37" fontId="0" fillId="21" borderId="3" xfId="4" applyNumberFormat="1" applyFont="1" applyFill="1" applyBorder="1" applyAlignment="1">
      <alignment horizontal="right" vertical="center"/>
    </xf>
    <xf numFmtId="0" fontId="0" fillId="8" borderId="3" xfId="0" applyFill="1" applyBorder="1"/>
    <xf numFmtId="0" fontId="0" fillId="20" borderId="0" xfId="0" applyFill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5" fontId="10" fillId="0" borderId="3" xfId="0" applyNumberFormat="1" applyFont="1" applyBorder="1" applyAlignment="1">
      <alignment horizontal="center"/>
    </xf>
    <xf numFmtId="7" fontId="0" fillId="20" borderId="3" xfId="4" applyNumberFormat="1" applyFont="1" applyFill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 vertical="center"/>
    </xf>
    <xf numFmtId="6" fontId="1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0" fillId="20" borderId="0" xfId="0" applyFont="1" applyFill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5" fontId="0" fillId="0" borderId="3" xfId="0" applyNumberForma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0" fillId="20" borderId="0" xfId="0" applyFill="1" applyBorder="1" applyAlignment="1">
      <alignment vertical="center"/>
    </xf>
    <xf numFmtId="3" fontId="0" fillId="20" borderId="0" xfId="0" applyNumberFormat="1" applyFill="1" applyBorder="1" applyAlignment="1">
      <alignment horizontal="center" vertical="center"/>
    </xf>
    <xf numFmtId="5" fontId="0" fillId="20" borderId="0" xfId="4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5" fontId="0" fillId="22" borderId="3" xfId="4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indent="2"/>
    </xf>
    <xf numFmtId="0" fontId="41" fillId="0" borderId="0" xfId="0" applyFont="1"/>
    <xf numFmtId="0" fontId="14" fillId="0" borderId="0" xfId="0" applyFont="1" applyAlignment="1">
      <alignment vertical="center"/>
    </xf>
    <xf numFmtId="0" fontId="37" fillId="0" borderId="8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10" fillId="6" borderId="3" xfId="0" applyFont="1" applyFill="1" applyBorder="1" applyAlignment="1">
      <alignment horizontal="center" vertical="center" wrapText="1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>
      <alignment vertical="center"/>
    </xf>
    <xf numFmtId="0" fontId="0" fillId="9" borderId="3" xfId="0" applyFill="1" applyBorder="1" applyAlignment="1">
      <alignment horizontal="center" vertical="center"/>
    </xf>
    <xf numFmtId="0" fontId="0" fillId="6" borderId="3" xfId="0" applyFill="1" applyBorder="1" applyAlignment="1" applyProtection="1">
      <alignment horizontal="center" vertical="center"/>
      <protection locked="0"/>
    </xf>
    <xf numFmtId="165" fontId="0" fillId="6" borderId="3" xfId="3" applyNumberFormat="1" applyFont="1" applyFill="1" applyBorder="1" applyAlignment="1" applyProtection="1">
      <alignment horizontal="center" vertical="center"/>
      <protection locked="0"/>
    </xf>
    <xf numFmtId="9" fontId="0" fillId="6" borderId="3" xfId="2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0" fillId="5" borderId="11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10" fillId="23" borderId="0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32" fillId="5" borderId="0" xfId="0" applyFont="1" applyFill="1" applyBorder="1" applyAlignment="1">
      <alignment vertical="center"/>
    </xf>
    <xf numFmtId="0" fontId="32" fillId="5" borderId="11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0" fillId="20" borderId="4" xfId="0" applyFont="1" applyFill="1" applyBorder="1" applyAlignment="1">
      <alignment horizontal="center" vertical="center"/>
    </xf>
    <xf numFmtId="0" fontId="10" fillId="20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44" fillId="6" borderId="4" xfId="0" applyFont="1" applyFill="1" applyBorder="1" applyAlignment="1">
      <alignment horizontal="center" vertical="center"/>
    </xf>
    <xf numFmtId="0" fontId="44" fillId="6" borderId="2" xfId="0" applyFont="1" applyFill="1" applyBorder="1" applyAlignment="1">
      <alignment horizontal="center" vertical="center"/>
    </xf>
    <xf numFmtId="0" fontId="0" fillId="9" borderId="3" xfId="0" applyFill="1" applyBorder="1" applyAlignment="1" applyProtection="1">
      <alignment vertical="center"/>
      <protection locked="0"/>
    </xf>
    <xf numFmtId="0" fontId="0" fillId="9" borderId="3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4" fontId="10" fillId="0" borderId="3" xfId="0" applyNumberFormat="1" applyFont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center" vertical="center"/>
    </xf>
    <xf numFmtId="0" fontId="26" fillId="17" borderId="0" xfId="0" applyFont="1" applyFill="1" applyAlignment="1">
      <alignment horizontal="left"/>
    </xf>
    <xf numFmtId="0" fontId="26" fillId="17" borderId="0" xfId="0" applyFont="1" applyFill="1" applyAlignment="1">
      <alignment horizontal="left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0" fillId="21" borderId="0" xfId="0" applyFill="1" applyAlignment="1">
      <alignment horizontal="left" vertical="center" wrapText="1"/>
    </xf>
    <xf numFmtId="0" fontId="0" fillId="21" borderId="0" xfId="0" applyFill="1" applyBorder="1" applyAlignment="1">
      <alignment horizontal="left" vertical="center" wrapText="1"/>
    </xf>
    <xf numFmtId="0" fontId="27" fillId="18" borderId="0" xfId="0" applyFont="1" applyFill="1" applyAlignment="1">
      <alignment horizontal="left" vertical="center"/>
    </xf>
    <xf numFmtId="0" fontId="10" fillId="20" borderId="4" xfId="0" applyFont="1" applyFill="1" applyBorder="1" applyAlignment="1">
      <alignment horizontal="left" vertical="center"/>
    </xf>
    <xf numFmtId="0" fontId="10" fillId="20" borderId="1" xfId="0" applyFont="1" applyFill="1" applyBorder="1" applyAlignment="1">
      <alignment horizontal="left" vertical="center"/>
    </xf>
    <xf numFmtId="0" fontId="10" fillId="20" borderId="2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27" fillId="18" borderId="0" xfId="0" applyFont="1" applyFill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26" fillId="19" borderId="0" xfId="0" applyFont="1" applyFill="1" applyAlignment="1">
      <alignment horizontal="left" vertical="center"/>
    </xf>
    <xf numFmtId="0" fontId="26" fillId="19" borderId="0" xfId="0" applyFont="1" applyFill="1" applyAlignment="1"/>
    <xf numFmtId="0" fontId="26" fillId="19" borderId="0" xfId="0" applyFont="1" applyFill="1" applyAlignment="1">
      <alignment horizontal="left"/>
    </xf>
    <xf numFmtId="0" fontId="37" fillId="0" borderId="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7">
    <cellStyle name="Comma" xfId="3" builtinId="3"/>
    <cellStyle name="Currency" xfId="4" builtinId="4"/>
    <cellStyle name="Hyperlink" xfId="1" builtinId="8"/>
    <cellStyle name="Normal" xfId="0" builtinId="0"/>
    <cellStyle name="Normal_Fuel Price_MR" xfId="5"/>
    <cellStyle name="Normal_Fuel Price_MR_1" xfId="6"/>
    <cellStyle name="Percent" xfId="2" builtinId="5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BDBD"/>
      <color rgb="FFCCCCFF"/>
      <color rgb="FFFFB469"/>
      <color rgb="FFFFA953"/>
      <color rgb="FFFFB66D"/>
      <color rgb="FFFFC285"/>
      <color rgb="FFFFCD9B"/>
      <color rgb="FFFFD7AF"/>
      <color rgb="FFFFD9D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732716400140704"/>
          <c:y val="6.205810780649227E-2"/>
          <c:w val="0.76739011184988948"/>
          <c:h val="0.7204435776663589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'Combined Costs'!$A$38</c:f>
              <c:strCache>
                <c:ptCount val="1"/>
                <c:pt idx="0">
                  <c:v>Vehicles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'Combined Costs'!$B$37:$C$37</c:f>
              <c:strCache>
                <c:ptCount val="2"/>
                <c:pt idx="0">
                  <c:v> </c:v>
                </c:pt>
                <c:pt idx="1">
                  <c:v>Conventional Fuel</c:v>
                </c:pt>
              </c:strCache>
            </c:strRef>
          </c:cat>
          <c:val>
            <c:numRef>
              <c:f>'Combined Costs'!$B$38:$C$38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'Combined Costs'!$A$39</c:f>
              <c:strCache>
                <c:ptCount val="1"/>
                <c:pt idx="0">
                  <c:v>Station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'Combined Costs'!$B$37:$C$37</c:f>
              <c:strCache>
                <c:ptCount val="2"/>
                <c:pt idx="0">
                  <c:v> </c:v>
                </c:pt>
                <c:pt idx="1">
                  <c:v>Conventional Fuel</c:v>
                </c:pt>
              </c:strCache>
            </c:strRef>
          </c:cat>
          <c:val>
            <c:numRef>
              <c:f>'Combined Costs'!$B$39:$C$39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'Combined Costs'!$A$40</c:f>
              <c:strCache>
                <c:ptCount val="1"/>
                <c:pt idx="0">
                  <c:v>Station O&amp;M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'Combined Costs'!$B$37:$C$37</c:f>
              <c:strCache>
                <c:ptCount val="2"/>
                <c:pt idx="0">
                  <c:v> </c:v>
                </c:pt>
                <c:pt idx="1">
                  <c:v>Conventional Fuel</c:v>
                </c:pt>
              </c:strCache>
            </c:strRef>
          </c:cat>
          <c:val>
            <c:numRef>
              <c:f>'Combined Costs'!$B$40:$C$40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'Combined Costs'!$A$41</c:f>
              <c:strCache>
                <c:ptCount val="1"/>
                <c:pt idx="0">
                  <c:v>Vehicle O&amp;M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'Combined Costs'!$B$37:$C$37</c:f>
              <c:strCache>
                <c:ptCount val="2"/>
                <c:pt idx="0">
                  <c:v> </c:v>
                </c:pt>
                <c:pt idx="1">
                  <c:v>Conventional Fuel</c:v>
                </c:pt>
              </c:strCache>
            </c:strRef>
          </c:cat>
          <c:val>
            <c:numRef>
              <c:f>'Combined Costs'!$B$41:$C$41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'Combined Costs'!$A$42</c:f>
              <c:strCache>
                <c:ptCount val="1"/>
                <c:pt idx="0">
                  <c:v>Fuel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'Combined Costs'!$B$37:$C$37</c:f>
              <c:strCache>
                <c:ptCount val="2"/>
                <c:pt idx="0">
                  <c:v> </c:v>
                </c:pt>
                <c:pt idx="1">
                  <c:v>Conventional Fuel</c:v>
                </c:pt>
              </c:strCache>
            </c:strRef>
          </c:cat>
          <c:val>
            <c:numRef>
              <c:f>'Combined Costs'!$B$42:$C$42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2348880"/>
        <c:axId val="233303848"/>
        <c:axId val="0"/>
      </c:bar3DChart>
      <c:catAx>
        <c:axId val="66234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3848"/>
        <c:crosses val="autoZero"/>
        <c:auto val="1"/>
        <c:lblAlgn val="ctr"/>
        <c:lblOffset val="100"/>
        <c:noMultiLvlLbl val="0"/>
      </c:catAx>
      <c:valAx>
        <c:axId val="23330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R" sz="1200"/>
                  <a:t>In</a:t>
                </a:r>
                <a:r>
                  <a:rPr lang="es-PR" sz="1200" baseline="0"/>
                  <a:t> </a:t>
                </a:r>
                <a:r>
                  <a:rPr lang="es-PR" sz="1200"/>
                  <a:t>Millions</a:t>
                </a:r>
              </a:p>
            </c:rich>
          </c:tx>
          <c:layout>
            <c:manualLayout>
              <c:xMode val="edge"/>
              <c:yMode val="edge"/>
              <c:x val="2.5652170704528847E-2"/>
              <c:y val="0.43376385848230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_);[Red]\(&quot;$&quot;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4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771128</xdr:colOff>
      <xdr:row>1</xdr:row>
      <xdr:rowOff>169334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28" cy="624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</xdr:row>
      <xdr:rowOff>130436</xdr:rowOff>
    </xdr:from>
    <xdr:to>
      <xdr:col>7</xdr:col>
      <xdr:colOff>525780</xdr:colOff>
      <xdr:row>34</xdr:row>
      <xdr:rowOff>88302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771128</xdr:colOff>
      <xdr:row>1</xdr:row>
      <xdr:rowOff>167217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28" cy="6244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1089593</xdr:colOff>
      <xdr:row>360</xdr:row>
      <xdr:rowOff>175260</xdr:rowOff>
    </xdr:from>
    <xdr:to>
      <xdr:col>9</xdr:col>
      <xdr:colOff>1042034</xdr:colOff>
      <xdr:row>381</xdr:row>
      <xdr:rowOff>95250</xdr:rowOff>
    </xdr:to>
    <xdr:pic>
      <xdr:nvPicPr>
        <xdr:cNvPr id="2" name="Picture 1" descr="Image result for eia regions ma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4893" y="66835020"/>
          <a:ext cx="4631121" cy="3760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434340</xdr:colOff>
      <xdr:row>2</xdr:row>
      <xdr:rowOff>27170</xdr:rowOff>
    </xdr:from>
    <xdr:to>
      <xdr:col>16</xdr:col>
      <xdr:colOff>419100</xdr:colOff>
      <xdr:row>32</xdr:row>
      <xdr:rowOff>41910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" y="690110"/>
          <a:ext cx="9128760" cy="55011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8360/Downloads/AFLEET_Tool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"/>
      <sheetName val="Payback"/>
      <sheetName val="Payback Outputs"/>
      <sheetName val="TCO"/>
      <sheetName val="TCO Outputs"/>
      <sheetName val="Footprint Outputs"/>
      <sheetName val="Footprint"/>
      <sheetName val="Background Data"/>
    </sheetNames>
    <sheetDataSet>
      <sheetData sheetId="0"/>
      <sheetData sheetId="1">
        <row r="3">
          <cell r="C3" t="str">
            <v>CALIFORNIA</v>
          </cell>
        </row>
      </sheetData>
      <sheetData sheetId="2">
        <row r="63">
          <cell r="H63">
            <v>0</v>
          </cell>
        </row>
      </sheetData>
      <sheetData sheetId="3"/>
      <sheetData sheetId="4"/>
      <sheetData sheetId="5"/>
      <sheetData sheetId="6"/>
      <sheetData sheetId="7"/>
      <sheetData sheetId="8">
        <row r="449">
          <cell r="B449" t="str">
            <v>ALABAMA</v>
          </cell>
        </row>
        <row r="450">
          <cell r="B450" t="str">
            <v>ALASKA</v>
          </cell>
        </row>
        <row r="451">
          <cell r="B451" t="str">
            <v>ARIZONA</v>
          </cell>
        </row>
        <row r="452">
          <cell r="B452" t="str">
            <v>ARKANSAS</v>
          </cell>
        </row>
        <row r="453">
          <cell r="B453" t="str">
            <v>CALIFORNIA</v>
          </cell>
        </row>
        <row r="454">
          <cell r="B454" t="str">
            <v>COLORADO</v>
          </cell>
        </row>
        <row r="455">
          <cell r="B455" t="str">
            <v>CONNECTICUT</v>
          </cell>
        </row>
        <row r="456">
          <cell r="B456" t="str">
            <v>DELAWARE</v>
          </cell>
        </row>
        <row r="457">
          <cell r="B457" t="str">
            <v>DISTRICT OF COLUMBIA</v>
          </cell>
        </row>
        <row r="458">
          <cell r="B458" t="str">
            <v>FLORIDA</v>
          </cell>
        </row>
        <row r="459">
          <cell r="B459" t="str">
            <v>GEORGIA</v>
          </cell>
        </row>
        <row r="460">
          <cell r="B460" t="str">
            <v>HAWAII</v>
          </cell>
        </row>
        <row r="461">
          <cell r="B461" t="str">
            <v>IDAHO</v>
          </cell>
        </row>
        <row r="462">
          <cell r="B462" t="str">
            <v>ILLINOIS</v>
          </cell>
        </row>
        <row r="463">
          <cell r="B463" t="str">
            <v>INDIANA</v>
          </cell>
        </row>
        <row r="464">
          <cell r="B464" t="str">
            <v>IOWA</v>
          </cell>
        </row>
        <row r="465">
          <cell r="B465" t="str">
            <v>KANSAS</v>
          </cell>
        </row>
        <row r="466">
          <cell r="B466" t="str">
            <v>KENTUCKY</v>
          </cell>
        </row>
        <row r="467">
          <cell r="B467" t="str">
            <v>LOUISIANA</v>
          </cell>
        </row>
        <row r="468">
          <cell r="B468" t="str">
            <v>MAINE</v>
          </cell>
        </row>
        <row r="469">
          <cell r="B469" t="str">
            <v>MARYLAND</v>
          </cell>
        </row>
        <row r="470">
          <cell r="B470" t="str">
            <v>MASSACHUSETTS</v>
          </cell>
        </row>
        <row r="471">
          <cell r="B471" t="str">
            <v>MICHIGAN</v>
          </cell>
        </row>
        <row r="472">
          <cell r="B472" t="str">
            <v>MINNESOTA</v>
          </cell>
        </row>
        <row r="473">
          <cell r="B473" t="str">
            <v>MISSISSIPPI</v>
          </cell>
        </row>
        <row r="474">
          <cell r="B474" t="str">
            <v>MISSOURI</v>
          </cell>
        </row>
        <row r="475">
          <cell r="B475" t="str">
            <v>MONTANA</v>
          </cell>
        </row>
        <row r="476">
          <cell r="B476" t="str">
            <v>NEBRASKA</v>
          </cell>
        </row>
        <row r="477">
          <cell r="B477" t="str">
            <v>NEVADA</v>
          </cell>
        </row>
        <row r="478">
          <cell r="B478" t="str">
            <v>NEW HAMPSHIRE</v>
          </cell>
        </row>
        <row r="479">
          <cell r="B479" t="str">
            <v>NEW JERSEY</v>
          </cell>
        </row>
        <row r="480">
          <cell r="B480" t="str">
            <v>NEW MEXICO</v>
          </cell>
        </row>
        <row r="481">
          <cell r="B481" t="str">
            <v>NEW YORK</v>
          </cell>
        </row>
        <row r="482">
          <cell r="B482" t="str">
            <v>NORTH CAROLINA</v>
          </cell>
        </row>
        <row r="483">
          <cell r="B483" t="str">
            <v>NORTH DAKOTA</v>
          </cell>
        </row>
        <row r="484">
          <cell r="B484" t="str">
            <v>OHIO</v>
          </cell>
        </row>
        <row r="485">
          <cell r="B485" t="str">
            <v>OKLAHOMA</v>
          </cell>
        </row>
        <row r="486">
          <cell r="B486" t="str">
            <v>OREGON</v>
          </cell>
        </row>
        <row r="487">
          <cell r="B487" t="str">
            <v>PENNSYLVANIA</v>
          </cell>
        </row>
        <row r="488">
          <cell r="B488" t="str">
            <v>PUERTO RICO</v>
          </cell>
        </row>
        <row r="489">
          <cell r="B489" t="str">
            <v>RHODE ISLAND</v>
          </cell>
        </row>
        <row r="490">
          <cell r="B490" t="str">
            <v>SOUTH CAROLINA</v>
          </cell>
        </row>
        <row r="491">
          <cell r="B491" t="str">
            <v>SOUTH DAKOTA</v>
          </cell>
        </row>
        <row r="492">
          <cell r="B492" t="str">
            <v>TENNESSEE</v>
          </cell>
        </row>
        <row r="493">
          <cell r="B493" t="str">
            <v>TEXAS</v>
          </cell>
        </row>
        <row r="494">
          <cell r="B494" t="str">
            <v>UTAH</v>
          </cell>
        </row>
        <row r="495">
          <cell r="B495" t="str">
            <v>VERMONT</v>
          </cell>
        </row>
        <row r="496">
          <cell r="B496" t="str">
            <v>VIRGIN ISLANDS</v>
          </cell>
        </row>
        <row r="497">
          <cell r="B497" t="str">
            <v>VIRGINIA</v>
          </cell>
        </row>
        <row r="498">
          <cell r="B498" t="str">
            <v>WASHINGTON</v>
          </cell>
        </row>
        <row r="499">
          <cell r="B499" t="str">
            <v>WEST VIRGINIA</v>
          </cell>
        </row>
        <row r="500">
          <cell r="B500" t="str">
            <v>WISCONSIN</v>
          </cell>
        </row>
        <row r="501">
          <cell r="B501" t="str">
            <v>WYOMING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laws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ntl.bts.gov/data/ptcasest.pdf" TargetMode="External"/><Relationship Id="rId2" Type="http://schemas.openxmlformats.org/officeDocument/2006/relationships/hyperlink" Target="https://www.afdc.energy.gov/pdfs/transbus.pdf" TargetMode="External"/><Relationship Id="rId1" Type="http://schemas.openxmlformats.org/officeDocument/2006/relationships/hyperlink" Target="https://www.afdc.energy.gov/pdfs/transbus.pdf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s://www.afdc.energy.gov/fuels/prices.html" TargetMode="External"/><Relationship Id="rId4" Type="http://schemas.openxmlformats.org/officeDocument/2006/relationships/hyperlink" Target="https://ntl.bts.gov/lib/44000/44200/44244/Bus_Lifecycle_Cost_Model_User_s_Guide.pdf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fdc.energy.gov/laws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fdc.energy.gov/fuels/prices.html" TargetMode="External"/><Relationship Id="rId2" Type="http://schemas.openxmlformats.org/officeDocument/2006/relationships/hyperlink" Target="https://www.afdc.energy.gov/fuels/" TargetMode="External"/><Relationship Id="rId1" Type="http://schemas.openxmlformats.org/officeDocument/2006/relationships/hyperlink" Target="https://www.arb.ca.gov/msprog/bus/maintenance_cost.pdf" TargetMode="External"/><Relationship Id="rId4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fdc.energy.gov/data/widgets/1030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55"/>
  <sheetViews>
    <sheetView showGridLines="0" tabSelected="1" zoomScaleNormal="100" workbookViewId="0">
      <selection activeCell="I18" sqref="I18"/>
    </sheetView>
  </sheetViews>
  <sheetFormatPr defaultColWidth="8.85546875" defaultRowHeight="15" x14ac:dyDescent="0.25"/>
  <cols>
    <col min="1" max="1" width="27.42578125" style="22" customWidth="1"/>
    <col min="2" max="2" width="21.7109375" style="22" customWidth="1"/>
    <col min="3" max="8" width="19.85546875" style="22" customWidth="1"/>
    <col min="9" max="9" width="22.7109375" style="22" customWidth="1"/>
    <col min="10" max="10" width="18.42578125" style="22" customWidth="1"/>
    <col min="11" max="11" width="21" style="22" customWidth="1"/>
    <col min="12" max="12" width="15.7109375" style="22" customWidth="1"/>
    <col min="13" max="16" width="13.5703125" style="22" customWidth="1"/>
    <col min="17" max="16384" width="8.85546875" style="22"/>
  </cols>
  <sheetData>
    <row r="1" spans="1:12" ht="36" x14ac:dyDescent="0.25">
      <c r="A1" s="249" t="s">
        <v>297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2" ht="15.75" x14ac:dyDescent="0.25">
      <c r="A2" s="250" t="s">
        <v>298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2" x14ac:dyDescent="0.25">
      <c r="A3" s="166" t="s">
        <v>460</v>
      </c>
    </row>
    <row r="4" spans="1:12" x14ac:dyDescent="0.25">
      <c r="A4" s="166"/>
    </row>
    <row r="5" spans="1:12" ht="21" x14ac:dyDescent="0.25">
      <c r="A5" s="224" t="s">
        <v>503</v>
      </c>
      <c r="B5" s="223"/>
      <c r="C5" s="223"/>
      <c r="D5" s="223"/>
      <c r="E5" s="105"/>
      <c r="F5" s="105"/>
      <c r="G5" s="105"/>
      <c r="H5" s="105"/>
      <c r="I5" s="105"/>
      <c r="J5" s="105"/>
    </row>
    <row r="6" spans="1:12" ht="18.75" x14ac:dyDescent="0.25">
      <c r="A6" s="232" t="s">
        <v>318</v>
      </c>
      <c r="B6" s="233"/>
      <c r="C6" s="233"/>
      <c r="D6" s="233"/>
      <c r="E6" s="233"/>
      <c r="F6" s="233"/>
      <c r="G6" s="233"/>
      <c r="H6" s="233"/>
      <c r="I6" s="234"/>
      <c r="J6" s="217" t="s">
        <v>304</v>
      </c>
      <c r="K6" s="253" t="s">
        <v>305</v>
      </c>
      <c r="L6" s="254"/>
    </row>
    <row r="7" spans="1:12" ht="15.75" x14ac:dyDescent="0.25">
      <c r="A7" s="235" t="s">
        <v>319</v>
      </c>
      <c r="B7" s="236"/>
      <c r="C7" s="236"/>
      <c r="D7" s="236"/>
      <c r="E7" s="236"/>
      <c r="F7" s="236"/>
      <c r="G7" s="236"/>
      <c r="H7" s="236"/>
      <c r="I7" s="237"/>
      <c r="K7" s="251" t="s">
        <v>507</v>
      </c>
      <c r="L7" s="252"/>
    </row>
    <row r="8" spans="1:12" ht="18.600000000000001" customHeight="1" x14ac:dyDescent="0.25">
      <c r="A8" s="235" t="s">
        <v>320</v>
      </c>
      <c r="B8" s="236"/>
      <c r="C8" s="236"/>
      <c r="D8" s="236"/>
      <c r="E8" s="236"/>
      <c r="F8" s="236"/>
      <c r="G8" s="236"/>
      <c r="H8" s="236"/>
      <c r="I8" s="237"/>
      <c r="K8" s="258" t="s">
        <v>508</v>
      </c>
      <c r="L8" s="259"/>
    </row>
    <row r="9" spans="1:12" ht="17.45" customHeight="1" x14ac:dyDescent="0.25">
      <c r="A9" s="235" t="s">
        <v>518</v>
      </c>
      <c r="B9" s="236"/>
      <c r="C9" s="236"/>
      <c r="D9" s="238"/>
      <c r="E9" s="238"/>
      <c r="F9" s="236"/>
      <c r="G9" s="236"/>
      <c r="H9" s="236"/>
      <c r="I9" s="237"/>
    </row>
    <row r="10" spans="1:12" ht="15.6" customHeight="1" x14ac:dyDescent="0.25">
      <c r="A10" s="235" t="s">
        <v>509</v>
      </c>
      <c r="B10" s="238"/>
      <c r="C10" s="239" t="s">
        <v>504</v>
      </c>
      <c r="D10" s="240" t="s">
        <v>505</v>
      </c>
      <c r="E10" s="241" t="s">
        <v>506</v>
      </c>
      <c r="F10" s="242" t="s">
        <v>519</v>
      </c>
      <c r="G10" s="243"/>
      <c r="H10" s="243"/>
      <c r="I10" s="244"/>
    </row>
    <row r="11" spans="1:12" ht="19.149999999999999" customHeight="1" x14ac:dyDescent="0.25">
      <c r="A11" s="245" t="s">
        <v>510</v>
      </c>
      <c r="B11" s="246"/>
      <c r="C11" s="246"/>
      <c r="D11" s="246"/>
      <c r="E11" s="246"/>
      <c r="F11" s="246"/>
      <c r="G11" s="246"/>
      <c r="H11" s="246"/>
      <c r="I11" s="247"/>
      <c r="J11" s="24"/>
    </row>
    <row r="12" spans="1:12" ht="34.15" customHeight="1" x14ac:dyDescent="0.25">
      <c r="K12" s="256" t="s">
        <v>453</v>
      </c>
      <c r="L12" s="257"/>
    </row>
    <row r="13" spans="1:12" x14ac:dyDescent="0.25">
      <c r="A13" s="106"/>
      <c r="B13" s="106"/>
    </row>
    <row r="14" spans="1:12" ht="23.45" customHeight="1" x14ac:dyDescent="0.25">
      <c r="A14" s="97" t="s">
        <v>511</v>
      </c>
    </row>
    <row r="15" spans="1:12" ht="14.45" customHeight="1" x14ac:dyDescent="0.25">
      <c r="A15" s="98"/>
      <c r="B15" s="98"/>
      <c r="C15" s="98"/>
      <c r="D15" s="98"/>
      <c r="E15" s="98"/>
      <c r="F15" s="98"/>
      <c r="G15" s="98"/>
      <c r="H15" s="98"/>
    </row>
    <row r="16" spans="1:12" x14ac:dyDescent="0.25">
      <c r="A16" s="101" t="s">
        <v>155</v>
      </c>
      <c r="B16" s="260"/>
      <c r="C16" s="260"/>
      <c r="D16" s="260"/>
      <c r="E16" s="260"/>
      <c r="F16" s="260"/>
    </row>
    <row r="17" spans="1:11" x14ac:dyDescent="0.25">
      <c r="A17" s="101" t="s">
        <v>156</v>
      </c>
      <c r="B17" s="260"/>
      <c r="C17" s="260"/>
      <c r="D17" s="260"/>
      <c r="E17" s="260"/>
      <c r="F17" s="260"/>
    </row>
    <row r="18" spans="1:11" x14ac:dyDescent="0.25">
      <c r="A18" s="102" t="s">
        <v>137</v>
      </c>
      <c r="B18" s="261"/>
      <c r="C18" s="261"/>
      <c r="D18" s="261"/>
      <c r="E18" s="261"/>
      <c r="F18" s="261"/>
    </row>
    <row r="19" spans="1:11" x14ac:dyDescent="0.25">
      <c r="A19" s="24"/>
    </row>
    <row r="20" spans="1:11" ht="23.25" x14ac:dyDescent="0.25">
      <c r="A20" s="97" t="s">
        <v>512</v>
      </c>
    </row>
    <row r="21" spans="1:11" x14ac:dyDescent="0.25">
      <c r="A21" s="221" t="s">
        <v>502</v>
      </c>
    </row>
    <row r="22" spans="1:11" ht="23.45" customHeight="1" x14ac:dyDescent="0.25">
      <c r="A22" s="255" t="s">
        <v>157</v>
      </c>
      <c r="B22" s="267" t="s">
        <v>299</v>
      </c>
      <c r="C22" s="255" t="s">
        <v>264</v>
      </c>
      <c r="D22" s="255"/>
      <c r="E22" s="255" t="s">
        <v>294</v>
      </c>
      <c r="F22" s="255"/>
      <c r="G22" s="255" t="s">
        <v>165</v>
      </c>
      <c r="H22" s="255"/>
    </row>
    <row r="23" spans="1:11" ht="30" x14ac:dyDescent="0.25">
      <c r="A23" s="255"/>
      <c r="B23" s="267"/>
      <c r="C23" s="205" t="s">
        <v>302</v>
      </c>
      <c r="D23" s="225" t="s">
        <v>303</v>
      </c>
      <c r="E23" s="205" t="s">
        <v>302</v>
      </c>
      <c r="F23" s="225" t="s">
        <v>303</v>
      </c>
      <c r="G23" s="205" t="s">
        <v>302</v>
      </c>
      <c r="H23" s="225" t="s">
        <v>303</v>
      </c>
    </row>
    <row r="24" spans="1:11" x14ac:dyDescent="0.25">
      <c r="A24" s="101" t="s">
        <v>154</v>
      </c>
      <c r="B24" s="226"/>
      <c r="C24" s="107">
        <f>Defaults!B6</f>
        <v>23576</v>
      </c>
      <c r="D24" s="229"/>
      <c r="E24" s="108">
        <f>Defaults!C6</f>
        <v>15</v>
      </c>
      <c r="F24" s="229"/>
      <c r="G24" s="108">
        <f>Defaults!D6</f>
        <v>5</v>
      </c>
      <c r="H24" s="229"/>
    </row>
    <row r="25" spans="1:11" x14ac:dyDescent="0.25">
      <c r="A25" s="101" t="s">
        <v>293</v>
      </c>
      <c r="B25" s="226"/>
      <c r="C25" s="107">
        <f>Defaults!B7</f>
        <v>34053</v>
      </c>
      <c r="D25" s="229"/>
      <c r="E25" s="108">
        <f>Defaults!C7</f>
        <v>11</v>
      </c>
      <c r="F25" s="229"/>
      <c r="G25" s="108">
        <f>Defaults!D7</f>
        <v>5</v>
      </c>
      <c r="H25" s="229"/>
    </row>
    <row r="26" spans="1:11" x14ac:dyDescent="0.25">
      <c r="A26" s="101" t="s">
        <v>114</v>
      </c>
      <c r="B26" s="226"/>
      <c r="C26" s="107">
        <f>Defaults!B8</f>
        <v>34053</v>
      </c>
      <c r="D26" s="229"/>
      <c r="E26" s="108">
        <f>Defaults!C8</f>
        <v>5</v>
      </c>
      <c r="F26" s="229"/>
      <c r="G26" s="108">
        <f>Defaults!D8</f>
        <v>12</v>
      </c>
      <c r="H26" s="229"/>
    </row>
    <row r="27" spans="1:11" x14ac:dyDescent="0.25">
      <c r="B27" s="24"/>
      <c r="C27" s="80"/>
      <c r="D27" s="80"/>
      <c r="E27" s="99"/>
      <c r="F27" s="24"/>
      <c r="G27" s="24"/>
      <c r="H27" s="24"/>
    </row>
    <row r="28" spans="1:11" ht="23.25" x14ac:dyDescent="0.25">
      <c r="A28" s="97" t="s">
        <v>513</v>
      </c>
      <c r="B28" s="24"/>
      <c r="C28" s="80"/>
      <c r="D28" s="80"/>
      <c r="E28" s="99"/>
      <c r="F28" s="24"/>
      <c r="G28" s="24"/>
      <c r="H28" s="24"/>
    </row>
    <row r="29" spans="1:11" x14ac:dyDescent="0.25">
      <c r="B29" s="24"/>
      <c r="C29" s="80"/>
      <c r="D29" s="80"/>
      <c r="E29" s="99"/>
      <c r="F29" s="24"/>
      <c r="G29" s="24"/>
      <c r="H29" s="24"/>
      <c r="J29" s="24"/>
      <c r="K29" s="24"/>
    </row>
    <row r="30" spans="1:11" ht="21" x14ac:dyDescent="0.25">
      <c r="A30" s="211" t="s">
        <v>514</v>
      </c>
      <c r="B30" s="24"/>
      <c r="C30" s="80"/>
      <c r="D30" s="80"/>
      <c r="F30" s="211" t="s">
        <v>515</v>
      </c>
      <c r="G30" s="24"/>
      <c r="H30" s="80"/>
      <c r="I30" s="80"/>
      <c r="J30" s="24"/>
      <c r="K30" s="24"/>
    </row>
    <row r="31" spans="1:11" x14ac:dyDescent="0.25">
      <c r="B31" s="24"/>
      <c r="C31" s="80"/>
      <c r="D31" s="80"/>
      <c r="G31" s="24"/>
      <c r="H31" s="80"/>
      <c r="I31" s="80"/>
    </row>
    <row r="32" spans="1:11" ht="24.6" customHeight="1" x14ac:dyDescent="0.25">
      <c r="A32" s="204" t="s">
        <v>157</v>
      </c>
      <c r="B32" s="204" t="s">
        <v>441</v>
      </c>
      <c r="D32" s="80"/>
      <c r="F32" s="103" t="s">
        <v>159</v>
      </c>
      <c r="G32" s="264"/>
      <c r="H32" s="265"/>
      <c r="I32" s="266"/>
    </row>
    <row r="33" spans="1:11" s="24" customFormat="1" ht="15.6" customHeight="1" x14ac:dyDescent="0.25">
      <c r="A33" s="101" t="s">
        <v>154</v>
      </c>
      <c r="B33" s="227"/>
      <c r="C33" s="219" t="str">
        <f>IF(ISBLANK(B24)," ", IF(AND(B24&gt;0,ISBLANK(B33)),"You need to indicate the baseline fuel.", " "))</f>
        <v xml:space="preserve"> </v>
      </c>
      <c r="D33" s="80"/>
      <c r="J33" s="22"/>
      <c r="K33" s="22"/>
    </row>
    <row r="34" spans="1:11" ht="15.75" x14ac:dyDescent="0.25">
      <c r="A34" s="101" t="s">
        <v>293</v>
      </c>
      <c r="B34" s="227"/>
      <c r="C34" s="219" t="str">
        <f>IF(ISBLANK(B25)," ", IF(AND(B25&gt;0,ISBLANK(B34)),"You need to indicate the baseline fuel.", " "))</f>
        <v xml:space="preserve"> </v>
      </c>
      <c r="D34" s="80"/>
      <c r="F34" s="24"/>
      <c r="G34" s="24"/>
      <c r="H34" s="24"/>
      <c r="I34" s="24"/>
      <c r="J34" s="205" t="s">
        <v>305</v>
      </c>
      <c r="K34" s="225" t="s">
        <v>439</v>
      </c>
    </row>
    <row r="35" spans="1:11" ht="15.75" x14ac:dyDescent="0.25">
      <c r="A35" s="101" t="s">
        <v>114</v>
      </c>
      <c r="B35" s="227"/>
      <c r="C35" s="219" t="str">
        <f>IF(ISBLANK(B26)," ", IF(AND(B26&gt;0,ISBLANK(B35)),"You need to indicate the baseline fuel.", " "))</f>
        <v xml:space="preserve"> </v>
      </c>
      <c r="D35" s="80"/>
      <c r="F35" s="209" t="s">
        <v>459</v>
      </c>
      <c r="I35" s="80"/>
      <c r="J35" s="109">
        <f>Defaults!B12</f>
        <v>0.05</v>
      </c>
      <c r="K35" s="230"/>
    </row>
    <row r="36" spans="1:11" ht="18.75" x14ac:dyDescent="0.25">
      <c r="F36" s="27"/>
      <c r="J36" s="202"/>
    </row>
    <row r="37" spans="1:11" x14ac:dyDescent="0.25">
      <c r="A37" s="255" t="s">
        <v>111</v>
      </c>
      <c r="B37" s="255" t="s">
        <v>438</v>
      </c>
      <c r="C37" s="255"/>
      <c r="F37" s="209" t="s">
        <v>458</v>
      </c>
      <c r="I37" s="80"/>
      <c r="J37" s="227"/>
    </row>
    <row r="38" spans="1:11" ht="18.75" x14ac:dyDescent="0.25">
      <c r="A38" s="255"/>
      <c r="B38" s="205" t="s">
        <v>305</v>
      </c>
      <c r="C38" s="225" t="s">
        <v>439</v>
      </c>
      <c r="E38" s="71"/>
      <c r="H38" s="80"/>
      <c r="I38" s="98"/>
      <c r="J38" s="202"/>
    </row>
    <row r="39" spans="1:11" x14ac:dyDescent="0.25">
      <c r="A39" s="103" t="s">
        <v>109</v>
      </c>
      <c r="B39" s="109" t="str">
        <f>'Fuel Prices'!B10</f>
        <v xml:space="preserve"> </v>
      </c>
      <c r="C39" s="230"/>
      <c r="E39" s="71"/>
      <c r="H39" s="80"/>
      <c r="I39" s="98"/>
    </row>
    <row r="40" spans="1:11" x14ac:dyDescent="0.25">
      <c r="A40" s="103" t="s">
        <v>108</v>
      </c>
      <c r="B40" s="109" t="str">
        <f>'Fuel Prices'!B12</f>
        <v xml:space="preserve"> </v>
      </c>
      <c r="C40" s="230"/>
      <c r="E40" s="71"/>
      <c r="H40" s="80"/>
      <c r="I40" s="98"/>
    </row>
    <row r="41" spans="1:11" x14ac:dyDescent="0.25">
      <c r="E41" s="71"/>
      <c r="H41" s="80"/>
      <c r="I41" s="98"/>
    </row>
    <row r="42" spans="1:11" ht="23.25" x14ac:dyDescent="0.25">
      <c r="A42" s="28" t="s">
        <v>516</v>
      </c>
    </row>
    <row r="43" spans="1:11" x14ac:dyDescent="0.25">
      <c r="A43" s="221" t="s">
        <v>520</v>
      </c>
    </row>
    <row r="44" spans="1:11" x14ac:dyDescent="0.25">
      <c r="A44" s="103" t="s">
        <v>152</v>
      </c>
      <c r="B44" s="228">
        <v>2018</v>
      </c>
    </row>
    <row r="46" spans="1:11" x14ac:dyDescent="0.25">
      <c r="A46" s="204" t="s">
        <v>157</v>
      </c>
      <c r="B46" s="204">
        <f>B44</f>
        <v>2018</v>
      </c>
      <c r="C46" s="204">
        <f>B46+1</f>
        <v>2019</v>
      </c>
      <c r="D46" s="204">
        <f t="shared" ref="D46:I46" si="0">C46+1</f>
        <v>2020</v>
      </c>
      <c r="E46" s="204">
        <f t="shared" si="0"/>
        <v>2021</v>
      </c>
      <c r="F46" s="204">
        <f t="shared" si="0"/>
        <v>2022</v>
      </c>
      <c r="G46" s="204">
        <f t="shared" si="0"/>
        <v>2023</v>
      </c>
      <c r="H46" s="204">
        <f t="shared" si="0"/>
        <v>2024</v>
      </c>
      <c r="I46" s="204">
        <f t="shared" si="0"/>
        <v>2025</v>
      </c>
      <c r="J46" s="204">
        <f>I46+1</f>
        <v>2026</v>
      </c>
      <c r="K46" s="204">
        <f>J46+1</f>
        <v>2027</v>
      </c>
    </row>
    <row r="47" spans="1:11" x14ac:dyDescent="0.25">
      <c r="A47" s="104" t="s">
        <v>154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</row>
    <row r="48" spans="1:11" x14ac:dyDescent="0.25">
      <c r="A48" s="103" t="s">
        <v>293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</row>
    <row r="49" spans="1:11" x14ac:dyDescent="0.25">
      <c r="A49" s="103" t="s">
        <v>114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</row>
    <row r="50" spans="1:11" ht="24" customHeight="1" x14ac:dyDescent="0.25">
      <c r="A50" s="98"/>
      <c r="B50" s="297" t="str">
        <f>IF(AND(OR(G32="E85 (Flex Fuel)",G32="Propane",G32="Gasoline"),SUM(B49:K49)&gt;0), "Conversion to Selected Alternative Fuel Is Not Available for Vehicle Type Associated with Orange Cells.  Please Do Not Include any Transit Buses in the Purchase Schedule.", " ")</f>
        <v xml:space="preserve"> </v>
      </c>
      <c r="C50" s="222"/>
      <c r="D50" s="222"/>
      <c r="E50" s="222"/>
      <c r="F50" s="222"/>
      <c r="G50" s="222"/>
      <c r="H50" s="222"/>
      <c r="I50" s="222"/>
    </row>
    <row r="51" spans="1:11" x14ac:dyDescent="0.25">
      <c r="A51" s="98"/>
      <c r="B51" s="98"/>
      <c r="C51" s="98"/>
      <c r="D51" s="98"/>
      <c r="E51" s="98"/>
      <c r="F51" s="98"/>
      <c r="G51" s="98"/>
      <c r="H51" s="98"/>
      <c r="I51" s="98"/>
    </row>
    <row r="52" spans="1:11" ht="23.25" x14ac:dyDescent="0.25">
      <c r="A52" s="28" t="s">
        <v>517</v>
      </c>
      <c r="B52" s="98"/>
      <c r="C52" s="98"/>
      <c r="D52" s="98"/>
      <c r="E52" s="98"/>
      <c r="F52" s="98"/>
      <c r="G52" s="98"/>
      <c r="H52" s="98"/>
      <c r="I52" s="98"/>
    </row>
    <row r="54" spans="1:11" ht="30" x14ac:dyDescent="0.25">
      <c r="A54" s="262" t="s">
        <v>301</v>
      </c>
      <c r="B54" s="205" t="s">
        <v>302</v>
      </c>
      <c r="C54" s="225" t="s">
        <v>303</v>
      </c>
    </row>
    <row r="55" spans="1:11" x14ac:dyDescent="0.25">
      <c r="A55" s="263"/>
      <c r="B55" s="110">
        <f>Defaults!B16</f>
        <v>0.02</v>
      </c>
      <c r="C55" s="231"/>
    </row>
  </sheetData>
  <dataConsolidate/>
  <mergeCells count="18">
    <mergeCell ref="A54:A55"/>
    <mergeCell ref="A37:A38"/>
    <mergeCell ref="G32:I32"/>
    <mergeCell ref="E22:F22"/>
    <mergeCell ref="G22:H22"/>
    <mergeCell ref="A22:A23"/>
    <mergeCell ref="B22:B23"/>
    <mergeCell ref="C22:D22"/>
    <mergeCell ref="A1:K1"/>
    <mergeCell ref="A2:K2"/>
    <mergeCell ref="K7:L7"/>
    <mergeCell ref="K6:L6"/>
    <mergeCell ref="B37:C37"/>
    <mergeCell ref="K12:L12"/>
    <mergeCell ref="K8:L8"/>
    <mergeCell ref="B16:F16"/>
    <mergeCell ref="B17:F17"/>
    <mergeCell ref="B18:F18"/>
  </mergeCells>
  <conditionalFormatting sqref="B49:K49">
    <cfRule type="expression" dxfId="1" priority="1">
      <formula>$G$32="E85 (Flex Fuel)"</formula>
    </cfRule>
    <cfRule type="expression" dxfId="0" priority="2">
      <formula>$G$32="Propane"</formula>
    </cfRule>
  </conditionalFormatting>
  <dataValidations count="1">
    <dataValidation type="list" allowBlank="1" showInputMessage="1" showErrorMessage="1" sqref="J37 I38:I41">
      <formula1>"In-Route Charging,Overnight Charging"</formula1>
    </dataValidation>
  </dataValidations>
  <printOptions horizontalCentered="1"/>
  <pageMargins left="0" right="0" top="0.25" bottom="0.25" header="0.3" footer="0.3"/>
  <pageSetup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The value you entered is not valid.  Please select one of the values listed in the drop-down menu.">
          <x14:formula1>
            <xm:f>'Fuel Prices'!$C$363:$C$386</xm:f>
          </x14:formula1>
          <xm:sqref>B44</xm:sqref>
        </x14:dataValidation>
        <x14:dataValidation type="list" allowBlank="1" showInputMessage="1" showErrorMessage="1" error="The value you entered is not valid.  Please select one of the values listed in the drop-down menu.">
          <x14:formula1>
            <xm:f>'Fuel Prices'!$E$363:$E$413</xm:f>
          </x14:formula1>
          <xm:sqref>B18:F18</xm:sqref>
        </x14:dataValidation>
        <x14:dataValidation type="list" allowBlank="1" showInputMessage="1" showErrorMessage="1" error="The value you entered is not valid.  Please select one of the values listed in the drop-down menu.">
          <x14:formula1>
            <xm:f>'Fuel Prices'!$A$363:$A$368</xm:f>
          </x14:formula1>
          <xm:sqref>G32:I32</xm:sqref>
        </x14:dataValidation>
        <x14:dataValidation type="list" allowBlank="1" showInputMessage="1" showErrorMessage="1">
          <x14:formula1>
            <xm:f>'Fuel Prices'!$A$369:$A$370</xm:f>
          </x14:formula1>
          <xm:sqref>B33:B34</xm:sqref>
        </x14:dataValidation>
        <x14:dataValidation type="list" allowBlank="1" showInputMessage="1" showErrorMessage="1">
          <x14:formula1>
            <xm:f>'Fuel Prices'!$A$369:$A$369</xm:f>
          </x14:formula1>
          <xm:sqref>B35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20"/>
  <sheetViews>
    <sheetView workbookViewId="0">
      <selection activeCell="F8" sqref="F8"/>
    </sheetView>
  </sheetViews>
  <sheetFormatPr defaultColWidth="8.85546875" defaultRowHeight="15" x14ac:dyDescent="0.25"/>
  <cols>
    <col min="1" max="1" width="19.85546875" style="22" customWidth="1"/>
    <col min="2" max="2" width="16.85546875" style="22" customWidth="1"/>
    <col min="3" max="3" width="14.28515625" style="22" customWidth="1"/>
    <col min="4" max="16" width="12.85546875" style="22" customWidth="1"/>
    <col min="17" max="16384" width="8.85546875" style="22"/>
  </cols>
  <sheetData>
    <row r="1" spans="1:13" ht="31.5" x14ac:dyDescent="0.25">
      <c r="A1" s="285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3" spans="1:13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3.25" x14ac:dyDescent="0.25">
      <c r="A4" s="164" t="s">
        <v>396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3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3" x14ac:dyDescent="0.25">
      <c r="A6" s="112" t="s">
        <v>159</v>
      </c>
      <c r="B6" s="189" t="str">
        <f>IF(Inputs!G32=0, " ", Inputs!G32)</f>
        <v xml:space="preserve"> </v>
      </c>
      <c r="C6" s="113"/>
      <c r="D6" s="113"/>
      <c r="E6" s="113"/>
      <c r="F6" s="113"/>
      <c r="G6" s="113"/>
      <c r="H6" s="113"/>
      <c r="I6" s="113"/>
      <c r="J6" s="113"/>
      <c r="K6" s="113"/>
    </row>
    <row r="7" spans="1:13" x14ac:dyDescent="0.25">
      <c r="A7" s="113"/>
      <c r="B7" s="113"/>
      <c r="C7" s="113"/>
      <c r="D7" s="113"/>
      <c r="E7" s="113"/>
      <c r="F7" s="113"/>
      <c r="G7" s="113"/>
      <c r="H7" s="114"/>
      <c r="I7" s="114"/>
      <c r="J7" s="114"/>
      <c r="K7" s="114"/>
      <c r="L7"/>
      <c r="M7"/>
    </row>
    <row r="8" spans="1:13" ht="60" x14ac:dyDescent="0.25">
      <c r="A8" s="151" t="s">
        <v>157</v>
      </c>
      <c r="B8" s="151" t="s">
        <v>158</v>
      </c>
      <c r="C8" s="151" t="s">
        <v>280</v>
      </c>
      <c r="D8" s="151" t="s">
        <v>282</v>
      </c>
      <c r="E8" s="113"/>
      <c r="F8" s="113"/>
      <c r="G8" s="113"/>
      <c r="H8" s="114"/>
      <c r="I8" s="114"/>
      <c r="J8" s="114"/>
      <c r="K8" s="114"/>
      <c r="L8"/>
      <c r="M8"/>
    </row>
    <row r="9" spans="1:13" x14ac:dyDescent="0.25">
      <c r="A9" s="118" t="s">
        <v>154</v>
      </c>
      <c r="B9" s="120">
        <f>Inputs!B24</f>
        <v>0</v>
      </c>
      <c r="C9" s="120">
        <f>IF(Inputs!F24=0,Inputs!E24,Inputs!F24)</f>
        <v>15</v>
      </c>
      <c r="D9" s="120">
        <f>IF(Inputs!D24=0,Inputs!C24,Inputs!D24)</f>
        <v>23576</v>
      </c>
      <c r="E9" s="113"/>
      <c r="F9" s="113"/>
      <c r="G9" s="113"/>
      <c r="H9" s="114"/>
      <c r="I9" s="114"/>
      <c r="J9" s="114"/>
      <c r="K9" s="114"/>
      <c r="L9"/>
      <c r="M9"/>
    </row>
    <row r="10" spans="1:13" x14ac:dyDescent="0.25">
      <c r="A10" s="115" t="s">
        <v>293</v>
      </c>
      <c r="B10" s="120">
        <f>Inputs!B25</f>
        <v>0</v>
      </c>
      <c r="C10" s="120">
        <f>IF(Inputs!F25=0,Inputs!E25,Inputs!F25)</f>
        <v>11</v>
      </c>
      <c r="D10" s="120">
        <f>IF(Inputs!D25=0,Inputs!C25,Inputs!D25)</f>
        <v>34053</v>
      </c>
      <c r="E10" s="113"/>
      <c r="F10" s="113"/>
      <c r="G10" s="113"/>
      <c r="H10" s="114"/>
      <c r="I10" s="114"/>
      <c r="J10" s="114"/>
      <c r="K10" s="114"/>
      <c r="L10"/>
      <c r="M10"/>
    </row>
    <row r="11" spans="1:13" x14ac:dyDescent="0.25">
      <c r="A11" s="118" t="s">
        <v>114</v>
      </c>
      <c r="B11" s="120">
        <f>Inputs!B26</f>
        <v>0</v>
      </c>
      <c r="C11" s="120">
        <f>IF(Inputs!F26=0,Inputs!E26,Inputs!F26)</f>
        <v>5</v>
      </c>
      <c r="D11" s="120">
        <f>IF(Inputs!D26=0,Inputs!C26,Inputs!D26)</f>
        <v>34053</v>
      </c>
      <c r="E11" s="113"/>
      <c r="F11" s="113"/>
      <c r="G11" s="113"/>
      <c r="H11" s="114"/>
      <c r="I11" s="114"/>
      <c r="J11" s="114"/>
      <c r="K11" s="114"/>
      <c r="L11"/>
      <c r="M11"/>
    </row>
    <row r="12" spans="1:13" x14ac:dyDescent="0.25">
      <c r="A12" s="113"/>
      <c r="B12" s="113"/>
      <c r="C12" s="113"/>
      <c r="D12" s="113"/>
      <c r="E12" s="113"/>
      <c r="F12" s="113"/>
      <c r="G12" s="113"/>
      <c r="H12" s="114"/>
      <c r="I12" s="114"/>
      <c r="J12" s="114"/>
      <c r="K12" s="114"/>
      <c r="L12"/>
      <c r="M12"/>
    </row>
    <row r="14" spans="1:13" ht="23.25" x14ac:dyDescent="0.25">
      <c r="A14" s="28" t="s">
        <v>309</v>
      </c>
    </row>
    <row r="15" spans="1:13" customFormat="1" x14ac:dyDescent="0.25">
      <c r="A15" s="71" t="s">
        <v>274</v>
      </c>
    </row>
    <row r="17" spans="1:11" x14ac:dyDescent="0.25">
      <c r="A17" s="45" t="s">
        <v>157</v>
      </c>
      <c r="B17" s="45">
        <f>Inputs!B46</f>
        <v>2018</v>
      </c>
      <c r="C17" s="45">
        <f>Inputs!C46</f>
        <v>2019</v>
      </c>
      <c r="D17" s="45">
        <f>Inputs!D46</f>
        <v>2020</v>
      </c>
      <c r="E17" s="45">
        <f>Inputs!E46</f>
        <v>2021</v>
      </c>
      <c r="F17" s="45">
        <f>Inputs!F46</f>
        <v>2022</v>
      </c>
      <c r="G17" s="45">
        <f>Inputs!G46</f>
        <v>2023</v>
      </c>
      <c r="H17" s="45">
        <f>Inputs!H46</f>
        <v>2024</v>
      </c>
      <c r="I17" s="45">
        <f>Inputs!I46</f>
        <v>2025</v>
      </c>
      <c r="J17" s="45">
        <f>Inputs!J46</f>
        <v>2026</v>
      </c>
      <c r="K17" s="45">
        <f>Inputs!K46</f>
        <v>2027</v>
      </c>
    </row>
    <row r="18" spans="1:11" x14ac:dyDescent="0.25">
      <c r="A18" s="78" t="s">
        <v>161</v>
      </c>
      <c r="B18" s="76">
        <f>'Vehicle Price'!B19*$D9</f>
        <v>0</v>
      </c>
      <c r="C18" s="76">
        <f>'Vehicle Price'!C19*$D9</f>
        <v>0</v>
      </c>
      <c r="D18" s="76">
        <f>'Vehicle Price'!D19*$D9</f>
        <v>0</v>
      </c>
      <c r="E18" s="76">
        <f>'Vehicle Price'!E19*$D9</f>
        <v>0</v>
      </c>
      <c r="F18" s="76">
        <f>'Vehicle Price'!F19*$D9</f>
        <v>0</v>
      </c>
      <c r="G18" s="76">
        <f>'Vehicle Price'!G19*$D9</f>
        <v>0</v>
      </c>
      <c r="H18" s="76">
        <f>'Vehicle Price'!H19*$D9</f>
        <v>0</v>
      </c>
      <c r="I18" s="76">
        <f>'Vehicle Price'!I19*$D9</f>
        <v>0</v>
      </c>
      <c r="J18" s="76">
        <f>'Vehicle Price'!J19*$D9</f>
        <v>0</v>
      </c>
      <c r="K18" s="76">
        <f>'Vehicle Price'!K19*$D9</f>
        <v>0</v>
      </c>
    </row>
    <row r="19" spans="1:11" x14ac:dyDescent="0.25">
      <c r="A19" s="73" t="s">
        <v>293</v>
      </c>
      <c r="B19" s="76">
        <f>'Vehicle Price'!B20*$D10</f>
        <v>0</v>
      </c>
      <c r="C19" s="76">
        <f>'Vehicle Price'!C20*$D10</f>
        <v>0</v>
      </c>
      <c r="D19" s="76">
        <f>'Vehicle Price'!D20*$D10</f>
        <v>0</v>
      </c>
      <c r="E19" s="76">
        <f>'Vehicle Price'!E20*$D10</f>
        <v>0</v>
      </c>
      <c r="F19" s="76">
        <f>'Vehicle Price'!F20*$D10</f>
        <v>0</v>
      </c>
      <c r="G19" s="76">
        <f>'Vehicle Price'!G20*$D10</f>
        <v>0</v>
      </c>
      <c r="H19" s="76">
        <f>'Vehicle Price'!H20*$D10</f>
        <v>0</v>
      </c>
      <c r="I19" s="76">
        <f>'Vehicle Price'!I20*$D10</f>
        <v>0</v>
      </c>
      <c r="J19" s="76">
        <f>'Vehicle Price'!J20*$D10</f>
        <v>0</v>
      </c>
      <c r="K19" s="76">
        <f>'Vehicle Price'!K20*$D10</f>
        <v>0</v>
      </c>
    </row>
    <row r="20" spans="1:11" x14ac:dyDescent="0.25">
      <c r="A20" s="78" t="s">
        <v>114</v>
      </c>
      <c r="B20" s="76">
        <f>'Vehicle Price'!B21*$D11</f>
        <v>0</v>
      </c>
      <c r="C20" s="76">
        <f>'Vehicle Price'!C21*$D11</f>
        <v>0</v>
      </c>
      <c r="D20" s="76">
        <f>'Vehicle Price'!D21*$D11</f>
        <v>0</v>
      </c>
      <c r="E20" s="76">
        <f>'Vehicle Price'!E21*$D11</f>
        <v>0</v>
      </c>
      <c r="F20" s="76">
        <f>'Vehicle Price'!F21*$D11</f>
        <v>0</v>
      </c>
      <c r="G20" s="76">
        <f>'Vehicle Price'!G21*$D11</f>
        <v>0</v>
      </c>
      <c r="H20" s="76">
        <f>'Vehicle Price'!H21*$D11</f>
        <v>0</v>
      </c>
      <c r="I20" s="76">
        <f>'Vehicle Price'!I21*$D11</f>
        <v>0</v>
      </c>
      <c r="J20" s="76">
        <f>'Vehicle Price'!J21*$D11</f>
        <v>0</v>
      </c>
      <c r="K20" s="76">
        <f>'Vehicle Price'!K21*$D11</f>
        <v>0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75"/>
  <sheetViews>
    <sheetView workbookViewId="0">
      <selection activeCell="C9" sqref="C9"/>
    </sheetView>
  </sheetViews>
  <sheetFormatPr defaultColWidth="8.85546875" defaultRowHeight="15" x14ac:dyDescent="0.25"/>
  <cols>
    <col min="1" max="1" width="25.28515625" style="22" customWidth="1"/>
    <col min="2" max="11" width="15.7109375" style="22" customWidth="1"/>
    <col min="12" max="16384" width="8.85546875" style="22"/>
  </cols>
  <sheetData>
    <row r="1" spans="1:11" ht="31.5" x14ac:dyDescent="0.25">
      <c r="A1" s="285" t="s">
        <v>265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3" spans="1:1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3.25" x14ac:dyDescent="0.25">
      <c r="A4" s="164" t="s">
        <v>396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x14ac:dyDescent="0.25">
      <c r="A6" s="112" t="s">
        <v>159</v>
      </c>
      <c r="B6" s="189" t="str">
        <f>IF(Inputs!G32=0, " ", Inputs!G32)</f>
        <v xml:space="preserve"> </v>
      </c>
      <c r="C6" s="113"/>
      <c r="D6" s="113"/>
      <c r="E6" s="113"/>
      <c r="F6" s="113"/>
      <c r="G6" s="113"/>
      <c r="H6" s="113"/>
      <c r="I6" s="113"/>
      <c r="J6" s="113"/>
      <c r="K6" s="113"/>
    </row>
    <row r="7" spans="1:11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x14ac:dyDescent="0.25">
      <c r="A8" s="112" t="s">
        <v>295</v>
      </c>
      <c r="B8" s="113" t="str">
        <f>IF(Inputs!C39=0, "Default Value", "User-Defined Value")</f>
        <v>Default Value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1:11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x14ac:dyDescent="0.25">
      <c r="A10" s="112" t="s">
        <v>435</v>
      </c>
      <c r="B10" s="113" t="str">
        <f>IF(Inputs!C40=0, "Default Value", "User-Defined Value")</f>
        <v>Default Value</v>
      </c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5.75" x14ac:dyDescent="0.25">
      <c r="A12" s="121" t="s">
        <v>443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x14ac:dyDescent="0.25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x14ac:dyDescent="0.25">
      <c r="A14" s="206" t="s">
        <v>157</v>
      </c>
      <c r="B14" s="206" t="s">
        <v>441</v>
      </c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x14ac:dyDescent="0.25">
      <c r="A15" s="212" t="s">
        <v>154</v>
      </c>
      <c r="B15" s="118" t="str">
        <f>IF(ISBLANK(Inputs!B33)," ",Inputs!B33)</f>
        <v xml:space="preserve"> </v>
      </c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x14ac:dyDescent="0.25">
      <c r="A16" s="212" t="s">
        <v>293</v>
      </c>
      <c r="B16" s="118" t="str">
        <f>IF(ISBLANK(Inputs!B34)," ",Inputs!B34)</f>
        <v xml:space="preserve"> </v>
      </c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x14ac:dyDescent="0.25">
      <c r="A17" s="212" t="s">
        <v>114</v>
      </c>
      <c r="B17" s="118" t="str">
        <f>IF(ISBLANK(Inputs!B35)," ",Inputs!B35)</f>
        <v xml:space="preserve"> </v>
      </c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x14ac:dyDescent="0.25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5.75" x14ac:dyDescent="0.25">
      <c r="A19" s="121" t="s">
        <v>263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x14ac:dyDescent="0.25">
      <c r="A21" s="153" t="s">
        <v>157</v>
      </c>
      <c r="B21" s="153">
        <f>Inputs!B46</f>
        <v>2018</v>
      </c>
      <c r="C21" s="153">
        <f>Inputs!C46</f>
        <v>2019</v>
      </c>
      <c r="D21" s="153">
        <f>Inputs!D46</f>
        <v>2020</v>
      </c>
      <c r="E21" s="153">
        <f>Inputs!E46</f>
        <v>2021</v>
      </c>
      <c r="F21" s="153">
        <f>Inputs!F46</f>
        <v>2022</v>
      </c>
      <c r="G21" s="153">
        <f>Inputs!G46</f>
        <v>2023</v>
      </c>
      <c r="H21" s="153">
        <f>Inputs!H46</f>
        <v>2024</v>
      </c>
      <c r="I21" s="153">
        <f>Inputs!I46</f>
        <v>2025</v>
      </c>
      <c r="J21" s="153">
        <f>Inputs!J46</f>
        <v>2026</v>
      </c>
      <c r="K21" s="153">
        <f>Inputs!K46</f>
        <v>2027</v>
      </c>
    </row>
    <row r="22" spans="1:11" x14ac:dyDescent="0.25">
      <c r="A22" s="286" t="str">
        <f>CONCATENATE("Alternative Fuel Consumption - ",B6," (Unit/yr)")</f>
        <v>Alternative Fuel Consumption -   (Unit/yr)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8"/>
    </row>
    <row r="23" spans="1:11" x14ac:dyDescent="0.25">
      <c r="A23" s="115" t="s">
        <v>161</v>
      </c>
      <c r="B23" s="107">
        <f>'Fuel Consumption'!B32</f>
        <v>0</v>
      </c>
      <c r="C23" s="107">
        <f>'Fuel Consumption'!C32</f>
        <v>0</v>
      </c>
      <c r="D23" s="107">
        <f>'Fuel Consumption'!D32</f>
        <v>0</v>
      </c>
      <c r="E23" s="107">
        <f>'Fuel Consumption'!E32</f>
        <v>0</v>
      </c>
      <c r="F23" s="107">
        <f>'Fuel Consumption'!F32</f>
        <v>0</v>
      </c>
      <c r="G23" s="107">
        <f>'Fuel Consumption'!G32</f>
        <v>0</v>
      </c>
      <c r="H23" s="107">
        <f>'Fuel Consumption'!H32</f>
        <v>0</v>
      </c>
      <c r="I23" s="107">
        <f>'Fuel Consumption'!I32</f>
        <v>0</v>
      </c>
      <c r="J23" s="107">
        <f>'Fuel Consumption'!J32</f>
        <v>0</v>
      </c>
      <c r="K23" s="107">
        <f>'Fuel Consumption'!K32</f>
        <v>0</v>
      </c>
    </row>
    <row r="24" spans="1:11" x14ac:dyDescent="0.25">
      <c r="A24" s="115" t="s">
        <v>293</v>
      </c>
      <c r="B24" s="107">
        <f>'Fuel Consumption'!B33</f>
        <v>0</v>
      </c>
      <c r="C24" s="107">
        <f>'Fuel Consumption'!C33</f>
        <v>0</v>
      </c>
      <c r="D24" s="107">
        <f>'Fuel Consumption'!D33</f>
        <v>0</v>
      </c>
      <c r="E24" s="107">
        <f>'Fuel Consumption'!E33</f>
        <v>0</v>
      </c>
      <c r="F24" s="107">
        <f>'Fuel Consumption'!F33</f>
        <v>0</v>
      </c>
      <c r="G24" s="107">
        <f>'Fuel Consumption'!G33</f>
        <v>0</v>
      </c>
      <c r="H24" s="107">
        <f>'Fuel Consumption'!H33</f>
        <v>0</v>
      </c>
      <c r="I24" s="107">
        <f>'Fuel Consumption'!I33</f>
        <v>0</v>
      </c>
      <c r="J24" s="107">
        <f>'Fuel Consumption'!J33</f>
        <v>0</v>
      </c>
      <c r="K24" s="107">
        <f>'Fuel Consumption'!K33</f>
        <v>0</v>
      </c>
    </row>
    <row r="25" spans="1:11" x14ac:dyDescent="0.25">
      <c r="A25" s="115" t="s">
        <v>114</v>
      </c>
      <c r="B25" s="107">
        <f>'Fuel Consumption'!B34</f>
        <v>0</v>
      </c>
      <c r="C25" s="107">
        <f>'Fuel Consumption'!C34</f>
        <v>0</v>
      </c>
      <c r="D25" s="107">
        <f>'Fuel Consumption'!D34</f>
        <v>0</v>
      </c>
      <c r="E25" s="107">
        <f>'Fuel Consumption'!E34</f>
        <v>0</v>
      </c>
      <c r="F25" s="107">
        <f>'Fuel Consumption'!F34</f>
        <v>0</v>
      </c>
      <c r="G25" s="107">
        <f>'Fuel Consumption'!G34</f>
        <v>0</v>
      </c>
      <c r="H25" s="107">
        <f>'Fuel Consumption'!H34</f>
        <v>0</v>
      </c>
      <c r="I25" s="107">
        <f>'Fuel Consumption'!I34</f>
        <v>0</v>
      </c>
      <c r="J25" s="107">
        <f>'Fuel Consumption'!J34</f>
        <v>0</v>
      </c>
      <c r="K25" s="107">
        <f>'Fuel Consumption'!K34</f>
        <v>0</v>
      </c>
    </row>
    <row r="26" spans="1:11" x14ac:dyDescent="0.25">
      <c r="A26" s="286" t="s">
        <v>448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8"/>
    </row>
    <row r="27" spans="1:11" x14ac:dyDescent="0.25">
      <c r="A27" s="115" t="s">
        <v>161</v>
      </c>
      <c r="B27" s="107">
        <f>'Fuel Consumption'!B40</f>
        <v>0</v>
      </c>
      <c r="C27" s="107">
        <f>'Fuel Consumption'!C40</f>
        <v>0</v>
      </c>
      <c r="D27" s="107">
        <f>'Fuel Consumption'!D40</f>
        <v>0</v>
      </c>
      <c r="E27" s="107">
        <f>'Fuel Consumption'!E40</f>
        <v>0</v>
      </c>
      <c r="F27" s="107">
        <f>'Fuel Consumption'!F40</f>
        <v>0</v>
      </c>
      <c r="G27" s="107">
        <f>'Fuel Consumption'!G40</f>
        <v>0</v>
      </c>
      <c r="H27" s="107">
        <f>'Fuel Consumption'!H40</f>
        <v>0</v>
      </c>
      <c r="I27" s="107">
        <f>'Fuel Consumption'!I40</f>
        <v>0</v>
      </c>
      <c r="J27" s="107">
        <f>'Fuel Consumption'!J40</f>
        <v>0</v>
      </c>
      <c r="K27" s="107">
        <f>'Fuel Consumption'!K40</f>
        <v>0</v>
      </c>
    </row>
    <row r="28" spans="1:11" x14ac:dyDescent="0.25">
      <c r="A28" s="115" t="s">
        <v>293</v>
      </c>
      <c r="B28" s="107">
        <f>'Fuel Consumption'!B41</f>
        <v>0</v>
      </c>
      <c r="C28" s="107">
        <f>'Fuel Consumption'!C41</f>
        <v>0</v>
      </c>
      <c r="D28" s="107">
        <f>'Fuel Consumption'!D41</f>
        <v>0</v>
      </c>
      <c r="E28" s="107">
        <f>'Fuel Consumption'!E41</f>
        <v>0</v>
      </c>
      <c r="F28" s="107">
        <f>'Fuel Consumption'!F41</f>
        <v>0</v>
      </c>
      <c r="G28" s="107">
        <f>'Fuel Consumption'!G41</f>
        <v>0</v>
      </c>
      <c r="H28" s="107">
        <f>'Fuel Consumption'!H41</f>
        <v>0</v>
      </c>
      <c r="I28" s="107">
        <f>'Fuel Consumption'!I41</f>
        <v>0</v>
      </c>
      <c r="J28" s="107">
        <f>'Fuel Consumption'!J41</f>
        <v>0</v>
      </c>
      <c r="K28" s="107">
        <f>'Fuel Consumption'!K41</f>
        <v>0</v>
      </c>
    </row>
    <row r="29" spans="1:11" x14ac:dyDescent="0.25">
      <c r="A29" s="115" t="s">
        <v>114</v>
      </c>
      <c r="B29" s="107">
        <f>'Fuel Consumption'!B42</f>
        <v>0</v>
      </c>
      <c r="C29" s="107">
        <f>'Fuel Consumption'!C42</f>
        <v>0</v>
      </c>
      <c r="D29" s="107">
        <f>'Fuel Consumption'!D42</f>
        <v>0</v>
      </c>
      <c r="E29" s="107">
        <f>'Fuel Consumption'!E42</f>
        <v>0</v>
      </c>
      <c r="F29" s="107">
        <f>'Fuel Consumption'!F42</f>
        <v>0</v>
      </c>
      <c r="G29" s="107">
        <f>'Fuel Consumption'!G42</f>
        <v>0</v>
      </c>
      <c r="H29" s="107">
        <f>'Fuel Consumption'!H42</f>
        <v>0</v>
      </c>
      <c r="I29" s="107">
        <f>'Fuel Consumption'!I42</f>
        <v>0</v>
      </c>
      <c r="J29" s="107">
        <f>'Fuel Consumption'!J42</f>
        <v>0</v>
      </c>
      <c r="K29" s="107">
        <f>'Fuel Consumption'!K42</f>
        <v>0</v>
      </c>
    </row>
    <row r="30" spans="1:11" x14ac:dyDescent="0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15.75" x14ac:dyDescent="0.25">
      <c r="A31" s="121" t="s">
        <v>250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53.45" customHeight="1" x14ac:dyDescent="0.25">
      <c r="A33" s="153" t="s">
        <v>235</v>
      </c>
      <c r="B33" s="289" t="str">
        <f>CONCATENATE("Alternative Fuel - ", B6)</f>
        <v xml:space="preserve">Alternative Fuel -  </v>
      </c>
      <c r="C33" s="290"/>
      <c r="D33" s="276" t="s">
        <v>432</v>
      </c>
      <c r="E33" s="277"/>
      <c r="F33" s="276" t="s">
        <v>433</v>
      </c>
      <c r="G33" s="277"/>
      <c r="H33" s="276" t="s">
        <v>255</v>
      </c>
      <c r="I33" s="277"/>
      <c r="J33" s="276" t="s">
        <v>256</v>
      </c>
      <c r="K33" s="277"/>
    </row>
    <row r="34" spans="1:11" x14ac:dyDescent="0.25">
      <c r="A34" s="108" t="str">
        <f>'Fuel Prices'!A19</f>
        <v xml:space="preserve"> _2018</v>
      </c>
      <c r="B34" s="122">
        <f>'Fuel Prices'!B19</f>
        <v>0</v>
      </c>
      <c r="C34" s="123" t="str">
        <f>'Fuel Prices'!C19</f>
        <v>$/gallon</v>
      </c>
      <c r="D34" s="122">
        <f>'Fuel Prices'!D19</f>
        <v>0</v>
      </c>
      <c r="E34" s="123" t="str">
        <f>'Fuel Prices'!E19</f>
        <v>$/gallon</v>
      </c>
      <c r="F34" s="122">
        <f>'Fuel Prices'!F19</f>
        <v>0</v>
      </c>
      <c r="G34" s="123" t="str">
        <f>'Fuel Prices'!G19</f>
        <v>$/gallon</v>
      </c>
      <c r="H34" s="122">
        <f>'Fuel Prices'!H19</f>
        <v>0</v>
      </c>
      <c r="I34" s="123" t="str">
        <f>'Fuel Prices'!I19</f>
        <v>$/gallon</v>
      </c>
      <c r="J34" s="122">
        <f>'Fuel Prices'!J19</f>
        <v>0</v>
      </c>
      <c r="K34" s="123" t="str">
        <f>'Fuel Prices'!K19</f>
        <v>$/gallon</v>
      </c>
    </row>
    <row r="35" spans="1:11" x14ac:dyDescent="0.25">
      <c r="A35" s="108" t="str">
        <f>'Fuel Prices'!A20</f>
        <v xml:space="preserve"> _2019</v>
      </c>
      <c r="B35" s="122">
        <f>'Fuel Prices'!B20</f>
        <v>0</v>
      </c>
      <c r="C35" s="123" t="str">
        <f>'Fuel Prices'!C20</f>
        <v>$/gallon</v>
      </c>
      <c r="D35" s="122">
        <f>'Fuel Prices'!D20</f>
        <v>0</v>
      </c>
      <c r="E35" s="123" t="str">
        <f>'Fuel Prices'!E20</f>
        <v>$/gallon</v>
      </c>
      <c r="F35" s="122">
        <f>'Fuel Prices'!F20</f>
        <v>0</v>
      </c>
      <c r="G35" s="123" t="str">
        <f>'Fuel Prices'!G20</f>
        <v>$/gallon</v>
      </c>
      <c r="H35" s="122">
        <f>'Fuel Prices'!H20</f>
        <v>0</v>
      </c>
      <c r="I35" s="123" t="str">
        <f>'Fuel Prices'!I20</f>
        <v>$/gallon</v>
      </c>
      <c r="J35" s="122">
        <f>'Fuel Prices'!J20</f>
        <v>0</v>
      </c>
      <c r="K35" s="123" t="str">
        <f>'Fuel Prices'!K20</f>
        <v>$/gallon</v>
      </c>
    </row>
    <row r="36" spans="1:11" x14ac:dyDescent="0.25">
      <c r="A36" s="108" t="str">
        <f>'Fuel Prices'!A21</f>
        <v xml:space="preserve"> _2020</v>
      </c>
      <c r="B36" s="122">
        <f>'Fuel Prices'!B21</f>
        <v>0</v>
      </c>
      <c r="C36" s="123" t="str">
        <f>'Fuel Prices'!C21</f>
        <v>$/gallon</v>
      </c>
      <c r="D36" s="122">
        <f>'Fuel Prices'!D21</f>
        <v>0</v>
      </c>
      <c r="E36" s="123" t="str">
        <f>'Fuel Prices'!E21</f>
        <v>$/gallon</v>
      </c>
      <c r="F36" s="122">
        <f>'Fuel Prices'!F21</f>
        <v>0</v>
      </c>
      <c r="G36" s="123" t="str">
        <f>'Fuel Prices'!G21</f>
        <v>$/gallon</v>
      </c>
      <c r="H36" s="122">
        <f>'Fuel Prices'!H21</f>
        <v>0</v>
      </c>
      <c r="I36" s="123" t="str">
        <f>'Fuel Prices'!I21</f>
        <v>$/gallon</v>
      </c>
      <c r="J36" s="122">
        <f>'Fuel Prices'!J21</f>
        <v>0</v>
      </c>
      <c r="K36" s="123" t="str">
        <f>'Fuel Prices'!K21</f>
        <v>$/gallon</v>
      </c>
    </row>
    <row r="37" spans="1:11" x14ac:dyDescent="0.25">
      <c r="A37" s="108" t="str">
        <f>'Fuel Prices'!A22</f>
        <v xml:space="preserve"> _2021</v>
      </c>
      <c r="B37" s="122">
        <f>'Fuel Prices'!B22</f>
        <v>0</v>
      </c>
      <c r="C37" s="123" t="str">
        <f>'Fuel Prices'!C22</f>
        <v>$/gallon</v>
      </c>
      <c r="D37" s="122">
        <f>'Fuel Prices'!D22</f>
        <v>0</v>
      </c>
      <c r="E37" s="123" t="str">
        <f>'Fuel Prices'!E22</f>
        <v>$/gallon</v>
      </c>
      <c r="F37" s="122">
        <f>'Fuel Prices'!F22</f>
        <v>0</v>
      </c>
      <c r="G37" s="123" t="str">
        <f>'Fuel Prices'!G22</f>
        <v>$/gallon</v>
      </c>
      <c r="H37" s="122">
        <f>'Fuel Prices'!H22</f>
        <v>0</v>
      </c>
      <c r="I37" s="123" t="str">
        <f>'Fuel Prices'!I22</f>
        <v>$/gallon</v>
      </c>
      <c r="J37" s="122">
        <f>'Fuel Prices'!J22</f>
        <v>0</v>
      </c>
      <c r="K37" s="123" t="str">
        <f>'Fuel Prices'!K22</f>
        <v>$/gallon</v>
      </c>
    </row>
    <row r="38" spans="1:11" x14ac:dyDescent="0.25">
      <c r="A38" s="108" t="str">
        <f>'Fuel Prices'!A23</f>
        <v xml:space="preserve"> _2022</v>
      </c>
      <c r="B38" s="122">
        <f>'Fuel Prices'!B23</f>
        <v>0</v>
      </c>
      <c r="C38" s="123" t="str">
        <f>'Fuel Prices'!C23</f>
        <v>$/gallon</v>
      </c>
      <c r="D38" s="122">
        <f>'Fuel Prices'!D23</f>
        <v>0</v>
      </c>
      <c r="E38" s="123" t="str">
        <f>'Fuel Prices'!E23</f>
        <v>$/gallon</v>
      </c>
      <c r="F38" s="122">
        <f>'Fuel Prices'!F23</f>
        <v>0</v>
      </c>
      <c r="G38" s="123" t="str">
        <f>'Fuel Prices'!G23</f>
        <v>$/gallon</v>
      </c>
      <c r="H38" s="122">
        <f>'Fuel Prices'!H23</f>
        <v>0</v>
      </c>
      <c r="I38" s="123" t="str">
        <f>'Fuel Prices'!I23</f>
        <v>$/gallon</v>
      </c>
      <c r="J38" s="122">
        <f>'Fuel Prices'!J23</f>
        <v>0</v>
      </c>
      <c r="K38" s="123" t="str">
        <f>'Fuel Prices'!K23</f>
        <v>$/gallon</v>
      </c>
    </row>
    <row r="39" spans="1:11" x14ac:dyDescent="0.25">
      <c r="A39" s="108" t="str">
        <f>'Fuel Prices'!A24</f>
        <v xml:space="preserve"> _2023</v>
      </c>
      <c r="B39" s="122">
        <f>'Fuel Prices'!B24</f>
        <v>0</v>
      </c>
      <c r="C39" s="123" t="str">
        <f>'Fuel Prices'!C24</f>
        <v>$/gallon</v>
      </c>
      <c r="D39" s="122">
        <f>'Fuel Prices'!D24</f>
        <v>0</v>
      </c>
      <c r="E39" s="123" t="str">
        <f>'Fuel Prices'!E24</f>
        <v>$/gallon</v>
      </c>
      <c r="F39" s="122">
        <f>'Fuel Prices'!F24</f>
        <v>0</v>
      </c>
      <c r="G39" s="123" t="str">
        <f>'Fuel Prices'!G24</f>
        <v>$/gallon</v>
      </c>
      <c r="H39" s="122">
        <f>'Fuel Prices'!H24</f>
        <v>0</v>
      </c>
      <c r="I39" s="123" t="str">
        <f>'Fuel Prices'!I24</f>
        <v>$/gallon</v>
      </c>
      <c r="J39" s="122">
        <f>'Fuel Prices'!J24</f>
        <v>0</v>
      </c>
      <c r="K39" s="123" t="str">
        <f>'Fuel Prices'!K24</f>
        <v>$/gallon</v>
      </c>
    </row>
    <row r="40" spans="1:11" x14ac:dyDescent="0.25">
      <c r="A40" s="108" t="str">
        <f>'Fuel Prices'!A25</f>
        <v xml:space="preserve"> _2024</v>
      </c>
      <c r="B40" s="122">
        <f>'Fuel Prices'!B25</f>
        <v>0</v>
      </c>
      <c r="C40" s="123" t="str">
        <f>'Fuel Prices'!C25</f>
        <v>$/gallon</v>
      </c>
      <c r="D40" s="122">
        <f>'Fuel Prices'!D25</f>
        <v>0</v>
      </c>
      <c r="E40" s="123" t="str">
        <f>'Fuel Prices'!E25</f>
        <v>$/gallon</v>
      </c>
      <c r="F40" s="122">
        <f>'Fuel Prices'!F25</f>
        <v>0</v>
      </c>
      <c r="G40" s="123" t="str">
        <f>'Fuel Prices'!G25</f>
        <v>$/gallon</v>
      </c>
      <c r="H40" s="122">
        <f>'Fuel Prices'!H25</f>
        <v>0</v>
      </c>
      <c r="I40" s="123" t="str">
        <f>'Fuel Prices'!I25</f>
        <v>$/gallon</v>
      </c>
      <c r="J40" s="122">
        <f>'Fuel Prices'!J25</f>
        <v>0</v>
      </c>
      <c r="K40" s="123" t="str">
        <f>'Fuel Prices'!K25</f>
        <v>$/gallon</v>
      </c>
    </row>
    <row r="41" spans="1:11" x14ac:dyDescent="0.25">
      <c r="A41" s="108" t="str">
        <f>'Fuel Prices'!A26</f>
        <v xml:space="preserve"> _2025</v>
      </c>
      <c r="B41" s="122">
        <f>'Fuel Prices'!B26</f>
        <v>0</v>
      </c>
      <c r="C41" s="123" t="str">
        <f>'Fuel Prices'!C26</f>
        <v>$/gallon</v>
      </c>
      <c r="D41" s="122">
        <f>'Fuel Prices'!D26</f>
        <v>0</v>
      </c>
      <c r="E41" s="123" t="str">
        <f>'Fuel Prices'!E26</f>
        <v>$/gallon</v>
      </c>
      <c r="F41" s="122">
        <f>'Fuel Prices'!F26</f>
        <v>0</v>
      </c>
      <c r="G41" s="123" t="str">
        <f>'Fuel Prices'!G26</f>
        <v>$/gallon</v>
      </c>
      <c r="H41" s="122">
        <f>'Fuel Prices'!H26</f>
        <v>0</v>
      </c>
      <c r="I41" s="123" t="str">
        <f>'Fuel Prices'!I26</f>
        <v>$/gallon</v>
      </c>
      <c r="J41" s="122">
        <f>'Fuel Prices'!J26</f>
        <v>0</v>
      </c>
      <c r="K41" s="123" t="str">
        <f>'Fuel Prices'!K26</f>
        <v>$/gallon</v>
      </c>
    </row>
    <row r="42" spans="1:11" x14ac:dyDescent="0.25">
      <c r="A42" s="108" t="str">
        <f>'Fuel Prices'!A27</f>
        <v xml:space="preserve"> _2026</v>
      </c>
      <c r="B42" s="122">
        <f>'Fuel Prices'!B27</f>
        <v>0</v>
      </c>
      <c r="C42" s="123" t="str">
        <f>'Fuel Prices'!C27</f>
        <v>$/gallon</v>
      </c>
      <c r="D42" s="122">
        <f>'Fuel Prices'!D27</f>
        <v>0</v>
      </c>
      <c r="E42" s="123" t="str">
        <f>'Fuel Prices'!E27</f>
        <v>$/gallon</v>
      </c>
      <c r="F42" s="122">
        <f>'Fuel Prices'!F27</f>
        <v>0</v>
      </c>
      <c r="G42" s="123" t="str">
        <f>'Fuel Prices'!G27</f>
        <v>$/gallon</v>
      </c>
      <c r="H42" s="122">
        <f>'Fuel Prices'!H27</f>
        <v>0</v>
      </c>
      <c r="I42" s="123" t="str">
        <f>'Fuel Prices'!I27</f>
        <v>$/gallon</v>
      </c>
      <c r="J42" s="122">
        <f>'Fuel Prices'!J27</f>
        <v>0</v>
      </c>
      <c r="K42" s="123" t="str">
        <f>'Fuel Prices'!K27</f>
        <v>$/gallon</v>
      </c>
    </row>
    <row r="43" spans="1:11" x14ac:dyDescent="0.25">
      <c r="A43" s="108" t="str">
        <f>'Fuel Prices'!A28</f>
        <v xml:space="preserve"> _2027</v>
      </c>
      <c r="B43" s="122">
        <f>'Fuel Prices'!B28</f>
        <v>0</v>
      </c>
      <c r="C43" s="123" t="str">
        <f>'Fuel Prices'!C28</f>
        <v>$/gallon</v>
      </c>
      <c r="D43" s="122">
        <f>'Fuel Prices'!D28</f>
        <v>0</v>
      </c>
      <c r="E43" s="123" t="str">
        <f>'Fuel Prices'!E28</f>
        <v>$/gallon</v>
      </c>
      <c r="F43" s="122">
        <f>'Fuel Prices'!F28</f>
        <v>0</v>
      </c>
      <c r="G43" s="123" t="str">
        <f>'Fuel Prices'!G28</f>
        <v>$/gallon</v>
      </c>
      <c r="H43" s="122">
        <f>'Fuel Prices'!H28</f>
        <v>0</v>
      </c>
      <c r="I43" s="123" t="str">
        <f>'Fuel Prices'!I28</f>
        <v>$/gallon</v>
      </c>
      <c r="J43" s="122">
        <f>'Fuel Prices'!J28</f>
        <v>0</v>
      </c>
      <c r="K43" s="123" t="str">
        <f>'Fuel Prices'!K28</f>
        <v>$/gallon</v>
      </c>
    </row>
    <row r="44" spans="1:11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6" spans="1:11" ht="23.25" x14ac:dyDescent="0.25">
      <c r="A46" s="28" t="s">
        <v>309</v>
      </c>
    </row>
    <row r="47" spans="1:11" x14ac:dyDescent="0.25">
      <c r="A47" s="71" t="s">
        <v>275</v>
      </c>
    </row>
    <row r="48" spans="1:11" x14ac:dyDescent="0.25">
      <c r="A48" s="71"/>
    </row>
    <row r="49" spans="1:11" ht="15.75" x14ac:dyDescent="0.25">
      <c r="A49" s="77" t="str">
        <f>CONCATENATE("Alternative Fuel Costs - ",B6," ($/yr)")</f>
        <v>Alternative Fuel Costs -   ($/yr)</v>
      </c>
    </row>
    <row r="50" spans="1:11" x14ac:dyDescent="0.25">
      <c r="A50" s="71"/>
    </row>
    <row r="51" spans="1:11" x14ac:dyDescent="0.25">
      <c r="A51" s="45" t="s">
        <v>157</v>
      </c>
      <c r="B51" s="45">
        <f>Inputs!B46</f>
        <v>2018</v>
      </c>
      <c r="C51" s="45">
        <f>Inputs!C46</f>
        <v>2019</v>
      </c>
      <c r="D51" s="45">
        <f>Inputs!D46</f>
        <v>2020</v>
      </c>
      <c r="E51" s="45">
        <f>Inputs!E46</f>
        <v>2021</v>
      </c>
      <c r="F51" s="45">
        <f>Inputs!F46</f>
        <v>2022</v>
      </c>
      <c r="G51" s="45">
        <f>Inputs!G46</f>
        <v>2023</v>
      </c>
      <c r="H51" s="45">
        <f>Inputs!H46</f>
        <v>2024</v>
      </c>
      <c r="I51" s="45">
        <f>Inputs!I46</f>
        <v>2025</v>
      </c>
      <c r="J51" s="45">
        <f>Inputs!J46</f>
        <v>2026</v>
      </c>
      <c r="K51" s="45">
        <f>Inputs!K46</f>
        <v>2027</v>
      </c>
    </row>
    <row r="52" spans="1:11" x14ac:dyDescent="0.25">
      <c r="A52" s="73" t="s">
        <v>161</v>
      </c>
      <c r="B52" s="94">
        <f>B23*B34</f>
        <v>0</v>
      </c>
      <c r="C52" s="94">
        <f>C23*B35</f>
        <v>0</v>
      </c>
      <c r="D52" s="94">
        <f>D23*B36</f>
        <v>0</v>
      </c>
      <c r="E52" s="94">
        <f>E23*B37</f>
        <v>0</v>
      </c>
      <c r="F52" s="94">
        <f>F23*B38</f>
        <v>0</v>
      </c>
      <c r="G52" s="94">
        <f>G23*B39</f>
        <v>0</v>
      </c>
      <c r="H52" s="94">
        <f>H23*B40</f>
        <v>0</v>
      </c>
      <c r="I52" s="94">
        <f>I23*B41</f>
        <v>0</v>
      </c>
      <c r="J52" s="94">
        <f>J23*B42</f>
        <v>0</v>
      </c>
      <c r="K52" s="94">
        <f>K23*B43</f>
        <v>0</v>
      </c>
    </row>
    <row r="53" spans="1:11" x14ac:dyDescent="0.25">
      <c r="A53" s="73" t="s">
        <v>293</v>
      </c>
      <c r="B53" s="94">
        <f>B24*B34</f>
        <v>0</v>
      </c>
      <c r="C53" s="94">
        <f>C24*B35</f>
        <v>0</v>
      </c>
      <c r="D53" s="94">
        <f>D24*B36</f>
        <v>0</v>
      </c>
      <c r="E53" s="94">
        <f>E24*B37</f>
        <v>0</v>
      </c>
      <c r="F53" s="94">
        <f>F24*B38</f>
        <v>0</v>
      </c>
      <c r="G53" s="94">
        <f>G24*B39</f>
        <v>0</v>
      </c>
      <c r="H53" s="94">
        <f>H24*B40</f>
        <v>0</v>
      </c>
      <c r="I53" s="94">
        <f>I24*B41</f>
        <v>0</v>
      </c>
      <c r="J53" s="94">
        <f>J24*B42</f>
        <v>0</v>
      </c>
      <c r="K53" s="94">
        <f>K24*B43</f>
        <v>0</v>
      </c>
    </row>
    <row r="54" spans="1:11" x14ac:dyDescent="0.25">
      <c r="A54" s="73" t="s">
        <v>114</v>
      </c>
      <c r="B54" s="94">
        <f>B25*B34</f>
        <v>0</v>
      </c>
      <c r="C54" s="94">
        <f>C25*B35</f>
        <v>0</v>
      </c>
      <c r="D54" s="94">
        <f>D25*B36</f>
        <v>0</v>
      </c>
      <c r="E54" s="94">
        <f>E25*B37</f>
        <v>0</v>
      </c>
      <c r="F54" s="94">
        <f>F25*B38</f>
        <v>0</v>
      </c>
      <c r="G54" s="94">
        <f>G25*B39</f>
        <v>0</v>
      </c>
      <c r="H54" s="94">
        <f>H25*B40</f>
        <v>0</v>
      </c>
      <c r="I54" s="94">
        <f>I25*B41</f>
        <v>0</v>
      </c>
      <c r="J54" s="94">
        <f>J25*B42</f>
        <v>0</v>
      </c>
      <c r="K54" s="94">
        <f>K25*B43</f>
        <v>0</v>
      </c>
    </row>
    <row r="55" spans="1:11" customFormat="1" x14ac:dyDescent="0.25">
      <c r="A55" s="190" t="s">
        <v>292</v>
      </c>
      <c r="B55" s="191">
        <f>SUM(B52:B54)</f>
        <v>0</v>
      </c>
      <c r="C55" s="191">
        <f t="shared" ref="C55:K55" si="0">SUM(C52:C54)</f>
        <v>0</v>
      </c>
      <c r="D55" s="191">
        <f t="shared" si="0"/>
        <v>0</v>
      </c>
      <c r="E55" s="191">
        <f t="shared" si="0"/>
        <v>0</v>
      </c>
      <c r="F55" s="191">
        <f t="shared" si="0"/>
        <v>0</v>
      </c>
      <c r="G55" s="191">
        <f t="shared" si="0"/>
        <v>0</v>
      </c>
      <c r="H55" s="191">
        <f t="shared" si="0"/>
        <v>0</v>
      </c>
      <c r="I55" s="191">
        <f t="shared" si="0"/>
        <v>0</v>
      </c>
      <c r="J55" s="191">
        <f t="shared" si="0"/>
        <v>0</v>
      </c>
      <c r="K55" s="191">
        <f t="shared" si="0"/>
        <v>0</v>
      </c>
    </row>
    <row r="56" spans="1:11" customFormat="1" x14ac:dyDescent="0.25"/>
    <row r="57" spans="1:11" customFormat="1" ht="15.75" x14ac:dyDescent="0.25">
      <c r="A57" s="77" t="s">
        <v>444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customFormat="1" x14ac:dyDescent="0.25"/>
    <row r="59" spans="1:11" x14ac:dyDescent="0.25">
      <c r="A59" s="153" t="s">
        <v>157</v>
      </c>
      <c r="B59" s="153">
        <f>Inputs!B46</f>
        <v>2018</v>
      </c>
      <c r="C59" s="153">
        <f>Inputs!C46</f>
        <v>2019</v>
      </c>
      <c r="D59" s="153">
        <f>Inputs!D46</f>
        <v>2020</v>
      </c>
      <c r="E59" s="153">
        <f>Inputs!E46</f>
        <v>2021</v>
      </c>
      <c r="F59" s="153">
        <f>Inputs!F46</f>
        <v>2022</v>
      </c>
      <c r="G59" s="153">
        <f>Inputs!G46</f>
        <v>2023</v>
      </c>
      <c r="H59" s="153">
        <f>Inputs!H46</f>
        <v>2024</v>
      </c>
      <c r="I59" s="153">
        <f>Inputs!I46</f>
        <v>2025</v>
      </c>
      <c r="J59" s="153">
        <f>Inputs!J46</f>
        <v>2026</v>
      </c>
      <c r="K59" s="153">
        <f>Inputs!K46</f>
        <v>2027</v>
      </c>
    </row>
    <row r="60" spans="1:11" x14ac:dyDescent="0.25">
      <c r="A60" s="73" t="s">
        <v>161</v>
      </c>
      <c r="B60" s="94">
        <f>IF($B$15="Gasoline",IF($B$10="Default Value", B27*D34, B27*F34), IF($B$15="Diesel Fuel", IF($B$8="Default Value",B27* H34,B27* J34), 0))</f>
        <v>0</v>
      </c>
      <c r="C60" s="94">
        <f>IF($B$15="Gasoline",IF($B$10="Default Value", C27*D35, C27*F35), IF($B$15="Diesel Fuel", IF($B$8="Default Value",C27* H35,C27* J35), 0))</f>
        <v>0</v>
      </c>
      <c r="D60" s="94">
        <f>IF($B$15="Gasoline",IF($B$10="Default Value", D27*D36, D27*F36), IF($B$15="Diesel Fuel", IF($B$8="Default Value",D27* H36,D27* J36), 0))</f>
        <v>0</v>
      </c>
      <c r="E60" s="94">
        <f>IF($B$15="Gasoline",IF($B$10="Default Value", E27*D37, E27*F37), IF($B$15="Diesel Fuel", IF($B$8="Default Value",E27* H37,E27* J37), 0))</f>
        <v>0</v>
      </c>
      <c r="F60" s="94">
        <f>IF($B$15="Gasoline",IF($B$10="Default Value", F27*D38, F27*F38), IF($B$15="Diesel Fuel", IF($B$8="Default Value",F27* H38,F27* J38), 0))</f>
        <v>0</v>
      </c>
      <c r="G60" s="94">
        <f>IF($B$15="Gasoline",IF($B$10="Default Value", G27*D39, G27*F39), IF($B$15="Diesel Fuel", IF($B$8="Default Value",G27* H39,G27* J39), 0))</f>
        <v>0</v>
      </c>
      <c r="H60" s="94">
        <f>IF($B$15="Gasoline",IF($B$10="Default Value", H27*D40, H27*F40), IF($B$15="Diesel Fuel", IF($B$8="Default Value",H27* H40,H27* J40), 0))</f>
        <v>0</v>
      </c>
      <c r="I60" s="94">
        <f>IF($B$15="Gasoline",IF($B$10="Default Value", I27*D41, I27*F41), IF($B$15="Diesel Fuel", IF($B$8="Default Value",I27* H41,I27* J41), 0))</f>
        <v>0</v>
      </c>
      <c r="J60" s="94">
        <f>IF($B$15="Gasoline",IF($B$10="Default Value", J27*D42, J27*F42), IF($B$15="Diesel Fuel", IF($B$8="Default Value",J27* H42,J27* J42), 0))</f>
        <v>0</v>
      </c>
      <c r="K60" s="94">
        <f>IF($B$15="Gasoline",IF($B$10="Default Value", K27*D43, K27*F43), IF($B$15="Diesel Fuel", IF($B$8="Default Value",K27* H43,K27* J43), 0))</f>
        <v>0</v>
      </c>
    </row>
    <row r="61" spans="1:11" x14ac:dyDescent="0.25">
      <c r="A61" s="73" t="s">
        <v>293</v>
      </c>
      <c r="B61" s="94">
        <f>IF($B$15="Gasoline",IF($B$10="Default Value", B28*D34, B28*F34), IF($B$15="Diesel Fuel", IF($B$8="Default Value",B28* H34,B28* J34), 0))</f>
        <v>0</v>
      </c>
      <c r="C61" s="94">
        <f>IF($B$15="Gasoline",IF($B$10="Default Value", C28*D35, C28*F35), IF($B$15="Diesel Fuel", IF($B$8="Default Value",C28* H35,C28* J35), 0))</f>
        <v>0</v>
      </c>
      <c r="D61" s="94">
        <f>IF($B$15="Gasoline",IF($B$10="Default Value", D28*D36, D28*F36), IF($B$15="Diesel Fuel", IF($B$8="Default Value",D28* H36,D28* J36), 0))</f>
        <v>0</v>
      </c>
      <c r="E61" s="94">
        <f>IF($B$15="Gasoline",IF($B$10="Default Value", E28*D37, E28*F37), IF($B$15="Diesel Fuel", IF($B$8="Default Value",E28* H37,E28* J37), 0))</f>
        <v>0</v>
      </c>
      <c r="F61" s="94">
        <f>IF($B$15="Gasoline",IF($B$10="Default Value", F28*D38, F28*F38), IF($B$15="Diesel Fuel", IF($B$8="Default Value",F28* H38,F28* J38), 0))</f>
        <v>0</v>
      </c>
      <c r="G61" s="94">
        <f>IF($B$15="Gasoline",IF($B$10="Default Value", G28*D39, G28*F39), IF($B$15="Diesel Fuel", IF($B$8="Default Value",G28* H39,G28* J39), 0))</f>
        <v>0</v>
      </c>
      <c r="H61" s="94">
        <f>IF($B$15="Gasoline",IF($B$10="Default Value", H28*D40, H28*F40), IF($B$15="Diesel Fuel", IF($B$8="Default Value",H28* H40,H28* J40), 0))</f>
        <v>0</v>
      </c>
      <c r="I61" s="94">
        <f>IF($B$15="Gasoline",IF($B$10="Default Value", I28*D41, I28*F41), IF($B$15="Diesel Fuel", IF($B$8="Default Value",I28* H41,I28* J41), 0))</f>
        <v>0</v>
      </c>
      <c r="J61" s="94">
        <f>IF($B$15="Gasoline",IF($B$10="Default Value", J28*D42, J28*F42), IF($B$15="Diesel Fuel", IF($B$8="Default Value",J28* H42,J28* J42), 0))</f>
        <v>0</v>
      </c>
      <c r="K61" s="94">
        <f>IF($B$15="Gasoline",IF($B$10="Default Value", K28*D43, K28*F43), IF($B$15="Diesel Fuel", IF($B$8="Default Value",K28* H43,K28* J43), 0))</f>
        <v>0</v>
      </c>
    </row>
    <row r="62" spans="1:11" x14ac:dyDescent="0.25">
      <c r="A62" s="73" t="s">
        <v>114</v>
      </c>
      <c r="B62" s="94">
        <f>IF($B$15="Gasoline",IF($B$10="Default Value", B29*D34, B29*F34), IF($B$15="Diesel Fuel", IF($B$8="Default Value",B29* H34,B29* J34), 0))</f>
        <v>0</v>
      </c>
      <c r="C62" s="94">
        <f>IF($B$15="Gasoline",IF($B$10="Default Value", C29*D35, C29*F35), IF($B$15="Diesel Fuel", IF($B$8="Default Value",C29* H35,C29* J35), 0))</f>
        <v>0</v>
      </c>
      <c r="D62" s="94">
        <f>IF($B$15="Gasoline",IF($B$10="Default Value", D29*D36, D29*F36), IF($B$15="Diesel Fuel", IF($B$8="Default Value",D29* H36,D29* J36), 0))</f>
        <v>0</v>
      </c>
      <c r="E62" s="94">
        <f>IF($B$15="Gasoline",IF($B$10="Default Value", E29*D37, E29*F37), IF($B$15="Diesel Fuel", IF($B$8="Default Value",E29* H37,E29* J37), 0))</f>
        <v>0</v>
      </c>
      <c r="F62" s="94">
        <f>IF($B$15="Gasoline",IF($B$10="Default Value", F29*D38, F29*F38), IF($B$15="Diesel Fuel", IF($B$8="Default Value",F29* H38,F29* J38), 0))</f>
        <v>0</v>
      </c>
      <c r="G62" s="94">
        <f>IF($B$15="Gasoline",IF($B$10="Default Value", G29*D39, G29*F39), IF($B$15="Diesel Fuel", IF($B$8="Default Value",G29* H39,G29* J39), 0))</f>
        <v>0</v>
      </c>
      <c r="H62" s="94">
        <f>IF($B$15="Gasoline",IF($B$10="Default Value", H29*D40, H29*F40), IF($B$15="Diesel Fuel", IF($B$8="Default Value",H29* H40,H29* J40), 0))</f>
        <v>0</v>
      </c>
      <c r="I62" s="94">
        <f>IF($B$15="Gasoline",IF($B$10="Default Value", I29*D41, I29*F41), IF($B$15="Diesel Fuel", IF($B$8="Default Value",I29* H41,I29* J41), 0))</f>
        <v>0</v>
      </c>
      <c r="J62" s="94">
        <f>IF($B$15="Gasoline",IF($B$10="Default Value", J29*D42, J29*F42), IF($B$15="Diesel Fuel", IF($B$8="Default Value",J29* H42,J29* J42), 0))</f>
        <v>0</v>
      </c>
      <c r="K62" s="94">
        <f>IF($B$15="Gasoline",IF($B$10="Default Value", K29*D43, K29*F43), IF($B$15="Diesel Fuel", IF($B$8="Default Value",K29* H43,K29* J43), 0))</f>
        <v>0</v>
      </c>
    </row>
    <row r="63" spans="1:11" customFormat="1" x14ac:dyDescent="0.25">
      <c r="A63" s="190" t="s">
        <v>292</v>
      </c>
      <c r="B63" s="191">
        <f>SUM(B60:B62)</f>
        <v>0</v>
      </c>
      <c r="C63" s="191">
        <f t="shared" ref="C63" si="1">SUM(C60:C62)</f>
        <v>0</v>
      </c>
      <c r="D63" s="191">
        <f t="shared" ref="D63" si="2">SUM(D60:D62)</f>
        <v>0</v>
      </c>
      <c r="E63" s="191">
        <f t="shared" ref="E63" si="3">SUM(E60:E62)</f>
        <v>0</v>
      </c>
      <c r="F63" s="191">
        <f t="shared" ref="F63" si="4">SUM(F60:F62)</f>
        <v>0</v>
      </c>
      <c r="G63" s="191">
        <f t="shared" ref="G63" si="5">SUM(G60:G62)</f>
        <v>0</v>
      </c>
      <c r="H63" s="191">
        <f t="shared" ref="H63" si="6">SUM(H60:H62)</f>
        <v>0</v>
      </c>
      <c r="I63" s="191">
        <f t="shared" ref="I63" si="7">SUM(I60:I62)</f>
        <v>0</v>
      </c>
      <c r="J63" s="191">
        <f t="shared" ref="J63" si="8">SUM(J60:J62)</f>
        <v>0</v>
      </c>
      <c r="K63" s="191">
        <f t="shared" ref="K63" si="9">SUM(K60:K62)</f>
        <v>0</v>
      </c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</sheetData>
  <mergeCells count="8">
    <mergeCell ref="A1:K1"/>
    <mergeCell ref="A22:K22"/>
    <mergeCell ref="B33:C33"/>
    <mergeCell ref="D33:E33"/>
    <mergeCell ref="H33:I33"/>
    <mergeCell ref="J33:K33"/>
    <mergeCell ref="F33:G33"/>
    <mergeCell ref="A26:K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47"/>
  <sheetViews>
    <sheetView topLeftCell="A16" workbookViewId="0">
      <selection activeCell="B46" sqref="B46"/>
    </sheetView>
  </sheetViews>
  <sheetFormatPr defaultRowHeight="15" x14ac:dyDescent="0.25"/>
  <cols>
    <col min="1" max="1" width="26.28515625" customWidth="1"/>
    <col min="2" max="11" width="17.7109375" customWidth="1"/>
  </cols>
  <sheetData>
    <row r="1" spans="1:11" ht="31.5" x14ac:dyDescent="0.5">
      <c r="A1" s="291" t="s">
        <v>266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3" spans="1:1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3.25" x14ac:dyDescent="0.25">
      <c r="A4" s="164" t="s">
        <v>396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x14ac:dyDescent="0.25">
      <c r="A6" s="117" t="s">
        <v>159</v>
      </c>
      <c r="B6" s="189" t="str">
        <f>IF(Inputs!G32=0, " ", Inputs!G32)</f>
        <v xml:space="preserve"> </v>
      </c>
      <c r="C6" s="114"/>
      <c r="D6" s="114"/>
      <c r="E6" s="114"/>
      <c r="F6" s="114"/>
      <c r="G6" s="114"/>
      <c r="H6" s="114"/>
      <c r="I6" s="114"/>
      <c r="J6" s="114"/>
      <c r="K6" s="114"/>
    </row>
    <row r="7" spans="1:11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 x14ac:dyDescent="0.25">
      <c r="A8" s="117" t="s">
        <v>163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x14ac:dyDescent="0.25">
      <c r="A10" s="153" t="s">
        <v>157</v>
      </c>
      <c r="B10" s="153">
        <f>Inputs!B46</f>
        <v>2018</v>
      </c>
      <c r="C10" s="153">
        <f>Inputs!C46</f>
        <v>2019</v>
      </c>
      <c r="D10" s="153">
        <f>Inputs!D46</f>
        <v>2020</v>
      </c>
      <c r="E10" s="153">
        <f>Inputs!E46</f>
        <v>2021</v>
      </c>
      <c r="F10" s="153">
        <f>Inputs!F46</f>
        <v>2022</v>
      </c>
      <c r="G10" s="153">
        <f>Inputs!G46</f>
        <v>2023</v>
      </c>
      <c r="H10" s="153">
        <f>Inputs!H46</f>
        <v>2024</v>
      </c>
      <c r="I10" s="153">
        <f>Inputs!I46</f>
        <v>2025</v>
      </c>
      <c r="J10" s="153">
        <f>Inputs!J46</f>
        <v>2026</v>
      </c>
      <c r="K10" s="153">
        <f>Inputs!K46</f>
        <v>2027</v>
      </c>
    </row>
    <row r="11" spans="1:11" x14ac:dyDescent="0.25">
      <c r="A11" s="115" t="s">
        <v>143</v>
      </c>
      <c r="B11" s="108">
        <f>'Vehicle Price'!B26</f>
        <v>0</v>
      </c>
      <c r="C11" s="108">
        <f>'Vehicle Price'!C26</f>
        <v>0</v>
      </c>
      <c r="D11" s="108">
        <f>'Vehicle Price'!D26</f>
        <v>0</v>
      </c>
      <c r="E11" s="108">
        <f>'Vehicle Price'!E26</f>
        <v>0</v>
      </c>
      <c r="F11" s="108">
        <f>'Vehicle Price'!F26</f>
        <v>0</v>
      </c>
      <c r="G11" s="108">
        <f>'Vehicle Price'!G26</f>
        <v>0</v>
      </c>
      <c r="H11" s="108">
        <f>'Vehicle Price'!H26</f>
        <v>0</v>
      </c>
      <c r="I11" s="108">
        <f>'Vehicle Price'!I26</f>
        <v>0</v>
      </c>
      <c r="J11" s="108">
        <f>'Vehicle Price'!J26</f>
        <v>0</v>
      </c>
      <c r="K11" s="108">
        <f>'Vehicle Price'!K26</f>
        <v>0</v>
      </c>
    </row>
    <row r="12" spans="1:11" x14ac:dyDescent="0.25">
      <c r="A12" s="115" t="s">
        <v>293</v>
      </c>
      <c r="B12" s="108">
        <f>'Vehicle Price'!B27</f>
        <v>0</v>
      </c>
      <c r="C12" s="108">
        <f>'Vehicle Price'!C27</f>
        <v>0</v>
      </c>
      <c r="D12" s="108">
        <f>'Vehicle Price'!D27</f>
        <v>0</v>
      </c>
      <c r="E12" s="108">
        <f>'Vehicle Price'!E27</f>
        <v>0</v>
      </c>
      <c r="F12" s="108">
        <f>'Vehicle Price'!F27</f>
        <v>0</v>
      </c>
      <c r="G12" s="108">
        <f>'Vehicle Price'!G27</f>
        <v>0</v>
      </c>
      <c r="H12" s="108">
        <f>'Vehicle Price'!H27</f>
        <v>0</v>
      </c>
      <c r="I12" s="108">
        <f>'Vehicle Price'!I27</f>
        <v>0</v>
      </c>
      <c r="J12" s="108">
        <f>'Vehicle Price'!J27</f>
        <v>0</v>
      </c>
      <c r="K12" s="108">
        <f>'Vehicle Price'!K27</f>
        <v>0</v>
      </c>
    </row>
    <row r="13" spans="1:11" x14ac:dyDescent="0.25">
      <c r="A13" s="115" t="s">
        <v>114</v>
      </c>
      <c r="B13" s="108">
        <f>'Vehicle Price'!B28</f>
        <v>0</v>
      </c>
      <c r="C13" s="108">
        <f>'Vehicle Price'!C28</f>
        <v>0</v>
      </c>
      <c r="D13" s="108">
        <f>'Vehicle Price'!D28</f>
        <v>0</v>
      </c>
      <c r="E13" s="108">
        <f>'Vehicle Price'!E28</f>
        <v>0</v>
      </c>
      <c r="F13" s="108">
        <f>'Vehicle Price'!F28</f>
        <v>0</v>
      </c>
      <c r="G13" s="108">
        <f>'Vehicle Price'!G28</f>
        <v>0</v>
      </c>
      <c r="H13" s="108">
        <f>'Vehicle Price'!H28</f>
        <v>0</v>
      </c>
      <c r="I13" s="108">
        <f>'Vehicle Price'!I28</f>
        <v>0</v>
      </c>
      <c r="J13" s="108">
        <f>'Vehicle Price'!J28</f>
        <v>0</v>
      </c>
      <c r="K13" s="108">
        <f>'Vehicle Price'!K28</f>
        <v>0</v>
      </c>
    </row>
    <row r="14" spans="1:11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5.75" x14ac:dyDescent="0.25">
      <c r="A15" s="117" t="s">
        <v>285</v>
      </c>
      <c r="B15" s="113"/>
      <c r="C15" s="113"/>
      <c r="D15" s="113"/>
      <c r="E15" s="113"/>
      <c r="F15" s="113"/>
      <c r="G15" s="113"/>
      <c r="H15" s="114"/>
      <c r="I15" s="114"/>
      <c r="J15" s="114"/>
      <c r="K15" s="114"/>
    </row>
    <row r="16" spans="1:11" x14ac:dyDescent="0.25">
      <c r="A16" s="113"/>
      <c r="B16" s="113"/>
      <c r="C16" s="113"/>
      <c r="D16" s="113"/>
      <c r="E16" s="113"/>
      <c r="F16" s="113"/>
      <c r="G16" s="113"/>
      <c r="H16" s="114"/>
      <c r="I16" s="114"/>
      <c r="J16" s="114"/>
      <c r="K16" s="114"/>
    </row>
    <row r="17" spans="1:11" ht="60" x14ac:dyDescent="0.25">
      <c r="A17" s="153" t="s">
        <v>157</v>
      </c>
      <c r="B17" s="151" t="str">
        <f>'Vehicle Price'!B43</f>
        <v>Biodiesel</v>
      </c>
      <c r="C17" s="151" t="str">
        <f>'Vehicle Price'!C43</f>
        <v>Compressed Natural Gas (CNG) - Conventional (fossil)</v>
      </c>
      <c r="D17" s="151" t="str">
        <f>'Vehicle Price'!D43</f>
        <v>Compressed Natural Gas (CNG) - Renewable</v>
      </c>
      <c r="E17" s="153" t="str">
        <f>'Vehicle Price'!E43</f>
        <v>E85 (Flex Fuel)</v>
      </c>
      <c r="F17" s="153" t="str">
        <f>'Vehicle Price'!F43</f>
        <v>Electricity</v>
      </c>
      <c r="G17" s="153" t="str">
        <f>'Vehicle Price'!G43</f>
        <v>Propane</v>
      </c>
      <c r="H17" s="153" t="str">
        <f>'Vehicle Price'!H43</f>
        <v>Diesel</v>
      </c>
      <c r="I17" s="153" t="str">
        <f>'Vehicle Price'!I43</f>
        <v>Gasoline</v>
      </c>
      <c r="J17" s="124"/>
      <c r="K17" s="114"/>
    </row>
    <row r="18" spans="1:11" x14ac:dyDescent="0.25">
      <c r="A18" s="115" t="s">
        <v>143</v>
      </c>
      <c r="B18" s="119">
        <f>'Vehicle Price'!B44</f>
        <v>50000</v>
      </c>
      <c r="C18" s="119">
        <f>'Vehicle Price'!C44</f>
        <v>60000</v>
      </c>
      <c r="D18" s="119">
        <f>'Vehicle Price'!D44</f>
        <v>60000</v>
      </c>
      <c r="E18" s="119">
        <f>'Vehicle Price'!E44</f>
        <v>40000</v>
      </c>
      <c r="F18" s="119">
        <f>'Vehicle Price'!F44</f>
        <v>125000</v>
      </c>
      <c r="G18" s="119">
        <f>'Vehicle Price'!G44</f>
        <v>55000</v>
      </c>
      <c r="H18" s="119">
        <f>'Vehicle Price'!H44</f>
        <v>50000</v>
      </c>
      <c r="I18" s="119">
        <f>'Vehicle Price'!I44</f>
        <v>40000</v>
      </c>
      <c r="J18" s="114"/>
      <c r="K18" s="114"/>
    </row>
    <row r="19" spans="1:11" x14ac:dyDescent="0.25">
      <c r="A19" s="115" t="s">
        <v>293</v>
      </c>
      <c r="B19" s="119">
        <f>'Vehicle Price'!B45</f>
        <v>80000</v>
      </c>
      <c r="C19" s="119">
        <f>'Vehicle Price'!C45</f>
        <v>90000</v>
      </c>
      <c r="D19" s="119">
        <f>'Vehicle Price'!D45</f>
        <v>90000</v>
      </c>
      <c r="E19" s="119">
        <f>'Vehicle Price'!E45</f>
        <v>70000</v>
      </c>
      <c r="F19" s="119">
        <f>'Vehicle Price'!F45</f>
        <v>450000</v>
      </c>
      <c r="G19" s="119">
        <f>'Vehicle Price'!G45</f>
        <v>85000</v>
      </c>
      <c r="H19" s="119">
        <f>'Vehicle Price'!H45</f>
        <v>80000</v>
      </c>
      <c r="I19" s="119">
        <f>'Vehicle Price'!I45</f>
        <v>70000</v>
      </c>
      <c r="J19" s="114"/>
      <c r="K19" s="114"/>
    </row>
    <row r="20" spans="1:11" x14ac:dyDescent="0.25">
      <c r="A20" s="115" t="s">
        <v>114</v>
      </c>
      <c r="B20" s="119">
        <f>'Vehicle Price'!B46</f>
        <v>375000</v>
      </c>
      <c r="C20" s="119">
        <f>'Vehicle Price'!C46</f>
        <v>495000</v>
      </c>
      <c r="D20" s="119">
        <f>'Vehicle Price'!D46</f>
        <v>495000</v>
      </c>
      <c r="E20" s="218">
        <f>'Vehicle Price'!E46</f>
        <v>0</v>
      </c>
      <c r="F20" s="119">
        <f>'Vehicle Price'!F46</f>
        <v>750000</v>
      </c>
      <c r="G20" s="218">
        <f>'Vehicle Price'!G46</f>
        <v>0</v>
      </c>
      <c r="H20" s="119">
        <f>'Vehicle Price'!H46</f>
        <v>375000</v>
      </c>
      <c r="I20" s="218">
        <f>'Vehicle Price'!I46</f>
        <v>0</v>
      </c>
      <c r="J20" s="114"/>
      <c r="K20" s="114"/>
    </row>
    <row r="21" spans="1:11" x14ac:dyDescent="0.25">
      <c r="A21" s="214"/>
      <c r="B21" s="216"/>
      <c r="C21" s="216"/>
      <c r="D21" s="216"/>
      <c r="E21" s="216"/>
      <c r="F21" s="216"/>
      <c r="G21" s="216"/>
      <c r="H21" s="216"/>
      <c r="I21" s="216"/>
      <c r="J21" s="114"/>
      <c r="K21" s="114"/>
    </row>
    <row r="22" spans="1:11" ht="15.75" x14ac:dyDescent="0.25">
      <c r="A22" s="121" t="s">
        <v>443</v>
      </c>
      <c r="B22" s="113"/>
      <c r="C22" s="216"/>
      <c r="D22" s="216"/>
      <c r="E22" s="216"/>
      <c r="F22" s="216"/>
      <c r="G22" s="216"/>
      <c r="H22" s="216"/>
      <c r="I22" s="216"/>
      <c r="J22" s="114"/>
      <c r="K22" s="114"/>
    </row>
    <row r="23" spans="1:11" x14ac:dyDescent="0.25">
      <c r="A23" s="112"/>
      <c r="B23" s="113"/>
      <c r="C23" s="216"/>
      <c r="D23" s="216"/>
      <c r="E23" s="216"/>
      <c r="F23" s="216"/>
      <c r="G23" s="216"/>
      <c r="H23" s="216"/>
      <c r="I23" s="216"/>
      <c r="J23" s="114"/>
      <c r="K23" s="114"/>
    </row>
    <row r="24" spans="1:11" x14ac:dyDescent="0.25">
      <c r="A24" s="206" t="s">
        <v>157</v>
      </c>
      <c r="B24" s="206" t="s">
        <v>441</v>
      </c>
      <c r="C24" s="216"/>
      <c r="D24" s="216"/>
      <c r="E24" s="216"/>
      <c r="F24" s="216"/>
      <c r="G24" s="216"/>
      <c r="H24" s="216"/>
      <c r="I24" s="216"/>
      <c r="J24" s="114"/>
      <c r="K24" s="114"/>
    </row>
    <row r="25" spans="1:11" x14ac:dyDescent="0.25">
      <c r="A25" s="212" t="s">
        <v>154</v>
      </c>
      <c r="B25" s="118" t="str">
        <f>IF(ISBLANK(Inputs!B33)," ",Inputs!B33)</f>
        <v xml:space="preserve"> </v>
      </c>
      <c r="C25" s="216"/>
      <c r="D25" s="216"/>
      <c r="E25" s="216"/>
      <c r="F25" s="216"/>
      <c r="G25" s="216"/>
      <c r="H25" s="216"/>
      <c r="I25" s="216"/>
      <c r="J25" s="114"/>
      <c r="K25" s="114"/>
    </row>
    <row r="26" spans="1:11" x14ac:dyDescent="0.25">
      <c r="A26" s="212" t="s">
        <v>293</v>
      </c>
      <c r="B26" s="118" t="str">
        <f>IF(ISBLANK(Inputs!B34)," ",Inputs!B34)</f>
        <v xml:space="preserve"> </v>
      </c>
      <c r="C26" s="216"/>
      <c r="D26" s="216"/>
      <c r="E26" s="216"/>
      <c r="F26" s="216"/>
      <c r="G26" s="216"/>
      <c r="H26" s="216"/>
      <c r="I26" s="216"/>
      <c r="J26" s="114"/>
      <c r="K26" s="114"/>
    </row>
    <row r="27" spans="1:11" x14ac:dyDescent="0.25">
      <c r="A27" s="212" t="s">
        <v>114</v>
      </c>
      <c r="B27" s="118" t="str">
        <f>IF(ISBLANK(Inputs!B35)," ",Inputs!B35)</f>
        <v xml:space="preserve"> </v>
      </c>
      <c r="C27" s="216"/>
      <c r="D27" s="216"/>
      <c r="E27" s="216"/>
      <c r="F27" s="216"/>
      <c r="G27" s="216"/>
      <c r="H27" s="216"/>
      <c r="I27" s="216"/>
      <c r="J27" s="114"/>
      <c r="K27" s="114"/>
    </row>
    <row r="28" spans="1:11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30" spans="1:11" ht="23.25" x14ac:dyDescent="0.25">
      <c r="A30" s="28" t="s">
        <v>309</v>
      </c>
    </row>
    <row r="31" spans="1:11" x14ac:dyDescent="0.25">
      <c r="A31" t="s">
        <v>286</v>
      </c>
    </row>
    <row r="33" spans="1:11" ht="15.75" x14ac:dyDescent="0.25">
      <c r="A33" s="77" t="str">
        <f>CONCATENATE("Alternative Fuel Costs - ",B6," ($)")</f>
        <v>Alternative Fuel Costs -   ($)</v>
      </c>
    </row>
    <row r="35" spans="1:11" x14ac:dyDescent="0.25">
      <c r="A35" s="45" t="s">
        <v>157</v>
      </c>
      <c r="B35" s="45">
        <f>Inputs!B46</f>
        <v>2018</v>
      </c>
      <c r="C35" s="45">
        <f>Inputs!C46</f>
        <v>2019</v>
      </c>
      <c r="D35" s="45">
        <f>Inputs!D46</f>
        <v>2020</v>
      </c>
      <c r="E35" s="45">
        <f>Inputs!E46</f>
        <v>2021</v>
      </c>
      <c r="F35" s="45">
        <f>Inputs!F46</f>
        <v>2022</v>
      </c>
      <c r="G35" s="45">
        <f>Inputs!G46</f>
        <v>2023</v>
      </c>
      <c r="H35" s="45">
        <f>Inputs!H46</f>
        <v>2024</v>
      </c>
      <c r="I35" s="45">
        <f>Inputs!I46</f>
        <v>2025</v>
      </c>
      <c r="J35" s="45">
        <f>Inputs!J46</f>
        <v>2026</v>
      </c>
      <c r="K35" s="45">
        <f>Inputs!K46</f>
        <v>2027</v>
      </c>
    </row>
    <row r="36" spans="1:11" x14ac:dyDescent="0.25">
      <c r="A36" s="73" t="s">
        <v>161</v>
      </c>
      <c r="B36" s="94">
        <f>IF($B$6="Biodiesel", B11*$B$18, IF($B$6="Compressed Natural Gas (CNG) - Conventional (fossil)", B11*$C$18, IF($B$6="Compressed Natural Gas (CNG) - Renewable", B11*$D$18, IF($B$6="E85 (Flex Fuel)", B11*$E$18, IF($B$6="Electricity", B11*$F$18, IF($B$6="Propane", B11*$G$18,0))))))</f>
        <v>0</v>
      </c>
      <c r="C36" s="94">
        <f t="shared" ref="C36:K36" si="0">IF($B$6="Biodiesel", C11*$B$18, IF($B$6="Compressed Natural Gas (CNG) - Conventional (fossil)", C11*$C$18, IF($B$6="Compressed Natural Gas (CNG) - Renewable", C11*$D$18, IF($B$6="E85 (Flex Fuel)", C11*$E$18, IF($B$6="Electricity", C11*$F$18, IF($B$6="Propane", C11*$G$18,0))))))</f>
        <v>0</v>
      </c>
      <c r="D36" s="94">
        <f t="shared" si="0"/>
        <v>0</v>
      </c>
      <c r="E36" s="94">
        <f t="shared" si="0"/>
        <v>0</v>
      </c>
      <c r="F36" s="94">
        <f t="shared" si="0"/>
        <v>0</v>
      </c>
      <c r="G36" s="94">
        <f t="shared" si="0"/>
        <v>0</v>
      </c>
      <c r="H36" s="94">
        <f t="shared" si="0"/>
        <v>0</v>
      </c>
      <c r="I36" s="94">
        <f t="shared" si="0"/>
        <v>0</v>
      </c>
      <c r="J36" s="94">
        <f t="shared" si="0"/>
        <v>0</v>
      </c>
      <c r="K36" s="94">
        <f t="shared" si="0"/>
        <v>0</v>
      </c>
    </row>
    <row r="37" spans="1:11" x14ac:dyDescent="0.25">
      <c r="A37" s="73" t="s">
        <v>293</v>
      </c>
      <c r="B37" s="94">
        <f t="shared" ref="B37:K37" si="1">IF($B$6="Biodiesel", B12*$B$19, IF($B$6="Compressed Natural Gas (CNG) - Conventional (fossil)", B12*$C$19, IF($B$6="Compressed Natural Gas (CNG) - Renewable", B12*$D$19, IF($B$6="E85 (Flex Fuel)", B12*$E$19, IF($B$6="Electricity", B12*$F$19, IF($B$6="Propane", B12*$G$19,0))))))</f>
        <v>0</v>
      </c>
      <c r="C37" s="94">
        <f t="shared" si="1"/>
        <v>0</v>
      </c>
      <c r="D37" s="94">
        <f t="shared" si="1"/>
        <v>0</v>
      </c>
      <c r="E37" s="94">
        <f t="shared" si="1"/>
        <v>0</v>
      </c>
      <c r="F37" s="94">
        <f t="shared" si="1"/>
        <v>0</v>
      </c>
      <c r="G37" s="94">
        <f t="shared" si="1"/>
        <v>0</v>
      </c>
      <c r="H37" s="94">
        <f t="shared" si="1"/>
        <v>0</v>
      </c>
      <c r="I37" s="94">
        <f t="shared" si="1"/>
        <v>0</v>
      </c>
      <c r="J37" s="94">
        <f t="shared" si="1"/>
        <v>0</v>
      </c>
      <c r="K37" s="94">
        <f t="shared" si="1"/>
        <v>0</v>
      </c>
    </row>
    <row r="38" spans="1:11" x14ac:dyDescent="0.25">
      <c r="A38" s="73" t="s">
        <v>114</v>
      </c>
      <c r="B38" s="94">
        <f t="shared" ref="B38:K38" si="2">IF($B$6="Biodiesel", B13*$B$20, IF($B$6="Compressed Natural Gas (CNG) - Conventional (fossil)", B13*$C$20, IF($B$6="Compressed Natural Gas (CNG) - Renewable", B13*$D$20, IF($B$6="E85 (Flex Fuel)", B13*$E$20, IF($B$6="Electricity", B13*$F$20, IF($B$6="Propane", B13*$G$20,0))))))</f>
        <v>0</v>
      </c>
      <c r="C38" s="94">
        <f t="shared" si="2"/>
        <v>0</v>
      </c>
      <c r="D38" s="94">
        <f t="shared" si="2"/>
        <v>0</v>
      </c>
      <c r="E38" s="94">
        <f t="shared" si="2"/>
        <v>0</v>
      </c>
      <c r="F38" s="94">
        <f t="shared" si="2"/>
        <v>0</v>
      </c>
      <c r="G38" s="94">
        <f t="shared" si="2"/>
        <v>0</v>
      </c>
      <c r="H38" s="94">
        <f t="shared" si="2"/>
        <v>0</v>
      </c>
      <c r="I38" s="94">
        <f t="shared" si="2"/>
        <v>0</v>
      </c>
      <c r="J38" s="94">
        <f t="shared" si="2"/>
        <v>0</v>
      </c>
      <c r="K38" s="94">
        <f t="shared" si="2"/>
        <v>0</v>
      </c>
    </row>
    <row r="39" spans="1:11" x14ac:dyDescent="0.25">
      <c r="A39" s="190" t="s">
        <v>292</v>
      </c>
      <c r="B39" s="191">
        <f>SUM(B36:B38)</f>
        <v>0</v>
      </c>
      <c r="C39" s="191">
        <f t="shared" ref="C39:K39" si="3">SUM(C36:C38)</f>
        <v>0</v>
      </c>
      <c r="D39" s="191">
        <f t="shared" si="3"/>
        <v>0</v>
      </c>
      <c r="E39" s="191">
        <f t="shared" si="3"/>
        <v>0</v>
      </c>
      <c r="F39" s="191">
        <f t="shared" si="3"/>
        <v>0</v>
      </c>
      <c r="G39" s="191">
        <f t="shared" si="3"/>
        <v>0</v>
      </c>
      <c r="H39" s="191">
        <f t="shared" si="3"/>
        <v>0</v>
      </c>
      <c r="I39" s="191">
        <f t="shared" si="3"/>
        <v>0</v>
      </c>
      <c r="J39" s="191">
        <f t="shared" si="3"/>
        <v>0</v>
      </c>
      <c r="K39" s="191">
        <f t="shared" si="3"/>
        <v>0</v>
      </c>
    </row>
    <row r="41" spans="1:11" ht="15.75" x14ac:dyDescent="0.25">
      <c r="A41" s="77" t="s">
        <v>445</v>
      </c>
    </row>
    <row r="43" spans="1:11" x14ac:dyDescent="0.25">
      <c r="A43" s="153" t="s">
        <v>157</v>
      </c>
      <c r="B43" s="153">
        <f>Inputs!B46</f>
        <v>2018</v>
      </c>
      <c r="C43" s="153">
        <f>Inputs!C46</f>
        <v>2019</v>
      </c>
      <c r="D43" s="153">
        <f>Inputs!D46</f>
        <v>2020</v>
      </c>
      <c r="E43" s="153">
        <f>Inputs!E46</f>
        <v>2021</v>
      </c>
      <c r="F43" s="153">
        <f>Inputs!F46</f>
        <v>2022</v>
      </c>
      <c r="G43" s="153">
        <f>Inputs!G46</f>
        <v>2023</v>
      </c>
      <c r="H43" s="153">
        <f>Inputs!H46</f>
        <v>2024</v>
      </c>
      <c r="I43" s="153">
        <f>Inputs!I46</f>
        <v>2025</v>
      </c>
      <c r="J43" s="153">
        <f>Inputs!J46</f>
        <v>2026</v>
      </c>
      <c r="K43" s="153">
        <f>Inputs!K46</f>
        <v>2027</v>
      </c>
    </row>
    <row r="44" spans="1:11" x14ac:dyDescent="0.25">
      <c r="A44" s="73" t="s">
        <v>161</v>
      </c>
      <c r="B44" s="94">
        <f>IF($B$25="Gasoline", B11*$I$18, IF($B$25="Diesel Fuel", B11*$H$18, 0))</f>
        <v>0</v>
      </c>
      <c r="C44" s="94">
        <f t="shared" ref="C44:K44" si="4">IF($B$25="Gasoline", C11*$I$18, IF($B$25="Diesel Fuel", C11*$H$18, 0))</f>
        <v>0</v>
      </c>
      <c r="D44" s="94">
        <f t="shared" si="4"/>
        <v>0</v>
      </c>
      <c r="E44" s="94">
        <f t="shared" si="4"/>
        <v>0</v>
      </c>
      <c r="F44" s="94">
        <f t="shared" si="4"/>
        <v>0</v>
      </c>
      <c r="G44" s="94">
        <f t="shared" si="4"/>
        <v>0</v>
      </c>
      <c r="H44" s="94">
        <f t="shared" si="4"/>
        <v>0</v>
      </c>
      <c r="I44" s="94">
        <f t="shared" si="4"/>
        <v>0</v>
      </c>
      <c r="J44" s="94">
        <f t="shared" si="4"/>
        <v>0</v>
      </c>
      <c r="K44" s="94">
        <f t="shared" si="4"/>
        <v>0</v>
      </c>
    </row>
    <row r="45" spans="1:11" x14ac:dyDescent="0.25">
      <c r="A45" s="73" t="s">
        <v>293</v>
      </c>
      <c r="B45" s="94">
        <f>IF($B$26="Gasoline", B12*$I$19, IF($B$26="Diesel Fuel", B12*$H$19, 0))</f>
        <v>0</v>
      </c>
      <c r="C45" s="94">
        <f t="shared" ref="C45:K45" si="5">IF($B$26="Gasoline", C12*$I$19, IF($B$26="Diesel Fuel", C12*$H$19, 0))</f>
        <v>0</v>
      </c>
      <c r="D45" s="94">
        <f t="shared" si="5"/>
        <v>0</v>
      </c>
      <c r="E45" s="94">
        <f t="shared" si="5"/>
        <v>0</v>
      </c>
      <c r="F45" s="94">
        <f t="shared" si="5"/>
        <v>0</v>
      </c>
      <c r="G45" s="94">
        <f t="shared" si="5"/>
        <v>0</v>
      </c>
      <c r="H45" s="94">
        <f t="shared" si="5"/>
        <v>0</v>
      </c>
      <c r="I45" s="94">
        <f t="shared" si="5"/>
        <v>0</v>
      </c>
      <c r="J45" s="94">
        <f t="shared" si="5"/>
        <v>0</v>
      </c>
      <c r="K45" s="94">
        <f t="shared" si="5"/>
        <v>0</v>
      </c>
    </row>
    <row r="46" spans="1:11" x14ac:dyDescent="0.25">
      <c r="A46" s="73" t="s">
        <v>114</v>
      </c>
      <c r="B46" s="94">
        <f>IF($B$27="Gasoline", B13*$I$20, IF($B$27="Diesel Fuel", B13*$H$20, 0))</f>
        <v>0</v>
      </c>
      <c r="C46" s="94">
        <f t="shared" ref="C46:K46" si="6">IF($B$27="Gasoline", C13*$I$20, IF($B$27="Diesel Fuel", C13*$H$20, 0))</f>
        <v>0</v>
      </c>
      <c r="D46" s="94">
        <f t="shared" si="6"/>
        <v>0</v>
      </c>
      <c r="E46" s="94">
        <f t="shared" si="6"/>
        <v>0</v>
      </c>
      <c r="F46" s="94">
        <f t="shared" si="6"/>
        <v>0</v>
      </c>
      <c r="G46" s="94">
        <f t="shared" si="6"/>
        <v>0</v>
      </c>
      <c r="H46" s="94">
        <f t="shared" si="6"/>
        <v>0</v>
      </c>
      <c r="I46" s="94">
        <f t="shared" si="6"/>
        <v>0</v>
      </c>
      <c r="J46" s="94">
        <f t="shared" si="6"/>
        <v>0</v>
      </c>
      <c r="K46" s="94">
        <f t="shared" si="6"/>
        <v>0</v>
      </c>
    </row>
    <row r="47" spans="1:11" x14ac:dyDescent="0.25">
      <c r="A47" s="190" t="s">
        <v>292</v>
      </c>
      <c r="B47" s="191">
        <f>SUM(B44:B46)</f>
        <v>0</v>
      </c>
      <c r="C47" s="191">
        <f t="shared" ref="C47" si="7">SUM(C44:C46)</f>
        <v>0</v>
      </c>
      <c r="D47" s="191">
        <f t="shared" ref="D47" si="8">SUM(D44:D46)</f>
        <v>0</v>
      </c>
      <c r="E47" s="191">
        <f t="shared" ref="E47" si="9">SUM(E44:E46)</f>
        <v>0</v>
      </c>
      <c r="F47" s="191">
        <f t="shared" ref="F47" si="10">SUM(F44:F46)</f>
        <v>0</v>
      </c>
      <c r="G47" s="191">
        <f t="shared" ref="G47" si="11">SUM(G44:G46)</f>
        <v>0</v>
      </c>
      <c r="H47" s="191">
        <f t="shared" ref="H47" si="12">SUM(H44:H46)</f>
        <v>0</v>
      </c>
      <c r="I47" s="191">
        <f t="shared" ref="I47" si="13">SUM(I44:I46)</f>
        <v>0</v>
      </c>
      <c r="J47" s="191">
        <f t="shared" ref="J47" si="14">SUM(J44:J46)</f>
        <v>0</v>
      </c>
      <c r="K47" s="191">
        <f t="shared" ref="K47" si="15">SUM(K44:K46)</f>
        <v>0</v>
      </c>
    </row>
  </sheetData>
  <mergeCells count="1"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66"/>
  <sheetViews>
    <sheetView topLeftCell="A22" workbookViewId="0">
      <selection activeCell="C38" sqref="C38"/>
    </sheetView>
  </sheetViews>
  <sheetFormatPr defaultColWidth="8.85546875" defaultRowHeight="15" x14ac:dyDescent="0.25"/>
  <cols>
    <col min="1" max="1" width="28.42578125" style="22" customWidth="1"/>
    <col min="2" max="2" width="16.7109375" style="22" customWidth="1"/>
    <col min="3" max="3" width="14.7109375" style="22" customWidth="1"/>
    <col min="4" max="10" width="16.140625" style="22" customWidth="1"/>
    <col min="11" max="11" width="12.7109375" style="22" customWidth="1"/>
    <col min="12" max="12" width="13.140625" style="22" customWidth="1"/>
    <col min="13" max="13" width="16.5703125" style="32" customWidth="1"/>
    <col min="14" max="16384" width="8.85546875" style="22"/>
  </cols>
  <sheetData>
    <row r="1" spans="1:13" ht="31.5" x14ac:dyDescent="0.25">
      <c r="A1" s="285" t="s">
        <v>267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3" spans="1:13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3.25" x14ac:dyDescent="0.25">
      <c r="A4" s="164" t="s">
        <v>396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23.45" customHeight="1" x14ac:dyDescent="0.25">
      <c r="A6" s="112" t="s">
        <v>159</v>
      </c>
      <c r="B6" s="113" t="str">
        <f>IF(Inputs!G32=0, " ", Inputs!G32)</f>
        <v xml:space="preserve"> 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23.45" customHeight="1" x14ac:dyDescent="0.25">
      <c r="A7" s="112" t="s">
        <v>401</v>
      </c>
      <c r="B7" s="189" t="str">
        <f>IF(Inputs!J37=0, " ", Inputs!J37)</f>
        <v xml:space="preserve"> 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23.45" customHeight="1" x14ac:dyDescent="0.25">
      <c r="A8" s="112" t="s">
        <v>160</v>
      </c>
      <c r="B8" s="116">
        <f>Inputs!B55</f>
        <v>0.02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23.45" customHeight="1" x14ac:dyDescent="0.25">
      <c r="A9" s="112"/>
      <c r="B9" s="116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.75" x14ac:dyDescent="0.25">
      <c r="A10" s="121" t="s">
        <v>443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x14ac:dyDescent="0.25">
      <c r="A12" s="206" t="s">
        <v>157</v>
      </c>
      <c r="B12" s="206" t="s">
        <v>441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x14ac:dyDescent="0.25">
      <c r="A13" s="212" t="s">
        <v>154</v>
      </c>
      <c r="B13" s="118" t="str">
        <f>IF(ISBLANK(Inputs!B33)," ",Inputs!B33)</f>
        <v xml:space="preserve"> 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x14ac:dyDescent="0.25">
      <c r="A14" s="212" t="s">
        <v>293</v>
      </c>
      <c r="B14" s="118" t="str">
        <f>IF(ISBLANK(Inputs!B34)," ",Inputs!B34)</f>
        <v xml:space="preserve"> 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x14ac:dyDescent="0.25">
      <c r="A15" s="212" t="s">
        <v>114</v>
      </c>
      <c r="B15" s="118" t="str">
        <f>IF(ISBLANK(Inputs!B35)," ",Inputs!B35)</f>
        <v xml:space="preserve"> 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x14ac:dyDescent="0.25">
      <c r="A16" s="213"/>
      <c r="B16" s="214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4" ht="15.75" x14ac:dyDescent="0.25">
      <c r="A17" s="121" t="s">
        <v>406</v>
      </c>
      <c r="B17" s="116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4" x14ac:dyDescent="0.25">
      <c r="A18" s="112"/>
      <c r="B18" s="116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4" x14ac:dyDescent="0.25">
      <c r="A19" s="151" t="s">
        <v>323</v>
      </c>
      <c r="B19" s="151" t="s">
        <v>446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4" x14ac:dyDescent="0.25">
      <c r="A20" s="118" t="s">
        <v>154</v>
      </c>
      <c r="B20" s="192">
        <f>IF($B$6="Biodiesel", 'Infrastructure and Maintenance'!B22, IF($B$6="Compressed Natural Gas (CNG) - Conventional (fossil)", 'Infrastructure and Maintenance'!C22, IF($B$6="Compressed Natural Gas (CNG) - Renewable", 'Infrastructure and Maintenance'!D22, IF($B$6="E85 (Flex Fuel)", 'Infrastructure and Maintenance'!E22, IF($B$6="Electricity",'Infrastructure and Maintenance'!F22, IF($B$6="Propane", 'Infrastructure and Maintenance'!G22, IF($B$6="Diesel Fuel", 'Infrastructure and Maintenance'!H22, IF($B$6="Gasoline",'Infrastructure and Maintenance'!I22, 0))))))))</f>
        <v>0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4" x14ac:dyDescent="0.25">
      <c r="A21" s="115" t="s">
        <v>293</v>
      </c>
      <c r="B21" s="192">
        <f>IF($B$6="Biodiesel", 'Infrastructure and Maintenance'!B23, IF($B$6="Compressed Natural Gas (CNG) - Conventional (fossil)", 'Infrastructure and Maintenance'!C23, IF($B$6="Compressed Natural Gas (CNG) - Renewable", 'Infrastructure and Maintenance'!D23, IF($B$6="E85 (Flex Fuel)", 'Infrastructure and Maintenance'!E23, IF($B$6="Electricity",'Infrastructure and Maintenance'!F23, IF($B$6="Propane", 'Infrastructure and Maintenance'!G23, IF($B$6="Diesel Fuel", 'Infrastructure and Maintenance'!H23, IF($B$6="Gasoline",'Infrastructure and Maintenance'!I23, 0))))))))</f>
        <v>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4" x14ac:dyDescent="0.25">
      <c r="A22" s="115" t="s">
        <v>114</v>
      </c>
      <c r="B22" s="192">
        <f>IF($B$6="Biodiesel", 'Infrastructure and Maintenance'!B24, IF($B$6="Compressed Natural Gas (CNG) - Conventional (fossil)", 'Infrastructure and Maintenance'!C24, IF($B$6="Compressed Natural Gas (CNG) - Renewable", 'Infrastructure and Maintenance'!D24, IF($B$6="E85 (Flex Fuel)", 'Infrastructure and Maintenance'!E24, IF($B$6="Electricity",'Infrastructure and Maintenance'!F24, IF($B$6="Propane", 'Infrastructure and Maintenance'!G24, IF($B$6="Diesel Fuel", 'Infrastructure and Maintenance'!H24, IF($B$6="Gasoline",'Infrastructure and Maintenance'!I24, 0))))))))</f>
        <v>0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4" x14ac:dyDescent="0.25">
      <c r="A23" s="112"/>
      <c r="B23" s="113"/>
      <c r="C23" s="113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/>
    </row>
    <row r="24" spans="1:14" x14ac:dyDescent="0.25">
      <c r="A24" s="71"/>
      <c r="E24"/>
      <c r="F24"/>
      <c r="G24"/>
      <c r="H24"/>
      <c r="I24"/>
      <c r="J24"/>
      <c r="K24"/>
      <c r="L24"/>
      <c r="M24" s="96"/>
      <c r="N24"/>
    </row>
    <row r="25" spans="1:14" ht="23.25" x14ac:dyDescent="0.25">
      <c r="A25" s="28" t="s">
        <v>311</v>
      </c>
      <c r="E25"/>
      <c r="F25"/>
      <c r="G25"/>
      <c r="H25"/>
      <c r="I25"/>
      <c r="J25"/>
      <c r="K25"/>
      <c r="L25"/>
      <c r="M25" s="96"/>
      <c r="N25"/>
    </row>
    <row r="26" spans="1:14" x14ac:dyDescent="0.25">
      <c r="A26" s="71"/>
      <c r="E26"/>
      <c r="F26"/>
      <c r="G26"/>
      <c r="H26"/>
      <c r="I26"/>
      <c r="J26"/>
      <c r="K26"/>
      <c r="L26"/>
      <c r="M26" s="96"/>
      <c r="N26"/>
    </row>
    <row r="27" spans="1:14" ht="54" customHeight="1" x14ac:dyDescent="0.25">
      <c r="A27" s="144" t="s">
        <v>316</v>
      </c>
      <c r="B27" s="151" t="str">
        <f>B6</f>
        <v xml:space="preserve"> </v>
      </c>
      <c r="C27" s="151" t="s">
        <v>306</v>
      </c>
      <c r="D27"/>
      <c r="E27"/>
      <c r="F27"/>
      <c r="G27"/>
      <c r="H27"/>
      <c r="I27"/>
      <c r="J27"/>
      <c r="K27"/>
      <c r="L27"/>
      <c r="M27" s="96"/>
      <c r="N27"/>
    </row>
    <row r="28" spans="1:14" x14ac:dyDescent="0.25">
      <c r="A28" s="73" t="s">
        <v>170</v>
      </c>
      <c r="B28" s="193">
        <f>M50</f>
        <v>0</v>
      </c>
      <c r="C28" s="193">
        <f>M60</f>
        <v>0</v>
      </c>
      <c r="D28"/>
      <c r="E28"/>
      <c r="F28"/>
      <c r="G28"/>
      <c r="H28"/>
      <c r="I28"/>
      <c r="J28"/>
      <c r="K28"/>
      <c r="L28"/>
      <c r="M28" s="96"/>
      <c r="N28"/>
    </row>
    <row r="29" spans="1:14" x14ac:dyDescent="0.25">
      <c r="A29" s="73" t="s">
        <v>113</v>
      </c>
      <c r="B29" s="193">
        <f t="shared" ref="B29:B33" si="0">M51</f>
        <v>0</v>
      </c>
      <c r="C29" s="193">
        <f t="shared" ref="C29:C33" si="1">M61</f>
        <v>0</v>
      </c>
      <c r="D29"/>
      <c r="E29"/>
      <c r="F29"/>
      <c r="G29"/>
      <c r="H29"/>
      <c r="I29"/>
      <c r="J29"/>
      <c r="K29"/>
      <c r="L29"/>
      <c r="M29" s="96"/>
      <c r="N29"/>
    </row>
    <row r="30" spans="1:14" x14ac:dyDescent="0.25">
      <c r="A30" s="73" t="s">
        <v>171</v>
      </c>
      <c r="B30" s="193">
        <f t="shared" si="0"/>
        <v>0</v>
      </c>
      <c r="C30" s="193">
        <f t="shared" si="1"/>
        <v>0</v>
      </c>
      <c r="D30"/>
      <c r="E30"/>
      <c r="F30"/>
      <c r="G30"/>
      <c r="H30"/>
      <c r="I30"/>
      <c r="J30"/>
      <c r="K30"/>
      <c r="L30"/>
      <c r="M30" s="96"/>
      <c r="N30"/>
    </row>
    <row r="31" spans="1:14" x14ac:dyDescent="0.25">
      <c r="A31" s="73" t="s">
        <v>172</v>
      </c>
      <c r="B31" s="193">
        <f t="shared" si="0"/>
        <v>0</v>
      </c>
      <c r="C31" s="193">
        <f t="shared" si="1"/>
        <v>0</v>
      </c>
      <c r="D31"/>
      <c r="E31"/>
      <c r="F31"/>
      <c r="G31"/>
      <c r="H31"/>
      <c r="I31"/>
      <c r="J31"/>
      <c r="K31"/>
      <c r="L31"/>
      <c r="M31" s="96"/>
      <c r="N31"/>
    </row>
    <row r="32" spans="1:14" x14ac:dyDescent="0.25">
      <c r="A32" s="73" t="s">
        <v>111</v>
      </c>
      <c r="B32" s="193">
        <f t="shared" si="0"/>
        <v>0</v>
      </c>
      <c r="C32" s="193">
        <f t="shared" si="1"/>
        <v>0</v>
      </c>
      <c r="D32"/>
      <c r="E32"/>
      <c r="F32"/>
      <c r="G32"/>
      <c r="H32"/>
      <c r="I32"/>
      <c r="J32"/>
      <c r="K32"/>
      <c r="L32"/>
      <c r="M32" s="96"/>
      <c r="N32"/>
    </row>
    <row r="33" spans="1:14" x14ac:dyDescent="0.25">
      <c r="A33" s="128" t="s">
        <v>292</v>
      </c>
      <c r="B33" s="194">
        <f t="shared" si="0"/>
        <v>0</v>
      </c>
      <c r="C33" s="195">
        <f t="shared" si="1"/>
        <v>0</v>
      </c>
      <c r="D33"/>
      <c r="E33"/>
      <c r="F33"/>
      <c r="G33"/>
      <c r="H33"/>
      <c r="I33"/>
      <c r="J33"/>
      <c r="K33"/>
      <c r="L33"/>
      <c r="M33" s="96"/>
      <c r="N33"/>
    </row>
    <row r="34" spans="1:14" x14ac:dyDescent="0.25">
      <c r="A34" s="130"/>
      <c r="B34" s="131"/>
      <c r="C34" s="132"/>
      <c r="D34"/>
      <c r="E34" s="131"/>
      <c r="F34" s="131"/>
      <c r="G34"/>
      <c r="H34"/>
      <c r="I34"/>
      <c r="J34" s="131"/>
      <c r="K34"/>
      <c r="L34"/>
      <c r="M34" s="96"/>
      <c r="N34"/>
    </row>
    <row r="35" spans="1:14" x14ac:dyDescent="0.25">
      <c r="A35" s="100" t="s">
        <v>315</v>
      </c>
      <c r="B35" s="131"/>
      <c r="C35" s="132"/>
      <c r="D35"/>
      <c r="E35" s="131"/>
      <c r="F35" s="131"/>
      <c r="G35"/>
      <c r="H35"/>
      <c r="I35"/>
      <c r="J35" s="131"/>
      <c r="K35"/>
      <c r="L35"/>
      <c r="M35" s="96"/>
      <c r="N35"/>
    </row>
    <row r="36" spans="1:14" x14ac:dyDescent="0.25">
      <c r="A36" s="71"/>
      <c r="D36"/>
      <c r="E36"/>
      <c r="F36"/>
      <c r="G36"/>
      <c r="H36"/>
      <c r="I36"/>
      <c r="J36"/>
      <c r="K36"/>
      <c r="L36"/>
      <c r="M36" s="96"/>
      <c r="N36"/>
    </row>
    <row r="37" spans="1:14" ht="61.9" customHeight="1" x14ac:dyDescent="0.25">
      <c r="A37" s="144" t="s">
        <v>316</v>
      </c>
      <c r="B37" s="151" t="str">
        <f>B6</f>
        <v xml:space="preserve"> </v>
      </c>
      <c r="C37" s="151" t="s">
        <v>306</v>
      </c>
      <c r="D37"/>
      <c r="E37"/>
      <c r="F37"/>
      <c r="G37"/>
      <c r="H37"/>
      <c r="I37"/>
      <c r="J37"/>
      <c r="K37"/>
      <c r="L37"/>
      <c r="M37" s="96"/>
      <c r="N37"/>
    </row>
    <row r="38" spans="1:14" x14ac:dyDescent="0.25">
      <c r="A38" s="73" t="s">
        <v>170</v>
      </c>
      <c r="B38" s="127">
        <f t="shared" ref="B38:C43" si="2">B28/1000000</f>
        <v>0</v>
      </c>
      <c r="C38" s="127">
        <f t="shared" si="2"/>
        <v>0</v>
      </c>
      <c r="D38"/>
      <c r="E38"/>
      <c r="F38"/>
      <c r="G38"/>
      <c r="H38"/>
      <c r="I38"/>
      <c r="J38"/>
      <c r="K38"/>
      <c r="L38"/>
      <c r="M38" s="96"/>
      <c r="N38"/>
    </row>
    <row r="39" spans="1:14" x14ac:dyDescent="0.25">
      <c r="A39" s="73" t="s">
        <v>113</v>
      </c>
      <c r="B39" s="127">
        <f t="shared" si="2"/>
        <v>0</v>
      </c>
      <c r="C39" s="127">
        <f t="shared" si="2"/>
        <v>0</v>
      </c>
      <c r="D39"/>
      <c r="E39"/>
      <c r="F39"/>
      <c r="G39"/>
      <c r="H39"/>
      <c r="I39"/>
      <c r="J39"/>
      <c r="K39"/>
      <c r="L39"/>
      <c r="M39" s="96"/>
      <c r="N39"/>
    </row>
    <row r="40" spans="1:14" x14ac:dyDescent="0.25">
      <c r="A40" s="73" t="s">
        <v>171</v>
      </c>
      <c r="B40" s="127">
        <f t="shared" si="2"/>
        <v>0</v>
      </c>
      <c r="C40" s="127">
        <f t="shared" si="2"/>
        <v>0</v>
      </c>
      <c r="D40"/>
      <c r="E40"/>
      <c r="F40"/>
      <c r="G40"/>
      <c r="H40"/>
      <c r="I40"/>
      <c r="J40"/>
      <c r="K40"/>
      <c r="L40"/>
      <c r="M40" s="96"/>
      <c r="N40"/>
    </row>
    <row r="41" spans="1:14" x14ac:dyDescent="0.25">
      <c r="A41" s="73" t="s">
        <v>172</v>
      </c>
      <c r="B41" s="127">
        <f t="shared" si="2"/>
        <v>0</v>
      </c>
      <c r="C41" s="127">
        <f t="shared" si="2"/>
        <v>0</v>
      </c>
      <c r="D41"/>
      <c r="E41"/>
      <c r="F41"/>
      <c r="G41"/>
      <c r="H41"/>
      <c r="I41"/>
      <c r="J41"/>
      <c r="K41"/>
      <c r="L41"/>
      <c r="M41" s="96"/>
      <c r="N41"/>
    </row>
    <row r="42" spans="1:14" x14ac:dyDescent="0.25">
      <c r="A42" s="73" t="s">
        <v>111</v>
      </c>
      <c r="B42" s="127">
        <f t="shared" si="2"/>
        <v>0</v>
      </c>
      <c r="C42" s="127">
        <f t="shared" si="2"/>
        <v>0</v>
      </c>
      <c r="D42"/>
      <c r="E42"/>
      <c r="F42"/>
      <c r="G42"/>
      <c r="H42"/>
      <c r="I42"/>
      <c r="J42"/>
      <c r="K42"/>
      <c r="L42"/>
      <c r="M42" s="96"/>
      <c r="N42"/>
    </row>
    <row r="43" spans="1:14" x14ac:dyDescent="0.25">
      <c r="A43" s="128" t="s">
        <v>292</v>
      </c>
      <c r="B43" s="129">
        <f t="shared" si="2"/>
        <v>0</v>
      </c>
      <c r="C43" s="129">
        <f t="shared" si="2"/>
        <v>0</v>
      </c>
      <c r="D43"/>
      <c r="E43"/>
      <c r="F43"/>
      <c r="G43"/>
      <c r="H43"/>
      <c r="I43"/>
      <c r="J43"/>
      <c r="K43"/>
      <c r="L43"/>
      <c r="M43" s="96"/>
      <c r="N43"/>
    </row>
    <row r="44" spans="1:14" x14ac:dyDescent="0.25">
      <c r="A44" s="71"/>
      <c r="D44"/>
      <c r="E44"/>
      <c r="F44"/>
      <c r="G44"/>
      <c r="H44"/>
      <c r="I44"/>
      <c r="J44"/>
      <c r="K44"/>
      <c r="L44"/>
      <c r="M44" s="96"/>
      <c r="N44"/>
    </row>
    <row r="45" spans="1:14" ht="23.25" x14ac:dyDescent="0.25">
      <c r="A45" s="28" t="s">
        <v>309</v>
      </c>
      <c r="D45"/>
      <c r="E45"/>
      <c r="F45"/>
      <c r="G45"/>
      <c r="H45"/>
      <c r="I45"/>
      <c r="J45"/>
      <c r="K45"/>
      <c r="L45"/>
      <c r="M45" s="96"/>
      <c r="N45"/>
    </row>
    <row r="46" spans="1:14" x14ac:dyDescent="0.25">
      <c r="A46" s="71"/>
      <c r="E46"/>
      <c r="F46"/>
      <c r="G46"/>
      <c r="H46"/>
      <c r="I46"/>
      <c r="J46"/>
      <c r="K46"/>
      <c r="L46"/>
      <c r="M46" s="96"/>
      <c r="N46"/>
    </row>
    <row r="47" spans="1:14" ht="15.75" x14ac:dyDescent="0.25">
      <c r="A47" s="77" t="str">
        <f>CONCATENATE("Alternative Fuel Costs - ",B6," ($)")</f>
        <v>Alternative Fuel Costs -   ($)</v>
      </c>
      <c r="E47"/>
      <c r="F47"/>
      <c r="G47"/>
      <c r="H47"/>
      <c r="I47"/>
      <c r="J47"/>
      <c r="K47"/>
      <c r="L47"/>
      <c r="M47" s="96"/>
      <c r="N47"/>
    </row>
    <row r="48" spans="1:14" x14ac:dyDescent="0.25">
      <c r="A48" s="71"/>
      <c r="E48"/>
      <c r="F48"/>
      <c r="G48"/>
      <c r="H48"/>
      <c r="I48"/>
      <c r="J48"/>
      <c r="K48"/>
      <c r="L48"/>
      <c r="M48" s="96"/>
      <c r="N48"/>
    </row>
    <row r="49" spans="1:13" x14ac:dyDescent="0.25">
      <c r="A49" s="88" t="s">
        <v>157</v>
      </c>
      <c r="B49" s="88">
        <f>Inputs!B46</f>
        <v>2018</v>
      </c>
      <c r="C49" s="88">
        <f>Inputs!C46</f>
        <v>2019</v>
      </c>
      <c r="D49" s="88">
        <f>Inputs!D46</f>
        <v>2020</v>
      </c>
      <c r="E49" s="88">
        <f>Inputs!E46</f>
        <v>2021</v>
      </c>
      <c r="F49" s="88">
        <f>Inputs!F46</f>
        <v>2022</v>
      </c>
      <c r="G49" s="88">
        <f>Inputs!G46</f>
        <v>2023</v>
      </c>
      <c r="H49" s="88">
        <f>Inputs!H46</f>
        <v>2024</v>
      </c>
      <c r="I49" s="88">
        <f>Inputs!I46</f>
        <v>2025</v>
      </c>
      <c r="J49" s="88">
        <f>Inputs!J46</f>
        <v>2026</v>
      </c>
      <c r="K49" s="81">
        <f>Inputs!K46</f>
        <v>2027</v>
      </c>
      <c r="L49" s="136" t="s">
        <v>292</v>
      </c>
      <c r="M49" s="82" t="s">
        <v>308</v>
      </c>
    </row>
    <row r="50" spans="1:13" x14ac:dyDescent="0.25">
      <c r="A50" s="73" t="s">
        <v>170</v>
      </c>
      <c r="B50" s="94">
        <f>'Annual Vehicle Costs'!B39</f>
        <v>0</v>
      </c>
      <c r="C50" s="94">
        <f>'Annual Vehicle Costs'!C39</f>
        <v>0</v>
      </c>
      <c r="D50" s="94">
        <f>'Annual Vehicle Costs'!D39</f>
        <v>0</v>
      </c>
      <c r="E50" s="94">
        <f>'Annual Vehicle Costs'!E39</f>
        <v>0</v>
      </c>
      <c r="F50" s="94">
        <f>'Annual Vehicle Costs'!F39</f>
        <v>0</v>
      </c>
      <c r="G50" s="94">
        <f>'Annual Vehicle Costs'!G39</f>
        <v>0</v>
      </c>
      <c r="H50" s="94">
        <f>'Annual Vehicle Costs'!H39</f>
        <v>0</v>
      </c>
      <c r="I50" s="94">
        <f>'Annual Vehicle Costs'!I39</f>
        <v>0</v>
      </c>
      <c r="J50" s="94">
        <f>'Annual Vehicle Costs'!J39</f>
        <v>0</v>
      </c>
      <c r="K50" s="94">
        <f>'Annual Vehicle Costs'!K39</f>
        <v>0</v>
      </c>
      <c r="L50" s="137">
        <f>SUM(B50:K50)</f>
        <v>0</v>
      </c>
      <c r="M50" s="134">
        <f t="shared" ref="M50:M64" si="3">NPV($B$8, B50,C50,D50,E50,F50,G50,H50,I50,J50,K50)</f>
        <v>0</v>
      </c>
    </row>
    <row r="51" spans="1:13" x14ac:dyDescent="0.25">
      <c r="A51" s="73" t="s">
        <v>113</v>
      </c>
      <c r="B51" s="94">
        <f>IF(B6=" ", 0, IF(B6="Electricity", VLOOKUP(CONCATENATE(B6, " - ",B7),'Infrastructure and Maintenance'!$D$6:$E$15,2,0), VLOOKUP(B6,'Infrastructure and Maintenance'!$D$6:$E$15,2,0)))</f>
        <v>0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137">
        <f t="shared" ref="L51:L55" si="4">SUM(B51:K51)</f>
        <v>0</v>
      </c>
      <c r="M51" s="134">
        <f t="shared" si="3"/>
        <v>0</v>
      </c>
    </row>
    <row r="52" spans="1:13" x14ac:dyDescent="0.25">
      <c r="A52" s="73" t="s">
        <v>171</v>
      </c>
      <c r="B52" s="94">
        <v>0</v>
      </c>
      <c r="C52" s="94">
        <f>IF(B6=" ", 0, IF($B$6="Electricity", VLOOKUP(CONCATENATE($B$6, " - ",$B$7),'Infrastructure and Maintenance'!$A$6:$B$15,2,0), VLOOKUP($B$6,'Infrastructure and Maintenance'!$A$6:$B$15,2,0)))</f>
        <v>0</v>
      </c>
      <c r="D52" s="94">
        <f>IF(B6=" ", 0, IF($B$6="Electricity", VLOOKUP(CONCATENATE($B$6, " - ",$B$7),'Infrastructure and Maintenance'!$A$6:$B$15,2,0), VLOOKUP($B$6,'Infrastructure and Maintenance'!$A$6:$B$15,2,0)))</f>
        <v>0</v>
      </c>
      <c r="E52" s="94">
        <f>IF(B6=" ", 0, IF($B$6="Electricity", VLOOKUP(CONCATENATE($B$6, " - ",$B$7),'Infrastructure and Maintenance'!$A$6:$B$15,2,0), VLOOKUP($B$6,'Infrastructure and Maintenance'!$A$6:$B$15,2,0)))</f>
        <v>0</v>
      </c>
      <c r="F52" s="94">
        <f>IF(B6=" ", 0, IF($B$6="Electricity", VLOOKUP(CONCATENATE($B$6, " - ",$B$7),'Infrastructure and Maintenance'!$A$6:$B$15,2,0), VLOOKUP($B$6,'Infrastructure and Maintenance'!$A$6:$B$15,2,0)))</f>
        <v>0</v>
      </c>
      <c r="G52" s="94">
        <f>IF(B6=" ", 0, IF($B$6="Electricity", VLOOKUP(CONCATENATE($B$6, " - ",$B$7),'Infrastructure and Maintenance'!$A$6:$B$15,2,0), VLOOKUP($B$6,'Infrastructure and Maintenance'!$A$6:$B$15,2,0)))</f>
        <v>0</v>
      </c>
      <c r="H52" s="94">
        <f>IF(B6=" ", 0, IF($B$6="Electricity", VLOOKUP(CONCATENATE($B$6, " - ",$B$7),'Infrastructure and Maintenance'!$A$6:$B$15,2,0), VLOOKUP($B$6,'Infrastructure and Maintenance'!$A$6:$B$15,2,0)))</f>
        <v>0</v>
      </c>
      <c r="I52" s="94">
        <f>IF(B6=" ", 0, IF($B$6="Electricity", VLOOKUP(CONCATENATE($B$6, " - ",$B$7),'Infrastructure and Maintenance'!$A$6:$B$15,2,0), VLOOKUP($B$6,'Infrastructure and Maintenance'!$A$6:$B$15,2,0)))</f>
        <v>0</v>
      </c>
      <c r="J52" s="94">
        <f>IF(B6=" ", 0, IF($B$6="Electricity", VLOOKUP(CONCATENATE($B$6, " - ",$B$7),'Infrastructure and Maintenance'!$A$6:$B$15,2,0), VLOOKUP($B$6,'Infrastructure and Maintenance'!$A$6:$B$15,2,0)))</f>
        <v>0</v>
      </c>
      <c r="K52" s="94">
        <f>IF(B6=" ", 0, IF($B$6="Electricity", VLOOKUP(CONCATENATE($B$6, " - ",$B$7),'Infrastructure and Maintenance'!$A$6:$B$15,2,0), VLOOKUP($B$6,'Infrastructure and Maintenance'!$A$6:$B$15,2,0)))</f>
        <v>0</v>
      </c>
      <c r="L52" s="137">
        <f t="shared" si="4"/>
        <v>0</v>
      </c>
      <c r="M52" s="134">
        <f t="shared" si="3"/>
        <v>0</v>
      </c>
    </row>
    <row r="53" spans="1:13" x14ac:dyDescent="0.25">
      <c r="A53" s="73" t="s">
        <v>172</v>
      </c>
      <c r="B53" s="94">
        <f>($B$20*'Annual VMT'!B18)+($B$21*'Annual VMT'!B19)+('Combined Costs'!$B$22*'Annual VMT'!B20)</f>
        <v>0</v>
      </c>
      <c r="C53" s="94">
        <f>($B$20*'Annual VMT'!C18)+($B$21*'Annual VMT'!C19)+('Combined Costs'!$B$22*'Annual VMT'!C20)</f>
        <v>0</v>
      </c>
      <c r="D53" s="94">
        <f>($B$20*'Annual VMT'!D18)+($B$21*'Annual VMT'!D19)+('Combined Costs'!$B$22*'Annual VMT'!D20)</f>
        <v>0</v>
      </c>
      <c r="E53" s="94">
        <f>($B$20*'Annual VMT'!E18)+($B$21*'Annual VMT'!E19)+('Combined Costs'!$B$22*'Annual VMT'!E20)</f>
        <v>0</v>
      </c>
      <c r="F53" s="94">
        <f>($B$20*'Annual VMT'!F18)+($B$21*'Annual VMT'!F19)+('Combined Costs'!$B$22*'Annual VMT'!F20)</f>
        <v>0</v>
      </c>
      <c r="G53" s="94">
        <f>($B$20*'Annual VMT'!G18)+($B$21*'Annual VMT'!G19)+('Combined Costs'!$B$22*'Annual VMT'!G20)</f>
        <v>0</v>
      </c>
      <c r="H53" s="94">
        <f>($B$20*'Annual VMT'!H18)+($B$21*'Annual VMT'!H19)+('Combined Costs'!$B$22*'Annual VMT'!H20)</f>
        <v>0</v>
      </c>
      <c r="I53" s="94">
        <f>($B$20*'Annual VMT'!I18)+($B$21*'Annual VMT'!I19)+('Combined Costs'!$B$22*'Annual VMT'!I20)</f>
        <v>0</v>
      </c>
      <c r="J53" s="94">
        <f>($B$20*'Annual VMT'!J18)+($B$21*'Annual VMT'!J19)+('Combined Costs'!$B$22*'Annual VMT'!J20)</f>
        <v>0</v>
      </c>
      <c r="K53" s="94">
        <f>($B$20*'Annual VMT'!K18)+($B$21*'Annual VMT'!K19)+('Combined Costs'!$B$22*'Annual VMT'!K20)</f>
        <v>0</v>
      </c>
      <c r="L53" s="137">
        <f t="shared" si="4"/>
        <v>0</v>
      </c>
      <c r="M53" s="134">
        <f t="shared" si="3"/>
        <v>0</v>
      </c>
    </row>
    <row r="54" spans="1:13" x14ac:dyDescent="0.25">
      <c r="A54" s="73" t="s">
        <v>111</v>
      </c>
      <c r="B54" s="94">
        <f>'Annual Fuel Costs'!B55</f>
        <v>0</v>
      </c>
      <c r="C54" s="94">
        <f>'Annual Fuel Costs'!C55</f>
        <v>0</v>
      </c>
      <c r="D54" s="94">
        <f>'Annual Fuel Costs'!D55</f>
        <v>0</v>
      </c>
      <c r="E54" s="94">
        <f>'Annual Fuel Costs'!E55</f>
        <v>0</v>
      </c>
      <c r="F54" s="94">
        <f>'Annual Fuel Costs'!F55</f>
        <v>0</v>
      </c>
      <c r="G54" s="94">
        <f>'Annual Fuel Costs'!G55</f>
        <v>0</v>
      </c>
      <c r="H54" s="94">
        <f>'Annual Fuel Costs'!H55</f>
        <v>0</v>
      </c>
      <c r="I54" s="94">
        <f>'Annual Fuel Costs'!I55</f>
        <v>0</v>
      </c>
      <c r="J54" s="94">
        <f>'Annual Fuel Costs'!J55</f>
        <v>0</v>
      </c>
      <c r="K54" s="94">
        <f>'Annual Fuel Costs'!K55</f>
        <v>0</v>
      </c>
      <c r="L54" s="137">
        <f t="shared" si="4"/>
        <v>0</v>
      </c>
      <c r="M54" s="134">
        <f t="shared" si="3"/>
        <v>0</v>
      </c>
    </row>
    <row r="55" spans="1:13" x14ac:dyDescent="0.25">
      <c r="A55" s="125" t="s">
        <v>292</v>
      </c>
      <c r="B55" s="126">
        <f t="shared" ref="B55:K55" si="5">SUM(B50:B54)</f>
        <v>0</v>
      </c>
      <c r="C55" s="126">
        <f t="shared" si="5"/>
        <v>0</v>
      </c>
      <c r="D55" s="126">
        <f t="shared" si="5"/>
        <v>0</v>
      </c>
      <c r="E55" s="126">
        <f t="shared" si="5"/>
        <v>0</v>
      </c>
      <c r="F55" s="126">
        <f t="shared" si="5"/>
        <v>0</v>
      </c>
      <c r="G55" s="126">
        <f t="shared" si="5"/>
        <v>0</v>
      </c>
      <c r="H55" s="126">
        <f t="shared" si="5"/>
        <v>0</v>
      </c>
      <c r="I55" s="126">
        <f t="shared" si="5"/>
        <v>0</v>
      </c>
      <c r="J55" s="126">
        <f t="shared" si="5"/>
        <v>0</v>
      </c>
      <c r="K55" s="133">
        <f t="shared" si="5"/>
        <v>0</v>
      </c>
      <c r="L55" s="138">
        <f t="shared" si="4"/>
        <v>0</v>
      </c>
      <c r="M55" s="135">
        <f>NPV($B$8, B55,C55,D55,E55,F55,G55,H55,I55,J55,K55)</f>
        <v>0</v>
      </c>
    </row>
    <row r="56" spans="1:13" customFormat="1" x14ac:dyDescent="0.25"/>
    <row r="57" spans="1:13" customFormat="1" ht="15.75" x14ac:dyDescent="0.25">
      <c r="A57" s="77" t="s">
        <v>445</v>
      </c>
    </row>
    <row r="58" spans="1:13" customFormat="1" x14ac:dyDescent="0.25"/>
    <row r="59" spans="1:13" x14ac:dyDescent="0.25">
      <c r="A59" s="153" t="s">
        <v>157</v>
      </c>
      <c r="B59" s="153">
        <f>Inputs!B46</f>
        <v>2018</v>
      </c>
      <c r="C59" s="153">
        <f>Inputs!C46</f>
        <v>2019</v>
      </c>
      <c r="D59" s="153">
        <f>Inputs!D46</f>
        <v>2020</v>
      </c>
      <c r="E59" s="153">
        <f>Inputs!E46</f>
        <v>2021</v>
      </c>
      <c r="F59" s="153">
        <f>Inputs!F46</f>
        <v>2022</v>
      </c>
      <c r="G59" s="153">
        <f>Inputs!G46</f>
        <v>2023</v>
      </c>
      <c r="H59" s="153">
        <f>Inputs!H46</f>
        <v>2024</v>
      </c>
      <c r="I59" s="153">
        <f>Inputs!I46</f>
        <v>2025</v>
      </c>
      <c r="J59" s="153">
        <f>Inputs!J46</f>
        <v>2026</v>
      </c>
      <c r="K59" s="153">
        <f>Inputs!K46</f>
        <v>2027</v>
      </c>
      <c r="L59" s="136" t="s">
        <v>292</v>
      </c>
      <c r="M59" s="150" t="s">
        <v>308</v>
      </c>
    </row>
    <row r="60" spans="1:13" x14ac:dyDescent="0.25">
      <c r="A60" s="73" t="s">
        <v>170</v>
      </c>
      <c r="B60" s="94">
        <f>'Annual Vehicle Costs'!B47</f>
        <v>0</v>
      </c>
      <c r="C60" s="94">
        <f>'Annual Vehicle Costs'!C47</f>
        <v>0</v>
      </c>
      <c r="D60" s="94">
        <f>'Annual Vehicle Costs'!D47</f>
        <v>0</v>
      </c>
      <c r="E60" s="94">
        <f>'Annual Vehicle Costs'!E47</f>
        <v>0</v>
      </c>
      <c r="F60" s="94">
        <f>'Annual Vehicle Costs'!F47</f>
        <v>0</v>
      </c>
      <c r="G60" s="94">
        <f>'Annual Vehicle Costs'!G47</f>
        <v>0</v>
      </c>
      <c r="H60" s="94">
        <f>'Annual Vehicle Costs'!H47</f>
        <v>0</v>
      </c>
      <c r="I60" s="94">
        <f>'Annual Vehicle Costs'!I47</f>
        <v>0</v>
      </c>
      <c r="J60" s="94">
        <f>'Annual Vehicle Costs'!J47</f>
        <v>0</v>
      </c>
      <c r="K60" s="94">
        <f>'Annual Vehicle Costs'!K47</f>
        <v>0</v>
      </c>
      <c r="L60" s="137">
        <f t="shared" ref="L60:L65" si="6">SUM(B60:K60)</f>
        <v>0</v>
      </c>
      <c r="M60" s="134">
        <f t="shared" si="3"/>
        <v>0</v>
      </c>
    </row>
    <row r="61" spans="1:13" x14ac:dyDescent="0.25">
      <c r="A61" s="73" t="s">
        <v>113</v>
      </c>
      <c r="B61" s="94">
        <f>IF(B6=" ", 0, 'Infrastructure and Maintenance'!E15)</f>
        <v>0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137">
        <f t="shared" si="6"/>
        <v>0</v>
      </c>
      <c r="M61" s="134">
        <f t="shared" si="3"/>
        <v>0</v>
      </c>
    </row>
    <row r="62" spans="1:13" x14ac:dyDescent="0.25">
      <c r="A62" s="73" t="s">
        <v>171</v>
      </c>
      <c r="B62" s="94">
        <v>0</v>
      </c>
      <c r="C62" s="94">
        <f>IF($B$6=" ", 0, 'Infrastructure and Maintenance'!$B$15)</f>
        <v>0</v>
      </c>
      <c r="D62" s="94">
        <f>IF($B$6=" ", 0, 'Infrastructure and Maintenance'!$B$15)</f>
        <v>0</v>
      </c>
      <c r="E62" s="94">
        <f>IF($B$6=" ", 0, 'Infrastructure and Maintenance'!$B$15)</f>
        <v>0</v>
      </c>
      <c r="F62" s="94">
        <f>IF($B$6=" ", 0, 'Infrastructure and Maintenance'!$B$15)</f>
        <v>0</v>
      </c>
      <c r="G62" s="94">
        <f>IF($B$6=" ", 0, 'Infrastructure and Maintenance'!$B$15)</f>
        <v>0</v>
      </c>
      <c r="H62" s="94">
        <f>IF($B$6=" ", 0, 'Infrastructure and Maintenance'!$B$15)</f>
        <v>0</v>
      </c>
      <c r="I62" s="94">
        <f>IF($B$6=" ", 0, 'Infrastructure and Maintenance'!$B$15)</f>
        <v>0</v>
      </c>
      <c r="J62" s="94">
        <f>IF($B$6=" ", 0, 'Infrastructure and Maintenance'!$B$15)</f>
        <v>0</v>
      </c>
      <c r="K62" s="94">
        <f>IF($B$6=" ", 0, 'Infrastructure and Maintenance'!$B$15)</f>
        <v>0</v>
      </c>
      <c r="L62" s="137">
        <f t="shared" si="6"/>
        <v>0</v>
      </c>
      <c r="M62" s="134">
        <f t="shared" si="3"/>
        <v>0</v>
      </c>
    </row>
    <row r="63" spans="1:13" x14ac:dyDescent="0.25">
      <c r="A63" s="73" t="s">
        <v>172</v>
      </c>
      <c r="B63" s="94">
        <f>($B$20*'Annual VMT'!B18)+($B$21*'Annual VMT'!B19)+('Combined Costs'!$B$22*'Annual VMT'!B20)</f>
        <v>0</v>
      </c>
      <c r="C63" s="94">
        <f>($B$20*'Annual VMT'!C18)+($B$21*'Annual VMT'!C19)+('Combined Costs'!$B$22*'Annual VMT'!C20)</f>
        <v>0</v>
      </c>
      <c r="D63" s="94">
        <f>($B$20*'Annual VMT'!D18)+($B$21*'Annual VMT'!D19)+('Combined Costs'!$B$22*'Annual VMT'!D20)</f>
        <v>0</v>
      </c>
      <c r="E63" s="94">
        <f>($B$20*'Annual VMT'!E18)+($B$21*'Annual VMT'!E19)+('Combined Costs'!$B$22*'Annual VMT'!E20)</f>
        <v>0</v>
      </c>
      <c r="F63" s="94">
        <f>($B$20*'Annual VMT'!F18)+($B$21*'Annual VMT'!F19)+('Combined Costs'!$B$22*'Annual VMT'!F20)</f>
        <v>0</v>
      </c>
      <c r="G63" s="94">
        <f>($B$20*'Annual VMT'!G18)+($B$21*'Annual VMT'!G19)+('Combined Costs'!$B$22*'Annual VMT'!G20)</f>
        <v>0</v>
      </c>
      <c r="H63" s="94">
        <f>($B$20*'Annual VMT'!H18)+($B$21*'Annual VMT'!H19)+('Combined Costs'!$B$22*'Annual VMT'!H20)</f>
        <v>0</v>
      </c>
      <c r="I63" s="94">
        <f>($B$20*'Annual VMT'!I18)+($B$21*'Annual VMT'!I19)+('Combined Costs'!$B$22*'Annual VMT'!I20)</f>
        <v>0</v>
      </c>
      <c r="J63" s="94">
        <f>($B$20*'Annual VMT'!J18)+($B$21*'Annual VMT'!J19)+('Combined Costs'!$B$22*'Annual VMT'!J20)</f>
        <v>0</v>
      </c>
      <c r="K63" s="94">
        <f>($B$20*'Annual VMT'!K18)+($B$21*'Annual VMT'!K19)+('Combined Costs'!$B$22*'Annual VMT'!K20)</f>
        <v>0</v>
      </c>
      <c r="L63" s="137">
        <f t="shared" si="6"/>
        <v>0</v>
      </c>
      <c r="M63" s="134">
        <f t="shared" si="3"/>
        <v>0</v>
      </c>
    </row>
    <row r="64" spans="1:13" x14ac:dyDescent="0.25">
      <c r="A64" s="73" t="s">
        <v>111</v>
      </c>
      <c r="B64" s="94">
        <f>'Annual Fuel Costs'!B63</f>
        <v>0</v>
      </c>
      <c r="C64" s="94">
        <f>'Annual Fuel Costs'!C63</f>
        <v>0</v>
      </c>
      <c r="D64" s="94">
        <f>'Annual Fuel Costs'!D63</f>
        <v>0</v>
      </c>
      <c r="E64" s="94">
        <f>'Annual Fuel Costs'!E63</f>
        <v>0</v>
      </c>
      <c r="F64" s="94">
        <f>'Annual Fuel Costs'!F63</f>
        <v>0</v>
      </c>
      <c r="G64" s="94">
        <f>'Annual Fuel Costs'!G63</f>
        <v>0</v>
      </c>
      <c r="H64" s="94">
        <f>'Annual Fuel Costs'!H63</f>
        <v>0</v>
      </c>
      <c r="I64" s="94">
        <f>'Annual Fuel Costs'!I63</f>
        <v>0</v>
      </c>
      <c r="J64" s="94">
        <f>'Annual Fuel Costs'!J63</f>
        <v>0</v>
      </c>
      <c r="K64" s="94">
        <f>'Annual Fuel Costs'!K63</f>
        <v>0</v>
      </c>
      <c r="L64" s="137">
        <f t="shared" si="6"/>
        <v>0</v>
      </c>
      <c r="M64" s="134">
        <f t="shared" si="3"/>
        <v>0</v>
      </c>
    </row>
    <row r="65" spans="1:13" x14ac:dyDescent="0.25">
      <c r="A65" s="125" t="s">
        <v>292</v>
      </c>
      <c r="B65" s="126">
        <f>SUM(B60:B64)</f>
        <v>0</v>
      </c>
      <c r="C65" s="126">
        <f t="shared" ref="C65" si="7">SUM(C60:C64)</f>
        <v>0</v>
      </c>
      <c r="D65" s="126">
        <f t="shared" ref="D65" si="8">SUM(D60:D64)</f>
        <v>0</v>
      </c>
      <c r="E65" s="126">
        <f t="shared" ref="E65" si="9">SUM(E60:E64)</f>
        <v>0</v>
      </c>
      <c r="F65" s="126">
        <f t="shared" ref="F65" si="10">SUM(F60:F64)</f>
        <v>0</v>
      </c>
      <c r="G65" s="126">
        <f t="shared" ref="G65" si="11">SUM(G60:G64)</f>
        <v>0</v>
      </c>
      <c r="H65" s="126">
        <f t="shared" ref="H65" si="12">SUM(H60:H64)</f>
        <v>0</v>
      </c>
      <c r="I65" s="126">
        <f t="shared" ref="I65" si="13">SUM(I60:I64)</f>
        <v>0</v>
      </c>
      <c r="J65" s="126">
        <f t="shared" ref="J65" si="14">SUM(J60:J64)</f>
        <v>0</v>
      </c>
      <c r="K65" s="133">
        <f t="shared" ref="K65" si="15">SUM(K60:K64)</f>
        <v>0</v>
      </c>
      <c r="L65" s="138">
        <f t="shared" si="6"/>
        <v>0</v>
      </c>
      <c r="M65" s="135">
        <f>NPV($B$8, B65,C65,D65,E65,F65,G65,H65,I65,J65,K65)</f>
        <v>0</v>
      </c>
    </row>
    <row r="66" spans="1:13" customFormat="1" x14ac:dyDescent="0.25"/>
  </sheetData>
  <mergeCells count="1">
    <mergeCell ref="A1:M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66"/>
  <sheetViews>
    <sheetView workbookViewId="0">
      <selection activeCell="E14" sqref="E14"/>
    </sheetView>
  </sheetViews>
  <sheetFormatPr defaultRowHeight="15" x14ac:dyDescent="0.25"/>
  <cols>
    <col min="1" max="1" width="22.7109375" customWidth="1"/>
    <col min="2" max="2" width="21.28515625" customWidth="1"/>
    <col min="3" max="6" width="18.7109375" customWidth="1"/>
    <col min="7" max="7" width="20.42578125" customWidth="1"/>
    <col min="8" max="8" width="21.28515625" customWidth="1"/>
    <col min="9" max="11" width="18.7109375" customWidth="1"/>
  </cols>
  <sheetData>
    <row r="1" spans="1:17" ht="31.5" x14ac:dyDescent="0.5">
      <c r="A1" s="291" t="s">
        <v>268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3" spans="1:17" s="22" customForma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7" s="22" customFormat="1" ht="23.25" x14ac:dyDescent="0.25">
      <c r="A4" s="164" t="s">
        <v>396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7" s="22" customForma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7" s="22" customFormat="1" ht="23.45" customHeight="1" x14ac:dyDescent="0.25">
      <c r="A6" s="112" t="s">
        <v>159</v>
      </c>
      <c r="B6" s="189" t="str">
        <f>IF(Inputs!G32=0, " ", Inputs!G32)</f>
        <v xml:space="preserve"> 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7" s="22" customFormat="1" x14ac:dyDescent="0.2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7" s="22" customFormat="1" x14ac:dyDescent="0.25">
      <c r="A8" s="112" t="s">
        <v>409</v>
      </c>
      <c r="B8" s="153" t="s">
        <v>157</v>
      </c>
      <c r="C8" s="151" t="s">
        <v>289</v>
      </c>
      <c r="D8" s="151" t="s">
        <v>290</v>
      </c>
      <c r="E8" s="151" t="s">
        <v>287</v>
      </c>
      <c r="F8" s="113"/>
      <c r="G8" s="112" t="s">
        <v>409</v>
      </c>
      <c r="H8" s="153" t="s">
        <v>157</v>
      </c>
      <c r="I8" s="151" t="s">
        <v>289</v>
      </c>
      <c r="J8" s="151" t="s">
        <v>290</v>
      </c>
      <c r="K8" s="151" t="s">
        <v>287</v>
      </c>
      <c r="L8" s="113"/>
      <c r="M8" s="113"/>
    </row>
    <row r="9" spans="1:17" s="22" customFormat="1" x14ac:dyDescent="0.25">
      <c r="A9" s="112" t="s">
        <v>415</v>
      </c>
      <c r="B9" s="115" t="s">
        <v>161</v>
      </c>
      <c r="C9" s="108">
        <f>IF($B$6="Biodiesel",'Emission Rates - Vehicles'!B8, IF($B$6="Compressed Natural Gas (CNG) - Conventional (fossil)", 'Emission Rates - Vehicles'!C8, IF($B$6="Compressed Natural Gas (CNG) - Renewable", 'Emission Rates - Vehicles'!D8, IF($B$6="E85 (Flex Fuel)",'Emission Rates - Vehicles'!E8, IF($B$6="Electricity",'Emission Rates - Vehicles'!F8, IF($B$6="Propane", 'Emission Rates - Vehicles'!G8, IF($B$6="Diesel Fuel",'Emission Rates - Vehicles'!H8, IF($B$6="Gasoline",'Emission Rates - Vehicles'!I8,0))))))))</f>
        <v>0</v>
      </c>
      <c r="D9" s="108">
        <f>IF($B$6="Biodiesel",'Emission Rates - Vehicles'!B15, IF($B$6="Compressed Natural Gas (CNG) - Conventional (fossil)", 'Emission Rates - Vehicles'!C15, IF($B$6="Compressed Natural Gas (CNG) - Renewable", 'Emission Rates - Vehicles'!D15, IF($B$6="E85 (Flex Fuel)",'Emission Rates - Vehicles'!E15, IF($B$6="Electricity",'Emission Rates - Vehicles'!F15, IF($B$6="Propane", 'Emission Rates - Vehicles'!G15, IF($B$6="Diesel Fuel",'Emission Rates - Vehicles'!H15, IF($B$6="Gasoline",'Emission Rates - Vehicles'!I15,0))))))))</f>
        <v>0</v>
      </c>
      <c r="E9" s="108">
        <f>IF($B$6="Biodiesel",'Emission Rates - Vehicles'!B22, IF($B$6="Compressed Natural Gas (CNG) - Conventional (fossil)", 'Emission Rates - Vehicles'!C22, IF($B$6="Compressed Natural Gas (CNG) - Renewable", 'Emission Rates - Vehicles'!D22, IF($B$6="E85 (Flex Fuel)",'Emission Rates - Vehicles'!E22, IF($B$6="Electricity",'Emission Rates - Vehicles'!F22, IF($B$6="Propane", 'Emission Rates - Vehicles'!G22, IF($B$6="Diesel Fuel",'Emission Rates - Vehicles'!H22, IF($B$6="Gasoline",'Emission Rates - Vehicles'!I22,0))))))))</f>
        <v>0</v>
      </c>
      <c r="F9" s="113"/>
      <c r="G9" s="112" t="s">
        <v>416</v>
      </c>
      <c r="H9" s="115" t="s">
        <v>161</v>
      </c>
      <c r="I9" s="108">
        <f>'Emission Rates - Vehicles'!H8</f>
        <v>0.46100000000000002</v>
      </c>
      <c r="J9" s="108">
        <f>'Emission Rates - Vehicles'!H15</f>
        <v>7.5999999999999998E-2</v>
      </c>
      <c r="K9" s="108">
        <f>'Emission Rates - Vehicles'!H22</f>
        <v>1.0999999999999999E-2</v>
      </c>
      <c r="L9" s="113"/>
      <c r="M9" s="113"/>
    </row>
    <row r="10" spans="1:17" s="22" customFormat="1" x14ac:dyDescent="0.25">
      <c r="A10" s="113"/>
      <c r="B10" s="115" t="s">
        <v>293</v>
      </c>
      <c r="C10" s="108">
        <f>IF($B$6="Biodiesel",'Emission Rates - Vehicles'!B9, IF($B$6="Compressed Natural Gas (CNG) - Conventional (fossil)", 'Emission Rates - Vehicles'!C9, IF($B$6="Compressed Natural Gas (CNG) - Renewable", 'Emission Rates - Vehicles'!D9, IF($B$6="E85 (Flex Fuel)",'Emission Rates - Vehicles'!E9, IF($B$6="Electricity",'Emission Rates - Vehicles'!F9, IF($B$6="Propane", 'Emission Rates - Vehicles'!G9, IF($B$6="Diesel Fuel",'Emission Rates - Vehicles'!H9, IF($B$6="Gasoline",'Emission Rates - Vehicles'!I9,0))))))))</f>
        <v>0</v>
      </c>
      <c r="D10" s="108">
        <f>IF($B$6="Biodiesel",'Emission Rates - Vehicles'!B16, IF($B$6="Compressed Natural Gas (CNG) - Conventional (fossil)", 'Emission Rates - Vehicles'!C16, IF($B$6="Compressed Natural Gas (CNG) - Renewable", 'Emission Rates - Vehicles'!D16, IF($B$6="E85 (Flex Fuel)",'Emission Rates - Vehicles'!E16, IF($B$6="Electricity",'Emission Rates - Vehicles'!F16, IF($B$6="Propane", 'Emission Rates - Vehicles'!G16, IF($B$6="Diesel Fuel",'Emission Rates - Vehicles'!H16, IF($B$6="Gasoline",'Emission Rates - Vehicles'!I16,0))))))))</f>
        <v>0</v>
      </c>
      <c r="E10" s="108">
        <f>IF($B$6="Biodiesel",'Emission Rates - Vehicles'!B23, IF($B$6="Compressed Natural Gas (CNG) - Conventional (fossil)", 'Emission Rates - Vehicles'!C23, IF($B$6="Compressed Natural Gas (CNG) - Renewable", 'Emission Rates - Vehicles'!D23, IF($B$6="E85 (Flex Fuel)",'Emission Rates - Vehicles'!E23, IF($B$6="Electricity",'Emission Rates - Vehicles'!F23, IF($B$6="Propane", 'Emission Rates - Vehicles'!G23, IF($B$6="Diesel Fuel",'Emission Rates - Vehicles'!H23, IF($B$6="Gasoline",'Emission Rates - Vehicles'!I23,0))))))))</f>
        <v>0</v>
      </c>
      <c r="F10" s="113"/>
      <c r="G10" s="113"/>
      <c r="H10" s="115" t="s">
        <v>293</v>
      </c>
      <c r="I10" s="108">
        <f>'Emission Rates - Vehicles'!H9</f>
        <v>1.175</v>
      </c>
      <c r="J10" s="108">
        <f>'Emission Rates - Vehicles'!H16</f>
        <v>4.8000000000000001E-2</v>
      </c>
      <c r="K10" s="108">
        <f>'Emission Rates - Vehicles'!H23</f>
        <v>2.1000000000000001E-2</v>
      </c>
      <c r="L10" s="113"/>
      <c r="M10" s="113"/>
    </row>
    <row r="11" spans="1:17" s="22" customFormat="1" x14ac:dyDescent="0.25">
      <c r="A11" s="113"/>
      <c r="B11" s="115" t="s">
        <v>114</v>
      </c>
      <c r="C11" s="108">
        <f>IF($B$6="Biodiesel",'Emission Rates - Vehicles'!B10, IF($B$6="Compressed Natural Gas (CNG) - Conventional (fossil)", 'Emission Rates - Vehicles'!C10, IF($B$6="Compressed Natural Gas (CNG) - Renewable", 'Emission Rates - Vehicles'!D10, IF($B$6="E85 (Flex Fuel)",'Emission Rates - Vehicles'!E10, IF($B$6="Electricity",'Emission Rates - Vehicles'!F10, IF($B$6="Propane", 'Emission Rates - Vehicles'!G10, IF($B$6="Diesel Fuel",'Emission Rates - Vehicles'!H10, IF($B$6="Gasoline",'Emission Rates - Vehicles'!I10,0))))))))</f>
        <v>0</v>
      </c>
      <c r="D11" s="108">
        <f>IF($B$6="Biodiesel",'Emission Rates - Vehicles'!B17, IF($B$6="Compressed Natural Gas (CNG) - Conventional (fossil)", 'Emission Rates - Vehicles'!C17, IF($B$6="Compressed Natural Gas (CNG) - Renewable", 'Emission Rates - Vehicles'!D17, IF($B$6="E85 (Flex Fuel)",'Emission Rates - Vehicles'!E17, IF($B$6="Electricity",'Emission Rates - Vehicles'!F17, IF($B$6="Propane", 'Emission Rates - Vehicles'!G17, IF($B$6="Diesel Fuel",'Emission Rates - Vehicles'!H17, IF($B$6="Gasoline",'Emission Rates - Vehicles'!I17,0))))))))</f>
        <v>0</v>
      </c>
      <c r="E11" s="108">
        <f>IF($B$6="Biodiesel",'Emission Rates - Vehicles'!B24, IF($B$6="Compressed Natural Gas (CNG) - Conventional (fossil)", 'Emission Rates - Vehicles'!C24, IF($B$6="Compressed Natural Gas (CNG) - Renewable", 'Emission Rates - Vehicles'!D24, IF($B$6="E85 (Flex Fuel)",'Emission Rates - Vehicles'!E24, IF($B$6="Electricity",'Emission Rates - Vehicles'!F24, IF($B$6="Propane", 'Emission Rates - Vehicles'!G24, IF($B$6="Diesel Fuel",'Emission Rates - Vehicles'!H24, IF($B$6="Gasoline",'Emission Rates - Vehicles'!I24,0))))))))</f>
        <v>0</v>
      </c>
      <c r="F11" s="113"/>
      <c r="G11" s="113"/>
      <c r="H11" s="115" t="s">
        <v>114</v>
      </c>
      <c r="I11" s="108">
        <f>'Emission Rates - Vehicles'!H10</f>
        <v>1.175</v>
      </c>
      <c r="J11" s="108">
        <f>'Emission Rates - Vehicles'!H17</f>
        <v>4.8000000000000001E-2</v>
      </c>
      <c r="K11" s="108">
        <f>'Emission Rates - Vehicles'!H24</f>
        <v>2.1000000000000001E-2</v>
      </c>
      <c r="L11" s="113"/>
      <c r="M11" s="113"/>
    </row>
    <row r="12" spans="1:17" s="22" customForma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4" spans="1:17" ht="23.25" x14ac:dyDescent="0.25">
      <c r="A14" s="28" t="s">
        <v>414</v>
      </c>
    </row>
    <row r="15" spans="1:17" x14ac:dyDescent="0.25">
      <c r="A15" t="s">
        <v>421</v>
      </c>
    </row>
    <row r="17" spans="1:11" ht="15.75" x14ac:dyDescent="0.25">
      <c r="A17" s="77" t="str">
        <f>CONCATENATE("Alternative Fuel - ",B6)</f>
        <v xml:space="preserve">Alternative Fuel -  </v>
      </c>
    </row>
    <row r="19" spans="1:11" x14ac:dyDescent="0.25">
      <c r="A19" s="153" t="s">
        <v>157</v>
      </c>
      <c r="B19" s="65">
        <f>Inputs!B46</f>
        <v>2018</v>
      </c>
      <c r="C19" s="65">
        <f>Inputs!C46</f>
        <v>2019</v>
      </c>
      <c r="D19" s="65">
        <f>Inputs!D46</f>
        <v>2020</v>
      </c>
      <c r="E19" s="65">
        <f>Inputs!E46</f>
        <v>2021</v>
      </c>
      <c r="F19" s="65">
        <f>Inputs!F46</f>
        <v>2022</v>
      </c>
      <c r="G19" s="65">
        <f>Inputs!G46</f>
        <v>2023</v>
      </c>
      <c r="H19" s="65">
        <f>Inputs!H46</f>
        <v>2024</v>
      </c>
      <c r="I19" s="65">
        <f>Inputs!I46</f>
        <v>2025</v>
      </c>
      <c r="J19" s="65">
        <f>Inputs!J46</f>
        <v>2026</v>
      </c>
      <c r="K19" s="65">
        <f>Inputs!K46</f>
        <v>2027</v>
      </c>
    </row>
    <row r="20" spans="1:11" ht="15.75" x14ac:dyDescent="0.25">
      <c r="A20" s="292" t="s">
        <v>360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3"/>
    </row>
    <row r="21" spans="1:11" x14ac:dyDescent="0.25">
      <c r="A21" s="73" t="s">
        <v>161</v>
      </c>
      <c r="B21" s="199">
        <f>'Annual VMT'!B18*'Baseline and Atl Fuel Emissions'!$C$9*Constants!$B$9/365</f>
        <v>0</v>
      </c>
      <c r="C21" s="199">
        <f>'Annual VMT'!C18*'Baseline and Atl Fuel Emissions'!$C$9*Constants!$B$9/365</f>
        <v>0</v>
      </c>
      <c r="D21" s="199">
        <f>'Annual VMT'!D18*'Baseline and Atl Fuel Emissions'!$C$9*Constants!$B$9/365</f>
        <v>0</v>
      </c>
      <c r="E21" s="199">
        <f>'Annual VMT'!E18*'Baseline and Atl Fuel Emissions'!$C$9*Constants!$B$9/365</f>
        <v>0</v>
      </c>
      <c r="F21" s="199">
        <f>'Annual VMT'!F18*'Baseline and Atl Fuel Emissions'!$C$9*Constants!$B$9/365</f>
        <v>0</v>
      </c>
      <c r="G21" s="199">
        <f>'Annual VMT'!G18*'Baseline and Atl Fuel Emissions'!$C$9*Constants!$B$9/365</f>
        <v>0</v>
      </c>
      <c r="H21" s="199">
        <f>'Annual VMT'!H18*'Baseline and Atl Fuel Emissions'!$C$9*Constants!$B$9/365</f>
        <v>0</v>
      </c>
      <c r="I21" s="199">
        <f>'Annual VMT'!I18*'Baseline and Atl Fuel Emissions'!$C$9*Constants!$B$9/365</f>
        <v>0</v>
      </c>
      <c r="J21" s="199">
        <f>'Annual VMT'!J18*'Baseline and Atl Fuel Emissions'!$C$9*Constants!$B$9/365</f>
        <v>0</v>
      </c>
      <c r="K21" s="199">
        <f>'Annual VMT'!K18*'Baseline and Atl Fuel Emissions'!$C$9*Constants!$B$9/365</f>
        <v>0</v>
      </c>
    </row>
    <row r="22" spans="1:11" x14ac:dyDescent="0.25">
      <c r="A22" s="73" t="s">
        <v>293</v>
      </c>
      <c r="B22" s="199">
        <f>'Annual VMT'!B19*'Baseline and Atl Fuel Emissions'!$C$10*Constants!$B$9/365</f>
        <v>0</v>
      </c>
      <c r="C22" s="199">
        <f>'Annual VMT'!C19*'Baseline and Atl Fuel Emissions'!$C$10*Constants!$B$9/365</f>
        <v>0</v>
      </c>
      <c r="D22" s="199">
        <f>'Annual VMT'!D19*'Baseline and Atl Fuel Emissions'!$C$10*Constants!$B$9/365</f>
        <v>0</v>
      </c>
      <c r="E22" s="199">
        <f>'Annual VMT'!E19*'Baseline and Atl Fuel Emissions'!$C$10*Constants!$B$9/365</f>
        <v>0</v>
      </c>
      <c r="F22" s="199">
        <f>'Annual VMT'!F19*'Baseline and Atl Fuel Emissions'!$C$10*Constants!$B$9/365</f>
        <v>0</v>
      </c>
      <c r="G22" s="199">
        <f>'Annual VMT'!G19*'Baseline and Atl Fuel Emissions'!$C$10*Constants!$B$9/365</f>
        <v>0</v>
      </c>
      <c r="H22" s="199">
        <f>'Annual VMT'!H19*'Baseline and Atl Fuel Emissions'!$C$10*Constants!$B$9/365</f>
        <v>0</v>
      </c>
      <c r="I22" s="199">
        <f>'Annual VMT'!I19*'Baseline and Atl Fuel Emissions'!$C$10*Constants!$B$9/365</f>
        <v>0</v>
      </c>
      <c r="J22" s="199">
        <f>'Annual VMT'!J19*'Baseline and Atl Fuel Emissions'!$C$10*Constants!$B$9/365</f>
        <v>0</v>
      </c>
      <c r="K22" s="199">
        <f>'Annual VMT'!K19*'Baseline and Atl Fuel Emissions'!$C$10*Constants!$B$9/365</f>
        <v>0</v>
      </c>
    </row>
    <row r="23" spans="1:11" x14ac:dyDescent="0.25">
      <c r="A23" s="92" t="s">
        <v>114</v>
      </c>
      <c r="B23" s="199">
        <f>'Annual VMT'!B20*'Baseline and Atl Fuel Emissions'!$C$11*Constants!$B$9/365</f>
        <v>0</v>
      </c>
      <c r="C23" s="199">
        <f>'Annual VMT'!C20*'Baseline and Atl Fuel Emissions'!$C$11*Constants!$B$9/365</f>
        <v>0</v>
      </c>
      <c r="D23" s="199">
        <f>'Annual VMT'!D20*'Baseline and Atl Fuel Emissions'!$C$11*Constants!$B$9/365</f>
        <v>0</v>
      </c>
      <c r="E23" s="199">
        <f>'Annual VMT'!E20*'Baseline and Atl Fuel Emissions'!$C$11*Constants!$B$9/365</f>
        <v>0</v>
      </c>
      <c r="F23" s="199">
        <f>'Annual VMT'!F20*'Baseline and Atl Fuel Emissions'!$C$11*Constants!$B$9/365</f>
        <v>0</v>
      </c>
      <c r="G23" s="199">
        <f>'Annual VMT'!G20*'Baseline and Atl Fuel Emissions'!$C$11*Constants!$B$9/365</f>
        <v>0</v>
      </c>
      <c r="H23" s="199">
        <f>'Annual VMT'!H20*'Baseline and Atl Fuel Emissions'!$C$11*Constants!$B$9/365</f>
        <v>0</v>
      </c>
      <c r="I23" s="199">
        <f>'Annual VMT'!I20*'Baseline and Atl Fuel Emissions'!$C$11*Constants!$B$9/365</f>
        <v>0</v>
      </c>
      <c r="J23" s="199">
        <f>'Annual VMT'!J20*'Baseline and Atl Fuel Emissions'!$C$11*Constants!$B$9/365</f>
        <v>0</v>
      </c>
      <c r="K23" s="199">
        <f>'Annual VMT'!K20*'Baseline and Atl Fuel Emissions'!$C$11*Constants!$B$9/365</f>
        <v>0</v>
      </c>
    </row>
    <row r="24" spans="1:11" x14ac:dyDescent="0.25">
      <c r="A24" s="190" t="s">
        <v>292</v>
      </c>
      <c r="B24" s="200">
        <f>SUM(B21:B23)</f>
        <v>0</v>
      </c>
      <c r="C24" s="200">
        <f t="shared" ref="C24:K24" si="0">SUM(C21:C23)</f>
        <v>0</v>
      </c>
      <c r="D24" s="200">
        <f t="shared" si="0"/>
        <v>0</v>
      </c>
      <c r="E24" s="200">
        <f t="shared" si="0"/>
        <v>0</v>
      </c>
      <c r="F24" s="200">
        <f t="shared" si="0"/>
        <v>0</v>
      </c>
      <c r="G24" s="200">
        <f t="shared" si="0"/>
        <v>0</v>
      </c>
      <c r="H24" s="200">
        <f t="shared" si="0"/>
        <v>0</v>
      </c>
      <c r="I24" s="200">
        <f t="shared" si="0"/>
        <v>0</v>
      </c>
      <c r="J24" s="200">
        <f t="shared" si="0"/>
        <v>0</v>
      </c>
      <c r="K24" s="200">
        <f t="shared" si="0"/>
        <v>0</v>
      </c>
    </row>
    <row r="25" spans="1:11" ht="15.75" x14ac:dyDescent="0.25">
      <c r="A25" s="292" t="s">
        <v>362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3"/>
    </row>
    <row r="26" spans="1:11" x14ac:dyDescent="0.25">
      <c r="A26" s="73" t="s">
        <v>161</v>
      </c>
      <c r="B26" s="199">
        <f>'Annual VMT'!B18*'Baseline and Atl Fuel Emissions'!$D$9*Constants!$B$9/365</f>
        <v>0</v>
      </c>
      <c r="C26" s="199">
        <f>'Annual VMT'!C18*'Baseline and Atl Fuel Emissions'!$D$9*Constants!$B$9/365</f>
        <v>0</v>
      </c>
      <c r="D26" s="199">
        <f>'Annual VMT'!D18*'Baseline and Atl Fuel Emissions'!$D$9*Constants!$B$9/365</f>
        <v>0</v>
      </c>
      <c r="E26" s="199">
        <f>'Annual VMT'!E18*'Baseline and Atl Fuel Emissions'!$D$9*Constants!$B$9/365</f>
        <v>0</v>
      </c>
      <c r="F26" s="199">
        <f>'Annual VMT'!F18*'Baseline and Atl Fuel Emissions'!$D$9*Constants!$B$9/365</f>
        <v>0</v>
      </c>
      <c r="G26" s="199">
        <f>'Annual VMT'!G18*'Baseline and Atl Fuel Emissions'!$D$9*Constants!$B$9/365</f>
        <v>0</v>
      </c>
      <c r="H26" s="199">
        <f>'Annual VMT'!H18*'Baseline and Atl Fuel Emissions'!$D$9*Constants!$B$9/365</f>
        <v>0</v>
      </c>
      <c r="I26" s="199">
        <f>'Annual VMT'!I18*'Baseline and Atl Fuel Emissions'!$D$9*Constants!$B$9/365</f>
        <v>0</v>
      </c>
      <c r="J26" s="199">
        <f>'Annual VMT'!J18*'Baseline and Atl Fuel Emissions'!$D$9*Constants!$B$9/365</f>
        <v>0</v>
      </c>
      <c r="K26" s="199">
        <f>'Annual VMT'!K18*'Baseline and Atl Fuel Emissions'!$D$9*Constants!$B$9/365</f>
        <v>0</v>
      </c>
    </row>
    <row r="27" spans="1:11" x14ac:dyDescent="0.25">
      <c r="A27" s="73" t="s">
        <v>293</v>
      </c>
      <c r="B27" s="199">
        <f>'Annual VMT'!B19*'Baseline and Atl Fuel Emissions'!$D$10*Constants!$B$9/365</f>
        <v>0</v>
      </c>
      <c r="C27" s="199">
        <f>'Annual VMT'!C19*'Baseline and Atl Fuel Emissions'!$D$10*Constants!$B$9/365</f>
        <v>0</v>
      </c>
      <c r="D27" s="199">
        <f>'Annual VMT'!D19*'Baseline and Atl Fuel Emissions'!$D$10*Constants!$B$9/365</f>
        <v>0</v>
      </c>
      <c r="E27" s="199">
        <f>'Annual VMT'!E19*'Baseline and Atl Fuel Emissions'!$D$10*Constants!$B$9/365</f>
        <v>0</v>
      </c>
      <c r="F27" s="199">
        <f>'Annual VMT'!F19*'Baseline and Atl Fuel Emissions'!$D$10*Constants!$B$9/365</f>
        <v>0</v>
      </c>
      <c r="G27" s="199">
        <f>'Annual VMT'!G19*'Baseline and Atl Fuel Emissions'!$D$10*Constants!$B$9/365</f>
        <v>0</v>
      </c>
      <c r="H27" s="199">
        <f>'Annual VMT'!H19*'Baseline and Atl Fuel Emissions'!$D$10*Constants!$B$9/365</f>
        <v>0</v>
      </c>
      <c r="I27" s="199">
        <f>'Annual VMT'!I19*'Baseline and Atl Fuel Emissions'!$D$10*Constants!$B$9/365</f>
        <v>0</v>
      </c>
      <c r="J27" s="199">
        <f>'Annual VMT'!J19*'Baseline and Atl Fuel Emissions'!$D$10*Constants!$B$9/365</f>
        <v>0</v>
      </c>
      <c r="K27" s="199">
        <f>'Annual VMT'!K19*'Baseline and Atl Fuel Emissions'!$D$10*Constants!$B$9/365</f>
        <v>0</v>
      </c>
    </row>
    <row r="28" spans="1:11" x14ac:dyDescent="0.25">
      <c r="A28" s="92" t="s">
        <v>114</v>
      </c>
      <c r="B28" s="199">
        <f>'Annual VMT'!B20*'Baseline and Atl Fuel Emissions'!$D$11*Constants!$B$9/365</f>
        <v>0</v>
      </c>
      <c r="C28" s="199">
        <f>'Annual VMT'!C20*'Baseline and Atl Fuel Emissions'!$D$11*Constants!$B$9/365</f>
        <v>0</v>
      </c>
      <c r="D28" s="199">
        <f>'Annual VMT'!D20*'Baseline and Atl Fuel Emissions'!$D$11*Constants!$B$9/365</f>
        <v>0</v>
      </c>
      <c r="E28" s="199">
        <f>'Annual VMT'!E20*'Baseline and Atl Fuel Emissions'!$D$11*Constants!$B$9/365</f>
        <v>0</v>
      </c>
      <c r="F28" s="199">
        <f>'Annual VMT'!F20*'Baseline and Atl Fuel Emissions'!$D$11*Constants!$B$9/365</f>
        <v>0</v>
      </c>
      <c r="G28" s="199">
        <f>'Annual VMT'!G20*'Baseline and Atl Fuel Emissions'!$D$11*Constants!$B$9/365</f>
        <v>0</v>
      </c>
      <c r="H28" s="199">
        <f>'Annual VMT'!H20*'Baseline and Atl Fuel Emissions'!$D$11*Constants!$B$9/365</f>
        <v>0</v>
      </c>
      <c r="I28" s="199">
        <f>'Annual VMT'!I20*'Baseline and Atl Fuel Emissions'!$D$11*Constants!$B$9/365</f>
        <v>0</v>
      </c>
      <c r="J28" s="199">
        <f>'Annual VMT'!J20*'Baseline and Atl Fuel Emissions'!$D$11*Constants!$B$9/365</f>
        <v>0</v>
      </c>
      <c r="K28" s="199">
        <f>'Annual VMT'!K20*'Baseline and Atl Fuel Emissions'!$D$11*Constants!$B$9/365</f>
        <v>0</v>
      </c>
    </row>
    <row r="29" spans="1:11" x14ac:dyDescent="0.25">
      <c r="A29" s="190" t="s">
        <v>292</v>
      </c>
      <c r="B29" s="200">
        <f>SUM(B26:B28)</f>
        <v>0</v>
      </c>
      <c r="C29" s="200">
        <f t="shared" ref="C29:K29" si="1">SUM(C26:C28)</f>
        <v>0</v>
      </c>
      <c r="D29" s="200">
        <f t="shared" si="1"/>
        <v>0</v>
      </c>
      <c r="E29" s="200">
        <f t="shared" si="1"/>
        <v>0</v>
      </c>
      <c r="F29" s="200">
        <f t="shared" si="1"/>
        <v>0</v>
      </c>
      <c r="G29" s="200">
        <f t="shared" si="1"/>
        <v>0</v>
      </c>
      <c r="H29" s="200">
        <f t="shared" si="1"/>
        <v>0</v>
      </c>
      <c r="I29" s="200">
        <f t="shared" si="1"/>
        <v>0</v>
      </c>
      <c r="J29" s="200">
        <f t="shared" si="1"/>
        <v>0</v>
      </c>
      <c r="K29" s="200">
        <f t="shared" si="1"/>
        <v>0</v>
      </c>
    </row>
    <row r="30" spans="1:11" ht="15.75" x14ac:dyDescent="0.25">
      <c r="A30" s="292" t="s">
        <v>408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3"/>
    </row>
    <row r="31" spans="1:11" x14ac:dyDescent="0.25">
      <c r="A31" s="73" t="s">
        <v>161</v>
      </c>
      <c r="B31" s="199">
        <f>'Annual VMT'!B18*'Baseline and Atl Fuel Emissions'!$E$9*Constants!$B$9/365</f>
        <v>0</v>
      </c>
      <c r="C31" s="199">
        <f>'Annual VMT'!C18*'Baseline and Atl Fuel Emissions'!$E$9*Constants!$B$9/365</f>
        <v>0</v>
      </c>
      <c r="D31" s="199">
        <f>'Annual VMT'!D18*'Baseline and Atl Fuel Emissions'!$E$9*Constants!$B$9/365</f>
        <v>0</v>
      </c>
      <c r="E31" s="199">
        <f>'Annual VMT'!E18*'Baseline and Atl Fuel Emissions'!$E$9*Constants!$B$9/365</f>
        <v>0</v>
      </c>
      <c r="F31" s="199">
        <f>'Annual VMT'!F18*'Baseline and Atl Fuel Emissions'!$E$9*Constants!$B$9/365</f>
        <v>0</v>
      </c>
      <c r="G31" s="199">
        <f>'Annual VMT'!G18*'Baseline and Atl Fuel Emissions'!$E$9*Constants!$B$9/365</f>
        <v>0</v>
      </c>
      <c r="H31" s="199">
        <f>'Annual VMT'!H18*'Baseline and Atl Fuel Emissions'!$E$9*Constants!$B$9/365</f>
        <v>0</v>
      </c>
      <c r="I31" s="199">
        <f>'Annual VMT'!I18*'Baseline and Atl Fuel Emissions'!$E$9*Constants!$B$9/365</f>
        <v>0</v>
      </c>
      <c r="J31" s="199">
        <f>'Annual VMT'!J18*'Baseline and Atl Fuel Emissions'!$E$9*Constants!$B$9/365</f>
        <v>0</v>
      </c>
      <c r="K31" s="199">
        <f>'Annual VMT'!K18*'Baseline and Atl Fuel Emissions'!$E$9*Constants!$B$9/365</f>
        <v>0</v>
      </c>
    </row>
    <row r="32" spans="1:11" x14ac:dyDescent="0.25">
      <c r="A32" s="73" t="s">
        <v>293</v>
      </c>
      <c r="B32" s="199">
        <f>'Annual VMT'!B19*'Baseline and Atl Fuel Emissions'!$E$10*Constants!$B$9/365</f>
        <v>0</v>
      </c>
      <c r="C32" s="199">
        <f>'Annual VMT'!C19*'Baseline and Atl Fuel Emissions'!$E$10*Constants!$B$9/365</f>
        <v>0</v>
      </c>
      <c r="D32" s="199">
        <f>'Annual VMT'!D19*'Baseline and Atl Fuel Emissions'!$E$10*Constants!$B$9/365</f>
        <v>0</v>
      </c>
      <c r="E32" s="199">
        <f>'Annual VMT'!E19*'Baseline and Atl Fuel Emissions'!$E$10*Constants!$B$9/365</f>
        <v>0</v>
      </c>
      <c r="F32" s="199">
        <f>'Annual VMT'!F19*'Baseline and Atl Fuel Emissions'!$E$10*Constants!$B$9/365</f>
        <v>0</v>
      </c>
      <c r="G32" s="199">
        <f>'Annual VMT'!G19*'Baseline and Atl Fuel Emissions'!$E$10*Constants!$B$9/365</f>
        <v>0</v>
      </c>
      <c r="H32" s="199">
        <f>'Annual VMT'!H19*'Baseline and Atl Fuel Emissions'!$E$10*Constants!$B$9/365</f>
        <v>0</v>
      </c>
      <c r="I32" s="199">
        <f>'Annual VMT'!I19*'Baseline and Atl Fuel Emissions'!$E$10*Constants!$B$9/365</f>
        <v>0</v>
      </c>
      <c r="J32" s="199">
        <f>'Annual VMT'!J19*'Baseline and Atl Fuel Emissions'!$E$10*Constants!$B$9/365</f>
        <v>0</v>
      </c>
      <c r="K32" s="199">
        <f>'Annual VMT'!K19*'Baseline and Atl Fuel Emissions'!$E$10*Constants!$B$9/365</f>
        <v>0</v>
      </c>
    </row>
    <row r="33" spans="1:11" x14ac:dyDescent="0.25">
      <c r="A33" s="92" t="s">
        <v>114</v>
      </c>
      <c r="B33" s="199">
        <f>'Annual VMT'!B20*'Baseline and Atl Fuel Emissions'!$E$11*Constants!$B$9/365</f>
        <v>0</v>
      </c>
      <c r="C33" s="199">
        <f>'Annual VMT'!C20*'Baseline and Atl Fuel Emissions'!$E$11*Constants!$B$9/365</f>
        <v>0</v>
      </c>
      <c r="D33" s="199">
        <f>'Annual VMT'!D20*'Baseline and Atl Fuel Emissions'!$E$11*Constants!$B$9/365</f>
        <v>0</v>
      </c>
      <c r="E33" s="199">
        <f>'Annual VMT'!E20*'Baseline and Atl Fuel Emissions'!$E$11*Constants!$B$9/365</f>
        <v>0</v>
      </c>
      <c r="F33" s="199">
        <f>'Annual VMT'!F20*'Baseline and Atl Fuel Emissions'!$E$11*Constants!$B$9/365</f>
        <v>0</v>
      </c>
      <c r="G33" s="199">
        <f>'Annual VMT'!G20*'Baseline and Atl Fuel Emissions'!$E$11*Constants!$B$9/365</f>
        <v>0</v>
      </c>
      <c r="H33" s="199">
        <f>'Annual VMT'!H20*'Baseline and Atl Fuel Emissions'!$E$11*Constants!$B$9/365</f>
        <v>0</v>
      </c>
      <c r="I33" s="199">
        <f>'Annual VMT'!I20*'Baseline and Atl Fuel Emissions'!$E$11*Constants!$B$9/365</f>
        <v>0</v>
      </c>
      <c r="J33" s="199">
        <f>'Annual VMT'!J20*'Baseline and Atl Fuel Emissions'!$E$11*Constants!$B$9/365</f>
        <v>0</v>
      </c>
      <c r="K33" s="199">
        <f>'Annual VMT'!K20*'Baseline and Atl Fuel Emissions'!$E$11*Constants!$B$9/365</f>
        <v>0</v>
      </c>
    </row>
    <row r="34" spans="1:11" x14ac:dyDescent="0.25">
      <c r="A34" s="190" t="s">
        <v>292</v>
      </c>
      <c r="B34" s="200">
        <f>SUM(B31:B33)</f>
        <v>0</v>
      </c>
      <c r="C34" s="200">
        <f t="shared" ref="C34:K34" si="2">SUM(C31:C33)</f>
        <v>0</v>
      </c>
      <c r="D34" s="200">
        <f t="shared" si="2"/>
        <v>0</v>
      </c>
      <c r="E34" s="200">
        <f t="shared" si="2"/>
        <v>0</v>
      </c>
      <c r="F34" s="200">
        <f t="shared" si="2"/>
        <v>0</v>
      </c>
      <c r="G34" s="200">
        <f t="shared" si="2"/>
        <v>0</v>
      </c>
      <c r="H34" s="200">
        <f t="shared" si="2"/>
        <v>0</v>
      </c>
      <c r="I34" s="200">
        <f t="shared" si="2"/>
        <v>0</v>
      </c>
      <c r="J34" s="200">
        <f t="shared" si="2"/>
        <v>0</v>
      </c>
      <c r="K34" s="200">
        <f t="shared" si="2"/>
        <v>0</v>
      </c>
    </row>
    <row r="36" spans="1:11" ht="15.75" x14ac:dyDescent="0.25">
      <c r="A36" s="77" t="str">
        <f>CONCATENATE("Diesel Fuel - ",B6)</f>
        <v xml:space="preserve">Diesel Fuel -  </v>
      </c>
    </row>
    <row r="38" spans="1:11" x14ac:dyDescent="0.25">
      <c r="A38" s="153" t="s">
        <v>157</v>
      </c>
      <c r="B38" s="65">
        <f>Inputs!B46</f>
        <v>2018</v>
      </c>
      <c r="C38" s="65">
        <f>Inputs!C46</f>
        <v>2019</v>
      </c>
      <c r="D38" s="65">
        <f>Inputs!D46</f>
        <v>2020</v>
      </c>
      <c r="E38" s="65">
        <f>Inputs!E46</f>
        <v>2021</v>
      </c>
      <c r="F38" s="65">
        <f>Inputs!F46</f>
        <v>2022</v>
      </c>
      <c r="G38" s="65">
        <f>Inputs!G46</f>
        <v>2023</v>
      </c>
      <c r="H38" s="65">
        <f>Inputs!H46</f>
        <v>2024</v>
      </c>
      <c r="I38" s="65">
        <f>Inputs!I46</f>
        <v>2025</v>
      </c>
      <c r="J38" s="65">
        <f>Inputs!J46</f>
        <v>2026</v>
      </c>
      <c r="K38" s="65">
        <f>Inputs!K46</f>
        <v>2027</v>
      </c>
    </row>
    <row r="39" spans="1:11" ht="15.75" x14ac:dyDescent="0.25">
      <c r="A39" s="292" t="s">
        <v>360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3"/>
    </row>
    <row r="40" spans="1:11" x14ac:dyDescent="0.25">
      <c r="A40" s="73" t="s">
        <v>161</v>
      </c>
      <c r="B40" s="199">
        <f>'Annual VMT'!B18*'Baseline and Atl Fuel Emissions'!$I$9*Constants!$B$9/365</f>
        <v>0</v>
      </c>
      <c r="C40" s="199">
        <f>'Annual VMT'!C18*'Baseline and Atl Fuel Emissions'!$I$9*Constants!$B$9/365</f>
        <v>0</v>
      </c>
      <c r="D40" s="199">
        <f>'Annual VMT'!D18*'Baseline and Atl Fuel Emissions'!$I$9*Constants!$B$9/365</f>
        <v>0</v>
      </c>
      <c r="E40" s="199">
        <f>'Annual VMT'!E18*'Baseline and Atl Fuel Emissions'!$I$9*Constants!$B$9/365</f>
        <v>0</v>
      </c>
      <c r="F40" s="199">
        <f>'Annual VMT'!F18*'Baseline and Atl Fuel Emissions'!$I$9*Constants!$B$9/365</f>
        <v>0</v>
      </c>
      <c r="G40" s="199">
        <f>'Annual VMT'!G18*'Baseline and Atl Fuel Emissions'!$I$9*Constants!$B$9/365</f>
        <v>0</v>
      </c>
      <c r="H40" s="199">
        <f>'Annual VMT'!H18*'Baseline and Atl Fuel Emissions'!$I$9*Constants!$B$9/365</f>
        <v>0</v>
      </c>
      <c r="I40" s="199">
        <f>'Annual VMT'!I18*'Baseline and Atl Fuel Emissions'!$I$9*Constants!$B$9/365</f>
        <v>0</v>
      </c>
      <c r="J40" s="199">
        <f>'Annual VMT'!J18*'Baseline and Atl Fuel Emissions'!$I$9*Constants!$B$9/365</f>
        <v>0</v>
      </c>
      <c r="K40" s="199">
        <f>'Annual VMT'!K18*'Baseline and Atl Fuel Emissions'!$I$9*Constants!$B$9/365</f>
        <v>0</v>
      </c>
    </row>
    <row r="41" spans="1:11" x14ac:dyDescent="0.25">
      <c r="A41" s="73" t="s">
        <v>293</v>
      </c>
      <c r="B41" s="199">
        <f>'Annual VMT'!B19*'Baseline and Atl Fuel Emissions'!$I$10*Constants!$B$9/365</f>
        <v>0</v>
      </c>
      <c r="C41" s="199">
        <f>'Annual VMT'!C19*'Baseline and Atl Fuel Emissions'!$I$10*Constants!$B$9/365</f>
        <v>0</v>
      </c>
      <c r="D41" s="199">
        <f>'Annual VMT'!D19*'Baseline and Atl Fuel Emissions'!$I$10*Constants!$B$9/365</f>
        <v>0</v>
      </c>
      <c r="E41" s="199">
        <f>'Annual VMT'!E19*'Baseline and Atl Fuel Emissions'!$I$10*Constants!$B$9/365</f>
        <v>0</v>
      </c>
      <c r="F41" s="199">
        <f>'Annual VMT'!F19*'Baseline and Atl Fuel Emissions'!$I$10*Constants!$B$9/365</f>
        <v>0</v>
      </c>
      <c r="G41" s="199">
        <f>'Annual VMT'!G19*'Baseline and Atl Fuel Emissions'!$I$10*Constants!$B$9/365</f>
        <v>0</v>
      </c>
      <c r="H41" s="199">
        <f>'Annual VMT'!H19*'Baseline and Atl Fuel Emissions'!$I$10*Constants!$B$9/365</f>
        <v>0</v>
      </c>
      <c r="I41" s="199">
        <f>'Annual VMT'!I19*'Baseline and Atl Fuel Emissions'!$I$10*Constants!$B$9/365</f>
        <v>0</v>
      </c>
      <c r="J41" s="199">
        <f>'Annual VMT'!J19*'Baseline and Atl Fuel Emissions'!$I$10*Constants!$B$9/365</f>
        <v>0</v>
      </c>
      <c r="K41" s="199">
        <f>'Annual VMT'!K19*'Baseline and Atl Fuel Emissions'!$I$10*Constants!$B$9/365</f>
        <v>0</v>
      </c>
    </row>
    <row r="42" spans="1:11" x14ac:dyDescent="0.25">
      <c r="A42" s="92" t="s">
        <v>114</v>
      </c>
      <c r="B42" s="199">
        <f>'Annual VMT'!B20*'Baseline and Atl Fuel Emissions'!$I$11*Constants!$B$9/365</f>
        <v>0</v>
      </c>
      <c r="C42" s="199">
        <f>'Annual VMT'!C20*'Baseline and Atl Fuel Emissions'!$I$11*Constants!$B$9/365</f>
        <v>0</v>
      </c>
      <c r="D42" s="199">
        <f>'Annual VMT'!D20*'Baseline and Atl Fuel Emissions'!$I$11*Constants!$B$9/365</f>
        <v>0</v>
      </c>
      <c r="E42" s="199">
        <f>'Annual VMT'!E20*'Baseline and Atl Fuel Emissions'!$I$11*Constants!$B$9/365</f>
        <v>0</v>
      </c>
      <c r="F42" s="199">
        <f>'Annual VMT'!F20*'Baseline and Atl Fuel Emissions'!$I$11*Constants!$B$9/365</f>
        <v>0</v>
      </c>
      <c r="G42" s="199">
        <f>'Annual VMT'!G20*'Baseline and Atl Fuel Emissions'!$I$11*Constants!$B$9/365</f>
        <v>0</v>
      </c>
      <c r="H42" s="199">
        <f>'Annual VMT'!H20*'Baseline and Atl Fuel Emissions'!$I$11*Constants!$B$9/365</f>
        <v>0</v>
      </c>
      <c r="I42" s="199">
        <f>'Annual VMT'!I20*'Baseline and Atl Fuel Emissions'!$I$11*Constants!$B$9/365</f>
        <v>0</v>
      </c>
      <c r="J42" s="199">
        <f>'Annual VMT'!J20*'Baseline and Atl Fuel Emissions'!$I$11*Constants!$B$9/365</f>
        <v>0</v>
      </c>
      <c r="K42" s="199">
        <f>'Annual VMT'!K20*'Baseline and Atl Fuel Emissions'!$I$11*Constants!$B$9/365</f>
        <v>0</v>
      </c>
    </row>
    <row r="43" spans="1:11" x14ac:dyDescent="0.25">
      <c r="A43" s="190" t="s">
        <v>292</v>
      </c>
      <c r="B43" s="200">
        <f>SUM(B40:B42)</f>
        <v>0</v>
      </c>
      <c r="C43" s="200">
        <f t="shared" ref="C43:K43" si="3">SUM(C40:C42)</f>
        <v>0</v>
      </c>
      <c r="D43" s="200">
        <f t="shared" si="3"/>
        <v>0</v>
      </c>
      <c r="E43" s="200">
        <f t="shared" si="3"/>
        <v>0</v>
      </c>
      <c r="F43" s="200">
        <f t="shared" si="3"/>
        <v>0</v>
      </c>
      <c r="G43" s="200">
        <f t="shared" si="3"/>
        <v>0</v>
      </c>
      <c r="H43" s="200">
        <f t="shared" si="3"/>
        <v>0</v>
      </c>
      <c r="I43" s="200">
        <f t="shared" si="3"/>
        <v>0</v>
      </c>
      <c r="J43" s="200">
        <f t="shared" si="3"/>
        <v>0</v>
      </c>
      <c r="K43" s="200">
        <f t="shared" si="3"/>
        <v>0</v>
      </c>
    </row>
    <row r="44" spans="1:11" ht="15.75" x14ac:dyDescent="0.25">
      <c r="A44" s="292" t="s">
        <v>362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3"/>
    </row>
    <row r="45" spans="1:11" x14ac:dyDescent="0.25">
      <c r="A45" s="73" t="s">
        <v>161</v>
      </c>
      <c r="B45" s="199">
        <f>'Annual VMT'!B18*'Baseline and Atl Fuel Emissions'!$J$9*Constants!$B$9/365</f>
        <v>0</v>
      </c>
      <c r="C45" s="199">
        <f>'Annual VMT'!C18*'Baseline and Atl Fuel Emissions'!$J$9*Constants!$B$9/365</f>
        <v>0</v>
      </c>
      <c r="D45" s="199">
        <f>'Annual VMT'!D18*'Baseline and Atl Fuel Emissions'!$J$9*Constants!$B$9/365</f>
        <v>0</v>
      </c>
      <c r="E45" s="199">
        <f>'Annual VMT'!E18*'Baseline and Atl Fuel Emissions'!$J$9*Constants!$B$9/365</f>
        <v>0</v>
      </c>
      <c r="F45" s="199">
        <f>'Annual VMT'!F18*'Baseline and Atl Fuel Emissions'!$J$9*Constants!$B$9/365</f>
        <v>0</v>
      </c>
      <c r="G45" s="199">
        <f>'Annual VMT'!G18*'Baseline and Atl Fuel Emissions'!$J$9*Constants!$B$9/365</f>
        <v>0</v>
      </c>
      <c r="H45" s="199">
        <f>'Annual VMT'!H18*'Baseline and Atl Fuel Emissions'!$J$9*Constants!$B$9/365</f>
        <v>0</v>
      </c>
      <c r="I45" s="199">
        <f>'Annual VMT'!I18*'Baseline and Atl Fuel Emissions'!$J$9*Constants!$B$9/365</f>
        <v>0</v>
      </c>
      <c r="J45" s="199">
        <f>'Annual VMT'!J18*'Baseline and Atl Fuel Emissions'!$J$9*Constants!$B$9/365</f>
        <v>0</v>
      </c>
      <c r="K45" s="199">
        <f>'Annual VMT'!K18*'Baseline and Atl Fuel Emissions'!$J$9*Constants!$B$9/365</f>
        <v>0</v>
      </c>
    </row>
    <row r="46" spans="1:11" x14ac:dyDescent="0.25">
      <c r="A46" s="73" t="s">
        <v>293</v>
      </c>
      <c r="B46" s="199">
        <f>'Annual VMT'!B19*'Baseline and Atl Fuel Emissions'!$J$10*Constants!$B$9/365</f>
        <v>0</v>
      </c>
      <c r="C46" s="199">
        <f>'Annual VMT'!C19*'Baseline and Atl Fuel Emissions'!$J$10*Constants!$B$9/365</f>
        <v>0</v>
      </c>
      <c r="D46" s="199">
        <f>'Annual VMT'!D19*'Baseline and Atl Fuel Emissions'!$J$10*Constants!$B$9/365</f>
        <v>0</v>
      </c>
      <c r="E46" s="199">
        <f>'Annual VMT'!E19*'Baseline and Atl Fuel Emissions'!$J$10*Constants!$B$9/365</f>
        <v>0</v>
      </c>
      <c r="F46" s="199">
        <f>'Annual VMT'!F19*'Baseline and Atl Fuel Emissions'!$J$10*Constants!$B$9/365</f>
        <v>0</v>
      </c>
      <c r="G46" s="199">
        <f>'Annual VMT'!G19*'Baseline and Atl Fuel Emissions'!$J$10*Constants!$B$9/365</f>
        <v>0</v>
      </c>
      <c r="H46" s="199">
        <f>'Annual VMT'!H19*'Baseline and Atl Fuel Emissions'!$J$10*Constants!$B$9/365</f>
        <v>0</v>
      </c>
      <c r="I46" s="199">
        <f>'Annual VMT'!I19*'Baseline and Atl Fuel Emissions'!$J$10*Constants!$B$9/365</f>
        <v>0</v>
      </c>
      <c r="J46" s="199">
        <f>'Annual VMT'!J19*'Baseline and Atl Fuel Emissions'!$J$10*Constants!$B$9/365</f>
        <v>0</v>
      </c>
      <c r="K46" s="199">
        <f>'Annual VMT'!K19*'Baseline and Atl Fuel Emissions'!$J$10*Constants!$B$9/365</f>
        <v>0</v>
      </c>
    </row>
    <row r="47" spans="1:11" x14ac:dyDescent="0.25">
      <c r="A47" s="92" t="s">
        <v>114</v>
      </c>
      <c r="B47" s="199">
        <f>'Annual VMT'!B20*'Baseline and Atl Fuel Emissions'!$J$11*Constants!$B$9/365</f>
        <v>0</v>
      </c>
      <c r="C47" s="199">
        <f>'Annual VMT'!C20*'Baseline and Atl Fuel Emissions'!$J$11*Constants!$B$9/365</f>
        <v>0</v>
      </c>
      <c r="D47" s="199">
        <f>'Annual VMT'!D20*'Baseline and Atl Fuel Emissions'!$J$11*Constants!$B$9/365</f>
        <v>0</v>
      </c>
      <c r="E47" s="199">
        <f>'Annual VMT'!E20*'Baseline and Atl Fuel Emissions'!$J$11*Constants!$B$9/365</f>
        <v>0</v>
      </c>
      <c r="F47" s="199">
        <f>'Annual VMT'!F20*'Baseline and Atl Fuel Emissions'!$J$11*Constants!$B$9/365</f>
        <v>0</v>
      </c>
      <c r="G47" s="199">
        <f>'Annual VMT'!G20*'Baseline and Atl Fuel Emissions'!$J$11*Constants!$B$9/365</f>
        <v>0</v>
      </c>
      <c r="H47" s="199">
        <f>'Annual VMT'!H20*'Baseline and Atl Fuel Emissions'!$J$11*Constants!$B$9/365</f>
        <v>0</v>
      </c>
      <c r="I47" s="199">
        <f>'Annual VMT'!I20*'Baseline and Atl Fuel Emissions'!$J$11*Constants!$B$9/365</f>
        <v>0</v>
      </c>
      <c r="J47" s="199">
        <f>'Annual VMT'!J20*'Baseline and Atl Fuel Emissions'!$J$11*Constants!$B$9/365</f>
        <v>0</v>
      </c>
      <c r="K47" s="199">
        <f>'Annual VMT'!K20*'Baseline and Atl Fuel Emissions'!$J$11*Constants!$B$9/365</f>
        <v>0</v>
      </c>
    </row>
    <row r="48" spans="1:11" x14ac:dyDescent="0.25">
      <c r="A48" s="190" t="s">
        <v>292</v>
      </c>
      <c r="B48" s="200">
        <f>SUM(B45:B47)</f>
        <v>0</v>
      </c>
      <c r="C48" s="200">
        <f t="shared" ref="C48:K48" si="4">SUM(C45:C47)</f>
        <v>0</v>
      </c>
      <c r="D48" s="200">
        <f t="shared" si="4"/>
        <v>0</v>
      </c>
      <c r="E48" s="200">
        <f t="shared" si="4"/>
        <v>0</v>
      </c>
      <c r="F48" s="200">
        <f t="shared" si="4"/>
        <v>0</v>
      </c>
      <c r="G48" s="200">
        <f t="shared" si="4"/>
        <v>0</v>
      </c>
      <c r="H48" s="200">
        <f t="shared" si="4"/>
        <v>0</v>
      </c>
      <c r="I48" s="200">
        <f t="shared" si="4"/>
        <v>0</v>
      </c>
      <c r="J48" s="200">
        <f t="shared" si="4"/>
        <v>0</v>
      </c>
      <c r="K48" s="200">
        <f t="shared" si="4"/>
        <v>0</v>
      </c>
    </row>
    <row r="49" spans="1:11" ht="15.75" x14ac:dyDescent="0.25">
      <c r="A49" s="292" t="s">
        <v>408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3"/>
    </row>
    <row r="50" spans="1:11" x14ac:dyDescent="0.25">
      <c r="A50" s="73" t="s">
        <v>161</v>
      </c>
      <c r="B50" s="199">
        <f>'Annual VMT'!B18*'Baseline and Atl Fuel Emissions'!$K$9*Constants!$B$9/365</f>
        <v>0</v>
      </c>
      <c r="C50" s="199">
        <f>'Annual VMT'!C18*'Baseline and Atl Fuel Emissions'!$K$9*Constants!$B$9/365</f>
        <v>0</v>
      </c>
      <c r="D50" s="199">
        <f>'Annual VMT'!D18*'Baseline and Atl Fuel Emissions'!$K$9*Constants!$B$9/365</f>
        <v>0</v>
      </c>
      <c r="E50" s="199">
        <f>'Annual VMT'!E18*'Baseline and Atl Fuel Emissions'!$K$9*Constants!$B$9/365</f>
        <v>0</v>
      </c>
      <c r="F50" s="199">
        <f>'Annual VMT'!F18*'Baseline and Atl Fuel Emissions'!$K$9*Constants!$B$9/365</f>
        <v>0</v>
      </c>
      <c r="G50" s="199">
        <f>'Annual VMT'!G18*'Baseline and Atl Fuel Emissions'!$K$9*Constants!$B$9/365</f>
        <v>0</v>
      </c>
      <c r="H50" s="199">
        <f>'Annual VMT'!H18*'Baseline and Atl Fuel Emissions'!$K$9*Constants!$B$9/365</f>
        <v>0</v>
      </c>
      <c r="I50" s="199">
        <f>'Annual VMT'!I18*'Baseline and Atl Fuel Emissions'!$K$9*Constants!$B$9/365</f>
        <v>0</v>
      </c>
      <c r="J50" s="199">
        <f>'Annual VMT'!J18*'Baseline and Atl Fuel Emissions'!$K$9*Constants!$B$9/365</f>
        <v>0</v>
      </c>
      <c r="K50" s="199">
        <f>'Annual VMT'!K18*'Baseline and Atl Fuel Emissions'!$K$9*Constants!$B$9/365</f>
        <v>0</v>
      </c>
    </row>
    <row r="51" spans="1:11" x14ac:dyDescent="0.25">
      <c r="A51" s="73" t="s">
        <v>293</v>
      </c>
      <c r="B51" s="199">
        <f>'Annual VMT'!B19*'Baseline and Atl Fuel Emissions'!$K$10*Constants!$B$9/365</f>
        <v>0</v>
      </c>
      <c r="C51" s="199">
        <f>'Annual VMT'!C19*'Baseline and Atl Fuel Emissions'!$K$10*Constants!$B$9/365</f>
        <v>0</v>
      </c>
      <c r="D51" s="199">
        <f>'Annual VMT'!D19*'Baseline and Atl Fuel Emissions'!$K$10*Constants!$B$9/365</f>
        <v>0</v>
      </c>
      <c r="E51" s="199">
        <f>'Annual VMT'!E19*'Baseline and Atl Fuel Emissions'!$K$10*Constants!$B$9/365</f>
        <v>0</v>
      </c>
      <c r="F51" s="199">
        <f>'Annual VMT'!F19*'Baseline and Atl Fuel Emissions'!$K$10*Constants!$B$9/365</f>
        <v>0</v>
      </c>
      <c r="G51" s="199">
        <f>'Annual VMT'!G19*'Baseline and Atl Fuel Emissions'!$K$10*Constants!$B$9/365</f>
        <v>0</v>
      </c>
      <c r="H51" s="199">
        <f>'Annual VMT'!H19*'Baseline and Atl Fuel Emissions'!$K$10*Constants!$B$9/365</f>
        <v>0</v>
      </c>
      <c r="I51" s="199">
        <f>'Annual VMT'!I19*'Baseline and Atl Fuel Emissions'!$K$10*Constants!$B$9/365</f>
        <v>0</v>
      </c>
      <c r="J51" s="199">
        <f>'Annual VMT'!J19*'Baseline and Atl Fuel Emissions'!$K$10*Constants!$B$9/365</f>
        <v>0</v>
      </c>
      <c r="K51" s="199">
        <f>'Annual VMT'!K19*'Baseline and Atl Fuel Emissions'!$K$10*Constants!$B$9/365</f>
        <v>0</v>
      </c>
    </row>
    <row r="52" spans="1:11" x14ac:dyDescent="0.25">
      <c r="A52" s="92" t="s">
        <v>114</v>
      </c>
      <c r="B52" s="199">
        <f>'Annual VMT'!B20*'Baseline and Atl Fuel Emissions'!$K$11*Constants!$B$9/365</f>
        <v>0</v>
      </c>
      <c r="C52" s="199">
        <f>'Annual VMT'!C20*'Baseline and Atl Fuel Emissions'!$K$11*Constants!$B$9/365</f>
        <v>0</v>
      </c>
      <c r="D52" s="199">
        <f>'Annual VMT'!D20*'Baseline and Atl Fuel Emissions'!$K$11*Constants!$B$9/365</f>
        <v>0</v>
      </c>
      <c r="E52" s="199">
        <f>'Annual VMT'!E20*'Baseline and Atl Fuel Emissions'!$K$11*Constants!$B$9/365</f>
        <v>0</v>
      </c>
      <c r="F52" s="199">
        <f>'Annual VMT'!F20*'Baseline and Atl Fuel Emissions'!$K$11*Constants!$B$9/365</f>
        <v>0</v>
      </c>
      <c r="G52" s="199">
        <f>'Annual VMT'!G20*'Baseline and Atl Fuel Emissions'!$K$11*Constants!$B$9/365</f>
        <v>0</v>
      </c>
      <c r="H52" s="199">
        <f>'Annual VMT'!H20*'Baseline and Atl Fuel Emissions'!$K$11*Constants!$B$9/365</f>
        <v>0</v>
      </c>
      <c r="I52" s="199">
        <f>'Annual VMT'!I20*'Baseline and Atl Fuel Emissions'!$K$11*Constants!$B$9/365</f>
        <v>0</v>
      </c>
      <c r="J52" s="199">
        <f>'Annual VMT'!J20*'Baseline and Atl Fuel Emissions'!$K$11*Constants!$B$9/365</f>
        <v>0</v>
      </c>
      <c r="K52" s="199">
        <f>'Annual VMT'!K20*'Baseline and Atl Fuel Emissions'!$K$11*Constants!$B$9/365</f>
        <v>0</v>
      </c>
    </row>
    <row r="53" spans="1:11" x14ac:dyDescent="0.25">
      <c r="A53" s="190" t="s">
        <v>292</v>
      </c>
      <c r="B53" s="200">
        <f>SUM(B50:B52)</f>
        <v>0</v>
      </c>
      <c r="C53" s="200">
        <f t="shared" ref="C53:K53" si="5">SUM(C50:C52)</f>
        <v>0</v>
      </c>
      <c r="D53" s="200">
        <f t="shared" si="5"/>
        <v>0</v>
      </c>
      <c r="E53" s="200">
        <f t="shared" si="5"/>
        <v>0</v>
      </c>
      <c r="F53" s="200">
        <f t="shared" si="5"/>
        <v>0</v>
      </c>
      <c r="G53" s="200">
        <f t="shared" si="5"/>
        <v>0</v>
      </c>
      <c r="H53" s="200">
        <f t="shared" si="5"/>
        <v>0</v>
      </c>
      <c r="I53" s="200">
        <f t="shared" si="5"/>
        <v>0</v>
      </c>
      <c r="J53" s="200">
        <f t="shared" si="5"/>
        <v>0</v>
      </c>
      <c r="K53" s="200">
        <f t="shared" si="5"/>
        <v>0</v>
      </c>
    </row>
    <row r="55" spans="1:11" ht="23.25" x14ac:dyDescent="0.25">
      <c r="A55" s="28" t="s">
        <v>422</v>
      </c>
    </row>
    <row r="56" spans="1:11" x14ac:dyDescent="0.25">
      <c r="A56" t="s">
        <v>413</v>
      </c>
    </row>
    <row r="58" spans="1:11" ht="15.75" x14ac:dyDescent="0.25">
      <c r="A58" s="77" t="str">
        <f>CONCATENATE("Alternative Fuel - ",B6)</f>
        <v xml:space="preserve">Alternative Fuel -  </v>
      </c>
    </row>
    <row r="60" spans="1:11" x14ac:dyDescent="0.25">
      <c r="B60" s="65">
        <f>Inputs!B46</f>
        <v>2018</v>
      </c>
      <c r="C60" s="65">
        <f>Inputs!C46</f>
        <v>2019</v>
      </c>
      <c r="D60" s="65">
        <f>Inputs!D46</f>
        <v>2020</v>
      </c>
      <c r="E60" s="65">
        <f>Inputs!E46</f>
        <v>2021</v>
      </c>
      <c r="F60" s="65">
        <f>Inputs!F46</f>
        <v>2022</v>
      </c>
      <c r="G60" s="65">
        <f>Inputs!G46</f>
        <v>2023</v>
      </c>
      <c r="H60" s="65">
        <f>Inputs!H46</f>
        <v>2024</v>
      </c>
      <c r="I60" s="65">
        <f>Inputs!I46</f>
        <v>2025</v>
      </c>
      <c r="J60" s="65">
        <f>Inputs!J46</f>
        <v>2026</v>
      </c>
      <c r="K60" s="65">
        <f>Inputs!K46</f>
        <v>2027</v>
      </c>
    </row>
    <row r="61" spans="1:11" x14ac:dyDescent="0.25">
      <c r="B61" s="196">
        <f>IF(B6=" ", 0, VLOOKUP($B$6,'Emission Rates - Fuels'!$A$6:$D$13,3,0)*'Fuel Consumption'!B35/10^6)</f>
        <v>0</v>
      </c>
      <c r="C61" s="196">
        <f>IF(B6=" ", 0, VLOOKUP($B$6,'Emission Rates - Fuels'!$A$6:$D$13,3,0)*'Fuel Consumption'!C35/10^6)</f>
        <v>0</v>
      </c>
      <c r="D61" s="196">
        <f>IF(B6=" ", 0, VLOOKUP($B$6,'Emission Rates - Fuels'!$A$6:$D$13,3,0)*'Fuel Consumption'!D35/10^6)</f>
        <v>0</v>
      </c>
      <c r="E61" s="196">
        <f>IF(B6=" ", 0, VLOOKUP($B$6,'Emission Rates - Fuels'!$A$6:$D$13,3,0)*'Fuel Consumption'!E35/10^6)</f>
        <v>0</v>
      </c>
      <c r="F61" s="196">
        <f>IF(B6=" ", 0, VLOOKUP($B$6,'Emission Rates - Fuels'!$A$6:$D$13,3,0)*'Fuel Consumption'!F35/10^6)</f>
        <v>0</v>
      </c>
      <c r="G61" s="196">
        <f>IF(B6=" ", 0, VLOOKUP($B$6,'Emission Rates - Fuels'!$A$6:$D$13,3,0)*'Fuel Consumption'!G35/10^6)</f>
        <v>0</v>
      </c>
      <c r="H61" s="196">
        <f>IF(B6=" ", 0, VLOOKUP($B$6,'Emission Rates - Fuels'!$A$6:$D$13,3,0)*'Fuel Consumption'!H35/10^6)</f>
        <v>0</v>
      </c>
      <c r="I61" s="196">
        <f>IF(B6=" ", 0, VLOOKUP($B$6,'Emission Rates - Fuels'!$A$6:$D$13,3,0)*'Fuel Consumption'!I35/10^6)</f>
        <v>0</v>
      </c>
      <c r="J61" s="196">
        <f>IF(B6=" ", 0, VLOOKUP($B$6,'Emission Rates - Fuels'!$A$6:$D$13,3,0)*'Fuel Consumption'!J35/10^6)</f>
        <v>0</v>
      </c>
      <c r="K61" s="196">
        <f>IF(B6=" ", 0, VLOOKUP($B$6,'Emission Rates - Fuels'!$A$6:$D$13,3,0)*'Fuel Consumption'!K35/10^6)</f>
        <v>0</v>
      </c>
    </row>
    <row r="63" spans="1:11" ht="15.75" x14ac:dyDescent="0.25">
      <c r="A63" s="77" t="s">
        <v>449</v>
      </c>
    </row>
    <row r="65" spans="2:11" x14ac:dyDescent="0.25">
      <c r="B65" s="65">
        <f>Inputs!B46</f>
        <v>2018</v>
      </c>
      <c r="C65" s="65">
        <f>Inputs!C46</f>
        <v>2019</v>
      </c>
      <c r="D65" s="65">
        <f>Inputs!D46</f>
        <v>2020</v>
      </c>
      <c r="E65" s="65">
        <f>Inputs!E46</f>
        <v>2021</v>
      </c>
      <c r="F65" s="65">
        <f>Inputs!F46</f>
        <v>2022</v>
      </c>
      <c r="G65" s="65">
        <f>Inputs!G46</f>
        <v>2023</v>
      </c>
      <c r="H65" s="65">
        <f>Inputs!H46</f>
        <v>2024</v>
      </c>
      <c r="I65" s="65">
        <f>Inputs!I46</f>
        <v>2025</v>
      </c>
      <c r="J65" s="65">
        <f>Inputs!J46</f>
        <v>2026</v>
      </c>
      <c r="K65" s="65">
        <f>Inputs!K46</f>
        <v>2027</v>
      </c>
    </row>
    <row r="66" spans="2:11" x14ac:dyDescent="0.25">
      <c r="B66" s="196">
        <f>'Emission Rates - Fuels'!$C$12*'Fuel Consumption'!B43/10^6</f>
        <v>0</v>
      </c>
      <c r="C66" s="196">
        <f>'Emission Rates - Fuels'!$C$12*'Fuel Consumption'!C43/10^6</f>
        <v>0</v>
      </c>
      <c r="D66" s="196">
        <f>'Emission Rates - Fuels'!$C$12*'Fuel Consumption'!D43/10^6</f>
        <v>0</v>
      </c>
      <c r="E66" s="196">
        <f>'Emission Rates - Fuels'!$C$12*'Fuel Consumption'!E43/10^6</f>
        <v>0</v>
      </c>
      <c r="F66" s="196">
        <f>'Emission Rates - Fuels'!$C$12*'Fuel Consumption'!F43/10^6</f>
        <v>0</v>
      </c>
      <c r="G66" s="196">
        <f>'Emission Rates - Fuels'!$C$12*'Fuel Consumption'!G43/10^6</f>
        <v>0</v>
      </c>
      <c r="H66" s="196">
        <f>'Emission Rates - Fuels'!$C$12*'Fuel Consumption'!H43/10^6</f>
        <v>0</v>
      </c>
      <c r="I66" s="196">
        <f>'Emission Rates - Fuels'!$C$12*'Fuel Consumption'!I43/10^6</f>
        <v>0</v>
      </c>
      <c r="J66" s="196">
        <f>'Emission Rates - Fuels'!$C$12*'Fuel Consumption'!J43/10^6</f>
        <v>0</v>
      </c>
      <c r="K66" s="196">
        <f>'Emission Rates - Fuels'!$C$12*'Fuel Consumption'!K43/10^6</f>
        <v>0</v>
      </c>
    </row>
  </sheetData>
  <mergeCells count="7">
    <mergeCell ref="A44:K44"/>
    <mergeCell ref="A49:K49"/>
    <mergeCell ref="A1:Q1"/>
    <mergeCell ref="A20:K20"/>
    <mergeCell ref="A25:K25"/>
    <mergeCell ref="A30:K30"/>
    <mergeCell ref="A39:K3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8"/>
  <sheetViews>
    <sheetView topLeftCell="A34" workbookViewId="0">
      <selection activeCell="G53" sqref="G53"/>
    </sheetView>
  </sheetViews>
  <sheetFormatPr defaultColWidth="8.85546875" defaultRowHeight="15" x14ac:dyDescent="0.25"/>
  <cols>
    <col min="1" max="1" width="27.85546875" style="24" customWidth="1"/>
    <col min="2" max="7" width="16.28515625" style="24" customWidth="1"/>
    <col min="8" max="8" width="14.85546875" style="24" customWidth="1"/>
    <col min="9" max="9" width="14.140625" style="24" customWidth="1"/>
    <col min="10" max="10" width="34.28515625" style="24" customWidth="1"/>
    <col min="11" max="11" width="12" style="24" bestFit="1" customWidth="1"/>
    <col min="12" max="12" width="7" style="24" bestFit="1" customWidth="1"/>
    <col min="13" max="13" width="11.7109375" style="24" bestFit="1" customWidth="1"/>
    <col min="14" max="14" width="12" style="24" bestFit="1" customWidth="1"/>
    <col min="15" max="15" width="31.28515625" style="24" bestFit="1" customWidth="1"/>
    <col min="16" max="16384" width="8.85546875" style="24"/>
  </cols>
  <sheetData>
    <row r="1" spans="1:9" s="22" customFormat="1" ht="31.5" x14ac:dyDescent="0.25">
      <c r="A1" s="294" t="s">
        <v>288</v>
      </c>
      <c r="B1" s="294"/>
      <c r="C1" s="294"/>
      <c r="D1" s="294"/>
      <c r="E1" s="294"/>
      <c r="F1" s="294"/>
      <c r="G1" s="294"/>
      <c r="H1" s="294"/>
      <c r="I1" s="294"/>
    </row>
    <row r="2" spans="1:9" s="22" customFormat="1" x14ac:dyDescent="0.25"/>
    <row r="3" spans="1:9" s="22" customFormat="1" ht="23.25" x14ac:dyDescent="0.25">
      <c r="A3" s="28" t="s">
        <v>394</v>
      </c>
    </row>
    <row r="4" spans="1:9" s="22" customFormat="1" x14ac:dyDescent="0.25"/>
    <row r="5" spans="1:9" s="22" customFormat="1" ht="15.75" x14ac:dyDescent="0.25">
      <c r="A5" s="156" t="s">
        <v>289</v>
      </c>
    </row>
    <row r="7" spans="1:9" ht="75" x14ac:dyDescent="0.25">
      <c r="A7" s="147" t="s">
        <v>157</v>
      </c>
      <c r="B7" s="148" t="s">
        <v>437</v>
      </c>
      <c r="C7" s="151" t="s">
        <v>428</v>
      </c>
      <c r="D7" s="151" t="s">
        <v>429</v>
      </c>
      <c r="E7" s="153" t="s">
        <v>249</v>
      </c>
      <c r="F7" s="147" t="s">
        <v>150</v>
      </c>
      <c r="G7" s="147" t="s">
        <v>103</v>
      </c>
      <c r="H7" s="147" t="s">
        <v>248</v>
      </c>
      <c r="I7" s="147" t="s">
        <v>108</v>
      </c>
    </row>
    <row r="8" spans="1:9" x14ac:dyDescent="0.25">
      <c r="A8" s="73" t="s">
        <v>161</v>
      </c>
      <c r="B8" s="152">
        <f>H8</f>
        <v>0.46100000000000002</v>
      </c>
      <c r="C8" s="152">
        <f>$H8*(1+C46)</f>
        <v>0.39185000000000003</v>
      </c>
      <c r="D8" s="152">
        <f>$H8*(1+C46)</f>
        <v>0.39185000000000003</v>
      </c>
      <c r="E8" s="152">
        <f>I8</f>
        <v>0.93899999999999995</v>
      </c>
      <c r="F8" s="152">
        <v>0</v>
      </c>
      <c r="G8" s="152">
        <f>$H8*(1+C45)</f>
        <v>0.42412000000000005</v>
      </c>
      <c r="H8" s="152">
        <f>C36</f>
        <v>0.46100000000000002</v>
      </c>
      <c r="I8" s="152">
        <f>C35</f>
        <v>0.93899999999999995</v>
      </c>
    </row>
    <row r="9" spans="1:9" x14ac:dyDescent="0.25">
      <c r="A9" s="73" t="s">
        <v>293</v>
      </c>
      <c r="B9" s="152">
        <f>H9</f>
        <v>1.175</v>
      </c>
      <c r="C9" s="152">
        <f>$H9*(1+C46)</f>
        <v>0.99875000000000003</v>
      </c>
      <c r="D9" s="152">
        <f>$H9*(1+C46)</f>
        <v>0.99875000000000003</v>
      </c>
      <c r="E9" s="152">
        <f>I9</f>
        <v>0.58750000000000002</v>
      </c>
      <c r="F9" s="152">
        <v>0</v>
      </c>
      <c r="G9" s="152">
        <f>$H9*(1+C45)</f>
        <v>1.0810000000000002</v>
      </c>
      <c r="H9" s="152">
        <f>C38</f>
        <v>1.175</v>
      </c>
      <c r="I9" s="152">
        <f>H9*(1+C44)</f>
        <v>0.58750000000000002</v>
      </c>
    </row>
    <row r="10" spans="1:9" x14ac:dyDescent="0.25">
      <c r="A10" s="92" t="s">
        <v>114</v>
      </c>
      <c r="B10" s="152">
        <f>H10</f>
        <v>1.175</v>
      </c>
      <c r="C10" s="152">
        <f>C37</f>
        <v>0.58750000000000002</v>
      </c>
      <c r="D10" s="152">
        <f>C37</f>
        <v>0.58750000000000002</v>
      </c>
      <c r="E10" s="152">
        <f>I10</f>
        <v>0.58750000000000002</v>
      </c>
      <c r="F10" s="152">
        <v>0</v>
      </c>
      <c r="G10" s="152">
        <f>$H10*(1+C46)</f>
        <v>0.99875000000000003</v>
      </c>
      <c r="H10" s="152">
        <f>C38</f>
        <v>1.175</v>
      </c>
      <c r="I10" s="152">
        <f>I9</f>
        <v>0.58750000000000002</v>
      </c>
    </row>
    <row r="12" spans="1:9" ht="15.75" x14ac:dyDescent="0.25">
      <c r="A12" s="156" t="s">
        <v>290</v>
      </c>
      <c r="B12" s="22"/>
      <c r="C12" s="22"/>
      <c r="F12" s="22"/>
      <c r="G12" s="22"/>
      <c r="H12" s="22"/>
      <c r="I12" s="22"/>
    </row>
    <row r="14" spans="1:9" ht="75" x14ac:dyDescent="0.25">
      <c r="A14" s="147" t="s">
        <v>157</v>
      </c>
      <c r="B14" s="151" t="s">
        <v>437</v>
      </c>
      <c r="C14" s="151" t="s">
        <v>428</v>
      </c>
      <c r="D14" s="151" t="s">
        <v>429</v>
      </c>
      <c r="E14" s="153" t="s">
        <v>249</v>
      </c>
      <c r="F14" s="147" t="s">
        <v>150</v>
      </c>
      <c r="G14" s="147" t="s">
        <v>103</v>
      </c>
      <c r="H14" s="147" t="s">
        <v>248</v>
      </c>
      <c r="I14" s="147" t="s">
        <v>108</v>
      </c>
    </row>
    <row r="15" spans="1:9" x14ac:dyDescent="0.25">
      <c r="A15" s="73" t="s">
        <v>161</v>
      </c>
      <c r="B15" s="152">
        <f>H15</f>
        <v>7.5999999999999998E-2</v>
      </c>
      <c r="C15" s="152">
        <f>H15*(1+F46)</f>
        <v>0.15048</v>
      </c>
      <c r="D15" s="152">
        <f>H15*(1+F46)</f>
        <v>0.15048</v>
      </c>
      <c r="E15" s="152">
        <f>I15</f>
        <v>0.16500000000000001</v>
      </c>
      <c r="F15" s="152">
        <v>0</v>
      </c>
      <c r="G15" s="152">
        <f>H15*(1+$F$45)</f>
        <v>0.20520000000000002</v>
      </c>
      <c r="H15" s="152">
        <f>E35</f>
        <v>7.5999999999999998E-2</v>
      </c>
      <c r="I15" s="152">
        <f>E36</f>
        <v>0.16500000000000001</v>
      </c>
    </row>
    <row r="16" spans="1:9" x14ac:dyDescent="0.25">
      <c r="A16" s="73" t="s">
        <v>293</v>
      </c>
      <c r="B16" s="152">
        <f>H16</f>
        <v>4.8000000000000001E-2</v>
      </c>
      <c r="C16" s="152">
        <f>H16*(1+F46)</f>
        <v>9.5039999999999999E-2</v>
      </c>
      <c r="D16" s="152">
        <f>H16*(1+F46)</f>
        <v>9.5039999999999999E-2</v>
      </c>
      <c r="E16" s="152">
        <f>I16</f>
        <v>0.432</v>
      </c>
      <c r="F16" s="152">
        <v>0</v>
      </c>
      <c r="G16" s="152">
        <f>H16*(1+$F$45)</f>
        <v>0.12960000000000002</v>
      </c>
      <c r="H16" s="152">
        <f>E38</f>
        <v>4.8000000000000001E-2</v>
      </c>
      <c r="I16" s="152">
        <f>E38*(1+F44)</f>
        <v>0.432</v>
      </c>
    </row>
    <row r="17" spans="1:9" x14ac:dyDescent="0.25">
      <c r="A17" s="92" t="s">
        <v>114</v>
      </c>
      <c r="B17" s="152">
        <f>H17</f>
        <v>4.8000000000000001E-2</v>
      </c>
      <c r="C17" s="152">
        <f>E37</f>
        <v>5.7666666666666658E-2</v>
      </c>
      <c r="D17" s="152">
        <f>E37</f>
        <v>5.7666666666666658E-2</v>
      </c>
      <c r="E17" s="152">
        <f>I17</f>
        <v>0.432</v>
      </c>
      <c r="F17" s="152">
        <v>0</v>
      </c>
      <c r="G17" s="152">
        <f>H17*(1+$F$45)</f>
        <v>0.12960000000000002</v>
      </c>
      <c r="H17" s="152">
        <f>E38</f>
        <v>4.8000000000000001E-2</v>
      </c>
      <c r="I17" s="152">
        <f>I16</f>
        <v>0.432</v>
      </c>
    </row>
    <row r="19" spans="1:9" ht="15.75" x14ac:dyDescent="0.25">
      <c r="A19" s="156" t="s">
        <v>287</v>
      </c>
      <c r="B19" s="22"/>
      <c r="C19" s="22"/>
      <c r="F19" s="22"/>
      <c r="G19" s="22"/>
      <c r="H19" s="22"/>
      <c r="I19" s="22"/>
    </row>
    <row r="21" spans="1:9" ht="75" x14ac:dyDescent="0.25">
      <c r="A21" s="147" t="s">
        <v>157</v>
      </c>
      <c r="B21" s="151" t="s">
        <v>437</v>
      </c>
      <c r="C21" s="151" t="s">
        <v>428</v>
      </c>
      <c r="D21" s="151" t="s">
        <v>429</v>
      </c>
      <c r="E21" s="153" t="s">
        <v>249</v>
      </c>
      <c r="F21" s="147" t="s">
        <v>150</v>
      </c>
      <c r="G21" s="147" t="s">
        <v>103</v>
      </c>
      <c r="H21" s="147" t="s">
        <v>248</v>
      </c>
      <c r="I21" s="147" t="s">
        <v>108</v>
      </c>
    </row>
    <row r="22" spans="1:9" x14ac:dyDescent="0.25">
      <c r="A22" s="73" t="s">
        <v>161</v>
      </c>
      <c r="B22" s="152">
        <f>H22</f>
        <v>1.0999999999999999E-2</v>
      </c>
      <c r="C22" s="152">
        <f>H22*(1+E46)</f>
        <v>0</v>
      </c>
      <c r="D22" s="152">
        <f>H22*(1+E46)</f>
        <v>0</v>
      </c>
      <c r="E22" s="152">
        <f>I22</f>
        <v>0.01</v>
      </c>
      <c r="F22" s="152">
        <v>0</v>
      </c>
      <c r="G22" s="152">
        <f>C22</f>
        <v>0</v>
      </c>
      <c r="H22" s="152">
        <f>D35</f>
        <v>1.0999999999999999E-2</v>
      </c>
      <c r="I22" s="152">
        <f>D36</f>
        <v>0.01</v>
      </c>
    </row>
    <row r="23" spans="1:9" x14ac:dyDescent="0.25">
      <c r="A23" s="73" t="s">
        <v>293</v>
      </c>
      <c r="B23" s="152">
        <f>H23</f>
        <v>2.1000000000000001E-2</v>
      </c>
      <c r="C23" s="152">
        <f>D37</f>
        <v>1.0000000000000007E-3</v>
      </c>
      <c r="D23" s="152">
        <f>D37</f>
        <v>1.0000000000000007E-3</v>
      </c>
      <c r="E23" s="152">
        <f>I23</f>
        <v>0.01</v>
      </c>
      <c r="F23" s="152">
        <v>0</v>
      </c>
      <c r="G23" s="152">
        <f>C23</f>
        <v>1.0000000000000007E-3</v>
      </c>
      <c r="H23" s="152">
        <f>D38</f>
        <v>2.1000000000000001E-2</v>
      </c>
      <c r="I23" s="152">
        <f>I22</f>
        <v>0.01</v>
      </c>
    </row>
    <row r="24" spans="1:9" x14ac:dyDescent="0.25">
      <c r="A24" s="92" t="s">
        <v>114</v>
      </c>
      <c r="B24" s="152">
        <f>H24</f>
        <v>2.1000000000000001E-2</v>
      </c>
      <c r="C24" s="152">
        <f>D37</f>
        <v>1.0000000000000007E-3</v>
      </c>
      <c r="D24" s="152">
        <f>D37</f>
        <v>1.0000000000000007E-3</v>
      </c>
      <c r="E24" s="152">
        <f>I24</f>
        <v>0.01</v>
      </c>
      <c r="F24" s="152">
        <v>0</v>
      </c>
      <c r="G24" s="152">
        <f>C24</f>
        <v>1.0000000000000007E-3</v>
      </c>
      <c r="H24" s="152">
        <f>D38</f>
        <v>2.1000000000000001E-2</v>
      </c>
      <c r="I24" s="152">
        <f>I23</f>
        <v>0.01</v>
      </c>
    </row>
    <row r="27" spans="1:9" ht="23.25" x14ac:dyDescent="0.25">
      <c r="A27" s="28" t="s">
        <v>234</v>
      </c>
    </row>
    <row r="29" spans="1:9" x14ac:dyDescent="0.25">
      <c r="A29" s="24" t="s">
        <v>355</v>
      </c>
    </row>
    <row r="30" spans="1:9" x14ac:dyDescent="0.25">
      <c r="A30" s="24" t="s">
        <v>357</v>
      </c>
    </row>
    <row r="32" spans="1:9" ht="15.75" x14ac:dyDescent="0.25">
      <c r="A32" s="156" t="s">
        <v>358</v>
      </c>
    </row>
    <row r="34" spans="1:6" x14ac:dyDescent="0.25">
      <c r="A34" s="147" t="s">
        <v>376</v>
      </c>
      <c r="B34" s="147" t="s">
        <v>359</v>
      </c>
      <c r="C34" s="147" t="s">
        <v>360</v>
      </c>
      <c r="D34" s="147" t="s">
        <v>361</v>
      </c>
      <c r="E34" s="147" t="s">
        <v>362</v>
      </c>
      <c r="F34" s="147"/>
    </row>
    <row r="35" spans="1:6" x14ac:dyDescent="0.25">
      <c r="A35" s="92" t="s">
        <v>377</v>
      </c>
      <c r="B35" s="152">
        <v>0.36199999999999999</v>
      </c>
      <c r="C35" s="152">
        <v>0.93899999999999995</v>
      </c>
      <c r="D35" s="152">
        <v>1.0999999999999999E-2</v>
      </c>
      <c r="E35" s="152">
        <v>7.5999999999999998E-2</v>
      </c>
      <c r="F35" s="92"/>
    </row>
    <row r="36" spans="1:6" x14ac:dyDescent="0.25">
      <c r="A36" s="92" t="s">
        <v>378</v>
      </c>
      <c r="B36" s="152">
        <v>7.4850000000000003</v>
      </c>
      <c r="C36" s="152">
        <v>0.46100000000000002</v>
      </c>
      <c r="D36" s="152">
        <v>0.01</v>
      </c>
      <c r="E36" s="152">
        <v>0.16500000000000001</v>
      </c>
      <c r="F36" s="92"/>
    </row>
    <row r="37" spans="1:6" ht="45" x14ac:dyDescent="0.25">
      <c r="A37" s="92" t="s">
        <v>379</v>
      </c>
      <c r="B37" s="152">
        <v>3.303588235294117</v>
      </c>
      <c r="C37" s="152">
        <v>0.58750000000000002</v>
      </c>
      <c r="D37" s="152">
        <v>1.0000000000000007E-3</v>
      </c>
      <c r="E37" s="152">
        <v>5.7666666666666658E-2</v>
      </c>
      <c r="F37" s="157" t="s">
        <v>363</v>
      </c>
    </row>
    <row r="38" spans="1:6" x14ac:dyDescent="0.25">
      <c r="A38" s="92" t="s">
        <v>380</v>
      </c>
      <c r="B38" s="152">
        <v>0.51900000000000002</v>
      </c>
      <c r="C38" s="152">
        <v>1.175</v>
      </c>
      <c r="D38" s="152">
        <v>2.1000000000000001E-2</v>
      </c>
      <c r="E38" s="152">
        <v>4.8000000000000001E-2</v>
      </c>
      <c r="F38" s="92"/>
    </row>
    <row r="40" spans="1:6" ht="15.75" x14ac:dyDescent="0.25">
      <c r="A40" s="156" t="s">
        <v>364</v>
      </c>
    </row>
    <row r="42" spans="1:6" x14ac:dyDescent="0.25">
      <c r="A42" s="147" t="s">
        <v>111</v>
      </c>
      <c r="B42" s="147" t="s">
        <v>365</v>
      </c>
      <c r="C42" s="147" t="s">
        <v>360</v>
      </c>
      <c r="D42" s="147" t="s">
        <v>359</v>
      </c>
      <c r="E42" s="147" t="s">
        <v>366</v>
      </c>
      <c r="F42" s="147" t="s">
        <v>367</v>
      </c>
    </row>
    <row r="43" spans="1:6" x14ac:dyDescent="0.25">
      <c r="A43" s="92" t="s">
        <v>109</v>
      </c>
      <c r="B43" s="149"/>
      <c r="C43" s="149" t="s">
        <v>368</v>
      </c>
      <c r="D43" s="149" t="s">
        <v>368</v>
      </c>
      <c r="E43" s="149" t="s">
        <v>368</v>
      </c>
      <c r="F43" s="149" t="s">
        <v>368</v>
      </c>
    </row>
    <row r="44" spans="1:6" x14ac:dyDescent="0.25">
      <c r="A44" s="92" t="s">
        <v>108</v>
      </c>
      <c r="B44" s="149"/>
      <c r="C44" s="158">
        <v>-0.5</v>
      </c>
      <c r="D44" s="158">
        <v>10</v>
      </c>
      <c r="E44" s="158">
        <v>-1</v>
      </c>
      <c r="F44" s="158">
        <v>8</v>
      </c>
    </row>
    <row r="45" spans="1:6" x14ac:dyDescent="0.25">
      <c r="A45" s="92" t="s">
        <v>103</v>
      </c>
      <c r="B45" s="149"/>
      <c r="C45" s="158">
        <v>-0.08</v>
      </c>
      <c r="D45" s="158">
        <v>9</v>
      </c>
      <c r="E45" s="158">
        <v>-1</v>
      </c>
      <c r="F45" s="158">
        <v>1.7</v>
      </c>
    </row>
    <row r="46" spans="1:6" x14ac:dyDescent="0.25">
      <c r="A46" s="92" t="s">
        <v>369</v>
      </c>
      <c r="B46" s="149"/>
      <c r="C46" s="158">
        <v>-0.15</v>
      </c>
      <c r="D46" s="158">
        <v>25</v>
      </c>
      <c r="E46" s="158">
        <v>-1</v>
      </c>
      <c r="F46" s="158">
        <v>0.98</v>
      </c>
    </row>
    <row r="47" spans="1:6" x14ac:dyDescent="0.25">
      <c r="A47" s="92" t="s">
        <v>150</v>
      </c>
      <c r="B47" s="149" t="s">
        <v>370</v>
      </c>
      <c r="C47" s="158">
        <v>-1</v>
      </c>
      <c r="D47" s="158">
        <v>-1</v>
      </c>
      <c r="E47" s="158">
        <v>-1</v>
      </c>
      <c r="F47" s="158">
        <v>-1</v>
      </c>
    </row>
    <row r="49" spans="1:5" ht="15.75" x14ac:dyDescent="0.25">
      <c r="A49" s="156" t="s">
        <v>371</v>
      </c>
      <c r="B49" s="80"/>
      <c r="C49" s="80"/>
      <c r="D49" s="80"/>
      <c r="E49" s="80"/>
    </row>
    <row r="50" spans="1:5" s="22" customFormat="1" x14ac:dyDescent="0.25"/>
    <row r="51" spans="1:5" s="22" customFormat="1" x14ac:dyDescent="0.25">
      <c r="A51" s="147" t="s">
        <v>111</v>
      </c>
      <c r="B51" s="147" t="s">
        <v>20</v>
      </c>
      <c r="C51" s="147"/>
      <c r="D51" s="147" t="s">
        <v>381</v>
      </c>
      <c r="E51" s="147" t="s">
        <v>382</v>
      </c>
    </row>
    <row r="52" spans="1:5" x14ac:dyDescent="0.25">
      <c r="A52" s="149" t="s">
        <v>356</v>
      </c>
      <c r="B52" s="149" t="s">
        <v>114</v>
      </c>
      <c r="C52" s="159">
        <v>1000</v>
      </c>
      <c r="D52" s="149" t="s">
        <v>360</v>
      </c>
      <c r="E52" s="149">
        <v>0.5</v>
      </c>
    </row>
    <row r="53" spans="1:5" x14ac:dyDescent="0.25">
      <c r="A53" s="149" t="s">
        <v>356</v>
      </c>
      <c r="B53" s="149" t="s">
        <v>114</v>
      </c>
      <c r="C53" s="159">
        <v>1000</v>
      </c>
      <c r="D53" s="149" t="s">
        <v>372</v>
      </c>
      <c r="E53" s="149">
        <v>1</v>
      </c>
    </row>
    <row r="54" spans="1:5" x14ac:dyDescent="0.25">
      <c r="A54" s="149" t="s">
        <v>356</v>
      </c>
      <c r="B54" s="149" t="s">
        <v>114</v>
      </c>
      <c r="C54" s="159">
        <v>1000</v>
      </c>
      <c r="D54" s="149" t="s">
        <v>373</v>
      </c>
      <c r="E54" s="149">
        <v>1</v>
      </c>
    </row>
    <row r="55" spans="1:5" x14ac:dyDescent="0.25">
      <c r="A55" s="149" t="s">
        <v>356</v>
      </c>
      <c r="B55" s="149" t="s">
        <v>114</v>
      </c>
      <c r="C55" s="159">
        <v>1000</v>
      </c>
      <c r="D55" s="149" t="s">
        <v>361</v>
      </c>
      <c r="E55" s="149">
        <v>1</v>
      </c>
    </row>
    <row r="56" spans="1:5" x14ac:dyDescent="0.25">
      <c r="A56" s="149" t="s">
        <v>356</v>
      </c>
      <c r="B56" s="149" t="s">
        <v>114</v>
      </c>
      <c r="C56" s="159">
        <v>1000</v>
      </c>
      <c r="D56" s="149" t="s">
        <v>374</v>
      </c>
      <c r="E56" s="149">
        <v>1</v>
      </c>
    </row>
    <row r="57" spans="1:5" x14ac:dyDescent="0.25">
      <c r="A57" s="149" t="s">
        <v>356</v>
      </c>
      <c r="B57" s="149" t="s">
        <v>114</v>
      </c>
      <c r="C57" s="159">
        <v>1000</v>
      </c>
      <c r="D57" s="149" t="s">
        <v>362</v>
      </c>
      <c r="E57" s="149">
        <v>1</v>
      </c>
    </row>
    <row r="58" spans="1:5" x14ac:dyDescent="0.25">
      <c r="A58" s="149" t="s">
        <v>356</v>
      </c>
      <c r="B58" s="149" t="s">
        <v>114</v>
      </c>
      <c r="C58" s="159">
        <v>1000</v>
      </c>
      <c r="D58" s="149" t="s">
        <v>375</v>
      </c>
      <c r="E58" s="149">
        <v>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1"/>
  <sheetViews>
    <sheetView workbookViewId="0">
      <selection activeCell="E22" sqref="E22"/>
    </sheetView>
  </sheetViews>
  <sheetFormatPr defaultRowHeight="15" x14ac:dyDescent="0.25"/>
  <cols>
    <col min="1" max="1" width="46.140625" customWidth="1"/>
    <col min="2" max="6" width="17.7109375" customWidth="1"/>
    <col min="9" max="9" width="27.85546875" customWidth="1"/>
    <col min="10" max="10" width="12.5703125" customWidth="1"/>
  </cols>
  <sheetData>
    <row r="1" spans="1:14" ht="31.5" x14ac:dyDescent="0.5">
      <c r="A1" s="295" t="s">
        <v>291</v>
      </c>
      <c r="B1" s="295"/>
      <c r="C1" s="295"/>
      <c r="D1" s="295"/>
      <c r="E1" s="295"/>
      <c r="F1" s="295"/>
    </row>
    <row r="3" spans="1:14" ht="23.25" x14ac:dyDescent="0.25">
      <c r="A3" s="28" t="s">
        <v>394</v>
      </c>
    </row>
    <row r="4" spans="1:14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65" t="s">
        <v>111</v>
      </c>
      <c r="B5" s="65" t="s">
        <v>146</v>
      </c>
      <c r="C5" s="65" t="s">
        <v>147</v>
      </c>
      <c r="D5" s="65" t="s">
        <v>383</v>
      </c>
      <c r="E5" s="17"/>
      <c r="F5" s="17"/>
      <c r="G5" s="17"/>
      <c r="M5" s="17"/>
      <c r="N5" s="17"/>
    </row>
    <row r="6" spans="1:14" x14ac:dyDescent="0.25">
      <c r="A6" s="18" t="s">
        <v>437</v>
      </c>
      <c r="B6" s="155">
        <f>D21+E21</f>
        <v>53.0955382977249</v>
      </c>
      <c r="C6" s="155">
        <f>B6*Constants!$B$5/10^6*Constants!B15</f>
        <v>7168.1603107773572</v>
      </c>
      <c r="D6" s="154" t="s">
        <v>148</v>
      </c>
      <c r="E6" s="17"/>
      <c r="G6" s="17"/>
      <c r="M6" s="17"/>
      <c r="N6" s="17"/>
    </row>
    <row r="7" spans="1:14" x14ac:dyDescent="0.25">
      <c r="A7" s="18" t="s">
        <v>428</v>
      </c>
      <c r="B7" s="155">
        <f>D22</f>
        <v>76.63038675194872</v>
      </c>
      <c r="C7" s="155">
        <f>B7*Constants!$B$5/10^6*Constants!B22</f>
        <v>9737.3826762078916</v>
      </c>
      <c r="D7" s="154" t="s">
        <v>149</v>
      </c>
      <c r="E7" s="17"/>
      <c r="G7" s="17"/>
      <c r="M7" s="17"/>
      <c r="N7" s="17"/>
    </row>
    <row r="8" spans="1:14" x14ac:dyDescent="0.25">
      <c r="A8" s="18" t="s">
        <v>429</v>
      </c>
      <c r="B8" s="155">
        <f>D23</f>
        <v>14.160405101098902</v>
      </c>
      <c r="C8" s="155">
        <f>B8*Constants!$B$5/10^6*Constants!B22</f>
        <v>1799.3551796346621</v>
      </c>
      <c r="D8" s="154" t="s">
        <v>149</v>
      </c>
      <c r="E8" s="17"/>
      <c r="G8" s="17"/>
      <c r="M8" s="17"/>
      <c r="N8" s="17"/>
    </row>
    <row r="9" spans="1:14" x14ac:dyDescent="0.25">
      <c r="A9" s="18" t="s">
        <v>249</v>
      </c>
      <c r="B9" s="155">
        <f>D24</f>
        <v>66.553890818244838</v>
      </c>
      <c r="C9" s="155">
        <f>B9*Constants!$B$5/10^6*Constants!B18</f>
        <v>6313.7487221843603</v>
      </c>
      <c r="D9" s="154" t="s">
        <v>148</v>
      </c>
      <c r="E9" s="17"/>
      <c r="G9" s="17"/>
      <c r="M9" s="17"/>
      <c r="N9" s="17"/>
    </row>
    <row r="10" spans="1:14" x14ac:dyDescent="0.25">
      <c r="A10" s="18" t="s">
        <v>150</v>
      </c>
      <c r="B10" s="155">
        <f>D25</f>
        <v>152.5697373521518</v>
      </c>
      <c r="C10" s="155">
        <f>B10*Constants!$B$5/10^6*Constants!B22</f>
        <v>19386.955754450129</v>
      </c>
      <c r="D10" s="154" t="s">
        <v>149</v>
      </c>
      <c r="E10" s="17"/>
      <c r="G10" s="17"/>
      <c r="M10" s="17"/>
      <c r="N10" s="17"/>
    </row>
    <row r="11" spans="1:14" x14ac:dyDescent="0.25">
      <c r="A11" s="18" t="s">
        <v>103</v>
      </c>
      <c r="B11" s="155">
        <f>D26</f>
        <v>85.421275363636553</v>
      </c>
      <c r="C11" s="155">
        <f>B11*Constants!$B$5/10^6*Constants!B20</f>
        <v>8238.2546107823873</v>
      </c>
      <c r="D11" s="154" t="s">
        <v>148</v>
      </c>
      <c r="E11" s="17"/>
      <c r="G11" s="17"/>
      <c r="M11" s="17"/>
      <c r="N11" s="17"/>
    </row>
    <row r="12" spans="1:14" x14ac:dyDescent="0.25">
      <c r="A12" s="18" t="s">
        <v>248</v>
      </c>
      <c r="B12" s="155">
        <f>D28</f>
        <v>92.995245436930873</v>
      </c>
      <c r="C12" s="155">
        <f>B12*Constants!$B$5/10^6*Constants!B21</f>
        <v>13587.970962500925</v>
      </c>
      <c r="D12" s="154" t="s">
        <v>148</v>
      </c>
      <c r="E12" s="17"/>
      <c r="G12" s="17"/>
      <c r="M12" s="17"/>
      <c r="N12" s="17"/>
    </row>
    <row r="13" spans="1:14" x14ac:dyDescent="0.25">
      <c r="A13" s="18" t="s">
        <v>108</v>
      </c>
      <c r="B13" s="155">
        <f>D27</f>
        <v>94.311846873201077</v>
      </c>
      <c r="C13" s="155">
        <f>B13*Constants!$B$5/10^6*Constants!B22</f>
        <v>11984.156453196105</v>
      </c>
      <c r="D13" s="154" t="s">
        <v>148</v>
      </c>
      <c r="E13" s="17"/>
      <c r="G13" s="17"/>
      <c r="M13" s="17"/>
      <c r="N13" s="17"/>
    </row>
    <row r="15" spans="1:14" x14ac:dyDescent="0.25">
      <c r="B15" s="17"/>
      <c r="C15" s="17"/>
      <c r="D15" s="17"/>
      <c r="E15" s="17"/>
      <c r="F15" s="17"/>
      <c r="G15" s="17"/>
      <c r="H15" s="17"/>
      <c r="M15" s="17"/>
      <c r="N15" s="17"/>
    </row>
    <row r="16" spans="1:14" ht="23.25" x14ac:dyDescent="0.25">
      <c r="A16" s="28" t="s">
        <v>234</v>
      </c>
      <c r="B16" s="17"/>
      <c r="C16" s="17"/>
      <c r="D16" s="17"/>
      <c r="E16" s="17"/>
      <c r="F16" s="17"/>
      <c r="G16" s="17"/>
      <c r="H16" s="17"/>
      <c r="M16" s="17"/>
      <c r="N16" s="17"/>
    </row>
    <row r="17" spans="1:14" x14ac:dyDescent="0.25">
      <c r="A17" s="17"/>
      <c r="B17" s="17"/>
      <c r="C17" s="17"/>
      <c r="D17" s="17"/>
      <c r="E17" s="17"/>
      <c r="F17" s="17"/>
      <c r="G17" s="17"/>
      <c r="H17" s="17"/>
      <c r="M17" s="17"/>
      <c r="N17" s="17"/>
    </row>
    <row r="18" spans="1:14" x14ac:dyDescent="0.25">
      <c r="A18" s="17" t="s">
        <v>388</v>
      </c>
      <c r="B18" s="17"/>
      <c r="C18" s="17"/>
      <c r="D18" s="17"/>
      <c r="E18" s="17"/>
      <c r="F18" s="17"/>
      <c r="G18" s="17"/>
      <c r="H18" s="17"/>
      <c r="M18" s="17"/>
      <c r="N18" s="17"/>
    </row>
    <row r="19" spans="1:14" x14ac:dyDescent="0.25">
      <c r="A19" s="17"/>
      <c r="B19" s="17"/>
      <c r="C19" s="17"/>
      <c r="D19" s="17"/>
      <c r="E19" s="17"/>
      <c r="F19" s="17"/>
      <c r="G19" s="17"/>
      <c r="H19" s="17"/>
      <c r="I19" s="17"/>
      <c r="M19" s="17"/>
      <c r="N19" s="17"/>
    </row>
    <row r="20" spans="1:14" x14ac:dyDescent="0.25">
      <c r="A20" s="65" t="s">
        <v>111</v>
      </c>
      <c r="B20" s="65" t="s">
        <v>389</v>
      </c>
      <c r="C20" s="65" t="s">
        <v>390</v>
      </c>
      <c r="D20" s="65" t="s">
        <v>391</v>
      </c>
      <c r="E20" s="65" t="s">
        <v>392</v>
      </c>
      <c r="F20" s="65" t="s">
        <v>395</v>
      </c>
      <c r="G20" s="17"/>
      <c r="H20" s="17"/>
      <c r="I20" s="17"/>
      <c r="M20" s="17"/>
      <c r="N20" s="17"/>
    </row>
    <row r="21" spans="1:14" x14ac:dyDescent="0.25">
      <c r="A21" s="18" t="s">
        <v>437</v>
      </c>
      <c r="B21" s="160">
        <v>-52.580580397272634</v>
      </c>
      <c r="C21" s="160">
        <v>76.576118694997533</v>
      </c>
      <c r="D21" s="160">
        <v>23.995538297724899</v>
      </c>
      <c r="E21" s="154">
        <v>29.1</v>
      </c>
      <c r="F21" s="69" t="s">
        <v>393</v>
      </c>
      <c r="G21" s="17"/>
      <c r="H21" s="17"/>
      <c r="I21" s="17"/>
      <c r="M21" s="17"/>
      <c r="N21" s="17"/>
    </row>
    <row r="22" spans="1:14" x14ac:dyDescent="0.25">
      <c r="A22" s="18" t="s">
        <v>428</v>
      </c>
      <c r="B22" s="160">
        <v>19.430038600550688</v>
      </c>
      <c r="C22" s="160">
        <v>57.200348151398032</v>
      </c>
      <c r="D22" s="160">
        <v>76.63038675194872</v>
      </c>
      <c r="E22" s="154"/>
      <c r="F22" s="69"/>
      <c r="G22" s="17"/>
      <c r="H22" s="17"/>
      <c r="I22" s="17"/>
      <c r="M22" s="17"/>
      <c r="N22" s="17"/>
    </row>
    <row r="23" spans="1:14" x14ac:dyDescent="0.25">
      <c r="A23" s="18" t="s">
        <v>429</v>
      </c>
      <c r="B23" s="160">
        <v>-43.039943050299129</v>
      </c>
      <c r="C23" s="160">
        <v>57.200348151398032</v>
      </c>
      <c r="D23" s="160">
        <v>14.160405101098902</v>
      </c>
      <c r="E23" s="154"/>
      <c r="F23" s="69"/>
      <c r="G23" s="17"/>
      <c r="H23" s="17"/>
      <c r="I23" s="17"/>
      <c r="M23" s="17"/>
      <c r="N23" s="17"/>
    </row>
    <row r="24" spans="1:14" x14ac:dyDescent="0.25">
      <c r="A24" s="18" t="s">
        <v>249</v>
      </c>
      <c r="B24" s="160">
        <v>-5.3475224482975978</v>
      </c>
      <c r="C24" s="160">
        <v>71.901413266542434</v>
      </c>
      <c r="D24" s="160">
        <v>66.553890818244838</v>
      </c>
      <c r="E24" s="154"/>
      <c r="F24" s="69"/>
      <c r="G24" s="17"/>
      <c r="H24" s="17"/>
      <c r="I24" s="17"/>
      <c r="M24" s="17"/>
      <c r="N24" s="17"/>
    </row>
    <row r="25" spans="1:14" x14ac:dyDescent="0.25">
      <c r="A25" s="18" t="s">
        <v>150</v>
      </c>
      <c r="B25" s="160">
        <v>152.5697373521518</v>
      </c>
      <c r="C25" s="160">
        <v>0</v>
      </c>
      <c r="D25" s="160">
        <v>152.5697373521518</v>
      </c>
      <c r="E25" s="154"/>
      <c r="F25" s="69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A26" s="18" t="s">
        <v>103</v>
      </c>
      <c r="B26" s="160">
        <v>20.445933606261814</v>
      </c>
      <c r="C26" s="160">
        <v>64.975341757374736</v>
      </c>
      <c r="D26" s="160">
        <v>85.421275363636553</v>
      </c>
      <c r="E26" s="154"/>
      <c r="F26" s="69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18" t="s">
        <v>248</v>
      </c>
      <c r="B27" s="160">
        <v>18.608032174532312</v>
      </c>
      <c r="C27" s="160">
        <v>75.703814698668765</v>
      </c>
      <c r="D27" s="160">
        <v>94.311846873201077</v>
      </c>
      <c r="E27" s="154"/>
      <c r="F27" s="69"/>
      <c r="G27" s="17"/>
      <c r="H27" s="17"/>
      <c r="I27" s="17"/>
      <c r="M27" s="17"/>
      <c r="N27" s="17"/>
    </row>
    <row r="28" spans="1:14" x14ac:dyDescent="0.25">
      <c r="A28" s="18" t="s">
        <v>108</v>
      </c>
      <c r="B28" s="160">
        <v>19.825130564068164</v>
      </c>
      <c r="C28" s="160">
        <v>73.170114872862712</v>
      </c>
      <c r="D28" s="160">
        <v>92.995245436930873</v>
      </c>
      <c r="E28" s="154"/>
      <c r="F28" s="69"/>
      <c r="G28" s="17"/>
      <c r="H28" s="17"/>
      <c r="I28" s="17"/>
      <c r="M28" s="17"/>
      <c r="N28" s="17"/>
    </row>
    <row r="29" spans="1:14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"/>
  <sheetViews>
    <sheetView workbookViewId="0">
      <selection activeCell="B14" sqref="B14"/>
    </sheetView>
  </sheetViews>
  <sheetFormatPr defaultRowHeight="15" x14ac:dyDescent="0.25"/>
  <cols>
    <col min="1" max="8" width="17.5703125" customWidth="1"/>
  </cols>
  <sheetData>
    <row r="1" spans="1:8" ht="31.5" x14ac:dyDescent="0.5">
      <c r="A1" s="296" t="s">
        <v>30</v>
      </c>
      <c r="B1" s="296"/>
      <c r="C1" s="296"/>
      <c r="D1" s="296"/>
      <c r="E1" s="296"/>
      <c r="F1" s="296"/>
      <c r="G1" s="296"/>
      <c r="H1" s="296"/>
    </row>
    <row r="3" spans="1:8" x14ac:dyDescent="0.25">
      <c r="A3" s="298" t="s">
        <v>523</v>
      </c>
    </row>
    <row r="4" spans="1:8" x14ac:dyDescent="0.25">
      <c r="A4" s="8" t="s">
        <v>524</v>
      </c>
    </row>
  </sheetData>
  <mergeCells count="1">
    <mergeCell ref="A1:H1"/>
  </mergeCells>
  <hyperlinks>
    <hyperlink ref="A4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workbookViewId="0">
      <selection activeCell="B2" sqref="B2"/>
    </sheetView>
  </sheetViews>
  <sheetFormatPr defaultRowHeight="15" x14ac:dyDescent="0.25"/>
  <cols>
    <col min="1" max="1" width="44" customWidth="1"/>
    <col min="2" max="2" width="48.28515625" customWidth="1"/>
    <col min="3" max="3" width="64.42578125" customWidth="1"/>
    <col min="4" max="4" width="27.7109375" customWidth="1"/>
  </cols>
  <sheetData>
    <row r="1" spans="1:33" ht="31.5" x14ac:dyDescent="0.5">
      <c r="A1" s="95" t="s">
        <v>296</v>
      </c>
      <c r="B1" s="220" t="s">
        <v>461</v>
      </c>
      <c r="C1" s="95"/>
      <c r="D1" s="95"/>
    </row>
    <row r="4" spans="1:33" ht="15.75" x14ac:dyDescent="0.25">
      <c r="A4" s="1" t="s">
        <v>0</v>
      </c>
      <c r="B4" s="1" t="s">
        <v>1</v>
      </c>
      <c r="C4" s="2" t="s">
        <v>2</v>
      </c>
      <c r="D4" s="2" t="s">
        <v>3</v>
      </c>
    </row>
    <row r="6" spans="1:33" s="5" customFormat="1" ht="15.75" x14ac:dyDescent="0.25">
      <c r="A6" s="3" t="s">
        <v>45</v>
      </c>
      <c r="B6" s="4"/>
      <c r="C6" s="4"/>
      <c r="D6" s="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A7" t="s">
        <v>36</v>
      </c>
      <c r="C7" s="10" t="s">
        <v>44</v>
      </c>
    </row>
    <row r="21" spans="1:4" ht="15.75" x14ac:dyDescent="0.25">
      <c r="A21" s="3" t="s">
        <v>4</v>
      </c>
      <c r="B21" s="4"/>
      <c r="C21" s="4"/>
      <c r="D21" s="4"/>
    </row>
    <row r="23" spans="1:4" x14ac:dyDescent="0.25">
      <c r="A23" t="s">
        <v>22</v>
      </c>
    </row>
    <row r="26" spans="1:4" x14ac:dyDescent="0.25">
      <c r="A26" s="10" t="s">
        <v>42</v>
      </c>
    </row>
    <row r="35" spans="1:4" ht="15.75" x14ac:dyDescent="0.25">
      <c r="A35" s="3" t="s">
        <v>16</v>
      </c>
      <c r="B35" s="4" t="s">
        <v>17</v>
      </c>
      <c r="C35" s="4" t="s">
        <v>18</v>
      </c>
      <c r="D35" s="4"/>
    </row>
    <row r="37" spans="1:4" x14ac:dyDescent="0.25">
      <c r="A37" s="10" t="s">
        <v>14</v>
      </c>
    </row>
    <row r="40" spans="1:4" x14ac:dyDescent="0.25">
      <c r="A40" s="10" t="s">
        <v>14</v>
      </c>
    </row>
    <row r="42" spans="1:4" x14ac:dyDescent="0.25">
      <c r="A42" s="10" t="s">
        <v>15</v>
      </c>
    </row>
    <row r="45" spans="1:4" x14ac:dyDescent="0.25">
      <c r="A45" t="s">
        <v>46</v>
      </c>
    </row>
    <row r="52" spans="1:1" x14ac:dyDescent="0.25">
      <c r="A52" s="6" t="s">
        <v>6</v>
      </c>
    </row>
    <row r="53" spans="1:1" x14ac:dyDescent="0.25">
      <c r="A53" s="7" t="s">
        <v>7</v>
      </c>
    </row>
    <row r="54" spans="1:1" x14ac:dyDescent="0.25">
      <c r="A54" s="6" t="s">
        <v>8</v>
      </c>
    </row>
    <row r="55" spans="1:1" x14ac:dyDescent="0.25">
      <c r="A55" s="7" t="s">
        <v>9</v>
      </c>
    </row>
    <row r="56" spans="1:1" ht="17.25" x14ac:dyDescent="0.25">
      <c r="A56" s="6" t="s">
        <v>10</v>
      </c>
    </row>
    <row r="57" spans="1:1" x14ac:dyDescent="0.25">
      <c r="A57" s="6" t="s">
        <v>11</v>
      </c>
    </row>
    <row r="60" spans="1:1" x14ac:dyDescent="0.25">
      <c r="A60" s="8" t="s">
        <v>12</v>
      </c>
    </row>
    <row r="61" spans="1:1" x14ac:dyDescent="0.25">
      <c r="A61" s="9" t="s">
        <v>13</v>
      </c>
    </row>
    <row r="63" spans="1:1" x14ac:dyDescent="0.25">
      <c r="A63" s="16" t="s">
        <v>96</v>
      </c>
    </row>
    <row r="64" spans="1:1" x14ac:dyDescent="0.25">
      <c r="A64" s="16"/>
    </row>
    <row r="65" spans="1:1" x14ac:dyDescent="0.25">
      <c r="A65" s="16" t="s">
        <v>101</v>
      </c>
    </row>
    <row r="66" spans="1:1" x14ac:dyDescent="0.25">
      <c r="A66" s="16"/>
    </row>
    <row r="67" spans="1:1" x14ac:dyDescent="0.25">
      <c r="A67" s="16" t="s">
        <v>97</v>
      </c>
    </row>
    <row r="68" spans="1:1" x14ac:dyDescent="0.25">
      <c r="A68" s="16"/>
    </row>
    <row r="69" spans="1:1" x14ac:dyDescent="0.25">
      <c r="A69" s="16" t="s">
        <v>98</v>
      </c>
    </row>
    <row r="70" spans="1:1" x14ac:dyDescent="0.25">
      <c r="A70" s="16"/>
    </row>
    <row r="71" spans="1:1" x14ac:dyDescent="0.25">
      <c r="A71" s="16" t="s">
        <v>99</v>
      </c>
    </row>
    <row r="72" spans="1:1" x14ac:dyDescent="0.25">
      <c r="A72" s="16"/>
    </row>
    <row r="73" spans="1:1" x14ac:dyDescent="0.25">
      <c r="A73" s="16" t="s">
        <v>100</v>
      </c>
    </row>
  </sheetData>
  <hyperlinks>
    <hyperlink ref="A60" location="_ftnref1" display="_ftnref1"/>
    <hyperlink ref="A37" r:id="rId1"/>
    <hyperlink ref="A40" r:id="rId2"/>
    <hyperlink ref="A42" r:id="rId3"/>
    <hyperlink ref="A26" r:id="rId4"/>
    <hyperlink ref="C7" r:id="rId5"/>
  </hyperlinks>
  <pageMargins left="0.7" right="0.7" top="0.75" bottom="0.75" header="0.3" footer="0.3"/>
  <pageSetup orientation="portrait" r:id="rId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showGridLines="0" workbookViewId="0">
      <selection activeCell="S1" sqref="S1"/>
    </sheetView>
  </sheetViews>
  <sheetFormatPr defaultRowHeight="15" x14ac:dyDescent="0.25"/>
  <cols>
    <col min="1" max="1" width="12.28515625" customWidth="1"/>
    <col min="19" max="19" width="15.7109375" customWidth="1"/>
  </cols>
  <sheetData>
    <row r="1" spans="1:19" s="22" customFormat="1" ht="36" x14ac:dyDescent="0.25">
      <c r="A1" s="249" t="s">
        <v>297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66" t="s">
        <v>455</v>
      </c>
    </row>
    <row r="2" spans="1:19" s="22" customFormat="1" ht="15.75" x14ac:dyDescent="0.25">
      <c r="A2" s="250" t="s">
        <v>298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19" s="22" customFormat="1" x14ac:dyDescent="0.25"/>
  </sheetData>
  <mergeCells count="2">
    <mergeCell ref="A1:R1"/>
    <mergeCell ref="A2:R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6"/>
  <sheetViews>
    <sheetView showGridLines="0" topLeftCell="A55" zoomScaleNormal="100" workbookViewId="0">
      <selection activeCell="A85" sqref="A85:A86"/>
    </sheetView>
  </sheetViews>
  <sheetFormatPr defaultColWidth="8.85546875" defaultRowHeight="15" x14ac:dyDescent="0.25"/>
  <cols>
    <col min="1" max="1" width="21.42578125" style="22" customWidth="1"/>
    <col min="2" max="9" width="15.5703125" style="22" customWidth="1"/>
    <col min="10" max="11" width="17.28515625" style="22" customWidth="1"/>
    <col min="12" max="13" width="15.5703125" style="22" customWidth="1"/>
    <col min="14" max="14" width="11" style="22" bestFit="1" customWidth="1"/>
    <col min="15" max="16384" width="8.85546875" style="22"/>
  </cols>
  <sheetData>
    <row r="1" spans="1:12" ht="36" x14ac:dyDescent="0.25">
      <c r="A1" s="249" t="s">
        <v>297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36" x14ac:dyDescent="0.25">
      <c r="A2" s="249" t="s">
        <v>307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x14ac:dyDescent="0.25">
      <c r="L3" s="166" t="s">
        <v>521</v>
      </c>
    </row>
    <row r="5" spans="1:12" ht="23.25" x14ac:dyDescent="0.25">
      <c r="A5" s="97" t="s">
        <v>317</v>
      </c>
    </row>
    <row r="8" spans="1:12" ht="22.15" customHeight="1" x14ac:dyDescent="0.25"/>
    <row r="13" spans="1:12" x14ac:dyDescent="0.25">
      <c r="I13" s="71" t="s">
        <v>407</v>
      </c>
    </row>
    <row r="15" spans="1:12" ht="26.45" customHeight="1" x14ac:dyDescent="0.25">
      <c r="I15" s="273" t="s">
        <v>316</v>
      </c>
      <c r="J15" s="206" t="s">
        <v>402</v>
      </c>
      <c r="K15" s="151" t="s">
        <v>306</v>
      </c>
    </row>
    <row r="16" spans="1:12" ht="59.45" customHeight="1" x14ac:dyDescent="0.25">
      <c r="I16" s="273"/>
      <c r="J16" s="151" t="str">
        <f>IF(Inputs!G32=0, " ", IF(Inputs!G32="Electricity", CONCATENATE(Inputs!G32," - ", Inputs!J37), Inputs!G32))</f>
        <v xml:space="preserve"> </v>
      </c>
      <c r="K16" s="151" t="s">
        <v>452</v>
      </c>
    </row>
    <row r="17" spans="9:11" x14ac:dyDescent="0.25">
      <c r="I17" s="73" t="s">
        <v>170</v>
      </c>
      <c r="J17" s="127">
        <f>'Combined Costs'!B38</f>
        <v>0</v>
      </c>
      <c r="K17" s="127">
        <f>'Combined Costs'!C38</f>
        <v>0</v>
      </c>
    </row>
    <row r="18" spans="9:11" x14ac:dyDescent="0.25">
      <c r="I18" s="73" t="s">
        <v>113</v>
      </c>
      <c r="J18" s="127">
        <f>'Combined Costs'!B39</f>
        <v>0</v>
      </c>
      <c r="K18" s="127">
        <f>'Combined Costs'!C39</f>
        <v>0</v>
      </c>
    </row>
    <row r="19" spans="9:11" x14ac:dyDescent="0.25">
      <c r="I19" s="73" t="s">
        <v>171</v>
      </c>
      <c r="J19" s="127">
        <f>'Combined Costs'!B40</f>
        <v>0</v>
      </c>
      <c r="K19" s="127">
        <f>'Combined Costs'!C40</f>
        <v>0</v>
      </c>
    </row>
    <row r="20" spans="9:11" x14ac:dyDescent="0.25">
      <c r="I20" s="73" t="s">
        <v>172</v>
      </c>
      <c r="J20" s="127">
        <f>'Combined Costs'!B41</f>
        <v>0</v>
      </c>
      <c r="K20" s="127">
        <f>'Combined Costs'!C41</f>
        <v>0</v>
      </c>
    </row>
    <row r="21" spans="9:11" x14ac:dyDescent="0.25">
      <c r="I21" s="73" t="s">
        <v>111</v>
      </c>
      <c r="J21" s="127">
        <f>'Combined Costs'!B42</f>
        <v>0</v>
      </c>
      <c r="K21" s="127">
        <f>'Combined Costs'!C42</f>
        <v>0</v>
      </c>
    </row>
    <row r="22" spans="9:11" x14ac:dyDescent="0.25">
      <c r="I22" s="128" t="s">
        <v>292</v>
      </c>
      <c r="J22" s="129">
        <f>'Combined Costs'!B43</f>
        <v>0</v>
      </c>
      <c r="K22" s="129">
        <f>'Combined Costs'!C43</f>
        <v>0</v>
      </c>
    </row>
    <row r="38" spans="1:11" ht="23.25" x14ac:dyDescent="0.25">
      <c r="A38" s="97" t="s">
        <v>312</v>
      </c>
    </row>
    <row r="40" spans="1:11" ht="24" customHeight="1" x14ac:dyDescent="0.25">
      <c r="A40" s="206" t="s">
        <v>316</v>
      </c>
      <c r="B40" s="206">
        <f>Inputs!B46</f>
        <v>2018</v>
      </c>
      <c r="C40" s="206">
        <f>Inputs!C46</f>
        <v>2019</v>
      </c>
      <c r="D40" s="206">
        <f>Inputs!D46</f>
        <v>2020</v>
      </c>
      <c r="E40" s="206">
        <f>Inputs!E46</f>
        <v>2021</v>
      </c>
      <c r="F40" s="206">
        <f>Inputs!F46</f>
        <v>2022</v>
      </c>
      <c r="G40" s="206">
        <f>Inputs!G46</f>
        <v>2023</v>
      </c>
      <c r="H40" s="206">
        <f>Inputs!H46</f>
        <v>2024</v>
      </c>
      <c r="I40" s="206">
        <f>Inputs!I46</f>
        <v>2025</v>
      </c>
      <c r="J40" s="206">
        <f>Inputs!J46</f>
        <v>2026</v>
      </c>
      <c r="K40" s="206">
        <f>Inputs!K46</f>
        <v>2027</v>
      </c>
    </row>
    <row r="41" spans="1:11" x14ac:dyDescent="0.25">
      <c r="A41" s="270" t="str">
        <f>CONCATENATE("Alternative Fuel Costs - ",Inputs!G32)</f>
        <v xml:space="preserve">Alternative Fuel Costs - 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2"/>
    </row>
    <row r="42" spans="1:11" x14ac:dyDescent="0.25">
      <c r="A42" s="73" t="s">
        <v>170</v>
      </c>
      <c r="B42" s="94">
        <f>'Combined Costs'!B50</f>
        <v>0</v>
      </c>
      <c r="C42" s="94">
        <f>'Combined Costs'!C50</f>
        <v>0</v>
      </c>
      <c r="D42" s="94">
        <f>'Combined Costs'!D50</f>
        <v>0</v>
      </c>
      <c r="E42" s="94">
        <f>'Combined Costs'!E50</f>
        <v>0</v>
      </c>
      <c r="F42" s="94">
        <f>'Combined Costs'!F50</f>
        <v>0</v>
      </c>
      <c r="G42" s="94">
        <f>'Combined Costs'!G50</f>
        <v>0</v>
      </c>
      <c r="H42" s="94">
        <f>'Combined Costs'!H50</f>
        <v>0</v>
      </c>
      <c r="I42" s="94">
        <f>'Combined Costs'!I50</f>
        <v>0</v>
      </c>
      <c r="J42" s="94">
        <f>'Combined Costs'!J50</f>
        <v>0</v>
      </c>
      <c r="K42" s="94">
        <f>'Combined Costs'!K50</f>
        <v>0</v>
      </c>
    </row>
    <row r="43" spans="1:11" x14ac:dyDescent="0.25">
      <c r="A43" s="73" t="s">
        <v>113</v>
      </c>
      <c r="B43" s="94">
        <f>'Combined Costs'!B51</f>
        <v>0</v>
      </c>
      <c r="C43" s="94">
        <f>'Combined Costs'!C51</f>
        <v>0</v>
      </c>
      <c r="D43" s="94">
        <f>'Combined Costs'!D51</f>
        <v>0</v>
      </c>
      <c r="E43" s="94">
        <f>'Combined Costs'!E51</f>
        <v>0</v>
      </c>
      <c r="F43" s="94">
        <f>'Combined Costs'!F51</f>
        <v>0</v>
      </c>
      <c r="G43" s="94">
        <f>'Combined Costs'!G51</f>
        <v>0</v>
      </c>
      <c r="H43" s="94">
        <f>'Combined Costs'!H51</f>
        <v>0</v>
      </c>
      <c r="I43" s="94">
        <f>'Combined Costs'!I51</f>
        <v>0</v>
      </c>
      <c r="J43" s="94">
        <f>'Combined Costs'!J51</f>
        <v>0</v>
      </c>
      <c r="K43" s="94">
        <f>'Combined Costs'!K51</f>
        <v>0</v>
      </c>
    </row>
    <row r="44" spans="1:11" x14ac:dyDescent="0.25">
      <c r="A44" s="125" t="s">
        <v>292</v>
      </c>
      <c r="B44" s="126">
        <f>SUM(B42:B43)</f>
        <v>0</v>
      </c>
      <c r="C44" s="126">
        <f t="shared" ref="C44:K44" si="0">SUM(C42:C43)</f>
        <v>0</v>
      </c>
      <c r="D44" s="126">
        <f t="shared" si="0"/>
        <v>0</v>
      </c>
      <c r="E44" s="126">
        <f t="shared" si="0"/>
        <v>0</v>
      </c>
      <c r="F44" s="126">
        <f t="shared" si="0"/>
        <v>0</v>
      </c>
      <c r="G44" s="126">
        <f t="shared" si="0"/>
        <v>0</v>
      </c>
      <c r="H44" s="126">
        <f t="shared" si="0"/>
        <v>0</v>
      </c>
      <c r="I44" s="126">
        <f t="shared" si="0"/>
        <v>0</v>
      </c>
      <c r="J44" s="126">
        <f t="shared" si="0"/>
        <v>0</v>
      </c>
      <c r="K44" s="126">
        <f t="shared" si="0"/>
        <v>0</v>
      </c>
    </row>
    <row r="45" spans="1:11" x14ac:dyDescent="0.25">
      <c r="A45" s="270" t="s">
        <v>450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2"/>
    </row>
    <row r="46" spans="1:11" x14ac:dyDescent="0.25">
      <c r="A46" s="73" t="s">
        <v>170</v>
      </c>
      <c r="B46" s="94">
        <f>'Combined Costs'!B60</f>
        <v>0</v>
      </c>
      <c r="C46" s="94">
        <f>'Combined Costs'!C60</f>
        <v>0</v>
      </c>
      <c r="D46" s="94">
        <f>'Combined Costs'!D60</f>
        <v>0</v>
      </c>
      <c r="E46" s="94">
        <f>'Combined Costs'!E60</f>
        <v>0</v>
      </c>
      <c r="F46" s="94">
        <f>'Combined Costs'!F60</f>
        <v>0</v>
      </c>
      <c r="G46" s="94">
        <f>'Combined Costs'!G60</f>
        <v>0</v>
      </c>
      <c r="H46" s="94">
        <f>'Combined Costs'!H60</f>
        <v>0</v>
      </c>
      <c r="I46" s="94">
        <f>'Combined Costs'!I60</f>
        <v>0</v>
      </c>
      <c r="J46" s="94">
        <f>'Combined Costs'!J60</f>
        <v>0</v>
      </c>
      <c r="K46" s="94">
        <f>'Combined Costs'!K60</f>
        <v>0</v>
      </c>
    </row>
    <row r="47" spans="1:11" x14ac:dyDescent="0.25">
      <c r="A47" s="73" t="s">
        <v>113</v>
      </c>
      <c r="B47" s="94">
        <f>'Combined Costs'!B61</f>
        <v>0</v>
      </c>
      <c r="C47" s="94">
        <f>'Combined Costs'!C61</f>
        <v>0</v>
      </c>
      <c r="D47" s="94">
        <f>'Combined Costs'!D61</f>
        <v>0</v>
      </c>
      <c r="E47" s="94">
        <f>'Combined Costs'!E61</f>
        <v>0</v>
      </c>
      <c r="F47" s="94">
        <f>'Combined Costs'!F61</f>
        <v>0</v>
      </c>
      <c r="G47" s="94">
        <f>'Combined Costs'!G61</f>
        <v>0</v>
      </c>
      <c r="H47" s="94">
        <f>'Combined Costs'!H61</f>
        <v>0</v>
      </c>
      <c r="I47" s="94">
        <f>'Combined Costs'!I61</f>
        <v>0</v>
      </c>
      <c r="J47" s="94">
        <f>'Combined Costs'!J61</f>
        <v>0</v>
      </c>
      <c r="K47" s="94">
        <f>'Combined Costs'!K61</f>
        <v>0</v>
      </c>
    </row>
    <row r="48" spans="1:11" x14ac:dyDescent="0.25">
      <c r="A48" s="125" t="s">
        <v>292</v>
      </c>
      <c r="B48" s="126">
        <f>SUM(B46:B47)</f>
        <v>0</v>
      </c>
      <c r="C48" s="126">
        <f t="shared" ref="C48:K48" si="1">SUM(C46:C47)</f>
        <v>0</v>
      </c>
      <c r="D48" s="126">
        <f t="shared" si="1"/>
        <v>0</v>
      </c>
      <c r="E48" s="126">
        <f t="shared" si="1"/>
        <v>0</v>
      </c>
      <c r="F48" s="126">
        <f t="shared" si="1"/>
        <v>0</v>
      </c>
      <c r="G48" s="126">
        <f t="shared" si="1"/>
        <v>0</v>
      </c>
      <c r="H48" s="126">
        <f t="shared" si="1"/>
        <v>0</v>
      </c>
      <c r="I48" s="126">
        <f t="shared" si="1"/>
        <v>0</v>
      </c>
      <c r="J48" s="126">
        <f t="shared" si="1"/>
        <v>0</v>
      </c>
      <c r="K48" s="126">
        <f t="shared" si="1"/>
        <v>0</v>
      </c>
    </row>
    <row r="50" spans="1:11" ht="23.25" x14ac:dyDescent="0.25">
      <c r="A50" s="97" t="s">
        <v>313</v>
      </c>
    </row>
    <row r="52" spans="1:11" ht="24" customHeight="1" x14ac:dyDescent="0.25">
      <c r="A52" s="206" t="s">
        <v>316</v>
      </c>
      <c r="B52" s="206">
        <f>Inputs!B46</f>
        <v>2018</v>
      </c>
      <c r="C52" s="206">
        <f>Inputs!C46</f>
        <v>2019</v>
      </c>
      <c r="D52" s="206">
        <f>Inputs!D46</f>
        <v>2020</v>
      </c>
      <c r="E52" s="206">
        <f>Inputs!E46</f>
        <v>2021</v>
      </c>
      <c r="F52" s="206">
        <f>Inputs!F46</f>
        <v>2022</v>
      </c>
      <c r="G52" s="206">
        <f>Inputs!G46</f>
        <v>2023</v>
      </c>
      <c r="H52" s="206">
        <f>Inputs!H46</f>
        <v>2024</v>
      </c>
      <c r="I52" s="206">
        <f>Inputs!I46</f>
        <v>2025</v>
      </c>
      <c r="J52" s="206">
        <f>Inputs!J46</f>
        <v>2026</v>
      </c>
      <c r="K52" s="206">
        <f>Inputs!K46</f>
        <v>2027</v>
      </c>
    </row>
    <row r="53" spans="1:11" x14ac:dyDescent="0.25">
      <c r="A53" s="270" t="str">
        <f>CONCATENATE("Alternative Fuel Costs - ",Inputs!G32)</f>
        <v xml:space="preserve">Alternative Fuel Costs - </v>
      </c>
      <c r="B53" s="271"/>
      <c r="C53" s="271"/>
      <c r="D53" s="271"/>
      <c r="E53" s="271"/>
      <c r="F53" s="271"/>
      <c r="G53" s="271"/>
      <c r="H53" s="271"/>
      <c r="I53" s="271"/>
      <c r="J53" s="271"/>
      <c r="K53" s="272"/>
    </row>
    <row r="54" spans="1:11" x14ac:dyDescent="0.25">
      <c r="A54" s="73" t="s">
        <v>171</v>
      </c>
      <c r="B54" s="94">
        <f>'Combined Costs'!B52</f>
        <v>0</v>
      </c>
      <c r="C54" s="94">
        <f>'Combined Costs'!C52</f>
        <v>0</v>
      </c>
      <c r="D54" s="94">
        <f>'Combined Costs'!D52</f>
        <v>0</v>
      </c>
      <c r="E54" s="94">
        <f>'Combined Costs'!E52</f>
        <v>0</v>
      </c>
      <c r="F54" s="94">
        <f>'Combined Costs'!F52</f>
        <v>0</v>
      </c>
      <c r="G54" s="94">
        <f>'Combined Costs'!G52</f>
        <v>0</v>
      </c>
      <c r="H54" s="94">
        <f>'Combined Costs'!H52</f>
        <v>0</v>
      </c>
      <c r="I54" s="94">
        <f>'Combined Costs'!I52</f>
        <v>0</v>
      </c>
      <c r="J54" s="94">
        <f>'Combined Costs'!J52</f>
        <v>0</v>
      </c>
      <c r="K54" s="94">
        <f>'Combined Costs'!K52</f>
        <v>0</v>
      </c>
    </row>
    <row r="55" spans="1:11" x14ac:dyDescent="0.25">
      <c r="A55" s="73" t="s">
        <v>172</v>
      </c>
      <c r="B55" s="94">
        <f>'Combined Costs'!B53</f>
        <v>0</v>
      </c>
      <c r="C55" s="94">
        <f>'Combined Costs'!C53</f>
        <v>0</v>
      </c>
      <c r="D55" s="94">
        <f>'Combined Costs'!D53</f>
        <v>0</v>
      </c>
      <c r="E55" s="94">
        <f>'Combined Costs'!E53</f>
        <v>0</v>
      </c>
      <c r="F55" s="94">
        <f>'Combined Costs'!F53</f>
        <v>0</v>
      </c>
      <c r="G55" s="94">
        <f>'Combined Costs'!G53</f>
        <v>0</v>
      </c>
      <c r="H55" s="94">
        <f>'Combined Costs'!H53</f>
        <v>0</v>
      </c>
      <c r="I55" s="94">
        <f>'Combined Costs'!I53</f>
        <v>0</v>
      </c>
      <c r="J55" s="94">
        <f>'Combined Costs'!J53</f>
        <v>0</v>
      </c>
      <c r="K55" s="94">
        <f>'Combined Costs'!K53</f>
        <v>0</v>
      </c>
    </row>
    <row r="56" spans="1:11" x14ac:dyDescent="0.25">
      <c r="A56" s="73" t="s">
        <v>111</v>
      </c>
      <c r="B56" s="94">
        <f>'Combined Costs'!B54</f>
        <v>0</v>
      </c>
      <c r="C56" s="94">
        <f>'Combined Costs'!C54</f>
        <v>0</v>
      </c>
      <c r="D56" s="94">
        <f>'Combined Costs'!D54</f>
        <v>0</v>
      </c>
      <c r="E56" s="94">
        <f>'Combined Costs'!E54</f>
        <v>0</v>
      </c>
      <c r="F56" s="94">
        <f>'Combined Costs'!F54</f>
        <v>0</v>
      </c>
      <c r="G56" s="94">
        <f>'Combined Costs'!G54</f>
        <v>0</v>
      </c>
      <c r="H56" s="94">
        <f>'Combined Costs'!H54</f>
        <v>0</v>
      </c>
      <c r="I56" s="94">
        <f>'Combined Costs'!I54</f>
        <v>0</v>
      </c>
      <c r="J56" s="94">
        <f>'Combined Costs'!J54</f>
        <v>0</v>
      </c>
      <c r="K56" s="94">
        <f>'Combined Costs'!K54</f>
        <v>0</v>
      </c>
    </row>
    <row r="57" spans="1:11" x14ac:dyDescent="0.25">
      <c r="A57" s="125" t="s">
        <v>292</v>
      </c>
      <c r="B57" s="126">
        <f>SUM(B54:B56)</f>
        <v>0</v>
      </c>
      <c r="C57" s="126">
        <f t="shared" ref="C57:K57" si="2">SUM(C54:C56)</f>
        <v>0</v>
      </c>
      <c r="D57" s="126">
        <f t="shared" si="2"/>
        <v>0</v>
      </c>
      <c r="E57" s="126">
        <f t="shared" si="2"/>
        <v>0</v>
      </c>
      <c r="F57" s="126">
        <f t="shared" si="2"/>
        <v>0</v>
      </c>
      <c r="G57" s="126">
        <f t="shared" si="2"/>
        <v>0</v>
      </c>
      <c r="H57" s="126">
        <f t="shared" si="2"/>
        <v>0</v>
      </c>
      <c r="I57" s="126">
        <f t="shared" si="2"/>
        <v>0</v>
      </c>
      <c r="J57" s="126">
        <f t="shared" si="2"/>
        <v>0</v>
      </c>
      <c r="K57" s="126">
        <f t="shared" si="2"/>
        <v>0</v>
      </c>
    </row>
    <row r="58" spans="1:11" x14ac:dyDescent="0.25">
      <c r="A58" s="270" t="s">
        <v>450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2"/>
    </row>
    <row r="59" spans="1:11" x14ac:dyDescent="0.25">
      <c r="A59" s="73" t="s">
        <v>171</v>
      </c>
      <c r="B59" s="94">
        <f>'Combined Costs'!B62</f>
        <v>0</v>
      </c>
      <c r="C59" s="94">
        <f>'Combined Costs'!C62</f>
        <v>0</v>
      </c>
      <c r="D59" s="94">
        <f>'Combined Costs'!D62</f>
        <v>0</v>
      </c>
      <c r="E59" s="94">
        <f>'Combined Costs'!E62</f>
        <v>0</v>
      </c>
      <c r="F59" s="94">
        <f>'Combined Costs'!F62</f>
        <v>0</v>
      </c>
      <c r="G59" s="94">
        <f>'Combined Costs'!G62</f>
        <v>0</v>
      </c>
      <c r="H59" s="94">
        <f>'Combined Costs'!H62</f>
        <v>0</v>
      </c>
      <c r="I59" s="94">
        <f>'Combined Costs'!I62</f>
        <v>0</v>
      </c>
      <c r="J59" s="94">
        <f>'Combined Costs'!J62</f>
        <v>0</v>
      </c>
      <c r="K59" s="94">
        <f>'Combined Costs'!K62</f>
        <v>0</v>
      </c>
    </row>
    <row r="60" spans="1:11" x14ac:dyDescent="0.25">
      <c r="A60" s="73" t="s">
        <v>172</v>
      </c>
      <c r="B60" s="94">
        <f>'Combined Costs'!B63</f>
        <v>0</v>
      </c>
      <c r="C60" s="94">
        <f>'Combined Costs'!C63</f>
        <v>0</v>
      </c>
      <c r="D60" s="94">
        <f>'Combined Costs'!D63</f>
        <v>0</v>
      </c>
      <c r="E60" s="94">
        <f>'Combined Costs'!E63</f>
        <v>0</v>
      </c>
      <c r="F60" s="94">
        <f>'Combined Costs'!F63</f>
        <v>0</v>
      </c>
      <c r="G60" s="94">
        <f>'Combined Costs'!G63</f>
        <v>0</v>
      </c>
      <c r="H60" s="94">
        <f>'Combined Costs'!H63</f>
        <v>0</v>
      </c>
      <c r="I60" s="94">
        <f>'Combined Costs'!I63</f>
        <v>0</v>
      </c>
      <c r="J60" s="94">
        <f>'Combined Costs'!J63</f>
        <v>0</v>
      </c>
      <c r="K60" s="94">
        <f>'Combined Costs'!K63</f>
        <v>0</v>
      </c>
    </row>
    <row r="61" spans="1:11" x14ac:dyDescent="0.25">
      <c r="A61" s="73" t="s">
        <v>111</v>
      </c>
      <c r="B61" s="94">
        <f>'Combined Costs'!B64</f>
        <v>0</v>
      </c>
      <c r="C61" s="94">
        <f>'Combined Costs'!C64</f>
        <v>0</v>
      </c>
      <c r="D61" s="94">
        <f>'Combined Costs'!D64</f>
        <v>0</v>
      </c>
      <c r="E61" s="94">
        <f>'Combined Costs'!E64</f>
        <v>0</v>
      </c>
      <c r="F61" s="94">
        <f>'Combined Costs'!F64</f>
        <v>0</v>
      </c>
      <c r="G61" s="94">
        <f>'Combined Costs'!G64</f>
        <v>0</v>
      </c>
      <c r="H61" s="94">
        <f>'Combined Costs'!H64</f>
        <v>0</v>
      </c>
      <c r="I61" s="94">
        <f>'Combined Costs'!I64</f>
        <v>0</v>
      </c>
      <c r="J61" s="94">
        <f>'Combined Costs'!J64</f>
        <v>0</v>
      </c>
      <c r="K61" s="94">
        <f>'Combined Costs'!K64</f>
        <v>0</v>
      </c>
    </row>
    <row r="62" spans="1:11" x14ac:dyDescent="0.25">
      <c r="A62" s="125" t="s">
        <v>292</v>
      </c>
      <c r="B62" s="126">
        <f>SUM(B59:B61)</f>
        <v>0</v>
      </c>
      <c r="C62" s="126">
        <f t="shared" ref="C62" si="3">SUM(C59:C61)</f>
        <v>0</v>
      </c>
      <c r="D62" s="126">
        <f t="shared" ref="D62" si="4">SUM(D59:D61)</f>
        <v>0</v>
      </c>
      <c r="E62" s="126">
        <f t="shared" ref="E62" si="5">SUM(E59:E61)</f>
        <v>0</v>
      </c>
      <c r="F62" s="126">
        <f t="shared" ref="F62" si="6">SUM(F59:F61)</f>
        <v>0</v>
      </c>
      <c r="G62" s="126">
        <f t="shared" ref="G62" si="7">SUM(G59:G61)</f>
        <v>0</v>
      </c>
      <c r="H62" s="126">
        <f t="shared" ref="H62" si="8">SUM(H59:H61)</f>
        <v>0</v>
      </c>
      <c r="I62" s="126">
        <f t="shared" ref="I62" si="9">SUM(I59:I61)</f>
        <v>0</v>
      </c>
      <c r="J62" s="126">
        <f t="shared" ref="J62" si="10">SUM(J59:J61)</f>
        <v>0</v>
      </c>
      <c r="K62" s="126">
        <f t="shared" ref="K62" si="11">SUM(K59:K61)</f>
        <v>0</v>
      </c>
    </row>
    <row r="64" spans="1:11" ht="23.25" x14ac:dyDescent="0.25">
      <c r="A64" s="97" t="s">
        <v>522</v>
      </c>
    </row>
    <row r="66" spans="1:11" ht="24" customHeight="1" x14ac:dyDescent="0.25">
      <c r="A66" s="206" t="s">
        <v>381</v>
      </c>
      <c r="B66" s="206">
        <f>Inputs!B46</f>
        <v>2018</v>
      </c>
      <c r="C66" s="206">
        <f>Inputs!C46</f>
        <v>2019</v>
      </c>
      <c r="D66" s="206">
        <f>Inputs!D46</f>
        <v>2020</v>
      </c>
      <c r="E66" s="206">
        <f>Inputs!E46</f>
        <v>2021</v>
      </c>
      <c r="F66" s="206">
        <f>Inputs!F46</f>
        <v>2022</v>
      </c>
      <c r="G66" s="206">
        <f>Inputs!G46</f>
        <v>2023</v>
      </c>
      <c r="H66" s="206">
        <f>Inputs!H46</f>
        <v>2024</v>
      </c>
      <c r="I66" s="206">
        <f>Inputs!I46</f>
        <v>2025</v>
      </c>
      <c r="J66" s="206">
        <f>Inputs!J46</f>
        <v>2026</v>
      </c>
      <c r="K66" s="206">
        <f>Inputs!K46</f>
        <v>2027</v>
      </c>
    </row>
    <row r="67" spans="1:11" x14ac:dyDescent="0.25">
      <c r="A67" s="268" t="s">
        <v>451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</row>
    <row r="68" spans="1:11" x14ac:dyDescent="0.25">
      <c r="A68" s="201" t="s">
        <v>426</v>
      </c>
      <c r="B68" s="89">
        <f>'Baseline and Atl Fuel Emissions'!B43</f>
        <v>0</v>
      </c>
      <c r="C68" s="89">
        <f>'Baseline and Atl Fuel Emissions'!C43</f>
        <v>0</v>
      </c>
      <c r="D68" s="89">
        <f>'Baseline and Atl Fuel Emissions'!D43</f>
        <v>0</v>
      </c>
      <c r="E68" s="89">
        <f>'Baseline and Atl Fuel Emissions'!E43</f>
        <v>0</v>
      </c>
      <c r="F68" s="89">
        <f>'Baseline and Atl Fuel Emissions'!F43</f>
        <v>0</v>
      </c>
      <c r="G68" s="89">
        <f>'Baseline and Atl Fuel Emissions'!G43</f>
        <v>0</v>
      </c>
      <c r="H68" s="89">
        <f>'Baseline and Atl Fuel Emissions'!H43</f>
        <v>0</v>
      </c>
      <c r="I68" s="89">
        <f>'Baseline and Atl Fuel Emissions'!I43</f>
        <v>0</v>
      </c>
      <c r="J68" s="89">
        <f>'Baseline and Atl Fuel Emissions'!J43</f>
        <v>0</v>
      </c>
      <c r="K68" s="89">
        <f>'Baseline and Atl Fuel Emissions'!K43</f>
        <v>0</v>
      </c>
    </row>
    <row r="69" spans="1:11" x14ac:dyDescent="0.25">
      <c r="A69" s="201" t="s">
        <v>425</v>
      </c>
      <c r="B69" s="89">
        <f>'Baseline and Atl Fuel Emissions'!B48</f>
        <v>0</v>
      </c>
      <c r="C69" s="89">
        <f>'Baseline and Atl Fuel Emissions'!C48</f>
        <v>0</v>
      </c>
      <c r="D69" s="89">
        <f>'Baseline and Atl Fuel Emissions'!D48</f>
        <v>0</v>
      </c>
      <c r="E69" s="89">
        <f>'Baseline and Atl Fuel Emissions'!E48</f>
        <v>0</v>
      </c>
      <c r="F69" s="89">
        <f>'Baseline and Atl Fuel Emissions'!F48</f>
        <v>0</v>
      </c>
      <c r="G69" s="89">
        <f>'Baseline and Atl Fuel Emissions'!G48</f>
        <v>0</v>
      </c>
      <c r="H69" s="89">
        <f>'Baseline and Atl Fuel Emissions'!H48</f>
        <v>0</v>
      </c>
      <c r="I69" s="89">
        <f>'Baseline and Atl Fuel Emissions'!I48</f>
        <v>0</v>
      </c>
      <c r="J69" s="89">
        <f>'Baseline and Atl Fuel Emissions'!J48</f>
        <v>0</v>
      </c>
      <c r="K69" s="89">
        <f>'Baseline and Atl Fuel Emissions'!K48</f>
        <v>0</v>
      </c>
    </row>
    <row r="70" spans="1:11" x14ac:dyDescent="0.25">
      <c r="A70" s="201" t="s">
        <v>424</v>
      </c>
      <c r="B70" s="89">
        <f>'Baseline and Atl Fuel Emissions'!B53</f>
        <v>0</v>
      </c>
      <c r="C70" s="89">
        <f>'Baseline and Atl Fuel Emissions'!C53</f>
        <v>0</v>
      </c>
      <c r="D70" s="89">
        <f>'Baseline and Atl Fuel Emissions'!D53</f>
        <v>0</v>
      </c>
      <c r="E70" s="89">
        <f>'Baseline and Atl Fuel Emissions'!E53</f>
        <v>0</v>
      </c>
      <c r="F70" s="89">
        <f>'Baseline and Atl Fuel Emissions'!F53</f>
        <v>0</v>
      </c>
      <c r="G70" s="89">
        <f>'Baseline and Atl Fuel Emissions'!G53</f>
        <v>0</v>
      </c>
      <c r="H70" s="89">
        <f>'Baseline and Atl Fuel Emissions'!H53</f>
        <v>0</v>
      </c>
      <c r="I70" s="89">
        <f>'Baseline and Atl Fuel Emissions'!I53</f>
        <v>0</v>
      </c>
      <c r="J70" s="89">
        <f>'Baseline and Atl Fuel Emissions'!J53</f>
        <v>0</v>
      </c>
      <c r="K70" s="89">
        <f>'Baseline and Atl Fuel Emissions'!K53</f>
        <v>0</v>
      </c>
    </row>
    <row r="71" spans="1:11" x14ac:dyDescent="0.25">
      <c r="A71" s="201" t="s">
        <v>423</v>
      </c>
      <c r="B71" s="89">
        <f>'Baseline and Atl Fuel Emissions'!B66</f>
        <v>0</v>
      </c>
      <c r="C71" s="89">
        <f>'Baseline and Atl Fuel Emissions'!C66</f>
        <v>0</v>
      </c>
      <c r="D71" s="89">
        <f>'Baseline and Atl Fuel Emissions'!D66</f>
        <v>0</v>
      </c>
      <c r="E71" s="89">
        <f>'Baseline and Atl Fuel Emissions'!E66</f>
        <v>0</v>
      </c>
      <c r="F71" s="89">
        <f>'Baseline and Atl Fuel Emissions'!F66</f>
        <v>0</v>
      </c>
      <c r="G71" s="89">
        <f>'Baseline and Atl Fuel Emissions'!G66</f>
        <v>0</v>
      </c>
      <c r="H71" s="89">
        <f>'Baseline and Atl Fuel Emissions'!H66</f>
        <v>0</v>
      </c>
      <c r="I71" s="89">
        <f>'Baseline and Atl Fuel Emissions'!I66</f>
        <v>0</v>
      </c>
      <c r="J71" s="89">
        <f>'Baseline and Atl Fuel Emissions'!J66</f>
        <v>0</v>
      </c>
      <c r="K71" s="89">
        <f>'Baseline and Atl Fuel Emissions'!K66</f>
        <v>0</v>
      </c>
    </row>
    <row r="72" spans="1:11" x14ac:dyDescent="0.25">
      <c r="A72" s="269" t="str">
        <f>CONCATENATE("Alternative Fuel - ",Inputs!G32)</f>
        <v xml:space="preserve">Alternative Fuel - 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</row>
    <row r="73" spans="1:11" x14ac:dyDescent="0.25">
      <c r="A73" s="201" t="s">
        <v>426</v>
      </c>
      <c r="B73" s="89">
        <f>'Baseline and Atl Fuel Emissions'!B24</f>
        <v>0</v>
      </c>
      <c r="C73" s="89">
        <f>'Baseline and Atl Fuel Emissions'!C24</f>
        <v>0</v>
      </c>
      <c r="D73" s="89">
        <f>'Baseline and Atl Fuel Emissions'!D24</f>
        <v>0</v>
      </c>
      <c r="E73" s="89">
        <f>'Baseline and Atl Fuel Emissions'!E24</f>
        <v>0</v>
      </c>
      <c r="F73" s="89">
        <f>'Baseline and Atl Fuel Emissions'!F24</f>
        <v>0</v>
      </c>
      <c r="G73" s="89">
        <f>'Baseline and Atl Fuel Emissions'!G24</f>
        <v>0</v>
      </c>
      <c r="H73" s="89">
        <f>'Baseline and Atl Fuel Emissions'!H24</f>
        <v>0</v>
      </c>
      <c r="I73" s="89">
        <f>'Baseline and Atl Fuel Emissions'!I24</f>
        <v>0</v>
      </c>
      <c r="J73" s="89">
        <f>'Baseline and Atl Fuel Emissions'!J24</f>
        <v>0</v>
      </c>
      <c r="K73" s="89">
        <f>'Baseline and Atl Fuel Emissions'!K24</f>
        <v>0</v>
      </c>
    </row>
    <row r="74" spans="1:11" x14ac:dyDescent="0.25">
      <c r="A74" s="201" t="s">
        <v>425</v>
      </c>
      <c r="B74" s="89">
        <f>'Baseline and Atl Fuel Emissions'!B29</f>
        <v>0</v>
      </c>
      <c r="C74" s="89">
        <f>'Baseline and Atl Fuel Emissions'!C29</f>
        <v>0</v>
      </c>
      <c r="D74" s="89">
        <f>'Baseline and Atl Fuel Emissions'!D29</f>
        <v>0</v>
      </c>
      <c r="E74" s="89">
        <f>'Baseline and Atl Fuel Emissions'!E29</f>
        <v>0</v>
      </c>
      <c r="F74" s="89">
        <f>'Baseline and Atl Fuel Emissions'!F29</f>
        <v>0</v>
      </c>
      <c r="G74" s="89">
        <f>'Baseline and Atl Fuel Emissions'!G29</f>
        <v>0</v>
      </c>
      <c r="H74" s="89">
        <f>'Baseline and Atl Fuel Emissions'!H29</f>
        <v>0</v>
      </c>
      <c r="I74" s="89">
        <f>'Baseline and Atl Fuel Emissions'!I29</f>
        <v>0</v>
      </c>
      <c r="J74" s="89">
        <f>'Baseline and Atl Fuel Emissions'!J29</f>
        <v>0</v>
      </c>
      <c r="K74" s="89">
        <f>'Baseline and Atl Fuel Emissions'!K29</f>
        <v>0</v>
      </c>
    </row>
    <row r="75" spans="1:11" x14ac:dyDescent="0.25">
      <c r="A75" s="201" t="s">
        <v>424</v>
      </c>
      <c r="B75" s="89">
        <f>'Baseline and Atl Fuel Emissions'!B34</f>
        <v>0</v>
      </c>
      <c r="C75" s="89">
        <f>'Baseline and Atl Fuel Emissions'!C34</f>
        <v>0</v>
      </c>
      <c r="D75" s="89">
        <f>'Baseline and Atl Fuel Emissions'!D34</f>
        <v>0</v>
      </c>
      <c r="E75" s="89">
        <f>'Baseline and Atl Fuel Emissions'!E34</f>
        <v>0</v>
      </c>
      <c r="F75" s="89">
        <f>'Baseline and Atl Fuel Emissions'!F34</f>
        <v>0</v>
      </c>
      <c r="G75" s="89">
        <f>'Baseline and Atl Fuel Emissions'!G34</f>
        <v>0</v>
      </c>
      <c r="H75" s="89">
        <f>'Baseline and Atl Fuel Emissions'!H34</f>
        <v>0</v>
      </c>
      <c r="I75" s="89">
        <f>'Baseline and Atl Fuel Emissions'!I34</f>
        <v>0</v>
      </c>
      <c r="J75" s="89">
        <f>'Baseline and Atl Fuel Emissions'!J34</f>
        <v>0</v>
      </c>
      <c r="K75" s="89">
        <f>'Baseline and Atl Fuel Emissions'!K34</f>
        <v>0</v>
      </c>
    </row>
    <row r="76" spans="1:11" x14ac:dyDescent="0.25">
      <c r="A76" s="201" t="s">
        <v>423</v>
      </c>
      <c r="B76" s="89">
        <f>'Baseline and Atl Fuel Emissions'!B61</f>
        <v>0</v>
      </c>
      <c r="C76" s="89">
        <f>'Baseline and Atl Fuel Emissions'!C61</f>
        <v>0</v>
      </c>
      <c r="D76" s="89">
        <f>'Baseline and Atl Fuel Emissions'!D61</f>
        <v>0</v>
      </c>
      <c r="E76" s="89">
        <f>'Baseline and Atl Fuel Emissions'!E61</f>
        <v>0</v>
      </c>
      <c r="F76" s="89">
        <f>'Baseline and Atl Fuel Emissions'!F61</f>
        <v>0</v>
      </c>
      <c r="G76" s="89">
        <f>'Baseline and Atl Fuel Emissions'!G61</f>
        <v>0</v>
      </c>
      <c r="H76" s="89">
        <f>'Baseline and Atl Fuel Emissions'!H61</f>
        <v>0</v>
      </c>
      <c r="I76" s="89">
        <f>'Baseline and Atl Fuel Emissions'!I61</f>
        <v>0</v>
      </c>
      <c r="J76" s="89">
        <f>'Baseline and Atl Fuel Emissions'!J61</f>
        <v>0</v>
      </c>
      <c r="K76" s="89">
        <f>'Baseline and Atl Fuel Emissions'!K61</f>
        <v>0</v>
      </c>
    </row>
    <row r="77" spans="1:11" x14ac:dyDescent="0.25">
      <c r="A77" s="269" t="s">
        <v>417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</row>
    <row r="78" spans="1:11" x14ac:dyDescent="0.25">
      <c r="A78" s="201" t="s">
        <v>426</v>
      </c>
      <c r="B78" s="89">
        <f>B68-B73</f>
        <v>0</v>
      </c>
      <c r="C78" s="89">
        <f t="shared" ref="C78:K78" si="12">C68-C73</f>
        <v>0</v>
      </c>
      <c r="D78" s="89">
        <f t="shared" si="12"/>
        <v>0</v>
      </c>
      <c r="E78" s="89">
        <f t="shared" si="12"/>
        <v>0</v>
      </c>
      <c r="F78" s="89">
        <f t="shared" si="12"/>
        <v>0</v>
      </c>
      <c r="G78" s="89">
        <f t="shared" si="12"/>
        <v>0</v>
      </c>
      <c r="H78" s="89">
        <f t="shared" si="12"/>
        <v>0</v>
      </c>
      <c r="I78" s="89">
        <f t="shared" si="12"/>
        <v>0</v>
      </c>
      <c r="J78" s="89">
        <f t="shared" si="12"/>
        <v>0</v>
      </c>
      <c r="K78" s="89">
        <f t="shared" si="12"/>
        <v>0</v>
      </c>
    </row>
    <row r="79" spans="1:11" x14ac:dyDescent="0.25">
      <c r="A79" s="201" t="s">
        <v>425</v>
      </c>
      <c r="B79" s="89">
        <f>B69-B74</f>
        <v>0</v>
      </c>
      <c r="C79" s="89">
        <f t="shared" ref="C79:K79" si="13">C69-C74</f>
        <v>0</v>
      </c>
      <c r="D79" s="89">
        <f t="shared" si="13"/>
        <v>0</v>
      </c>
      <c r="E79" s="89">
        <f t="shared" si="13"/>
        <v>0</v>
      </c>
      <c r="F79" s="89">
        <f t="shared" si="13"/>
        <v>0</v>
      </c>
      <c r="G79" s="89">
        <f t="shared" si="13"/>
        <v>0</v>
      </c>
      <c r="H79" s="89">
        <f t="shared" si="13"/>
        <v>0</v>
      </c>
      <c r="I79" s="89">
        <f t="shared" si="13"/>
        <v>0</v>
      </c>
      <c r="J79" s="89">
        <f t="shared" si="13"/>
        <v>0</v>
      </c>
      <c r="K79" s="89">
        <f t="shared" si="13"/>
        <v>0</v>
      </c>
    </row>
    <row r="80" spans="1:11" x14ac:dyDescent="0.25">
      <c r="A80" s="201" t="s">
        <v>424</v>
      </c>
      <c r="B80" s="89">
        <f>B70-B75</f>
        <v>0</v>
      </c>
      <c r="C80" s="89">
        <f t="shared" ref="C80:K80" si="14">C70-C75</f>
        <v>0</v>
      </c>
      <c r="D80" s="89">
        <f t="shared" si="14"/>
        <v>0</v>
      </c>
      <c r="E80" s="89">
        <f t="shared" si="14"/>
        <v>0</v>
      </c>
      <c r="F80" s="89">
        <f t="shared" si="14"/>
        <v>0</v>
      </c>
      <c r="G80" s="89">
        <f t="shared" si="14"/>
        <v>0</v>
      </c>
      <c r="H80" s="89">
        <f t="shared" si="14"/>
        <v>0</v>
      </c>
      <c r="I80" s="89">
        <f t="shared" si="14"/>
        <v>0</v>
      </c>
      <c r="J80" s="89">
        <f t="shared" si="14"/>
        <v>0</v>
      </c>
      <c r="K80" s="89">
        <f t="shared" si="14"/>
        <v>0</v>
      </c>
    </row>
    <row r="81" spans="1:11" x14ac:dyDescent="0.25">
      <c r="A81" s="201" t="s">
        <v>423</v>
      </c>
      <c r="B81" s="89">
        <f>B71-B76</f>
        <v>0</v>
      </c>
      <c r="C81" s="89">
        <f t="shared" ref="C81:K81" si="15">C71-C76</f>
        <v>0</v>
      </c>
      <c r="D81" s="89">
        <f t="shared" si="15"/>
        <v>0</v>
      </c>
      <c r="E81" s="89">
        <f t="shared" si="15"/>
        <v>0</v>
      </c>
      <c r="F81" s="89">
        <f t="shared" si="15"/>
        <v>0</v>
      </c>
      <c r="G81" s="89">
        <f t="shared" si="15"/>
        <v>0</v>
      </c>
      <c r="H81" s="89">
        <f t="shared" si="15"/>
        <v>0</v>
      </c>
      <c r="I81" s="89">
        <f t="shared" si="15"/>
        <v>0</v>
      </c>
      <c r="J81" s="89">
        <f t="shared" si="15"/>
        <v>0</v>
      </c>
      <c r="K81" s="89">
        <f t="shared" si="15"/>
        <v>0</v>
      </c>
    </row>
    <row r="83" spans="1:11" ht="23.25" x14ac:dyDescent="0.25">
      <c r="A83" s="97" t="s">
        <v>314</v>
      </c>
    </row>
    <row r="85" spans="1:11" x14ac:dyDescent="0.25">
      <c r="A85" s="298" t="s">
        <v>523</v>
      </c>
    </row>
    <row r="86" spans="1:11" x14ac:dyDescent="0.25">
      <c r="A86" s="8" t="s">
        <v>524</v>
      </c>
    </row>
  </sheetData>
  <mergeCells count="10">
    <mergeCell ref="A67:K67"/>
    <mergeCell ref="A72:K72"/>
    <mergeCell ref="A77:K77"/>
    <mergeCell ref="A45:K45"/>
    <mergeCell ref="A1:L1"/>
    <mergeCell ref="A2:L2"/>
    <mergeCell ref="A41:K41"/>
    <mergeCell ref="I15:I16"/>
    <mergeCell ref="A53:K53"/>
    <mergeCell ref="A58:K58"/>
  </mergeCells>
  <hyperlinks>
    <hyperlink ref="A86" r:id="rId1"/>
  </hyperlinks>
  <printOptions horizontalCentered="1"/>
  <pageMargins left="0" right="0" top="0.25" bottom="0.25" header="0.3" footer="0.3"/>
  <pageSetup scale="51" fitToHeight="0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workbookViewId="0">
      <selection activeCell="H29" sqref="H29"/>
    </sheetView>
  </sheetViews>
  <sheetFormatPr defaultRowHeight="15" x14ac:dyDescent="0.25"/>
  <cols>
    <col min="1" max="1" width="21.140625" customWidth="1"/>
    <col min="2" max="2" width="40.28515625" bestFit="1" customWidth="1"/>
    <col min="3" max="3" width="13.7109375" customWidth="1"/>
    <col min="4" max="4" width="26.7109375" customWidth="1"/>
    <col min="7" max="7" width="14.42578125" customWidth="1"/>
    <col min="8" max="8" width="20" customWidth="1"/>
    <col min="10" max="10" width="15.42578125" customWidth="1"/>
  </cols>
  <sheetData>
    <row r="2" spans="1:11" x14ac:dyDescent="0.25">
      <c r="A2" s="12" t="s">
        <v>4</v>
      </c>
      <c r="B2" s="13" t="s">
        <v>37</v>
      </c>
    </row>
    <row r="3" spans="1:11" x14ac:dyDescent="0.25">
      <c r="A3" t="s">
        <v>20</v>
      </c>
      <c r="G3" t="s">
        <v>55</v>
      </c>
      <c r="H3" t="s">
        <v>56</v>
      </c>
      <c r="I3" t="s">
        <v>57</v>
      </c>
      <c r="J3" t="s">
        <v>58</v>
      </c>
    </row>
    <row r="4" spans="1:11" x14ac:dyDescent="0.25">
      <c r="A4" t="s">
        <v>21</v>
      </c>
      <c r="B4" s="10" t="s">
        <v>43</v>
      </c>
    </row>
    <row r="5" spans="1:11" ht="30" x14ac:dyDescent="0.25">
      <c r="A5" t="s">
        <v>22</v>
      </c>
      <c r="B5" s="14" t="s">
        <v>41</v>
      </c>
      <c r="G5" t="s">
        <v>63</v>
      </c>
    </row>
    <row r="6" spans="1:11" x14ac:dyDescent="0.25">
      <c r="A6" t="s">
        <v>35</v>
      </c>
      <c r="B6" s="10" t="s">
        <v>44</v>
      </c>
      <c r="I6" t="s">
        <v>93</v>
      </c>
      <c r="K6" t="s">
        <v>94</v>
      </c>
    </row>
    <row r="7" spans="1:11" x14ac:dyDescent="0.25">
      <c r="A7" t="s">
        <v>47</v>
      </c>
      <c r="B7" t="s">
        <v>48</v>
      </c>
      <c r="C7" t="s">
        <v>49</v>
      </c>
      <c r="D7" t="s">
        <v>50</v>
      </c>
      <c r="G7" t="s">
        <v>84</v>
      </c>
      <c r="I7" t="s">
        <v>95</v>
      </c>
    </row>
    <row r="9" spans="1:11" x14ac:dyDescent="0.25">
      <c r="A9" t="s">
        <v>54</v>
      </c>
      <c r="B9" t="s">
        <v>51</v>
      </c>
      <c r="C9" t="s">
        <v>18</v>
      </c>
      <c r="D9" t="s">
        <v>52</v>
      </c>
      <c r="E9" t="s">
        <v>53</v>
      </c>
      <c r="F9" t="s">
        <v>81</v>
      </c>
      <c r="G9" t="s">
        <v>82</v>
      </c>
      <c r="H9" t="s">
        <v>83</v>
      </c>
    </row>
    <row r="10" spans="1:11" x14ac:dyDescent="0.25">
      <c r="A10" t="s">
        <v>85</v>
      </c>
      <c r="B10" t="s">
        <v>86</v>
      </c>
      <c r="C10" t="s">
        <v>87</v>
      </c>
    </row>
    <row r="11" spans="1:11" x14ac:dyDescent="0.25">
      <c r="A11" t="s">
        <v>88</v>
      </c>
      <c r="D11" t="s">
        <v>89</v>
      </c>
      <c r="E11" t="s">
        <v>90</v>
      </c>
    </row>
    <row r="13" spans="1:11" x14ac:dyDescent="0.25">
      <c r="A13" s="11" t="s">
        <v>38</v>
      </c>
      <c r="B13" t="s">
        <v>60</v>
      </c>
      <c r="C13" t="s">
        <v>61</v>
      </c>
      <c r="G13" t="s">
        <v>91</v>
      </c>
    </row>
    <row r="14" spans="1:11" x14ac:dyDescent="0.25">
      <c r="A14" t="s">
        <v>39</v>
      </c>
    </row>
    <row r="15" spans="1:11" x14ac:dyDescent="0.25">
      <c r="A15" t="s">
        <v>40</v>
      </c>
      <c r="B15" t="s">
        <v>28</v>
      </c>
      <c r="C15" t="s">
        <v>62</v>
      </c>
    </row>
    <row r="16" spans="1:11" x14ac:dyDescent="0.25">
      <c r="A16" t="s">
        <v>92</v>
      </c>
    </row>
    <row r="17" spans="1:10" x14ac:dyDescent="0.25">
      <c r="A17" s="12" t="s">
        <v>19</v>
      </c>
      <c r="B17" s="12" t="s">
        <v>65</v>
      </c>
      <c r="C17" t="s">
        <v>68</v>
      </c>
      <c r="D17" s="15" t="s">
        <v>66</v>
      </c>
      <c r="E17" t="s">
        <v>67</v>
      </c>
      <c r="F17">
        <v>2035</v>
      </c>
      <c r="J17" t="s">
        <v>64</v>
      </c>
    </row>
    <row r="18" spans="1:10" x14ac:dyDescent="0.25">
      <c r="J18" t="s">
        <v>28</v>
      </c>
    </row>
    <row r="19" spans="1:10" x14ac:dyDescent="0.25">
      <c r="J19" t="s">
        <v>61</v>
      </c>
    </row>
    <row r="21" spans="1:10" x14ac:dyDescent="0.25">
      <c r="A21" s="12" t="s">
        <v>5</v>
      </c>
    </row>
    <row r="22" spans="1:10" x14ac:dyDescent="0.25">
      <c r="A22" t="s">
        <v>23</v>
      </c>
    </row>
    <row r="23" spans="1:10" x14ac:dyDescent="0.25">
      <c r="A23" t="s">
        <v>24</v>
      </c>
    </row>
    <row r="24" spans="1:10" x14ac:dyDescent="0.25">
      <c r="A24" t="s">
        <v>25</v>
      </c>
      <c r="J24" s="16" t="s">
        <v>96</v>
      </c>
    </row>
    <row r="25" spans="1:10" x14ac:dyDescent="0.25">
      <c r="J25" s="16"/>
    </row>
    <row r="26" spans="1:10" x14ac:dyDescent="0.25">
      <c r="J26" s="16" t="s">
        <v>101</v>
      </c>
    </row>
    <row r="27" spans="1:10" x14ac:dyDescent="0.25">
      <c r="A27" s="12" t="s">
        <v>26</v>
      </c>
      <c r="J27" s="16"/>
    </row>
    <row r="28" spans="1:10" x14ac:dyDescent="0.25">
      <c r="A28" t="s">
        <v>23</v>
      </c>
      <c r="J28" s="16" t="s">
        <v>97</v>
      </c>
    </row>
    <row r="29" spans="1:10" x14ac:dyDescent="0.25">
      <c r="A29" t="s">
        <v>27</v>
      </c>
      <c r="J29" s="16"/>
    </row>
    <row r="30" spans="1:10" x14ac:dyDescent="0.25">
      <c r="A30" t="s">
        <v>28</v>
      </c>
      <c r="J30" s="16" t="s">
        <v>98</v>
      </c>
    </row>
    <row r="31" spans="1:10" x14ac:dyDescent="0.25">
      <c r="A31" t="s">
        <v>59</v>
      </c>
      <c r="J31" s="16"/>
    </row>
    <row r="32" spans="1:10" x14ac:dyDescent="0.25">
      <c r="A32" t="s">
        <v>29</v>
      </c>
      <c r="J32" s="16" t="s">
        <v>99</v>
      </c>
    </row>
    <row r="33" spans="1:10" x14ac:dyDescent="0.25">
      <c r="J33" s="16"/>
    </row>
    <row r="34" spans="1:10" x14ac:dyDescent="0.25">
      <c r="A34" s="12" t="s">
        <v>30</v>
      </c>
      <c r="J34" s="16" t="s">
        <v>100</v>
      </c>
    </row>
    <row r="35" spans="1:10" x14ac:dyDescent="0.25">
      <c r="A35" t="s">
        <v>31</v>
      </c>
    </row>
    <row r="36" spans="1:10" x14ac:dyDescent="0.25">
      <c r="A36" t="s">
        <v>32</v>
      </c>
    </row>
    <row r="37" spans="1:10" x14ac:dyDescent="0.25">
      <c r="A37" t="s">
        <v>33</v>
      </c>
    </row>
    <row r="38" spans="1:10" x14ac:dyDescent="0.25">
      <c r="A38" t="s">
        <v>34</v>
      </c>
    </row>
    <row r="40" spans="1:10" x14ac:dyDescent="0.25">
      <c r="A40" t="s">
        <v>69</v>
      </c>
      <c r="B40" t="s">
        <v>70</v>
      </c>
      <c r="C40" t="s">
        <v>71</v>
      </c>
      <c r="D40" t="s">
        <v>72</v>
      </c>
      <c r="E40" t="s">
        <v>73</v>
      </c>
    </row>
    <row r="41" spans="1:10" x14ac:dyDescent="0.25">
      <c r="E41" t="s">
        <v>74</v>
      </c>
    </row>
    <row r="42" spans="1:10" x14ac:dyDescent="0.25">
      <c r="E42" t="s">
        <v>75</v>
      </c>
    </row>
    <row r="43" spans="1:10" x14ac:dyDescent="0.25">
      <c r="E43" t="s">
        <v>76</v>
      </c>
    </row>
    <row r="44" spans="1:10" x14ac:dyDescent="0.25">
      <c r="E44" t="s">
        <v>77</v>
      </c>
    </row>
    <row r="45" spans="1:10" x14ac:dyDescent="0.25">
      <c r="E45" t="s">
        <v>78</v>
      </c>
    </row>
    <row r="46" spans="1:10" x14ac:dyDescent="0.25">
      <c r="E46" t="s">
        <v>79</v>
      </c>
    </row>
    <row r="47" spans="1:10" x14ac:dyDescent="0.25">
      <c r="E47" t="s">
        <v>76</v>
      </c>
    </row>
    <row r="48" spans="1:10" x14ac:dyDescent="0.25">
      <c r="E48" t="s">
        <v>80</v>
      </c>
    </row>
  </sheetData>
  <hyperlinks>
    <hyperlink ref="B5" r:id="rId1"/>
    <hyperlink ref="B4" r:id="rId2"/>
    <hyperlink ref="B6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35"/>
  <sheetViews>
    <sheetView zoomScale="90" zoomScaleNormal="90" workbookViewId="0">
      <selection activeCell="A18" sqref="A18"/>
    </sheetView>
  </sheetViews>
  <sheetFormatPr defaultRowHeight="15" x14ac:dyDescent="0.25"/>
  <cols>
    <col min="1" max="1" width="48" customWidth="1"/>
    <col min="2" max="2" width="37.140625" customWidth="1"/>
    <col min="3" max="3" width="22" customWidth="1"/>
    <col min="4" max="4" width="29.85546875" customWidth="1"/>
  </cols>
  <sheetData>
    <row r="1" spans="1:4" ht="31.5" x14ac:dyDescent="0.5">
      <c r="A1" s="274" t="s">
        <v>260</v>
      </c>
      <c r="B1" s="274"/>
      <c r="C1" s="274"/>
      <c r="D1" s="274"/>
    </row>
    <row r="3" spans="1:4" ht="23.25" x14ac:dyDescent="0.25">
      <c r="A3" s="28" t="s">
        <v>410</v>
      </c>
    </row>
    <row r="5" spans="1:4" x14ac:dyDescent="0.25">
      <c r="A5" s="188" t="s">
        <v>387</v>
      </c>
      <c r="B5" s="161">
        <v>1055.05585</v>
      </c>
    </row>
    <row r="6" spans="1:4" x14ac:dyDescent="0.25">
      <c r="B6" s="197"/>
    </row>
    <row r="7" spans="1:4" ht="23.25" x14ac:dyDescent="0.25">
      <c r="A7" s="28" t="s">
        <v>411</v>
      </c>
      <c r="B7" s="197"/>
    </row>
    <row r="8" spans="1:4" x14ac:dyDescent="0.25">
      <c r="B8" s="197"/>
    </row>
    <row r="9" spans="1:4" x14ac:dyDescent="0.25">
      <c r="A9" s="188" t="s">
        <v>412</v>
      </c>
      <c r="B9" s="198">
        <v>2.2046226218000002E-3</v>
      </c>
    </row>
    <row r="10" spans="1:4" x14ac:dyDescent="0.25">
      <c r="B10" s="197"/>
    </row>
    <row r="11" spans="1:4" ht="23.25" x14ac:dyDescent="0.25">
      <c r="A11" s="28" t="s">
        <v>261</v>
      </c>
    </row>
    <row r="12" spans="1:4" x14ac:dyDescent="0.25">
      <c r="A12" s="17" t="s">
        <v>262</v>
      </c>
    </row>
    <row r="13" spans="1:4" x14ac:dyDescent="0.25">
      <c r="A13" s="17"/>
    </row>
    <row r="14" spans="1:4" x14ac:dyDescent="0.25">
      <c r="A14" s="65" t="s">
        <v>166</v>
      </c>
      <c r="B14" s="65" t="s">
        <v>167</v>
      </c>
      <c r="C14" s="66" t="s">
        <v>168</v>
      </c>
      <c r="D14" s="65" t="s">
        <v>395</v>
      </c>
    </row>
    <row r="15" spans="1:4" x14ac:dyDescent="0.25">
      <c r="A15" s="46" t="s">
        <v>437</v>
      </c>
      <c r="B15" s="67">
        <v>127960</v>
      </c>
      <c r="C15" s="64" t="s">
        <v>149</v>
      </c>
      <c r="D15" s="18" t="s">
        <v>386</v>
      </c>
    </row>
    <row r="16" spans="1:4" x14ac:dyDescent="0.25">
      <c r="A16" s="46" t="s">
        <v>428</v>
      </c>
      <c r="B16" s="67">
        <v>120438.62000000001</v>
      </c>
      <c r="C16" s="64" t="s">
        <v>149</v>
      </c>
      <c r="D16" s="18" t="s">
        <v>385</v>
      </c>
    </row>
    <row r="17" spans="1:4" x14ac:dyDescent="0.25">
      <c r="A17" s="46" t="s">
        <v>429</v>
      </c>
      <c r="B17" s="67">
        <v>120438.62000000001</v>
      </c>
      <c r="C17" s="64" t="s">
        <v>149</v>
      </c>
      <c r="D17" s="18" t="s">
        <v>385</v>
      </c>
    </row>
    <row r="18" spans="1:4" x14ac:dyDescent="0.25">
      <c r="A18" s="46" t="s">
        <v>249</v>
      </c>
      <c r="B18" s="67">
        <v>89916.293000000005</v>
      </c>
      <c r="C18" s="64" t="s">
        <v>148</v>
      </c>
      <c r="D18" s="18"/>
    </row>
    <row r="19" spans="1:4" x14ac:dyDescent="0.25">
      <c r="A19" s="18" t="s">
        <v>150</v>
      </c>
      <c r="B19" s="67">
        <v>120438.62000000001</v>
      </c>
      <c r="C19" s="64" t="s">
        <v>149</v>
      </c>
      <c r="D19" s="18"/>
    </row>
    <row r="20" spans="1:4" x14ac:dyDescent="0.25">
      <c r="A20" s="18" t="s">
        <v>103</v>
      </c>
      <c r="B20" s="67">
        <v>91410</v>
      </c>
      <c r="C20" s="64" t="s">
        <v>148</v>
      </c>
      <c r="D20" s="18"/>
    </row>
    <row r="21" spans="1:4" x14ac:dyDescent="0.25">
      <c r="A21" s="46" t="s">
        <v>248</v>
      </c>
      <c r="B21" s="67">
        <v>138490</v>
      </c>
      <c r="C21" s="64" t="s">
        <v>148</v>
      </c>
      <c r="D21" s="18" t="s">
        <v>384</v>
      </c>
    </row>
    <row r="22" spans="1:4" x14ac:dyDescent="0.25">
      <c r="A22" s="18" t="s">
        <v>108</v>
      </c>
      <c r="B22" s="67">
        <v>120438.62000000001</v>
      </c>
      <c r="C22" s="64" t="s">
        <v>148</v>
      </c>
      <c r="D22" s="18"/>
    </row>
    <row r="23" spans="1:4" x14ac:dyDescent="0.25">
      <c r="A23" s="69" t="s">
        <v>334</v>
      </c>
      <c r="B23" s="67">
        <v>84530</v>
      </c>
      <c r="C23" s="64" t="s">
        <v>148</v>
      </c>
      <c r="D23" s="18"/>
    </row>
    <row r="25" spans="1:4" ht="23.25" x14ac:dyDescent="0.25">
      <c r="A25" s="28" t="s">
        <v>169</v>
      </c>
    </row>
    <row r="27" spans="1:4" x14ac:dyDescent="0.25">
      <c r="A27" s="45" t="s">
        <v>111</v>
      </c>
      <c r="B27" s="45" t="s">
        <v>270</v>
      </c>
      <c r="C27" s="45" t="s">
        <v>169</v>
      </c>
      <c r="D27" s="22"/>
    </row>
    <row r="28" spans="1:4" x14ac:dyDescent="0.25">
      <c r="A28" s="46" t="s">
        <v>437</v>
      </c>
      <c r="B28" s="26">
        <v>1</v>
      </c>
      <c r="C28" s="74">
        <f>1/B28/Constants!B15*Constants!$B$21</f>
        <v>1.0822913410440764</v>
      </c>
      <c r="D28" s="22"/>
    </row>
    <row r="29" spans="1:4" x14ac:dyDescent="0.25">
      <c r="A29" s="46" t="s">
        <v>428</v>
      </c>
      <c r="B29" s="26">
        <v>0.9</v>
      </c>
      <c r="C29" s="74">
        <f>1/B29/Constants!B16*Constants!$B$21</f>
        <v>1.2776448100931226</v>
      </c>
      <c r="D29" s="22"/>
    </row>
    <row r="30" spans="1:4" x14ac:dyDescent="0.25">
      <c r="A30" s="46" t="s">
        <v>429</v>
      </c>
      <c r="B30" s="26">
        <v>0.9</v>
      </c>
      <c r="C30" s="74">
        <f>1/B30/Constants!B17*Constants!$B$21</f>
        <v>1.2776448100931226</v>
      </c>
      <c r="D30" s="22"/>
    </row>
    <row r="31" spans="1:4" x14ac:dyDescent="0.25">
      <c r="A31" s="46" t="s">
        <v>249</v>
      </c>
      <c r="B31" s="26">
        <v>0.9</v>
      </c>
      <c r="C31" s="74">
        <f>1/B31/Constants!B18*Constants!$B$21</f>
        <v>1.7113447701605957</v>
      </c>
      <c r="D31" s="22"/>
    </row>
    <row r="32" spans="1:4" x14ac:dyDescent="0.25">
      <c r="A32" s="73" t="s">
        <v>150</v>
      </c>
      <c r="B32" s="26">
        <v>4.2</v>
      </c>
      <c r="C32" s="74">
        <f>1/B32/Constants!B19*Constants!$B$21</f>
        <v>0.27378103073424054</v>
      </c>
      <c r="D32" s="22"/>
    </row>
    <row r="33" spans="1:4" x14ac:dyDescent="0.25">
      <c r="A33" s="73" t="s">
        <v>103</v>
      </c>
      <c r="B33" s="26">
        <v>0.9</v>
      </c>
      <c r="C33" s="74">
        <f>1/B33/Constants!B20*Constants!$B$21</f>
        <v>1.6833801310335605</v>
      </c>
      <c r="D33" s="22"/>
    </row>
    <row r="34" spans="1:4" x14ac:dyDescent="0.25">
      <c r="A34" s="46" t="s">
        <v>248</v>
      </c>
      <c r="B34" s="26">
        <v>1</v>
      </c>
      <c r="C34" s="74">
        <f>1/B34/Constants!B21*Constants!$B$21</f>
        <v>1</v>
      </c>
      <c r="D34" s="22"/>
    </row>
    <row r="35" spans="1:4" x14ac:dyDescent="0.25">
      <c r="A35" s="73" t="s">
        <v>108</v>
      </c>
      <c r="B35" s="26">
        <v>0.9</v>
      </c>
      <c r="C35" s="74">
        <f>1/B35/Constants!B22*Constants!$B$21</f>
        <v>1.2776448100931226</v>
      </c>
      <c r="D35" s="22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25"/>
  <sheetViews>
    <sheetView zoomScale="90" zoomScaleNormal="90" workbookViewId="0">
      <selection activeCell="C11" sqref="C11"/>
    </sheetView>
  </sheetViews>
  <sheetFormatPr defaultRowHeight="15" x14ac:dyDescent="0.25"/>
  <cols>
    <col min="1" max="1" width="9.28515625" customWidth="1"/>
    <col min="2" max="2" width="37.140625" customWidth="1"/>
    <col min="3" max="3" width="22" customWidth="1"/>
    <col min="4" max="4" width="29.85546875" customWidth="1"/>
  </cols>
  <sheetData>
    <row r="1" spans="1:4" ht="31.5" x14ac:dyDescent="0.5">
      <c r="A1" s="274" t="s">
        <v>497</v>
      </c>
      <c r="B1" s="274"/>
      <c r="C1" s="274"/>
      <c r="D1" s="274"/>
    </row>
    <row r="3" spans="1:4" x14ac:dyDescent="0.25">
      <c r="A3" t="s">
        <v>471</v>
      </c>
      <c r="B3" t="s">
        <v>437</v>
      </c>
    </row>
    <row r="4" spans="1:4" x14ac:dyDescent="0.25">
      <c r="A4" t="s">
        <v>18</v>
      </c>
      <c r="B4" t="s">
        <v>501</v>
      </c>
    </row>
    <row r="5" spans="1:4" x14ac:dyDescent="0.25">
      <c r="A5" t="s">
        <v>356</v>
      </c>
      <c r="B5" t="s">
        <v>476</v>
      </c>
    </row>
    <row r="6" spans="1:4" x14ac:dyDescent="0.25">
      <c r="A6" t="s">
        <v>490</v>
      </c>
      <c r="B6" t="s">
        <v>491</v>
      </c>
    </row>
    <row r="7" spans="1:4" x14ac:dyDescent="0.25">
      <c r="A7" t="s">
        <v>470</v>
      </c>
      <c r="B7" t="s">
        <v>469</v>
      </c>
    </row>
    <row r="8" spans="1:4" x14ac:dyDescent="0.25">
      <c r="A8" t="s">
        <v>478</v>
      </c>
      <c r="B8" t="s">
        <v>477</v>
      </c>
    </row>
    <row r="9" spans="1:4" x14ac:dyDescent="0.25">
      <c r="A9" t="s">
        <v>475</v>
      </c>
      <c r="B9" t="s">
        <v>474</v>
      </c>
    </row>
    <row r="10" spans="1:4" x14ac:dyDescent="0.25">
      <c r="A10" t="s">
        <v>466</v>
      </c>
      <c r="B10" t="s">
        <v>465</v>
      </c>
    </row>
    <row r="11" spans="1:4" x14ac:dyDescent="0.25">
      <c r="A11" t="s">
        <v>149</v>
      </c>
      <c r="B11" t="s">
        <v>468</v>
      </c>
    </row>
    <row r="12" spans="1:4" x14ac:dyDescent="0.25">
      <c r="A12" t="s">
        <v>494</v>
      </c>
      <c r="B12" t="s">
        <v>485</v>
      </c>
    </row>
    <row r="13" spans="1:4" x14ac:dyDescent="0.25">
      <c r="A13" t="s">
        <v>486</v>
      </c>
      <c r="B13" t="s">
        <v>487</v>
      </c>
    </row>
    <row r="14" spans="1:4" x14ac:dyDescent="0.25">
      <c r="A14" t="s">
        <v>472</v>
      </c>
      <c r="B14" t="s">
        <v>473</v>
      </c>
    </row>
    <row r="15" spans="1:4" x14ac:dyDescent="0.25">
      <c r="A15" t="s">
        <v>463</v>
      </c>
      <c r="B15" t="s">
        <v>462</v>
      </c>
    </row>
    <row r="16" spans="1:4" x14ac:dyDescent="0.25">
      <c r="A16" t="s">
        <v>464</v>
      </c>
      <c r="B16" t="s">
        <v>467</v>
      </c>
    </row>
    <row r="17" spans="1:2" x14ac:dyDescent="0.25">
      <c r="A17" t="s">
        <v>479</v>
      </c>
      <c r="B17" t="s">
        <v>500</v>
      </c>
    </row>
    <row r="18" spans="1:2" x14ac:dyDescent="0.25">
      <c r="A18" t="s">
        <v>488</v>
      </c>
      <c r="B18" t="s">
        <v>489</v>
      </c>
    </row>
    <row r="19" spans="1:2" x14ac:dyDescent="0.25">
      <c r="A19" t="s">
        <v>360</v>
      </c>
      <c r="B19" t="s">
        <v>482</v>
      </c>
    </row>
    <row r="20" spans="1:2" x14ac:dyDescent="0.25">
      <c r="A20" t="s">
        <v>308</v>
      </c>
      <c r="B20" t="s">
        <v>481</v>
      </c>
    </row>
    <row r="21" spans="1:2" x14ac:dyDescent="0.25">
      <c r="A21" t="s">
        <v>495</v>
      </c>
      <c r="B21" t="s">
        <v>496</v>
      </c>
    </row>
    <row r="22" spans="1:2" x14ac:dyDescent="0.25">
      <c r="A22" t="s">
        <v>493</v>
      </c>
      <c r="B22" t="s">
        <v>484</v>
      </c>
    </row>
    <row r="23" spans="1:2" x14ac:dyDescent="0.25">
      <c r="A23" t="s">
        <v>499</v>
      </c>
      <c r="B23" t="s">
        <v>498</v>
      </c>
    </row>
    <row r="24" spans="1:2" x14ac:dyDescent="0.25">
      <c r="A24" t="s">
        <v>87</v>
      </c>
      <c r="B24" t="s">
        <v>480</v>
      </c>
    </row>
    <row r="25" spans="1:2" x14ac:dyDescent="0.25">
      <c r="A25" t="s">
        <v>492</v>
      </c>
      <c r="B25" t="s">
        <v>483</v>
      </c>
    </row>
  </sheetData>
  <sortState ref="A3:B25">
    <sortCondition ref="A3:A25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6"/>
  <sheetViews>
    <sheetView workbookViewId="0">
      <selection activeCell="F17" sqref="F17"/>
    </sheetView>
  </sheetViews>
  <sheetFormatPr defaultColWidth="8.85546875" defaultRowHeight="15" x14ac:dyDescent="0.25"/>
  <cols>
    <col min="1" max="1" width="40.42578125" style="22" customWidth="1"/>
    <col min="2" max="4" width="14.7109375" style="22" customWidth="1"/>
    <col min="5" max="5" width="11.5703125" style="22" customWidth="1"/>
    <col min="6" max="6" width="9" style="22" customWidth="1"/>
    <col min="7" max="7" width="115.42578125" style="22" customWidth="1"/>
    <col min="8" max="16384" width="8.85546875" style="22"/>
  </cols>
  <sheetData>
    <row r="1" spans="1:7" ht="31.5" x14ac:dyDescent="0.25">
      <c r="A1" s="275" t="s">
        <v>418</v>
      </c>
      <c r="B1" s="275"/>
      <c r="C1" s="275"/>
      <c r="D1" s="275"/>
      <c r="E1" s="275"/>
      <c r="F1" s="275"/>
      <c r="G1" s="275"/>
    </row>
    <row r="3" spans="1:7" ht="23.25" x14ac:dyDescent="0.25">
      <c r="A3" s="28" t="s">
        <v>300</v>
      </c>
    </row>
    <row r="5" spans="1:7" ht="50.45" customHeight="1" x14ac:dyDescent="0.25">
      <c r="A5" s="84" t="s">
        <v>157</v>
      </c>
      <c r="B5" s="72" t="s">
        <v>264</v>
      </c>
      <c r="C5" s="72" t="s">
        <v>151</v>
      </c>
      <c r="D5" s="72" t="s">
        <v>153</v>
      </c>
      <c r="F5" s="71" t="s">
        <v>276</v>
      </c>
    </row>
    <row r="6" spans="1:7" x14ac:dyDescent="0.25">
      <c r="A6" s="73" t="s">
        <v>154</v>
      </c>
      <c r="B6" s="85">
        <v>23576</v>
      </c>
      <c r="C6" s="26">
        <v>15</v>
      </c>
      <c r="D6" s="26">
        <v>5</v>
      </c>
      <c r="F6" s="83" t="s">
        <v>87</v>
      </c>
      <c r="G6" s="22" t="s">
        <v>277</v>
      </c>
    </row>
    <row r="7" spans="1:7" x14ac:dyDescent="0.25">
      <c r="A7" s="73" t="s">
        <v>293</v>
      </c>
      <c r="B7" s="86">
        <f>B8</f>
        <v>34053</v>
      </c>
      <c r="C7" s="86">
        <v>11</v>
      </c>
      <c r="D7" s="26">
        <v>5</v>
      </c>
      <c r="F7" s="83"/>
      <c r="G7" s="8" t="s">
        <v>104</v>
      </c>
    </row>
    <row r="8" spans="1:7" x14ac:dyDescent="0.25">
      <c r="A8" s="73" t="s">
        <v>114</v>
      </c>
      <c r="B8" s="86">
        <v>34053</v>
      </c>
      <c r="C8" s="86">
        <v>5</v>
      </c>
      <c r="D8" s="26">
        <v>12</v>
      </c>
    </row>
    <row r="10" spans="1:7" ht="23.25" x14ac:dyDescent="0.25">
      <c r="A10" s="28" t="s">
        <v>300</v>
      </c>
    </row>
    <row r="12" spans="1:7" x14ac:dyDescent="0.25">
      <c r="A12" s="91" t="s">
        <v>442</v>
      </c>
      <c r="B12" s="210">
        <v>0.05</v>
      </c>
    </row>
    <row r="14" spans="1:7" ht="23.25" x14ac:dyDescent="0.25">
      <c r="A14" s="28" t="s">
        <v>279</v>
      </c>
    </row>
    <row r="16" spans="1:7" x14ac:dyDescent="0.25">
      <c r="A16" s="91" t="s">
        <v>160</v>
      </c>
      <c r="B16" s="87">
        <v>0.02</v>
      </c>
    </row>
  </sheetData>
  <mergeCells count="1">
    <mergeCell ref="A1:G1"/>
  </mergeCells>
  <hyperlinks>
    <hyperlink ref="G7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767"/>
  <sheetViews>
    <sheetView topLeftCell="A323" zoomScale="80" zoomScaleNormal="80" workbookViewId="0">
      <selection activeCell="B12" sqref="B12"/>
    </sheetView>
  </sheetViews>
  <sheetFormatPr defaultColWidth="8.85546875" defaultRowHeight="15" x14ac:dyDescent="0.25"/>
  <cols>
    <col min="1" max="1" width="47.28515625" style="22" customWidth="1"/>
    <col min="2" max="2" width="29" style="22" customWidth="1"/>
    <col min="3" max="3" width="19.140625" style="22" customWidth="1"/>
    <col min="4" max="4" width="27.28515625" style="22" bestFit="1" customWidth="1"/>
    <col min="5" max="5" width="24.7109375" style="22" bestFit="1" customWidth="1"/>
    <col min="6" max="6" width="28.7109375" style="22" bestFit="1" customWidth="1"/>
    <col min="7" max="7" width="24" style="22" bestFit="1" customWidth="1"/>
    <col min="8" max="8" width="22.140625" style="22" bestFit="1" customWidth="1"/>
    <col min="9" max="9" width="22.140625" style="22" customWidth="1"/>
    <col min="10" max="10" width="21.85546875" style="22" customWidth="1"/>
    <col min="11" max="11" width="19.140625" style="22" customWidth="1"/>
    <col min="12" max="15" width="8.85546875" style="22"/>
    <col min="16" max="16" width="25.5703125" style="22" bestFit="1" customWidth="1"/>
    <col min="17" max="16384" width="8.85546875" style="22"/>
  </cols>
  <sheetData>
    <row r="1" spans="1:17" customFormat="1" ht="31.5" x14ac:dyDescent="0.5">
      <c r="A1" s="274" t="s">
        <v>419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7" customFormat="1" x14ac:dyDescent="0.25"/>
    <row r="3" spans="1:17" customForma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7" customFormat="1" ht="23.25" x14ac:dyDescent="0.25">
      <c r="A4" s="164" t="s">
        <v>396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7" customForma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7" s="24" customFormat="1" x14ac:dyDescent="0.25">
      <c r="A6" s="112" t="s">
        <v>259</v>
      </c>
      <c r="B6" s="203" t="str">
        <f>IF(Inputs!B18=0, " ", Inputs!B18)</f>
        <v xml:space="preserve"> </v>
      </c>
      <c r="C6" s="113"/>
      <c r="D6" s="114"/>
      <c r="E6" s="114"/>
      <c r="F6" s="114"/>
      <c r="G6" s="114"/>
      <c r="H6" s="114"/>
      <c r="I6" s="114"/>
      <c r="J6" s="114"/>
      <c r="K6" s="114"/>
      <c r="L6"/>
      <c r="M6"/>
      <c r="O6"/>
      <c r="P6"/>
      <c r="Q6"/>
    </row>
    <row r="7" spans="1:17" s="24" customFormat="1" x14ac:dyDescent="0.25">
      <c r="A7" s="112" t="s">
        <v>225</v>
      </c>
      <c r="B7" s="203" t="str">
        <f>IF(Inputs!B18=0," ",VLOOKUP(B6,E363:F413,2,0))</f>
        <v xml:space="preserve"> </v>
      </c>
      <c r="C7" s="113"/>
      <c r="D7" s="114"/>
      <c r="E7" s="114"/>
      <c r="F7" s="114"/>
      <c r="G7" s="114"/>
      <c r="H7" s="114"/>
      <c r="I7" s="114"/>
      <c r="J7" s="114"/>
      <c r="K7" s="114"/>
      <c r="L7"/>
      <c r="M7"/>
      <c r="O7"/>
      <c r="P7"/>
      <c r="Q7"/>
    </row>
    <row r="8" spans="1:17" s="24" customFormat="1" x14ac:dyDescent="0.25">
      <c r="A8" s="112" t="s">
        <v>159</v>
      </c>
      <c r="B8" s="203" t="str">
        <f>IF(Inputs!G32=0, " ", Inputs!G32)</f>
        <v xml:space="preserve"> </v>
      </c>
      <c r="C8" s="113"/>
      <c r="D8" s="114"/>
      <c r="E8" s="114"/>
      <c r="F8" s="114"/>
      <c r="G8" s="114"/>
      <c r="H8" s="114"/>
      <c r="I8" s="114"/>
      <c r="J8" s="114"/>
      <c r="K8" s="114"/>
      <c r="L8"/>
      <c r="M8"/>
      <c r="O8"/>
      <c r="P8"/>
      <c r="Q8"/>
    </row>
    <row r="9" spans="1:17" s="24" customFormat="1" x14ac:dyDescent="0.25">
      <c r="A9" s="112" t="s">
        <v>440</v>
      </c>
      <c r="B9" s="165">
        <f>IF(Inputs!K35=0,Inputs!J35,Inputs!K35)</f>
        <v>0.05</v>
      </c>
      <c r="C9" s="113"/>
      <c r="D9" s="114"/>
      <c r="E9" s="114"/>
      <c r="F9" s="114"/>
      <c r="G9" s="114"/>
      <c r="H9" s="114"/>
      <c r="I9" s="114"/>
      <c r="J9" s="114"/>
      <c r="K9" s="114"/>
      <c r="L9"/>
      <c r="M9"/>
      <c r="O9"/>
      <c r="P9"/>
      <c r="Q9"/>
    </row>
    <row r="10" spans="1:17" s="24" customFormat="1" x14ac:dyDescent="0.25">
      <c r="A10" s="112" t="s">
        <v>258</v>
      </c>
      <c r="B10" s="165" t="str">
        <f>IF(Inputs!B18=0," ", VLOOKUP(CONCATENATE(B7,"_",2016),$A$35:$H$358,5,0))</f>
        <v xml:space="preserve"> </v>
      </c>
      <c r="C10" s="113"/>
      <c r="D10" s="114"/>
      <c r="E10" s="114"/>
      <c r="F10" s="114"/>
      <c r="G10" s="114"/>
      <c r="H10" s="114"/>
      <c r="I10" s="114"/>
      <c r="J10" s="114"/>
      <c r="K10" s="114"/>
      <c r="L10"/>
      <c r="M10"/>
      <c r="O10"/>
      <c r="P10"/>
      <c r="Q10"/>
    </row>
    <row r="11" spans="1:17" s="24" customFormat="1" x14ac:dyDescent="0.25">
      <c r="A11" s="112" t="s">
        <v>257</v>
      </c>
      <c r="B11" s="165">
        <f>Inputs!C39</f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O11"/>
      <c r="P11"/>
      <c r="Q11"/>
    </row>
    <row r="12" spans="1:17" s="24" customFormat="1" x14ac:dyDescent="0.25">
      <c r="A12" s="112" t="s">
        <v>430</v>
      </c>
      <c r="B12" s="165" t="str">
        <f>IF(Inputs!B18=0," ", VLOOKUP(CONCATENATE(B7,"_",2016),$A$35:$H$358,4,0))</f>
        <v xml:space="preserve"> </v>
      </c>
      <c r="C12" s="113"/>
      <c r="D12" s="113"/>
      <c r="E12" s="113"/>
      <c r="F12" s="113"/>
      <c r="G12" s="113"/>
      <c r="H12" s="113"/>
      <c r="I12" s="113"/>
      <c r="J12" s="113"/>
      <c r="K12" s="113"/>
      <c r="O12"/>
      <c r="P12"/>
      <c r="Q12"/>
    </row>
    <row r="13" spans="1:17" s="24" customFormat="1" x14ac:dyDescent="0.25">
      <c r="A13" s="112" t="s">
        <v>431</v>
      </c>
      <c r="B13" s="165">
        <f>Inputs!C40</f>
        <v>0</v>
      </c>
      <c r="C13" s="113"/>
      <c r="D13" s="113"/>
      <c r="E13" s="113"/>
      <c r="F13" s="113"/>
      <c r="G13" s="113"/>
      <c r="H13" s="113"/>
      <c r="I13" s="113"/>
      <c r="J13" s="113"/>
      <c r="K13" s="113"/>
      <c r="O13"/>
      <c r="P13"/>
      <c r="Q13"/>
    </row>
    <row r="14" spans="1:17" s="24" customFormat="1" x14ac:dyDescent="0.25">
      <c r="A14" s="112"/>
      <c r="B14" s="165"/>
      <c r="C14" s="113"/>
      <c r="D14" s="113"/>
      <c r="E14" s="113"/>
      <c r="F14" s="113"/>
      <c r="G14" s="113"/>
      <c r="H14" s="113"/>
      <c r="I14" s="113"/>
      <c r="J14" s="113"/>
      <c r="K14" s="113"/>
      <c r="O14"/>
      <c r="P14"/>
      <c r="Q14"/>
    </row>
    <row r="15" spans="1:17" s="24" customFormat="1" x14ac:dyDescent="0.25">
      <c r="C15"/>
      <c r="O15"/>
      <c r="P15"/>
      <c r="Q15"/>
    </row>
    <row r="16" spans="1:17" s="24" customFormat="1" ht="23.25" x14ac:dyDescent="0.25">
      <c r="A16" s="28" t="s">
        <v>404</v>
      </c>
      <c r="C16"/>
      <c r="O16"/>
      <c r="P16"/>
      <c r="Q16"/>
    </row>
    <row r="17" spans="1:17" s="24" customFormat="1" x14ac:dyDescent="0.25">
      <c r="O17"/>
      <c r="P17"/>
      <c r="Q17"/>
    </row>
    <row r="18" spans="1:17" s="24" customFormat="1" x14ac:dyDescent="0.25">
      <c r="A18" s="45" t="s">
        <v>235</v>
      </c>
      <c r="B18" s="276" t="s">
        <v>159</v>
      </c>
      <c r="C18" s="277"/>
      <c r="D18" s="276" t="s">
        <v>432</v>
      </c>
      <c r="E18" s="277"/>
      <c r="F18" s="276" t="s">
        <v>433</v>
      </c>
      <c r="G18" s="277"/>
      <c r="H18" s="276" t="s">
        <v>255</v>
      </c>
      <c r="I18" s="278"/>
      <c r="J18" s="273" t="s">
        <v>256</v>
      </c>
      <c r="K18" s="273"/>
      <c r="O18"/>
    </row>
    <row r="19" spans="1:17" s="24" customFormat="1" x14ac:dyDescent="0.25">
      <c r="A19" s="26" t="str">
        <f>CONCATENATE($B$7,"_",Inputs!B46)</f>
        <v xml:space="preserve"> _2018</v>
      </c>
      <c r="B19" s="57">
        <f t="shared" ref="B19:B28" si="0">IF(AND($B$8="Biodiesel",$B$11=0),H19, IF(AND($B$8="Biodiesel", $B$11&gt;0), J19, IF(OR($B$8="Compressed Natural Gas (CNG) - Conventional (fossil)",$B$8="Compressed Natural Gas (CNG) - Renewable"),VLOOKUP(A19,$A$35:$H$358,7,0), IF($B$8="E85 (Flex Fuel)",VLOOKUP(A19,$A$35:$H$358,3,0), IF($B$8="Electricity",VLOOKUP(A19,$A$35:$H$358,8,0), IF($B$8="Propane",VLOOKUP(A19,$A$35:$H$358,2,0), 0))))))</f>
        <v>0</v>
      </c>
      <c r="C19" s="58" t="str">
        <f>IF($B$8="Biodiesel","$/GGE", IF(OR($B$8="Compressed Natural Gas (CNG) - Conventional (fossil)",$B$8="Compressed Natural Gas (CNG) - Renewable"),"$/GGE", IF($B$8="E85 (Flex Fuel)","$/gallon", IF($B$8="Electricity","$/GGE", IF($B$8="Propane","$/gallon", "$/gallon")))))</f>
        <v>$/gallon</v>
      </c>
      <c r="D19" s="57">
        <f>IF(B6=" ", 0, VLOOKUP(A19,$A$35:$H$358,4,0))</f>
        <v>0</v>
      </c>
      <c r="E19" s="58" t="s">
        <v>254</v>
      </c>
      <c r="F19" s="152">
        <f t="shared" ref="F19:F28" si="1">IF($B$6=" ", 0, VLOOKUP(A19,$A$35:$J$358,9,0))</f>
        <v>0</v>
      </c>
      <c r="G19" s="58" t="s">
        <v>254</v>
      </c>
      <c r="H19" s="57">
        <f t="shared" ref="H19:H28" si="2">IF($B$6=" ", 0, VLOOKUP(A19,$A$35:$H$358,5,0))</f>
        <v>0</v>
      </c>
      <c r="I19" s="58" t="s">
        <v>254</v>
      </c>
      <c r="J19" s="57">
        <f t="shared" ref="J19:J28" si="3">IF($B$6=" ", 0, VLOOKUP(A19,$A$35:$J$358,10,0))</f>
        <v>0</v>
      </c>
      <c r="K19" s="58" t="s">
        <v>254</v>
      </c>
      <c r="O19"/>
    </row>
    <row r="20" spans="1:17" s="24" customFormat="1" x14ac:dyDescent="0.25">
      <c r="A20" s="26" t="str">
        <f>CONCATENATE($B$7,"_",Inputs!C46)</f>
        <v xml:space="preserve"> _2019</v>
      </c>
      <c r="B20" s="57">
        <f t="shared" si="0"/>
        <v>0</v>
      </c>
      <c r="C20" s="58" t="str">
        <f t="shared" ref="C20:C28" si="4">IF($B$8="Biodiesel","$/GGE", IF(OR($B$8="Compressed Natural Gas (CNG) - Conventional (fossil)",$B$8="Compressed Natural Gas (CNG) - Renewable"),"$/GGE", IF($B$8="E85 (Flex Fuel)","$/gallon", IF($B$8="Electricity","$/GGE", IF($B$8="Propane","$/gallon", "$/gallon")))))</f>
        <v>$/gallon</v>
      </c>
      <c r="D20" s="57">
        <f t="shared" ref="D20:D28" si="5">IF($B$6=" ", 0, VLOOKUP(A20,$A$35:$H$358,4,0))</f>
        <v>0</v>
      </c>
      <c r="E20" s="58" t="s">
        <v>254</v>
      </c>
      <c r="F20" s="152">
        <f t="shared" si="1"/>
        <v>0</v>
      </c>
      <c r="G20" s="58" t="s">
        <v>254</v>
      </c>
      <c r="H20" s="57">
        <f t="shared" si="2"/>
        <v>0</v>
      </c>
      <c r="I20" s="58" t="s">
        <v>254</v>
      </c>
      <c r="J20" s="57">
        <f t="shared" si="3"/>
        <v>0</v>
      </c>
      <c r="K20" s="58" t="s">
        <v>254</v>
      </c>
      <c r="O20"/>
    </row>
    <row r="21" spans="1:17" s="24" customFormat="1" x14ac:dyDescent="0.25">
      <c r="A21" s="26" t="str">
        <f>CONCATENATE($B$7,"_",Inputs!D46)</f>
        <v xml:space="preserve"> _2020</v>
      </c>
      <c r="B21" s="57">
        <f t="shared" si="0"/>
        <v>0</v>
      </c>
      <c r="C21" s="58" t="str">
        <f t="shared" si="4"/>
        <v>$/gallon</v>
      </c>
      <c r="D21" s="57">
        <f t="shared" si="5"/>
        <v>0</v>
      </c>
      <c r="E21" s="58" t="s">
        <v>254</v>
      </c>
      <c r="F21" s="152">
        <f t="shared" si="1"/>
        <v>0</v>
      </c>
      <c r="G21" s="58" t="s">
        <v>254</v>
      </c>
      <c r="H21" s="57">
        <f t="shared" si="2"/>
        <v>0</v>
      </c>
      <c r="I21" s="58" t="s">
        <v>254</v>
      </c>
      <c r="J21" s="57">
        <f t="shared" si="3"/>
        <v>0</v>
      </c>
      <c r="K21" s="58" t="s">
        <v>254</v>
      </c>
      <c r="O21"/>
    </row>
    <row r="22" spans="1:17" s="24" customFormat="1" x14ac:dyDescent="0.25">
      <c r="A22" s="26" t="str">
        <f>CONCATENATE($B$7,"_",Inputs!E46)</f>
        <v xml:space="preserve"> _2021</v>
      </c>
      <c r="B22" s="57">
        <f t="shared" si="0"/>
        <v>0</v>
      </c>
      <c r="C22" s="58" t="str">
        <f t="shared" si="4"/>
        <v>$/gallon</v>
      </c>
      <c r="D22" s="57">
        <f t="shared" si="5"/>
        <v>0</v>
      </c>
      <c r="E22" s="58" t="s">
        <v>254</v>
      </c>
      <c r="F22" s="152">
        <f t="shared" si="1"/>
        <v>0</v>
      </c>
      <c r="G22" s="58" t="s">
        <v>254</v>
      </c>
      <c r="H22" s="57">
        <f t="shared" si="2"/>
        <v>0</v>
      </c>
      <c r="I22" s="58" t="s">
        <v>254</v>
      </c>
      <c r="J22" s="57">
        <f t="shared" si="3"/>
        <v>0</v>
      </c>
      <c r="K22" s="58" t="s">
        <v>254</v>
      </c>
    </row>
    <row r="23" spans="1:17" s="24" customFormat="1" x14ac:dyDescent="0.25">
      <c r="A23" s="26" t="str">
        <f>CONCATENATE($B$7,"_",Inputs!F46)</f>
        <v xml:space="preserve"> _2022</v>
      </c>
      <c r="B23" s="57">
        <f t="shared" si="0"/>
        <v>0</v>
      </c>
      <c r="C23" s="58" t="str">
        <f t="shared" si="4"/>
        <v>$/gallon</v>
      </c>
      <c r="D23" s="57">
        <f t="shared" si="5"/>
        <v>0</v>
      </c>
      <c r="E23" s="58" t="s">
        <v>254</v>
      </c>
      <c r="F23" s="152">
        <f t="shared" si="1"/>
        <v>0</v>
      </c>
      <c r="G23" s="58" t="s">
        <v>254</v>
      </c>
      <c r="H23" s="57">
        <f t="shared" si="2"/>
        <v>0</v>
      </c>
      <c r="I23" s="58" t="s">
        <v>254</v>
      </c>
      <c r="J23" s="57">
        <f t="shared" si="3"/>
        <v>0</v>
      </c>
      <c r="K23" s="58" t="s">
        <v>254</v>
      </c>
    </row>
    <row r="24" spans="1:17" s="24" customFormat="1" x14ac:dyDescent="0.25">
      <c r="A24" s="26" t="str">
        <f>CONCATENATE($B$7,"_",Inputs!G46)</f>
        <v xml:space="preserve"> _2023</v>
      </c>
      <c r="B24" s="57">
        <f t="shared" si="0"/>
        <v>0</v>
      </c>
      <c r="C24" s="58" t="str">
        <f t="shared" si="4"/>
        <v>$/gallon</v>
      </c>
      <c r="D24" s="57">
        <f t="shared" si="5"/>
        <v>0</v>
      </c>
      <c r="E24" s="58" t="s">
        <v>254</v>
      </c>
      <c r="F24" s="152">
        <f t="shared" si="1"/>
        <v>0</v>
      </c>
      <c r="G24" s="58" t="s">
        <v>254</v>
      </c>
      <c r="H24" s="57">
        <f t="shared" si="2"/>
        <v>0</v>
      </c>
      <c r="I24" s="58" t="s">
        <v>254</v>
      </c>
      <c r="J24" s="57">
        <f t="shared" si="3"/>
        <v>0</v>
      </c>
      <c r="K24" s="58" t="s">
        <v>254</v>
      </c>
    </row>
    <row r="25" spans="1:17" s="24" customFormat="1" x14ac:dyDescent="0.25">
      <c r="A25" s="26" t="str">
        <f>CONCATENATE($B$7,"_",Inputs!H46)</f>
        <v xml:space="preserve"> _2024</v>
      </c>
      <c r="B25" s="57">
        <f t="shared" si="0"/>
        <v>0</v>
      </c>
      <c r="C25" s="58" t="str">
        <f t="shared" si="4"/>
        <v>$/gallon</v>
      </c>
      <c r="D25" s="57">
        <f t="shared" si="5"/>
        <v>0</v>
      </c>
      <c r="E25" s="58" t="s">
        <v>254</v>
      </c>
      <c r="F25" s="152">
        <f t="shared" si="1"/>
        <v>0</v>
      </c>
      <c r="G25" s="58" t="s">
        <v>254</v>
      </c>
      <c r="H25" s="57">
        <f t="shared" si="2"/>
        <v>0</v>
      </c>
      <c r="I25" s="58" t="s">
        <v>254</v>
      </c>
      <c r="J25" s="57">
        <f t="shared" si="3"/>
        <v>0</v>
      </c>
      <c r="K25" s="58" t="s">
        <v>254</v>
      </c>
    </row>
    <row r="26" spans="1:17" s="24" customFormat="1" x14ac:dyDescent="0.25">
      <c r="A26" s="26" t="str">
        <f>CONCATENATE($B$7,"_",Inputs!I46)</f>
        <v xml:space="preserve"> _2025</v>
      </c>
      <c r="B26" s="57">
        <f t="shared" si="0"/>
        <v>0</v>
      </c>
      <c r="C26" s="58" t="str">
        <f t="shared" si="4"/>
        <v>$/gallon</v>
      </c>
      <c r="D26" s="57">
        <f t="shared" si="5"/>
        <v>0</v>
      </c>
      <c r="E26" s="58" t="s">
        <v>254</v>
      </c>
      <c r="F26" s="152">
        <f t="shared" si="1"/>
        <v>0</v>
      </c>
      <c r="G26" s="58" t="s">
        <v>254</v>
      </c>
      <c r="H26" s="57">
        <f t="shared" si="2"/>
        <v>0</v>
      </c>
      <c r="I26" s="58" t="s">
        <v>254</v>
      </c>
      <c r="J26" s="57">
        <f t="shared" si="3"/>
        <v>0</v>
      </c>
      <c r="K26" s="58" t="s">
        <v>254</v>
      </c>
    </row>
    <row r="27" spans="1:17" s="24" customFormat="1" x14ac:dyDescent="0.25">
      <c r="A27" s="26" t="str">
        <f>CONCATENATE($B$7,"_",Inputs!J46)</f>
        <v xml:space="preserve"> _2026</v>
      </c>
      <c r="B27" s="57">
        <f t="shared" si="0"/>
        <v>0</v>
      </c>
      <c r="C27" s="58" t="str">
        <f t="shared" si="4"/>
        <v>$/gallon</v>
      </c>
      <c r="D27" s="57">
        <f t="shared" si="5"/>
        <v>0</v>
      </c>
      <c r="E27" s="58" t="s">
        <v>254</v>
      </c>
      <c r="F27" s="152">
        <f t="shared" si="1"/>
        <v>0</v>
      </c>
      <c r="G27" s="58" t="s">
        <v>254</v>
      </c>
      <c r="H27" s="57">
        <f t="shared" si="2"/>
        <v>0</v>
      </c>
      <c r="I27" s="58" t="s">
        <v>254</v>
      </c>
      <c r="J27" s="57">
        <f t="shared" si="3"/>
        <v>0</v>
      </c>
      <c r="K27" s="58" t="s">
        <v>254</v>
      </c>
    </row>
    <row r="28" spans="1:17" s="24" customFormat="1" x14ac:dyDescent="0.25">
      <c r="A28" s="26" t="str">
        <f>CONCATENATE($B$7,"_",Inputs!K46)</f>
        <v xml:space="preserve"> _2027</v>
      </c>
      <c r="B28" s="57">
        <f t="shared" si="0"/>
        <v>0</v>
      </c>
      <c r="C28" s="58" t="str">
        <f t="shared" si="4"/>
        <v>$/gallon</v>
      </c>
      <c r="D28" s="57">
        <f t="shared" si="5"/>
        <v>0</v>
      </c>
      <c r="E28" s="58" t="s">
        <v>254</v>
      </c>
      <c r="F28" s="152">
        <f t="shared" si="1"/>
        <v>0</v>
      </c>
      <c r="G28" s="58" t="s">
        <v>254</v>
      </c>
      <c r="H28" s="57">
        <f t="shared" si="2"/>
        <v>0</v>
      </c>
      <c r="I28" s="58" t="s">
        <v>254</v>
      </c>
      <c r="J28" s="57">
        <f t="shared" si="3"/>
        <v>0</v>
      </c>
      <c r="K28" s="58" t="s">
        <v>254</v>
      </c>
    </row>
    <row r="29" spans="1:17" s="24" customFormat="1" x14ac:dyDescent="0.25">
      <c r="A29" s="27"/>
      <c r="B29" s="22"/>
      <c r="C29" s="22"/>
    </row>
    <row r="30" spans="1:17" ht="23.25" x14ac:dyDescent="0.25">
      <c r="A30" s="28" t="s">
        <v>309</v>
      </c>
    </row>
    <row r="32" spans="1:17" s="25" customFormat="1" ht="22.9" customHeight="1" x14ac:dyDescent="0.25">
      <c r="A32" s="281" t="s">
        <v>235</v>
      </c>
      <c r="B32" s="281" t="s">
        <v>247</v>
      </c>
      <c r="C32" s="281"/>
      <c r="D32" s="281"/>
      <c r="E32" s="281"/>
      <c r="F32" s="281"/>
      <c r="G32" s="281"/>
      <c r="H32" s="281"/>
      <c r="I32" s="281"/>
      <c r="J32" s="281"/>
    </row>
    <row r="33" spans="1:10" s="25" customFormat="1" ht="22.9" customHeight="1" x14ac:dyDescent="0.25">
      <c r="A33" s="281"/>
      <c r="B33" s="279" t="s">
        <v>252</v>
      </c>
      <c r="C33" s="282"/>
      <c r="D33" s="282"/>
      <c r="E33" s="282"/>
      <c r="F33" s="282"/>
      <c r="G33" s="282"/>
      <c r="H33" s="280"/>
      <c r="I33" s="279" t="s">
        <v>253</v>
      </c>
      <c r="J33" s="280"/>
    </row>
    <row r="34" spans="1:10" s="25" customFormat="1" ht="24" customHeight="1" x14ac:dyDescent="0.25">
      <c r="A34" s="281"/>
      <c r="B34" s="33" t="s">
        <v>240</v>
      </c>
      <c r="C34" s="33" t="s">
        <v>241</v>
      </c>
      <c r="D34" s="33" t="s">
        <v>242</v>
      </c>
      <c r="E34" s="33" t="s">
        <v>243</v>
      </c>
      <c r="F34" s="33" t="s">
        <v>244</v>
      </c>
      <c r="G34" s="33" t="s">
        <v>245</v>
      </c>
      <c r="H34" s="33" t="s">
        <v>246</v>
      </c>
      <c r="I34" s="207" t="s">
        <v>434</v>
      </c>
      <c r="J34" s="33" t="s">
        <v>243</v>
      </c>
    </row>
    <row r="35" spans="1:10" s="25" customFormat="1" x14ac:dyDescent="0.25">
      <c r="A35" s="34" t="str">
        <f t="shared" ref="A35:A70" si="6">CONCATENATE("Pacific_",A420)</f>
        <v>Pacific_2050</v>
      </c>
      <c r="B35" s="49">
        <f>B420*Constants!$B$20/1000000</f>
        <v>2.1515927660699998</v>
      </c>
      <c r="C35" s="49">
        <f>C420*Constants!$B$18/1000000</f>
        <v>2.8901503629363612</v>
      </c>
      <c r="D35" s="49">
        <f>D420*Constants!$B$22/1000000</f>
        <v>3.5944332851168803</v>
      </c>
      <c r="E35" s="49">
        <f>E420*Constants!$B$21/1000000</f>
        <v>4.4706350211599997</v>
      </c>
      <c r="F35" s="49">
        <f>F420*Constants!$B$15/1000000</f>
        <v>2.8384860078400003</v>
      </c>
      <c r="G35" s="49">
        <f>G420*Constants!$B$16/1000000</f>
        <v>2.4431573851327602</v>
      </c>
      <c r="H35" s="49">
        <f>H420*Constants!$B$19/1000000</f>
        <v>5.7360574098135206</v>
      </c>
      <c r="I35" s="34">
        <f t="shared" ref="I35:I70" si="7">$B$13*J420</f>
        <v>0</v>
      </c>
      <c r="J35" s="34">
        <f t="shared" ref="J35:J70" si="8">$B$11*K420</f>
        <v>0</v>
      </c>
    </row>
    <row r="36" spans="1:10" s="25" customFormat="1" x14ac:dyDescent="0.25">
      <c r="A36" s="34" t="str">
        <f t="shared" si="6"/>
        <v>Pacific_2049</v>
      </c>
      <c r="B36" s="49">
        <f>B421*Constants!$B$20/1000000</f>
        <v>2.1329221821599997</v>
      </c>
      <c r="C36" s="49">
        <f>C421*Constants!$B$18/1000000</f>
        <v>2.8848016023309633</v>
      </c>
      <c r="D36" s="49">
        <f>D421*Constants!$B$22/1000000</f>
        <v>3.55722377346788</v>
      </c>
      <c r="E36" s="49">
        <f>E421*Constants!$B$21/1000000</f>
        <v>4.4409035724899999</v>
      </c>
      <c r="F36" s="49">
        <f>F421*Constants!$B$15/1000000</f>
        <v>2.8125202366800002</v>
      </c>
      <c r="G36" s="49">
        <f>G421*Constants!$B$16/1000000</f>
        <v>2.4342856355063205</v>
      </c>
      <c r="H36" s="49">
        <f>H421*Constants!$B$19/1000000</f>
        <v>5.7400494683120407</v>
      </c>
      <c r="I36" s="34">
        <f t="shared" si="7"/>
        <v>0</v>
      </c>
      <c r="J36" s="34">
        <f t="shared" si="8"/>
        <v>0</v>
      </c>
    </row>
    <row r="37" spans="1:10" s="25" customFormat="1" x14ac:dyDescent="0.25">
      <c r="A37" s="34" t="str">
        <f t="shared" si="6"/>
        <v>Pacific_2048</v>
      </c>
      <c r="B37" s="49">
        <f>B422*Constants!$B$20/1000000</f>
        <v>2.1226042784099999</v>
      </c>
      <c r="C37" s="49">
        <f>C422*Constants!$B$18/1000000</f>
        <v>2.8817958804885593</v>
      </c>
      <c r="D37" s="49">
        <f>D422*Constants!$B$22/1000000</f>
        <v>3.5324417208235803</v>
      </c>
      <c r="E37" s="49">
        <f>E422*Constants!$B$21/1000000</f>
        <v>4.40068109085</v>
      </c>
      <c r="F37" s="49">
        <f>F422*Constants!$B$15/1000000</f>
        <v>2.7946869633199998</v>
      </c>
      <c r="G37" s="49">
        <f>G422*Constants!$B$16/1000000</f>
        <v>2.4254077435102603</v>
      </c>
      <c r="H37" s="49">
        <f>H422*Constants!$B$19/1000000</f>
        <v>5.7347301762211202</v>
      </c>
      <c r="I37" s="34">
        <f t="shared" si="7"/>
        <v>0</v>
      </c>
      <c r="J37" s="34">
        <f t="shared" si="8"/>
        <v>0</v>
      </c>
    </row>
    <row r="38" spans="1:10" s="25" customFormat="1" x14ac:dyDescent="0.25">
      <c r="A38" s="34" t="str">
        <f t="shared" si="6"/>
        <v>Pacific_2047</v>
      </c>
      <c r="B38" s="49">
        <f>B423*Constants!$B$20/1000000</f>
        <v>2.1033038796000003</v>
      </c>
      <c r="C38" s="49">
        <f>C423*Constants!$B$18/1000000</f>
        <v>2.9469065161571844</v>
      </c>
      <c r="D38" s="49">
        <f>D423*Constants!$B$22/1000000</f>
        <v>3.5434619749922001</v>
      </c>
      <c r="E38" s="49">
        <f>E423*Constants!$B$21/1000000</f>
        <v>4.3967143217800002</v>
      </c>
      <c r="F38" s="49">
        <f>F423*Constants!$B$15/1000000</f>
        <v>2.7885447553599998</v>
      </c>
      <c r="G38" s="49">
        <f>G423*Constants!$B$16/1000000</f>
        <v>2.4097098942180804</v>
      </c>
      <c r="H38" s="49">
        <f>H423*Constants!$B$19/1000000</f>
        <v>5.7292307079546809</v>
      </c>
      <c r="I38" s="34">
        <f t="shared" si="7"/>
        <v>0</v>
      </c>
      <c r="J38" s="34">
        <f t="shared" si="8"/>
        <v>0</v>
      </c>
    </row>
    <row r="39" spans="1:10" s="25" customFormat="1" x14ac:dyDescent="0.25">
      <c r="A39" s="34" t="str">
        <f t="shared" si="6"/>
        <v>Pacific_2046</v>
      </c>
      <c r="B39" s="49">
        <f>B424*Constants!$B$20/1000000</f>
        <v>2.0867630572799998</v>
      </c>
      <c r="C39" s="49">
        <f>C424*Constants!$B$18/1000000</f>
        <v>3.0097066627608808</v>
      </c>
      <c r="D39" s="49">
        <f>D424*Constants!$B$22/1000000</f>
        <v>3.5304211220958401</v>
      </c>
      <c r="E39" s="49">
        <f>E424*Constants!$B$21/1000000</f>
        <v>4.3583628400399999</v>
      </c>
      <c r="F39" s="49">
        <f>F424*Constants!$B$15/1000000</f>
        <v>2.7594169646399997</v>
      </c>
      <c r="G39" s="49">
        <f>G424*Constants!$B$16/1000000</f>
        <v>2.4070224268514</v>
      </c>
      <c r="H39" s="49">
        <f>H424*Constants!$B$19/1000000</f>
        <v>5.7373741652459813</v>
      </c>
      <c r="I39" s="34">
        <f t="shared" si="7"/>
        <v>0</v>
      </c>
      <c r="J39" s="34">
        <f t="shared" si="8"/>
        <v>0</v>
      </c>
    </row>
    <row r="40" spans="1:10" s="25" customFormat="1" x14ac:dyDescent="0.25">
      <c r="A40" s="34" t="str">
        <f t="shared" si="6"/>
        <v>Pacific_2045</v>
      </c>
      <c r="B40" s="49">
        <f>B425*Constants!$B$20/1000000</f>
        <v>2.0711961171</v>
      </c>
      <c r="C40" s="49">
        <f>C425*Constants!$B$18/1000000</f>
        <v>3.0489435254535837</v>
      </c>
      <c r="D40" s="49">
        <f>D425*Constants!$B$22/1000000</f>
        <v>3.5190636397912201</v>
      </c>
      <c r="E40" s="49">
        <f>E425*Constants!$B$21/1000000</f>
        <v>4.3373266245099993</v>
      </c>
      <c r="F40" s="49">
        <f>F425*Constants!$B$15/1000000</f>
        <v>2.7420315512799998</v>
      </c>
      <c r="G40" s="49">
        <f>G425*Constants!$B$16/1000000</f>
        <v>2.4046914577999203</v>
      </c>
      <c r="H40" s="49">
        <f>H425*Constants!$B$19/1000000</f>
        <v>5.7460464685177008</v>
      </c>
      <c r="I40" s="34">
        <f t="shared" si="7"/>
        <v>0</v>
      </c>
      <c r="J40" s="34">
        <f t="shared" si="8"/>
        <v>0</v>
      </c>
    </row>
    <row r="41" spans="1:10" s="25" customFormat="1" x14ac:dyDescent="0.25">
      <c r="A41" s="34" t="str">
        <f t="shared" si="6"/>
        <v>Pacific_2044</v>
      </c>
      <c r="B41" s="49">
        <f>B426*Constants!$B$20/1000000</f>
        <v>2.0640283847699998</v>
      </c>
      <c r="C41" s="49">
        <f>C426*Constants!$B$18/1000000</f>
        <v>3.0326745209796293</v>
      </c>
      <c r="D41" s="49">
        <f>D426*Constants!$B$22/1000000</f>
        <v>3.5047498711200804</v>
      </c>
      <c r="E41" s="49">
        <f>E426*Constants!$B$21/1000000</f>
        <v>4.3174544174300005</v>
      </c>
      <c r="F41" s="49">
        <f>F426*Constants!$B$15/1000000</f>
        <v>2.7300738172399996</v>
      </c>
      <c r="G41" s="49">
        <f>G426*Constants!$B$16/1000000</f>
        <v>2.3999323257306204</v>
      </c>
      <c r="H41" s="49">
        <f>H426*Constants!$B$19/1000000</f>
        <v>5.755528841947541</v>
      </c>
      <c r="I41" s="34">
        <f t="shared" si="7"/>
        <v>0</v>
      </c>
      <c r="J41" s="34">
        <f t="shared" si="8"/>
        <v>0</v>
      </c>
    </row>
    <row r="42" spans="1:10" s="25" customFormat="1" x14ac:dyDescent="0.25">
      <c r="A42" s="34" t="str">
        <f t="shared" si="6"/>
        <v>Pacific_2043</v>
      </c>
      <c r="B42" s="49">
        <f>B427*Constants!$B$20/1000000</f>
        <v>2.0497847871600001</v>
      </c>
      <c r="C42" s="49">
        <f>C427*Constants!$B$18/1000000</f>
        <v>2.9486708536584296</v>
      </c>
      <c r="D42" s="49">
        <f>D427*Constants!$B$22/1000000</f>
        <v>3.4887661005440207</v>
      </c>
      <c r="E42" s="49">
        <f>E427*Constants!$B$21/1000000</f>
        <v>4.3007184548899993</v>
      </c>
      <c r="F42" s="49">
        <f>F427*Constants!$B$15/1000000</f>
        <v>2.7205001059599998</v>
      </c>
      <c r="G42" s="49">
        <f>G427*Constants!$B$16/1000000</f>
        <v>2.3953070009681405</v>
      </c>
      <c r="H42" s="49">
        <f>H427*Constants!$B$19/1000000</f>
        <v>5.7848220435425608</v>
      </c>
      <c r="I42" s="34">
        <f t="shared" si="7"/>
        <v>0</v>
      </c>
      <c r="J42" s="34">
        <f t="shared" si="8"/>
        <v>0</v>
      </c>
    </row>
    <row r="43" spans="1:10" s="25" customFormat="1" x14ac:dyDescent="0.25">
      <c r="A43" s="34" t="str">
        <f t="shared" si="6"/>
        <v>Pacific_2042</v>
      </c>
      <c r="B43" s="49">
        <f>B428*Constants!$B$20/1000000</f>
        <v>2.0333541138900002</v>
      </c>
      <c r="C43" s="49">
        <f>C428*Constants!$B$18/1000000</f>
        <v>2.8548712557963465</v>
      </c>
      <c r="D43" s="49">
        <f>D428*Constants!$B$22/1000000</f>
        <v>3.4722725132895</v>
      </c>
      <c r="E43" s="49">
        <f>E428*Constants!$B$21/1000000</f>
        <v>4.29629162204</v>
      </c>
      <c r="F43" s="49">
        <f>F428*Constants!$B$15/1000000</f>
        <v>2.7126100923600003</v>
      </c>
      <c r="G43" s="49">
        <f>G428*Constants!$B$16/1000000</f>
        <v>2.3947492497189198</v>
      </c>
      <c r="H43" s="49">
        <f>H428*Constants!$B$19/1000000</f>
        <v>5.8080875330838202</v>
      </c>
      <c r="I43" s="34">
        <f t="shared" si="7"/>
        <v>0</v>
      </c>
      <c r="J43" s="34">
        <f t="shared" si="8"/>
        <v>0</v>
      </c>
    </row>
    <row r="44" spans="1:10" s="25" customFormat="1" x14ac:dyDescent="0.25">
      <c r="A44" s="34" t="str">
        <f t="shared" si="6"/>
        <v>Pacific_2041</v>
      </c>
      <c r="B44" s="49">
        <f>B429*Constants!$B$20/1000000</f>
        <v>2.0217667994700004</v>
      </c>
      <c r="C44" s="49">
        <f>C429*Constants!$B$18/1000000</f>
        <v>2.7526982930649302</v>
      </c>
      <c r="D44" s="49">
        <f>D429*Constants!$B$22/1000000</f>
        <v>3.4658479559828401</v>
      </c>
      <c r="E44" s="49">
        <f>E429*Constants!$B$21/1000000</f>
        <v>4.3020400649599999</v>
      </c>
      <c r="F44" s="49">
        <f>F429*Constants!$B$15/1000000</f>
        <v>2.7107824396800004</v>
      </c>
      <c r="G44" s="49">
        <f>G429*Constants!$B$16/1000000</f>
        <v>2.3975995500998404</v>
      </c>
      <c r="H44" s="49">
        <f>H429*Constants!$B$19/1000000</f>
        <v>5.8251270686028001</v>
      </c>
      <c r="I44" s="34">
        <f t="shared" si="7"/>
        <v>0</v>
      </c>
      <c r="J44" s="34">
        <f t="shared" si="8"/>
        <v>0</v>
      </c>
    </row>
    <row r="45" spans="1:10" s="25" customFormat="1" x14ac:dyDescent="0.25">
      <c r="A45" s="34" t="str">
        <f t="shared" si="6"/>
        <v>Pacific_2040</v>
      </c>
      <c r="B45" s="49">
        <f>B430*Constants!$B$20/1000000</f>
        <v>2.00030784492</v>
      </c>
      <c r="C45" s="49">
        <f>C430*Constants!$B$18/1000000</f>
        <v>2.672742477422005</v>
      </c>
      <c r="D45" s="49">
        <f>D430*Constants!$B$22/1000000</f>
        <v>3.4472488607734806</v>
      </c>
      <c r="E45" s="49">
        <f>E430*Constants!$B$21/1000000</f>
        <v>4.2941885129000008</v>
      </c>
      <c r="F45" s="49">
        <f>F430*Constants!$B$15/1000000</f>
        <v>2.6994120420400001</v>
      </c>
      <c r="G45" s="49">
        <f>G430*Constants!$B$16/1000000</f>
        <v>2.4080708450385</v>
      </c>
      <c r="H45" s="49">
        <f>H430*Constants!$B$19/1000000</f>
        <v>5.8460686949711604</v>
      </c>
      <c r="I45" s="34">
        <f t="shared" si="7"/>
        <v>0</v>
      </c>
      <c r="J45" s="34">
        <f t="shared" si="8"/>
        <v>0</v>
      </c>
    </row>
    <row r="46" spans="1:10" s="25" customFormat="1" x14ac:dyDescent="0.25">
      <c r="A46" s="34" t="str">
        <f t="shared" si="6"/>
        <v>Pacific_2039</v>
      </c>
      <c r="B46" s="49">
        <f>B431*Constants!$B$20/1000000</f>
        <v>1.9868108841899998</v>
      </c>
      <c r="C46" s="49">
        <f>C431*Constants!$B$18/1000000</f>
        <v>2.5948968173432037</v>
      </c>
      <c r="D46" s="49">
        <f>D431*Constants!$B$22/1000000</f>
        <v>3.4246684261027802</v>
      </c>
      <c r="E46" s="49">
        <f>E431*Constants!$B$21/1000000</f>
        <v>4.2738717529199999</v>
      </c>
      <c r="F46" s="49">
        <f>F431*Constants!$B$15/1000000</f>
        <v>2.6786632000799999</v>
      </c>
      <c r="G46" s="49">
        <f>G431*Constants!$B$16/1000000</f>
        <v>2.41631799998162</v>
      </c>
      <c r="H46" s="49">
        <f>H431*Constants!$B$19/1000000</f>
        <v>5.8730633255034803</v>
      </c>
      <c r="I46" s="34">
        <f t="shared" si="7"/>
        <v>0</v>
      </c>
      <c r="J46" s="34">
        <f t="shared" si="8"/>
        <v>0</v>
      </c>
    </row>
    <row r="47" spans="1:10" s="25" customFormat="1" x14ac:dyDescent="0.25">
      <c r="A47" s="34" t="str">
        <f t="shared" si="6"/>
        <v>Pacific_2038</v>
      </c>
      <c r="B47" s="49">
        <f>B432*Constants!$B$20/1000000</f>
        <v>1.9516805586300001</v>
      </c>
      <c r="C47" s="49">
        <f>C432*Constants!$B$18/1000000</f>
        <v>2.5252127692637201</v>
      </c>
      <c r="D47" s="49">
        <f>D432*Constants!$B$22/1000000</f>
        <v>3.3813313587840406</v>
      </c>
      <c r="E47" s="49">
        <f>E432*Constants!$B$21/1000000</f>
        <v>4.2348096789899996</v>
      </c>
      <c r="F47" s="49">
        <f>F432*Constants!$B$15/1000000</f>
        <v>2.6490032237199999</v>
      </c>
      <c r="G47" s="49">
        <f>G432*Constants!$B$16/1000000</f>
        <v>2.42434162084602</v>
      </c>
      <c r="H47" s="49">
        <f>H432*Constants!$B$19/1000000</f>
        <v>5.9001076971858613</v>
      </c>
      <c r="I47" s="34">
        <f t="shared" si="7"/>
        <v>0</v>
      </c>
      <c r="J47" s="34">
        <f t="shared" si="8"/>
        <v>0</v>
      </c>
    </row>
    <row r="48" spans="1:10" s="25" customFormat="1" x14ac:dyDescent="0.25">
      <c r="A48" s="34" t="str">
        <f t="shared" si="6"/>
        <v>Pacific_2037</v>
      </c>
      <c r="B48" s="49">
        <f>B433*Constants!$B$20/1000000</f>
        <v>1.9267467443399999</v>
      </c>
      <c r="C48" s="49">
        <f>C433*Constants!$B$18/1000000</f>
        <v>2.4799482779534694</v>
      </c>
      <c r="D48" s="49">
        <f>D433*Constants!$B$22/1000000</f>
        <v>3.364615441837</v>
      </c>
      <c r="E48" s="49">
        <f>E433*Constants!$B$21/1000000</f>
        <v>4.2185994244899998</v>
      </c>
      <c r="F48" s="49">
        <f>F433*Constants!$B$15/1000000</f>
        <v>2.63426095212</v>
      </c>
      <c r="G48" s="49">
        <f>G433*Constants!$B$16/1000000</f>
        <v>2.4373928314637001</v>
      </c>
      <c r="H48" s="49">
        <f>H433*Constants!$B$19/1000000</f>
        <v>5.9257423348211402</v>
      </c>
      <c r="I48" s="34">
        <f t="shared" si="7"/>
        <v>0</v>
      </c>
      <c r="J48" s="34">
        <f t="shared" si="8"/>
        <v>0</v>
      </c>
    </row>
    <row r="49" spans="1:10" s="25" customFormat="1" x14ac:dyDescent="0.25">
      <c r="A49" s="34" t="str">
        <f t="shared" si="6"/>
        <v>Pacific_2036</v>
      </c>
      <c r="B49" s="49">
        <f>B434*Constants!$B$20/1000000</f>
        <v>1.91397320235</v>
      </c>
      <c r="C49" s="49">
        <f>C434*Constants!$B$18/1000000</f>
        <v>2.459568750145019</v>
      </c>
      <c r="D49" s="49">
        <f>D434*Constants!$B$22/1000000</f>
        <v>3.3579999893176402</v>
      </c>
      <c r="E49" s="49">
        <f>E434*Constants!$B$21/1000000</f>
        <v>4.2143056805299999</v>
      </c>
      <c r="F49" s="49">
        <f>F434*Constants!$B$15/1000000</f>
        <v>2.6249469996399997</v>
      </c>
      <c r="G49" s="49">
        <f>G434*Constants!$B$16/1000000</f>
        <v>2.4490188918909204</v>
      </c>
      <c r="H49" s="49">
        <f>H434*Constants!$B$19/1000000</f>
        <v>5.9475679806603008</v>
      </c>
      <c r="I49" s="34">
        <f t="shared" si="7"/>
        <v>0</v>
      </c>
      <c r="J49" s="34">
        <f t="shared" si="8"/>
        <v>0</v>
      </c>
    </row>
    <row r="50" spans="1:10" s="25" customFormat="1" x14ac:dyDescent="0.25">
      <c r="A50" s="34" t="str">
        <f t="shared" si="6"/>
        <v>Pacific_2035</v>
      </c>
      <c r="B50" s="49">
        <f>B435*Constants!$B$20/1000000</f>
        <v>1.8867656557200001</v>
      </c>
      <c r="C50" s="49">
        <f>C435*Constants!$B$18/1000000</f>
        <v>2.4012278222600711</v>
      </c>
      <c r="D50" s="49">
        <f>D435*Constants!$B$22/1000000</f>
        <v>3.29361338262702</v>
      </c>
      <c r="E50" s="49">
        <f>E435*Constants!$B$21/1000000</f>
        <v>4.1488147289599997</v>
      </c>
      <c r="F50" s="49">
        <f>F435*Constants!$B$15/1000000</f>
        <v>2.5755161796000001</v>
      </c>
      <c r="G50" s="49">
        <f>G435*Constants!$B$16/1000000</f>
        <v>2.4570497390725201</v>
      </c>
      <c r="H50" s="49">
        <f>H435*Constants!$B$19/1000000</f>
        <v>5.9805517828879813</v>
      </c>
      <c r="I50" s="34">
        <f t="shared" si="7"/>
        <v>0</v>
      </c>
      <c r="J50" s="34">
        <f t="shared" si="8"/>
        <v>0</v>
      </c>
    </row>
    <row r="51" spans="1:10" s="25" customFormat="1" x14ac:dyDescent="0.25">
      <c r="A51" s="34" t="str">
        <f t="shared" si="6"/>
        <v>Pacific_2034</v>
      </c>
      <c r="B51" s="49">
        <f>B436*Constants!$B$20/1000000</f>
        <v>1.87773059991</v>
      </c>
      <c r="C51" s="49">
        <f>C436*Constants!$B$18/1000000</f>
        <v>2.4099058235300874</v>
      </c>
      <c r="D51" s="49">
        <f>D436*Constants!$B$22/1000000</f>
        <v>3.2762263816893404</v>
      </c>
      <c r="E51" s="49">
        <f>E436*Constants!$B$21/1000000</f>
        <v>4.1258071082800001</v>
      </c>
      <c r="F51" s="49">
        <f>F436*Constants!$B$15/1000000</f>
        <v>2.5597334652400003</v>
      </c>
      <c r="G51" s="49">
        <f>G436*Constants!$B$16/1000000</f>
        <v>2.4669531659178801</v>
      </c>
      <c r="H51" s="49">
        <f>H436*Constants!$B$19/1000000</f>
        <v>5.9999832294001605</v>
      </c>
      <c r="I51" s="34">
        <f t="shared" si="7"/>
        <v>0</v>
      </c>
      <c r="J51" s="34">
        <f t="shared" si="8"/>
        <v>0</v>
      </c>
    </row>
    <row r="52" spans="1:10" s="25" customFormat="1" x14ac:dyDescent="0.25">
      <c r="A52" s="34" t="str">
        <f t="shared" si="6"/>
        <v>Pacific_2033</v>
      </c>
      <c r="B52" s="49">
        <f>B437*Constants!$B$20/1000000</f>
        <v>1.8584978445000002</v>
      </c>
      <c r="C52" s="49">
        <f>C437*Constants!$B$18/1000000</f>
        <v>2.4007088254168751</v>
      </c>
      <c r="D52" s="49">
        <f>D437*Constants!$B$22/1000000</f>
        <v>3.2445565648058601</v>
      </c>
      <c r="E52" s="49">
        <f>E437*Constants!$B$21/1000000</f>
        <v>4.0851425665600001</v>
      </c>
      <c r="F52" s="49">
        <f>F437*Constants!$B$15/1000000</f>
        <v>2.5286617061999999</v>
      </c>
      <c r="G52" s="49">
        <f>G437*Constants!$B$16/1000000</f>
        <v>2.4802803014139805</v>
      </c>
      <c r="H52" s="49">
        <f>H437*Constants!$B$19/1000000</f>
        <v>6.0290890285024608</v>
      </c>
      <c r="I52" s="34">
        <f t="shared" si="7"/>
        <v>0</v>
      </c>
      <c r="J52" s="34">
        <f t="shared" si="8"/>
        <v>0</v>
      </c>
    </row>
    <row r="53" spans="1:10" s="25" customFormat="1" x14ac:dyDescent="0.25">
      <c r="A53" s="34" t="str">
        <f t="shared" si="6"/>
        <v>Pacific_2032</v>
      </c>
      <c r="B53" s="49">
        <f>B438*Constants!$B$20/1000000</f>
        <v>1.8531265929</v>
      </c>
      <c r="C53" s="49">
        <f>C438*Constants!$B$18/1000000</f>
        <v>2.443346771892303</v>
      </c>
      <c r="D53" s="49">
        <f>D438*Constants!$B$22/1000000</f>
        <v>3.2499928027968004</v>
      </c>
      <c r="E53" s="49">
        <f>E438*Constants!$B$21/1000000</f>
        <v>4.0817478996799998</v>
      </c>
      <c r="F53" s="49">
        <f>F438*Constants!$B$15/1000000</f>
        <v>2.5302261451599999</v>
      </c>
      <c r="G53" s="49">
        <f>G438*Constants!$B$16/1000000</f>
        <v>2.5002566122430405</v>
      </c>
      <c r="H53" s="49">
        <f>H438*Constants!$B$19/1000000</f>
        <v>6.0618602565658408</v>
      </c>
      <c r="I53" s="34">
        <f t="shared" si="7"/>
        <v>0</v>
      </c>
      <c r="J53" s="34">
        <f t="shared" si="8"/>
        <v>0</v>
      </c>
    </row>
    <row r="54" spans="1:10" s="25" customFormat="1" x14ac:dyDescent="0.25">
      <c r="A54" s="34" t="str">
        <f t="shared" si="6"/>
        <v>Pacific_2031</v>
      </c>
      <c r="B54" s="49">
        <f>B439*Constants!$B$20/1000000</f>
        <v>1.8272659726200002</v>
      </c>
      <c r="C54" s="49">
        <f>C439*Constants!$B$18/1000000</f>
        <v>2.4446260109928142</v>
      </c>
      <c r="D54" s="49">
        <f>D439*Constants!$B$22/1000000</f>
        <v>3.20623468206254</v>
      </c>
      <c r="E54" s="49">
        <f>E439*Constants!$B$21/1000000</f>
        <v>4.0217022364200004</v>
      </c>
      <c r="F54" s="49">
        <f>F439*Constants!$B$15/1000000</f>
        <v>2.4865027250000002</v>
      </c>
      <c r="G54" s="49">
        <f>G439*Constants!$B$16/1000000</f>
        <v>2.5193384254413602</v>
      </c>
      <c r="H54" s="49">
        <f>H439*Constants!$B$19/1000000</f>
        <v>6.0676169817246013</v>
      </c>
      <c r="I54" s="34">
        <f t="shared" si="7"/>
        <v>0</v>
      </c>
      <c r="J54" s="34">
        <f t="shared" si="8"/>
        <v>0</v>
      </c>
    </row>
    <row r="55" spans="1:10" s="25" customFormat="1" x14ac:dyDescent="0.25">
      <c r="A55" s="34" t="str">
        <f t="shared" si="6"/>
        <v>Pacific_2030</v>
      </c>
      <c r="B55" s="49">
        <f>B440*Constants!$B$20/1000000</f>
        <v>1.7929983746399998</v>
      </c>
      <c r="C55" s="49">
        <f>C440*Constants!$B$18/1000000</f>
        <v>2.4199005589947951</v>
      </c>
      <c r="D55" s="49">
        <f>D440*Constants!$B$22/1000000</f>
        <v>3.16366396568286</v>
      </c>
      <c r="E55" s="49">
        <f>E440*Constants!$B$21/1000000</f>
        <v>3.9667248916899998</v>
      </c>
      <c r="F55" s="49">
        <f>F440*Constants!$B$15/1000000</f>
        <v>2.4477557971999997</v>
      </c>
      <c r="G55" s="49">
        <f>G440*Constants!$B$16/1000000</f>
        <v>2.4964123319312601</v>
      </c>
      <c r="H55" s="49">
        <f>H440*Constants!$B$19/1000000</f>
        <v>6.0751816110081807</v>
      </c>
      <c r="I55" s="34">
        <f t="shared" si="7"/>
        <v>0</v>
      </c>
      <c r="J55" s="34">
        <f t="shared" si="8"/>
        <v>0</v>
      </c>
    </row>
    <row r="56" spans="1:10" s="25" customFormat="1" x14ac:dyDescent="0.25">
      <c r="A56" s="34" t="str">
        <f t="shared" si="6"/>
        <v>Pacific_2029</v>
      </c>
      <c r="B56" s="49">
        <f>B441*Constants!$B$20/1000000</f>
        <v>1.7794318509</v>
      </c>
      <c r="C56" s="49">
        <f>C441*Constants!$B$18/1000000</f>
        <v>2.4800327992688893</v>
      </c>
      <c r="D56" s="49">
        <f>D441*Constants!$B$22/1000000</f>
        <v>3.1220085828151802</v>
      </c>
      <c r="E56" s="49">
        <f>E441*Constants!$B$21/1000000</f>
        <v>3.9024781342799999</v>
      </c>
      <c r="F56" s="49">
        <f>F441*Constants!$B$15/1000000</f>
        <v>2.4053054510799998</v>
      </c>
      <c r="G56" s="49">
        <f>G441*Constants!$B$16/1000000</f>
        <v>2.5222370217089001</v>
      </c>
      <c r="H56" s="49">
        <f>H441*Constants!$B$19/1000000</f>
        <v>6.1052963244302196</v>
      </c>
      <c r="I56" s="34">
        <f t="shared" si="7"/>
        <v>0</v>
      </c>
      <c r="J56" s="34">
        <f t="shared" si="8"/>
        <v>0</v>
      </c>
    </row>
    <row r="57" spans="1:10" s="25" customFormat="1" x14ac:dyDescent="0.25">
      <c r="A57" s="34" t="str">
        <f t="shared" si="6"/>
        <v>Pacific_2028</v>
      </c>
      <c r="B57" s="49">
        <f>B442*Constants!$B$20/1000000</f>
        <v>1.77700482399</v>
      </c>
      <c r="C57" s="49">
        <f>C442*Constants!$B$18/1000000</f>
        <v>2.5175217791419655</v>
      </c>
      <c r="D57" s="49">
        <f>D442*Constants!$B$22/1000000</f>
        <v>3.1016025469899602</v>
      </c>
      <c r="E57" s="49">
        <f>E442*Constants!$B$21/1000000</f>
        <v>3.8626992361100005</v>
      </c>
      <c r="F57" s="49">
        <f>F442*Constants!$B$15/1000000</f>
        <v>2.3796086518399999</v>
      </c>
      <c r="G57" s="49">
        <f>G442*Constants!$B$16/1000000</f>
        <v>2.54094162114938</v>
      </c>
      <c r="H57" s="49">
        <f>H442*Constants!$B$19/1000000</f>
        <v>6.145584247206421</v>
      </c>
      <c r="I57" s="34">
        <f t="shared" si="7"/>
        <v>0</v>
      </c>
      <c r="J57" s="34">
        <f t="shared" si="8"/>
        <v>0</v>
      </c>
    </row>
    <row r="58" spans="1:10" s="25" customFormat="1" x14ac:dyDescent="0.25">
      <c r="A58" s="34" t="str">
        <f t="shared" si="6"/>
        <v>Pacific_2027</v>
      </c>
      <c r="B58" s="49">
        <f>B443*Constants!$B$20/1000000</f>
        <v>1.77185661279</v>
      </c>
      <c r="C58" s="49">
        <f>C443*Constants!$B$18/1000000</f>
        <v>2.6319532099306575</v>
      </c>
      <c r="D58" s="49">
        <f>D443*Constants!$B$22/1000000</f>
        <v>3.1099132935244405</v>
      </c>
      <c r="E58" s="49">
        <f>E443*Constants!$B$21/1000000</f>
        <v>3.8597945468499999</v>
      </c>
      <c r="F58" s="49">
        <f>F443*Constants!$B$15/1000000</f>
        <v>2.3731434728399998</v>
      </c>
      <c r="G58" s="49">
        <f>G443*Constants!$B$16/1000000</f>
        <v>2.5603362134438399</v>
      </c>
      <c r="H58" s="49">
        <f>H443*Constants!$B$19/1000000</f>
        <v>6.1377173169866399</v>
      </c>
      <c r="I58" s="34">
        <f t="shared" si="7"/>
        <v>0</v>
      </c>
      <c r="J58" s="34">
        <f t="shared" si="8"/>
        <v>0</v>
      </c>
    </row>
    <row r="59" spans="1:10" s="25" customFormat="1" x14ac:dyDescent="0.25">
      <c r="A59" s="34" t="str">
        <f t="shared" si="6"/>
        <v>Pacific_2026</v>
      </c>
      <c r="B59" s="49">
        <f>B444*Constants!$B$20/1000000</f>
        <v>1.75555382211</v>
      </c>
      <c r="C59" s="49">
        <f>C444*Constants!$B$18/1000000</f>
        <v>2.736557599141086</v>
      </c>
      <c r="D59" s="49">
        <f>D444*Constants!$B$22/1000000</f>
        <v>3.0819503364873202</v>
      </c>
      <c r="E59" s="49">
        <f>E444*Constants!$B$21/1000000</f>
        <v>3.7867482733299997</v>
      </c>
      <c r="F59" s="49">
        <f>F444*Constants!$B$15/1000000</f>
        <v>2.3533012274800003</v>
      </c>
      <c r="G59" s="49">
        <f>G444*Constants!$B$16/1000000</f>
        <v>2.2678065829230603</v>
      </c>
      <c r="H59" s="49">
        <f>H444*Constants!$B$19/1000000</f>
        <v>6.1278165397909197</v>
      </c>
      <c r="I59" s="34">
        <f t="shared" si="7"/>
        <v>0</v>
      </c>
      <c r="J59" s="34">
        <f t="shared" si="8"/>
        <v>0</v>
      </c>
    </row>
    <row r="60" spans="1:10" s="25" customFormat="1" x14ac:dyDescent="0.25">
      <c r="A60" s="34" t="str">
        <f t="shared" si="6"/>
        <v>Pacific_2025</v>
      </c>
      <c r="B60" s="49">
        <f>B445*Constants!$B$20/1000000</f>
        <v>1.7518721929500001</v>
      </c>
      <c r="C60" s="49">
        <f>C445*Constants!$B$18/1000000</f>
        <v>2.7715086017279442</v>
      </c>
      <c r="D60" s="49">
        <f>D445*Constants!$B$22/1000000</f>
        <v>3.04312839259376</v>
      </c>
      <c r="E60" s="49">
        <f>E445*Constants!$B$21/1000000</f>
        <v>3.7354611331399998</v>
      </c>
      <c r="F60" s="49">
        <f>F445*Constants!$B$15/1000000</f>
        <v>2.31516953136</v>
      </c>
      <c r="G60" s="49">
        <f>G445*Constants!$B$16/1000000</f>
        <v>2.2618523384275004</v>
      </c>
      <c r="H60" s="49">
        <f>H445*Constants!$B$19/1000000</f>
        <v>6.0012936015857603</v>
      </c>
      <c r="I60" s="34">
        <f t="shared" si="7"/>
        <v>0</v>
      </c>
      <c r="J60" s="34">
        <f t="shared" si="8"/>
        <v>0</v>
      </c>
    </row>
    <row r="61" spans="1:10" s="25" customFormat="1" x14ac:dyDescent="0.25">
      <c r="A61" s="34" t="str">
        <f t="shared" si="6"/>
        <v>Pacific_2024</v>
      </c>
      <c r="B61" s="49">
        <f>B446*Constants!$B$20/1000000</f>
        <v>1.7546339632800001</v>
      </c>
      <c r="C61" s="49">
        <f>C446*Constants!$B$18/1000000</f>
        <v>2.9458507190447785</v>
      </c>
      <c r="D61" s="49">
        <f>D446*Constants!$B$22/1000000</f>
        <v>2.9957041202667001</v>
      </c>
      <c r="E61" s="49">
        <f>E446*Constants!$B$21/1000000</f>
        <v>3.6512510422299997</v>
      </c>
      <c r="F61" s="49">
        <f>F446*Constants!$B$15/1000000</f>
        <v>2.2695146829599997</v>
      </c>
      <c r="G61" s="49">
        <f>G446*Constants!$B$16/1000000</f>
        <v>2.2418167717973998</v>
      </c>
      <c r="H61" s="49">
        <f>H446*Constants!$B$19/1000000</f>
        <v>5.924414137719781</v>
      </c>
      <c r="I61" s="34">
        <f t="shared" si="7"/>
        <v>0</v>
      </c>
      <c r="J61" s="34">
        <f t="shared" si="8"/>
        <v>0</v>
      </c>
    </row>
    <row r="62" spans="1:10" s="25" customFormat="1" x14ac:dyDescent="0.25">
      <c r="A62" s="34" t="str">
        <f t="shared" si="6"/>
        <v>Pacific_2023</v>
      </c>
      <c r="B62" s="49">
        <f>B447*Constants!$B$20/1000000</f>
        <v>1.7466271785599998</v>
      </c>
      <c r="C62" s="49">
        <f>C447*Constants!$B$18/1000000</f>
        <v>2.9214123697703078</v>
      </c>
      <c r="D62" s="49">
        <f>D447*Constants!$B$22/1000000</f>
        <v>2.9719845771280404</v>
      </c>
      <c r="E62" s="49">
        <f>E447*Constants!$B$21/1000000</f>
        <v>3.6160736128000002</v>
      </c>
      <c r="F62" s="49">
        <f>F447*Constants!$B$15/1000000</f>
        <v>2.2384298720000007</v>
      </c>
      <c r="G62" s="49">
        <f>G447*Constants!$B$16/1000000</f>
        <v>2.2525947034625804</v>
      </c>
      <c r="H62" s="49">
        <f>H447*Constants!$B$19/1000000</f>
        <v>5.8840833387948601</v>
      </c>
      <c r="I62" s="34">
        <f t="shared" si="7"/>
        <v>0</v>
      </c>
      <c r="J62" s="34">
        <f t="shared" si="8"/>
        <v>0</v>
      </c>
    </row>
    <row r="63" spans="1:10" s="25" customFormat="1" x14ac:dyDescent="0.25">
      <c r="A63" s="34" t="str">
        <f t="shared" si="6"/>
        <v>Pacific_2022</v>
      </c>
      <c r="B63" s="49">
        <f>B448*Constants!$B$20/1000000</f>
        <v>1.72391992905</v>
      </c>
      <c r="C63" s="49">
        <f>C448*Constants!$B$18/1000000</f>
        <v>2.8892387016416334</v>
      </c>
      <c r="D63" s="49">
        <f>D448*Constants!$B$22/1000000</f>
        <v>2.9457644873609401</v>
      </c>
      <c r="E63" s="49">
        <f>E448*Constants!$B$21/1000000</f>
        <v>3.5720391939099998</v>
      </c>
      <c r="F63" s="49">
        <f>F448*Constants!$B$15/1000000</f>
        <v>2.2012157770400003</v>
      </c>
      <c r="G63" s="49">
        <f>G448*Constants!$B$16/1000000</f>
        <v>2.2698509080589404</v>
      </c>
      <c r="H63" s="49">
        <f>H448*Constants!$B$19/1000000</f>
        <v>5.6052120499751803</v>
      </c>
      <c r="I63" s="34">
        <f t="shared" si="7"/>
        <v>0</v>
      </c>
      <c r="J63" s="34">
        <f t="shared" si="8"/>
        <v>0</v>
      </c>
    </row>
    <row r="64" spans="1:10" s="25" customFormat="1" x14ac:dyDescent="0.25">
      <c r="A64" s="34" t="str">
        <f t="shared" si="6"/>
        <v>Pacific_2021</v>
      </c>
      <c r="B64" s="49">
        <f>B449*Constants!$B$20/1000000</f>
        <v>1.6891725199800001</v>
      </c>
      <c r="C64" s="49">
        <f>C449*Constants!$B$18/1000000</f>
        <v>3.1678569237831544</v>
      </c>
      <c r="D64" s="49">
        <f>D449*Constants!$B$22/1000000</f>
        <v>2.8446155576173804</v>
      </c>
      <c r="E64" s="49">
        <f>E449*Constants!$B$21/1000000</f>
        <v>3.4583347492100001</v>
      </c>
      <c r="F64" s="49">
        <f>F449*Constants!$B$15/1000000</f>
        <v>2.1545892003999998</v>
      </c>
      <c r="G64" s="49">
        <f>G449*Constants!$B$16/1000000</f>
        <v>2.2870372582557001</v>
      </c>
      <c r="H64" s="49">
        <f>H449*Constants!$B$19/1000000</f>
        <v>5.3273699091634006</v>
      </c>
      <c r="I64" s="34">
        <f t="shared" si="7"/>
        <v>0</v>
      </c>
      <c r="J64" s="34">
        <f t="shared" si="8"/>
        <v>0</v>
      </c>
    </row>
    <row r="65" spans="1:10" s="25" customFormat="1" x14ac:dyDescent="0.25">
      <c r="A65" s="34" t="str">
        <f t="shared" si="6"/>
        <v>Pacific_2020</v>
      </c>
      <c r="B65" s="49">
        <f>B450*Constants!$B$20/1000000</f>
        <v>1.6874127860700001</v>
      </c>
      <c r="C65" s="49">
        <f>C450*Constants!$B$18/1000000</f>
        <v>3.1747427135010944</v>
      </c>
      <c r="D65" s="49">
        <f>D450*Constants!$B$22/1000000</f>
        <v>2.7317275960210399</v>
      </c>
      <c r="E65" s="49">
        <f>E450*Constants!$B$21/1000000</f>
        <v>3.3590442052200005</v>
      </c>
      <c r="F65" s="49">
        <f>F450*Constants!$B$15/1000000</f>
        <v>2.0961990050399999</v>
      </c>
      <c r="G65" s="49">
        <f>G450*Constants!$B$16/1000000</f>
        <v>2.29349349091942</v>
      </c>
      <c r="H65" s="49">
        <f>H450*Constants!$B$19/1000000</f>
        <v>5.1330148562266604</v>
      </c>
      <c r="I65" s="34">
        <f t="shared" si="7"/>
        <v>0</v>
      </c>
      <c r="J65" s="34">
        <f t="shared" si="8"/>
        <v>0</v>
      </c>
    </row>
    <row r="66" spans="1:10" s="25" customFormat="1" x14ac:dyDescent="0.25">
      <c r="A66" s="34" t="str">
        <f t="shared" si="6"/>
        <v>Pacific_2019</v>
      </c>
      <c r="B66" s="49">
        <f>B451*Constants!$B$20/1000000</f>
        <v>1.6917133523400001</v>
      </c>
      <c r="C66" s="49">
        <f>C451*Constants!$B$18/1000000</f>
        <v>3.0898717136176175</v>
      </c>
      <c r="D66" s="49">
        <f>D451*Constants!$B$22/1000000</f>
        <v>2.6043317186981203</v>
      </c>
      <c r="E66" s="49">
        <f>E451*Constants!$B$21/1000000</f>
        <v>3.2219303803499999</v>
      </c>
      <c r="F66" s="49">
        <f>F451*Constants!$B$15/1000000</f>
        <v>2.02077067976</v>
      </c>
      <c r="G66" s="49">
        <f>G451*Constants!$B$16/1000000</f>
        <v>2.2973920890488202</v>
      </c>
      <c r="H66" s="49">
        <f>H451*Constants!$B$19/1000000</f>
        <v>4.9459133396180412</v>
      </c>
      <c r="I66" s="34">
        <f t="shared" si="7"/>
        <v>0</v>
      </c>
      <c r="J66" s="34">
        <f t="shared" si="8"/>
        <v>0</v>
      </c>
    </row>
    <row r="67" spans="1:10" s="25" customFormat="1" x14ac:dyDescent="0.25">
      <c r="A67" s="34" t="str">
        <f t="shared" si="6"/>
        <v>Pacific_2018</v>
      </c>
      <c r="B67" s="49">
        <f>B452*Constants!$B$20/1000000</f>
        <v>1.6887802796699998</v>
      </c>
      <c r="C67" s="49">
        <f>C452*Constants!$B$18/1000000</f>
        <v>2.8989185502482564</v>
      </c>
      <c r="D67" s="49">
        <f>D452*Constants!$B$22/1000000</f>
        <v>2.3822082170955601</v>
      </c>
      <c r="E67" s="49">
        <f>E452*Constants!$B$21/1000000</f>
        <v>3.0146270536799999</v>
      </c>
      <c r="F67" s="49">
        <f>F452*Constants!$B$15/1000000</f>
        <v>1.90080792384</v>
      </c>
      <c r="G67" s="49">
        <f>G452*Constants!$B$16/1000000</f>
        <v>2.2666212260250203</v>
      </c>
      <c r="H67" s="49">
        <f>H452*Constants!$B$19/1000000</f>
        <v>4.7653473042851004</v>
      </c>
      <c r="I67" s="34">
        <f t="shared" si="7"/>
        <v>0</v>
      </c>
      <c r="J67" s="34">
        <f t="shared" si="8"/>
        <v>0</v>
      </c>
    </row>
    <row r="68" spans="1:10" s="25" customFormat="1" x14ac:dyDescent="0.25">
      <c r="A68" s="34" t="str">
        <f t="shared" si="6"/>
        <v>Pacific_2017</v>
      </c>
      <c r="B68" s="49">
        <f>B453*Constants!$B$20/1000000</f>
        <v>1.5934400153099999</v>
      </c>
      <c r="C68" s="49">
        <f>C453*Constants!$B$18/1000000</f>
        <v>2.6741895902415473</v>
      </c>
      <c r="D68" s="49">
        <f>D453*Constants!$B$22/1000000</f>
        <v>2.5194695830985401</v>
      </c>
      <c r="E68" s="49">
        <f>E453*Constants!$B$21/1000000</f>
        <v>2.7372846253500005</v>
      </c>
      <c r="F68" s="49">
        <f>F453*Constants!$B$15/1000000</f>
        <v>1.5217809348000002</v>
      </c>
      <c r="G68" s="49">
        <f>G453*Constants!$B$16/1000000</f>
        <v>2.2223531681736799</v>
      </c>
      <c r="H68" s="49">
        <f>H453*Constants!$B$19/1000000</f>
        <v>4.6944000446472209</v>
      </c>
      <c r="I68" s="34">
        <f t="shared" si="7"/>
        <v>0</v>
      </c>
      <c r="J68" s="34">
        <f t="shared" si="8"/>
        <v>0</v>
      </c>
    </row>
    <row r="69" spans="1:10" s="25" customFormat="1" x14ac:dyDescent="0.25">
      <c r="A69" s="34" t="str">
        <f t="shared" si="6"/>
        <v>Pacific_2016</v>
      </c>
      <c r="B69" s="49">
        <f>B454*Constants!$B$20/1000000</f>
        <v>1.5813565274099999</v>
      </c>
      <c r="C69" s="49">
        <f>C454*Constants!$B$18/1000000</f>
        <v>2.5135375881991351</v>
      </c>
      <c r="D69" s="49">
        <f>D454*Constants!$B$22/1000000</f>
        <v>2.4163595513055198</v>
      </c>
      <c r="E69" s="49">
        <f>E454*Constants!$B$21/1000000</f>
        <v>2.4047898009299997</v>
      </c>
      <c r="F69" s="49">
        <f>F454*Constants!$B$15/1000000</f>
        <v>1.17408136888</v>
      </c>
      <c r="G69" s="49">
        <f>G454*Constants!$B$16/1000000</f>
        <v>2.15161980752492</v>
      </c>
      <c r="H69" s="49">
        <f>H454*Constants!$B$19/1000000</f>
        <v>4.4615841227996809</v>
      </c>
      <c r="I69" s="34">
        <f t="shared" si="7"/>
        <v>0</v>
      </c>
      <c r="J69" s="34">
        <f t="shared" si="8"/>
        <v>0</v>
      </c>
    </row>
    <row r="70" spans="1:10" s="25" customFormat="1" x14ac:dyDescent="0.25">
      <c r="A70" s="34" t="str">
        <f t="shared" si="6"/>
        <v>Pacific_2015</v>
      </c>
      <c r="B70" s="49">
        <f>B455*Constants!$B$20/1000000</f>
        <v>1.6651722760200003</v>
      </c>
      <c r="C70" s="49">
        <f>C455*Constants!$B$18/1000000</f>
        <v>2.759536247314994</v>
      </c>
      <c r="D70" s="49">
        <f>D455*Constants!$B$22/1000000</f>
        <v>2.7884518977072603</v>
      </c>
      <c r="E70" s="49">
        <f>E455*Constants!$B$21/1000000</f>
        <v>2.87131400094</v>
      </c>
      <c r="F70" s="49">
        <f>F455*Constants!$B$15/1000000</f>
        <v>1.5860814746</v>
      </c>
      <c r="G70" s="49">
        <f>G455*Constants!$B$16/1000000</f>
        <v>2.14406830605092</v>
      </c>
      <c r="H70" s="49">
        <f>H455*Constants!$B$19/1000000</f>
        <v>3.3998577090669206</v>
      </c>
      <c r="I70" s="34">
        <f t="shared" si="7"/>
        <v>0</v>
      </c>
      <c r="J70" s="34">
        <f t="shared" si="8"/>
        <v>0</v>
      </c>
    </row>
    <row r="71" spans="1:10" x14ac:dyDescent="0.25">
      <c r="A71" s="35" t="str">
        <f t="shared" ref="A71:A106" si="9">CONCATENATE("Mountain_",A459)</f>
        <v>Mountain_2050</v>
      </c>
      <c r="B71" s="48">
        <f>B459*Constants!$B$20/1000000</f>
        <v>2.1005007919500001</v>
      </c>
      <c r="C71" s="48">
        <f>C459*Constants!$B$18/1000000</f>
        <v>2.8217559842473761</v>
      </c>
      <c r="D71" s="48">
        <f>D459*Constants!$B$22/1000000</f>
        <v>3.4778755587691403</v>
      </c>
      <c r="E71" s="48">
        <f>E459*Constants!$B$21/1000000</f>
        <v>4.2812053523799998</v>
      </c>
      <c r="F71" s="48">
        <f>F459*Constants!$B$15/1000000</f>
        <v>2.0264504402800001</v>
      </c>
      <c r="G71" s="48">
        <f>G459*Constants!$B$16/1000000</f>
        <v>1.6666776785693802</v>
      </c>
      <c r="H71" s="48">
        <f>H459*Constants!$B$19/1000000</f>
        <v>3.9642506664254404</v>
      </c>
      <c r="I71" s="35">
        <f t="shared" ref="I71:I106" si="10">$B$13*J459</f>
        <v>0</v>
      </c>
      <c r="J71" s="35">
        <f t="shared" ref="J71:J106" si="11">$B$11*K459</f>
        <v>0</v>
      </c>
    </row>
    <row r="72" spans="1:10" x14ac:dyDescent="0.25">
      <c r="A72" s="35" t="str">
        <f t="shared" si="9"/>
        <v>Mountain_2049</v>
      </c>
      <c r="B72" s="48">
        <f>B460*Constants!$B$20/1000000</f>
        <v>2.0822734551299997</v>
      </c>
      <c r="C72" s="48">
        <f>C460*Constants!$B$18/1000000</f>
        <v>2.8398202574273692</v>
      </c>
      <c r="D72" s="48">
        <f>D460*Constants!$B$22/1000000</f>
        <v>3.4402599280935005</v>
      </c>
      <c r="E72" s="48">
        <f>E460*Constants!$B$21/1000000</f>
        <v>4.2487773649199996</v>
      </c>
      <c r="F72" s="48">
        <f>F460*Constants!$B$15/1000000</f>
        <v>1.9938049011999999</v>
      </c>
      <c r="G72" s="48">
        <f>G460*Constants!$B$16/1000000</f>
        <v>1.6518929948940402</v>
      </c>
      <c r="H72" s="48">
        <f>H460*Constants!$B$19/1000000</f>
        <v>3.9631631056868399</v>
      </c>
      <c r="I72" s="35">
        <f t="shared" si="10"/>
        <v>0</v>
      </c>
      <c r="J72" s="35">
        <f t="shared" si="11"/>
        <v>0</v>
      </c>
    </row>
    <row r="73" spans="1:10" x14ac:dyDescent="0.25">
      <c r="A73" s="35" t="str">
        <f t="shared" si="9"/>
        <v>Mountain_2048</v>
      </c>
      <c r="B73" s="48">
        <f>B461*Constants!$B$20/1000000</f>
        <v>2.072200713</v>
      </c>
      <c r="C73" s="48">
        <f>C461*Constants!$B$18/1000000</f>
        <v>2.8545310125436338</v>
      </c>
      <c r="D73" s="48">
        <f>D461*Constants!$B$22/1000000</f>
        <v>3.41760253314462</v>
      </c>
      <c r="E73" s="48">
        <f>E461*Constants!$B$21/1000000</f>
        <v>4.2127871376799995</v>
      </c>
      <c r="F73" s="48">
        <f>F461*Constants!$B$15/1000000</f>
        <v>1.97733862452</v>
      </c>
      <c r="G73" s="48">
        <f>G461*Constants!$B$16/1000000</f>
        <v>1.6352530747162202</v>
      </c>
      <c r="H73" s="48">
        <f>H461*Constants!$B$19/1000000</f>
        <v>3.9534313038749809</v>
      </c>
      <c r="I73" s="35">
        <f t="shared" si="10"/>
        <v>0</v>
      </c>
      <c r="J73" s="35">
        <f t="shared" si="11"/>
        <v>0</v>
      </c>
    </row>
    <row r="74" spans="1:10" x14ac:dyDescent="0.25">
      <c r="A74" s="35" t="str">
        <f t="shared" si="9"/>
        <v>Mountain_2047</v>
      </c>
      <c r="B74" s="48">
        <f>B462*Constants!$B$20/1000000</f>
        <v>2.0533588267499998</v>
      </c>
      <c r="C74" s="48">
        <f>C462*Constants!$B$18/1000000</f>
        <v>2.914341082739909</v>
      </c>
      <c r="D74" s="48">
        <f>D462*Constants!$B$22/1000000</f>
        <v>3.42900277115934</v>
      </c>
      <c r="E74" s="48">
        <f>E462*Constants!$B$21/1000000</f>
        <v>4.2100494673600002</v>
      </c>
      <c r="F74" s="48">
        <f>F462*Constants!$B$15/1000000</f>
        <v>1.9619186767599999</v>
      </c>
      <c r="G74" s="48">
        <f>G462*Constants!$B$16/1000000</f>
        <v>1.6112594132784399</v>
      </c>
      <c r="H74" s="48">
        <f>H462*Constants!$B$19/1000000</f>
        <v>3.9378830393488404</v>
      </c>
      <c r="I74" s="35">
        <f t="shared" si="10"/>
        <v>0</v>
      </c>
      <c r="J74" s="35">
        <f t="shared" si="11"/>
        <v>0</v>
      </c>
    </row>
    <row r="75" spans="1:10" x14ac:dyDescent="0.25">
      <c r="A75" s="35" t="str">
        <f t="shared" si="9"/>
        <v>Mountain_2046</v>
      </c>
      <c r="B75" s="48">
        <f>B463*Constants!$B$20/1000000</f>
        <v>2.0372104275599998</v>
      </c>
      <c r="C75" s="48">
        <f>C463*Constants!$B$18/1000000</f>
        <v>2.9750879907929515</v>
      </c>
      <c r="D75" s="48">
        <f>D463*Constants!$B$22/1000000</f>
        <v>3.4153528601616401</v>
      </c>
      <c r="E75" s="48">
        <f>E463*Constants!$B$21/1000000</f>
        <v>4.1715387221200002</v>
      </c>
      <c r="F75" s="48">
        <f>F463*Constants!$B$15/1000000</f>
        <v>1.93988665192</v>
      </c>
      <c r="G75" s="48">
        <f>G463*Constants!$B$16/1000000</f>
        <v>1.6000283915248201</v>
      </c>
      <c r="H75" s="48">
        <f>H463*Constants!$B$19/1000000</f>
        <v>3.9332964958219998</v>
      </c>
      <c r="I75" s="35">
        <f t="shared" si="10"/>
        <v>0</v>
      </c>
      <c r="J75" s="35">
        <f t="shared" si="11"/>
        <v>0</v>
      </c>
    </row>
    <row r="76" spans="1:10" x14ac:dyDescent="0.25">
      <c r="A76" s="35" t="str">
        <f t="shared" si="9"/>
        <v>Mountain_2045</v>
      </c>
      <c r="B76" s="48">
        <f>B464*Constants!$B$20/1000000</f>
        <v>2.0220133322399998</v>
      </c>
      <c r="C76" s="48">
        <f>C464*Constants!$B$18/1000000</f>
        <v>2.9541198709305236</v>
      </c>
      <c r="D76" s="48">
        <f>D464*Constants!$B$22/1000000</f>
        <v>3.4040166954927602</v>
      </c>
      <c r="E76" s="48">
        <f>E464*Constants!$B$21/1000000</f>
        <v>4.1503244084500004</v>
      </c>
      <c r="F76" s="48">
        <f>F464*Constants!$B$15/1000000</f>
        <v>1.9268189928399999</v>
      </c>
      <c r="G76" s="48">
        <f>G464*Constants!$B$16/1000000</f>
        <v>1.59003210650344</v>
      </c>
      <c r="H76" s="48">
        <f>H464*Constants!$B$19/1000000</f>
        <v>3.9318579769447197</v>
      </c>
      <c r="I76" s="35">
        <f t="shared" si="10"/>
        <v>0</v>
      </c>
      <c r="J76" s="35">
        <f t="shared" si="11"/>
        <v>0</v>
      </c>
    </row>
    <row r="77" spans="1:10" x14ac:dyDescent="0.25">
      <c r="A77" s="35" t="str">
        <f t="shared" si="9"/>
        <v>Mountain_2044</v>
      </c>
      <c r="B77" s="48">
        <f>B465*Constants!$B$20/1000000</f>
        <v>2.01501543969</v>
      </c>
      <c r="C77" s="48">
        <f>C465*Constants!$B$18/1000000</f>
        <v>2.9282765795779282</v>
      </c>
      <c r="D77" s="48">
        <f>D465*Constants!$B$22/1000000</f>
        <v>3.3894863781828599</v>
      </c>
      <c r="E77" s="48">
        <f>E465*Constants!$B$21/1000000</f>
        <v>4.1334993968400005</v>
      </c>
      <c r="F77" s="48">
        <f>F465*Constants!$B$15/1000000</f>
        <v>1.9151052785200002</v>
      </c>
      <c r="G77" s="48">
        <f>G465*Constants!$B$16/1000000</f>
        <v>1.57866956577678</v>
      </c>
      <c r="H77" s="48">
        <f>H465*Constants!$B$19/1000000</f>
        <v>3.9334885954209002</v>
      </c>
      <c r="I77" s="35">
        <f t="shared" si="10"/>
        <v>0</v>
      </c>
      <c r="J77" s="35">
        <f t="shared" si="11"/>
        <v>0</v>
      </c>
    </row>
    <row r="78" spans="1:10" x14ac:dyDescent="0.25">
      <c r="A78" s="35" t="str">
        <f t="shared" si="9"/>
        <v>Mountain_2043</v>
      </c>
      <c r="B78" s="48">
        <f>B466*Constants!$B$20/1000000</f>
        <v>2.0011102419000002</v>
      </c>
      <c r="C78" s="48">
        <f>C466*Constants!$B$18/1000000</f>
        <v>2.9033446797711813</v>
      </c>
      <c r="D78" s="48">
        <f>D466*Constants!$B$22/1000000</f>
        <v>3.3750825214239599</v>
      </c>
      <c r="E78" s="48">
        <f>E466*Constants!$B$21/1000000</f>
        <v>4.12736013514</v>
      </c>
      <c r="F78" s="48">
        <f>F466*Constants!$B$15/1000000</f>
        <v>1.9048106406</v>
      </c>
      <c r="G78" s="48">
        <f>G466*Constants!$B$16/1000000</f>
        <v>1.5647253027918002</v>
      </c>
      <c r="H78" s="48">
        <f>H466*Constants!$B$19/1000000</f>
        <v>3.9478684848944203</v>
      </c>
      <c r="I78" s="35">
        <f t="shared" si="10"/>
        <v>0</v>
      </c>
      <c r="J78" s="35">
        <f t="shared" si="11"/>
        <v>0</v>
      </c>
    </row>
    <row r="79" spans="1:10" x14ac:dyDescent="0.25">
      <c r="A79" s="35" t="str">
        <f t="shared" si="9"/>
        <v>Mountain_2042</v>
      </c>
      <c r="B79" s="48">
        <f>B467*Constants!$B$20/1000000</f>
        <v>1.9850696151</v>
      </c>
      <c r="C79" s="48">
        <f>C467*Constants!$B$18/1000000</f>
        <v>2.7896454373563881</v>
      </c>
      <c r="D79" s="48">
        <f>D467*Constants!$B$22/1000000</f>
        <v>3.3595802644506598</v>
      </c>
      <c r="E79" s="48">
        <f>E467*Constants!$B$21/1000000</f>
        <v>4.12362533682</v>
      </c>
      <c r="F79" s="48">
        <f>F467*Constants!$B$15/1000000</f>
        <v>1.89597333912</v>
      </c>
      <c r="G79" s="48">
        <f>G467*Constants!$B$16/1000000</f>
        <v>1.5586062982640803</v>
      </c>
      <c r="H79" s="48">
        <f>H467*Constants!$B$19/1000000</f>
        <v>3.9598887409249004</v>
      </c>
      <c r="I79" s="35">
        <f t="shared" si="10"/>
        <v>0</v>
      </c>
      <c r="J79" s="35">
        <f t="shared" si="11"/>
        <v>0</v>
      </c>
    </row>
    <row r="80" spans="1:10" s="25" customFormat="1" x14ac:dyDescent="0.25">
      <c r="A80" s="35" t="str">
        <f t="shared" si="9"/>
        <v>Mountain_2041</v>
      </c>
      <c r="B80" s="48">
        <f>B468*Constants!$B$20/1000000</f>
        <v>1.9737576276</v>
      </c>
      <c r="C80" s="48">
        <f>C468*Constants!$B$18/1000000</f>
        <v>2.6625504656104551</v>
      </c>
      <c r="D80" s="48">
        <f>D468*Constants!$B$22/1000000</f>
        <v>3.35349221264828</v>
      </c>
      <c r="E80" s="48">
        <f>E468*Constants!$B$21/1000000</f>
        <v>4.1311942307900003</v>
      </c>
      <c r="F80" s="48">
        <f>F468*Constants!$B$15/1000000</f>
        <v>1.8907180219199999</v>
      </c>
      <c r="G80" s="48">
        <f>G468*Constants!$B$16/1000000</f>
        <v>1.5530609428834203</v>
      </c>
      <c r="H80" s="48">
        <f>H468*Constants!$B$19/1000000</f>
        <v>3.9707419467275802</v>
      </c>
      <c r="I80" s="35">
        <f t="shared" si="10"/>
        <v>0</v>
      </c>
      <c r="J80" s="35">
        <f t="shared" si="11"/>
        <v>0</v>
      </c>
    </row>
    <row r="81" spans="1:10" s="25" customFormat="1" x14ac:dyDescent="0.25">
      <c r="A81" s="35" t="str">
        <f t="shared" si="9"/>
        <v>Mountain_2040</v>
      </c>
      <c r="B81" s="48">
        <f>B469*Constants!$B$20/1000000</f>
        <v>1.9528082838</v>
      </c>
      <c r="C81" s="48">
        <f>C469*Constants!$B$18/1000000</f>
        <v>2.5983642593501628</v>
      </c>
      <c r="D81" s="48">
        <f>D469*Constants!$B$22/1000000</f>
        <v>3.3365617945190205</v>
      </c>
      <c r="E81" s="48">
        <f>E469*Constants!$B$21/1000000</f>
        <v>4.1229665398900002</v>
      </c>
      <c r="F81" s="48">
        <f>F469*Constants!$B$15/1000000</f>
        <v>1.8811069463200001</v>
      </c>
      <c r="G81" s="48">
        <f>G469*Constants!$B$16/1000000</f>
        <v>1.5558159763159201</v>
      </c>
      <c r="H81" s="48">
        <f>H469*Constants!$B$19/1000000</f>
        <v>3.9844001679900605</v>
      </c>
      <c r="I81" s="35">
        <f t="shared" si="10"/>
        <v>0</v>
      </c>
      <c r="J81" s="35">
        <f t="shared" si="11"/>
        <v>0</v>
      </c>
    </row>
    <row r="82" spans="1:10" s="25" customFormat="1" x14ac:dyDescent="0.25">
      <c r="A82" s="35" t="str">
        <f t="shared" si="9"/>
        <v>Mountain_2039</v>
      </c>
      <c r="B82" s="48">
        <f>B470*Constants!$B$20/1000000</f>
        <v>1.93963189794</v>
      </c>
      <c r="C82" s="48">
        <f>C470*Constants!$B$18/1000000</f>
        <v>2.5162953209054453</v>
      </c>
      <c r="D82" s="48">
        <f>D470*Constants!$B$22/1000000</f>
        <v>3.3120291702567406</v>
      </c>
      <c r="E82" s="48">
        <f>E470*Constants!$B$21/1000000</f>
        <v>4.1013150132899998</v>
      </c>
      <c r="F82" s="48">
        <f>F470*Constants!$B$15/1000000</f>
        <v>1.86031498184</v>
      </c>
      <c r="G82" s="48">
        <f>G470*Constants!$B$16/1000000</f>
        <v>1.5535793107039002</v>
      </c>
      <c r="H82" s="48">
        <f>H470*Constants!$B$19/1000000</f>
        <v>3.9982952920180801</v>
      </c>
      <c r="I82" s="35">
        <f t="shared" si="10"/>
        <v>0</v>
      </c>
      <c r="J82" s="35">
        <f t="shared" si="11"/>
        <v>0</v>
      </c>
    </row>
    <row r="83" spans="1:10" s="25" customFormat="1" x14ac:dyDescent="0.25">
      <c r="A83" s="35" t="str">
        <f t="shared" si="9"/>
        <v>Mountain_2038</v>
      </c>
      <c r="B83" s="48">
        <f>B471*Constants!$B$20/1000000</f>
        <v>1.9053354144000001</v>
      </c>
      <c r="C83" s="48">
        <f>C471*Constants!$B$18/1000000</f>
        <v>2.450039241580293</v>
      </c>
      <c r="D83" s="48">
        <f>D471*Constants!$B$22/1000000</f>
        <v>3.2692287774287201</v>
      </c>
      <c r="E83" s="48">
        <f>E471*Constants!$B$21/1000000</f>
        <v>4.06234489672</v>
      </c>
      <c r="F83" s="48">
        <f>F471*Constants!$B$15/1000000</f>
        <v>1.8334040981199999</v>
      </c>
      <c r="G83" s="48">
        <f>G471*Constants!$B$16/1000000</f>
        <v>1.5535913545659001</v>
      </c>
      <c r="H83" s="48">
        <f>H471*Constants!$B$19/1000000</f>
        <v>4.0113244623683002</v>
      </c>
      <c r="I83" s="35">
        <f t="shared" si="10"/>
        <v>0</v>
      </c>
      <c r="J83" s="35">
        <f t="shared" si="11"/>
        <v>0</v>
      </c>
    </row>
    <row r="84" spans="1:10" s="25" customFormat="1" x14ac:dyDescent="0.25">
      <c r="A84" s="35" t="str">
        <f t="shared" si="9"/>
        <v>Mountain_2037</v>
      </c>
      <c r="B84" s="48">
        <f>B472*Constants!$B$20/1000000</f>
        <v>1.8809937540900001</v>
      </c>
      <c r="C84" s="48">
        <f>C472*Constants!$B$18/1000000</f>
        <v>2.3992308713088342</v>
      </c>
      <c r="D84" s="48">
        <f>D472*Constants!$B$22/1000000</f>
        <v>3.2533060692330005</v>
      </c>
      <c r="E84" s="48">
        <f>E472*Constants!$B$21/1000000</f>
        <v>4.0455809591999996</v>
      </c>
      <c r="F84" s="48">
        <f>F472*Constants!$B$15/1000000</f>
        <v>1.8118759797599999</v>
      </c>
      <c r="G84" s="48">
        <f>G472*Constants!$B$16/1000000</f>
        <v>1.5556887931332002</v>
      </c>
      <c r="H84" s="48">
        <f>H472*Constants!$B$19/1000000</f>
        <v>4.0279193385022412</v>
      </c>
      <c r="I84" s="35">
        <f t="shared" si="10"/>
        <v>0</v>
      </c>
      <c r="J84" s="35">
        <f t="shared" si="11"/>
        <v>0</v>
      </c>
    </row>
    <row r="85" spans="1:10" s="25" customFormat="1" x14ac:dyDescent="0.25">
      <c r="A85" s="35" t="str">
        <f t="shared" si="9"/>
        <v>Mountain_2036</v>
      </c>
      <c r="B85" s="48">
        <f>B473*Constants!$B$20/1000000</f>
        <v>1.8685238761199998</v>
      </c>
      <c r="C85" s="48">
        <f>C473*Constants!$B$18/1000000</f>
        <v>2.3798242377906442</v>
      </c>
      <c r="D85" s="48">
        <f>D473*Constants!$B$22/1000000</f>
        <v>3.2485244151417603</v>
      </c>
      <c r="E85" s="48">
        <f>E473*Constants!$B$21/1000000</f>
        <v>4.0420846406599997</v>
      </c>
      <c r="F85" s="48">
        <f>F473*Constants!$B$15/1000000</f>
        <v>1.8024179443199999</v>
      </c>
      <c r="G85" s="48">
        <f>G473*Constants!$B$16/1000000</f>
        <v>1.55837565830678</v>
      </c>
      <c r="H85" s="48">
        <f>H473*Constants!$B$19/1000000</f>
        <v>4.0348830995106413</v>
      </c>
      <c r="I85" s="35">
        <f t="shared" si="10"/>
        <v>0</v>
      </c>
      <c r="J85" s="35">
        <f t="shared" si="11"/>
        <v>0</v>
      </c>
    </row>
    <row r="86" spans="1:10" s="25" customFormat="1" x14ac:dyDescent="0.25">
      <c r="A86" s="35" t="str">
        <f t="shared" si="9"/>
        <v>Mountain_2035</v>
      </c>
      <c r="B86" s="48">
        <f>B474*Constants!$B$20/1000000</f>
        <v>1.8419620497299998</v>
      </c>
      <c r="C86" s="48">
        <f>C474*Constants!$B$18/1000000</f>
        <v>2.3220142656158611</v>
      </c>
      <c r="D86" s="48">
        <f>D474*Constants!$B$22/1000000</f>
        <v>3.1861480494575605</v>
      </c>
      <c r="E86" s="48">
        <f>E474*Constants!$B$21/1000000</f>
        <v>3.9756774392500005</v>
      </c>
      <c r="F86" s="48">
        <f>F474*Constants!$B$15/1000000</f>
        <v>1.7528738796800001</v>
      </c>
      <c r="G86" s="48">
        <f>G474*Constants!$B$16/1000000</f>
        <v>1.5616638735100201</v>
      </c>
      <c r="H86" s="48">
        <f>H474*Constants!$B$19/1000000</f>
        <v>4.0543452578709198</v>
      </c>
      <c r="I86" s="35">
        <f t="shared" si="10"/>
        <v>0</v>
      </c>
      <c r="J86" s="35">
        <f t="shared" si="11"/>
        <v>0</v>
      </c>
    </row>
    <row r="87" spans="1:10" s="25" customFormat="1" x14ac:dyDescent="0.25">
      <c r="A87" s="35" t="str">
        <f t="shared" si="9"/>
        <v>Mountain_2034</v>
      </c>
      <c r="B87" s="48">
        <f>B475*Constants!$B$20/1000000</f>
        <v>1.8331418074199997</v>
      </c>
      <c r="C87" s="48">
        <f>C475*Constants!$B$18/1000000</f>
        <v>2.3200814249815331</v>
      </c>
      <c r="D87" s="48">
        <f>D475*Constants!$B$22/1000000</f>
        <v>3.1690295062038603</v>
      </c>
      <c r="E87" s="48">
        <f>E475*Constants!$B$21/1000000</f>
        <v>3.9534604579799999</v>
      </c>
      <c r="F87" s="48">
        <f>F475*Constants!$B$15/1000000</f>
        <v>1.7386457513599998</v>
      </c>
      <c r="G87" s="48">
        <f>G475*Constants!$B$16/1000000</f>
        <v>1.5658451410805601</v>
      </c>
      <c r="H87" s="48">
        <f>H475*Constants!$B$19/1000000</f>
        <v>4.0763375907601604</v>
      </c>
      <c r="I87" s="35">
        <f t="shared" si="10"/>
        <v>0</v>
      </c>
      <c r="J87" s="35">
        <f t="shared" si="11"/>
        <v>0</v>
      </c>
    </row>
    <row r="88" spans="1:10" s="25" customFormat="1" x14ac:dyDescent="0.25">
      <c r="A88" s="35" t="str">
        <f t="shared" si="9"/>
        <v>Mountain_2033</v>
      </c>
      <c r="B88" s="48">
        <f>B476*Constants!$B$20/1000000</f>
        <v>1.8143656449599999</v>
      </c>
      <c r="C88" s="48">
        <f>C476*Constants!$B$18/1000000</f>
        <v>2.3176939675697974</v>
      </c>
      <c r="D88" s="48">
        <f>D476*Constants!$B$22/1000000</f>
        <v>3.1375440808475998</v>
      </c>
      <c r="E88" s="48">
        <f>E476*Constants!$B$21/1000000</f>
        <v>3.9116993524399999</v>
      </c>
      <c r="F88" s="48">
        <f>F476*Constants!$B$15/1000000</f>
        <v>1.7090996594000001</v>
      </c>
      <c r="G88" s="48">
        <f>G476*Constants!$B$16/1000000</f>
        <v>1.5714479456829602</v>
      </c>
      <c r="H88" s="48">
        <f>H476*Constants!$B$19/1000000</f>
        <v>4.1037980778746403</v>
      </c>
      <c r="I88" s="35">
        <f t="shared" si="10"/>
        <v>0</v>
      </c>
      <c r="J88" s="35">
        <f t="shared" si="11"/>
        <v>0</v>
      </c>
    </row>
    <row r="89" spans="1:10" s="25" customFormat="1" x14ac:dyDescent="0.25">
      <c r="A89" s="35" t="str">
        <f t="shared" si="9"/>
        <v>Mountain_2032</v>
      </c>
      <c r="B89" s="48">
        <f>B477*Constants!$B$20/1000000</f>
        <v>1.8091220017199998</v>
      </c>
      <c r="C89" s="48">
        <f>C477*Constants!$B$18/1000000</f>
        <v>2.3461611961847182</v>
      </c>
      <c r="D89" s="48">
        <f>D477*Constants!$B$22/1000000</f>
        <v>3.1420045251393001</v>
      </c>
      <c r="E89" s="48">
        <f>E477*Constants!$B$21/1000000</f>
        <v>3.90930167507</v>
      </c>
      <c r="F89" s="48">
        <f>F477*Constants!$B$15/1000000</f>
        <v>1.7123078725200001</v>
      </c>
      <c r="G89" s="48">
        <f>G477*Constants!$B$16/1000000</f>
        <v>1.58563597643482</v>
      </c>
      <c r="H89" s="48">
        <f>H477*Constants!$B$19/1000000</f>
        <v>4.1126014183649202</v>
      </c>
      <c r="I89" s="35">
        <f t="shared" si="10"/>
        <v>0</v>
      </c>
      <c r="J89" s="35">
        <f t="shared" si="11"/>
        <v>0</v>
      </c>
    </row>
    <row r="90" spans="1:10" s="25" customFormat="1" x14ac:dyDescent="0.25">
      <c r="A90" s="35" t="str">
        <f t="shared" si="9"/>
        <v>Mountain_2031</v>
      </c>
      <c r="B90" s="48">
        <f>B478*Constants!$B$20/1000000</f>
        <v>1.78387547382</v>
      </c>
      <c r="C90" s="48">
        <f>C478*Constants!$B$18/1000000</f>
        <v>2.3409856143596381</v>
      </c>
      <c r="D90" s="48">
        <f>D478*Constants!$B$22/1000000</f>
        <v>3.0990052881496606</v>
      </c>
      <c r="E90" s="48">
        <f>E478*Constants!$B$21/1000000</f>
        <v>3.8485891824599996</v>
      </c>
      <c r="F90" s="48">
        <f>F478*Constants!$B$15/1000000</f>
        <v>1.6742901887600001</v>
      </c>
      <c r="G90" s="48">
        <f>G478*Constants!$B$16/1000000</f>
        <v>1.5982256662606602</v>
      </c>
      <c r="H90" s="48">
        <f>H478*Constants!$B$19/1000000</f>
        <v>4.1061936020264405</v>
      </c>
      <c r="I90" s="35">
        <f t="shared" si="10"/>
        <v>0</v>
      </c>
      <c r="J90" s="35">
        <f t="shared" si="11"/>
        <v>0</v>
      </c>
    </row>
    <row r="91" spans="1:10" s="25" customFormat="1" x14ac:dyDescent="0.25">
      <c r="A91" s="35" t="str">
        <f t="shared" si="9"/>
        <v>Mountain_2030</v>
      </c>
      <c r="B91" s="48">
        <f>B479*Constants!$B$20/1000000</f>
        <v>1.7504216076599999</v>
      </c>
      <c r="C91" s="48">
        <f>C479*Constants!$B$18/1000000</f>
        <v>2.28812598369597</v>
      </c>
      <c r="D91" s="48">
        <f>D479*Constants!$B$22/1000000</f>
        <v>3.0576102935784202</v>
      </c>
      <c r="E91" s="48">
        <f>E479*Constants!$B$21/1000000</f>
        <v>3.7956065092000002</v>
      </c>
      <c r="F91" s="48">
        <f>F479*Constants!$B$15/1000000</f>
        <v>1.6266035914799999</v>
      </c>
      <c r="G91" s="48">
        <f>G479*Constants!$B$16/1000000</f>
        <v>1.61822028375996</v>
      </c>
      <c r="H91" s="48">
        <f>H479*Constants!$B$19/1000000</f>
        <v>4.1244378850612806</v>
      </c>
      <c r="I91" s="35">
        <f t="shared" si="10"/>
        <v>0</v>
      </c>
      <c r="J91" s="35">
        <f t="shared" si="11"/>
        <v>0</v>
      </c>
    </row>
    <row r="92" spans="1:10" s="25" customFormat="1" x14ac:dyDescent="0.25">
      <c r="A92" s="35" t="str">
        <f t="shared" si="9"/>
        <v>Mountain_2029</v>
      </c>
      <c r="B92" s="48">
        <f>B480*Constants!$B$20/1000000</f>
        <v>1.7371772127599998</v>
      </c>
      <c r="C92" s="48">
        <f>C480*Constants!$B$18/1000000</f>
        <v>2.3031370592308553</v>
      </c>
      <c r="D92" s="48">
        <f>D480*Constants!$B$22/1000000</f>
        <v>3.0206656264548002</v>
      </c>
      <c r="E92" s="48">
        <f>E480*Constants!$B$21/1000000</f>
        <v>3.72836185876</v>
      </c>
      <c r="F92" s="48">
        <f>F480*Constants!$B$15/1000000</f>
        <v>1.5938066757200002</v>
      </c>
      <c r="G92" s="48">
        <f>G480*Constants!$B$16/1000000</f>
        <v>1.6449853582825602</v>
      </c>
      <c r="H92" s="48">
        <f>H480*Constants!$B$19/1000000</f>
        <v>4.1525875219594006</v>
      </c>
      <c r="I92" s="35">
        <f t="shared" si="10"/>
        <v>0</v>
      </c>
      <c r="J92" s="35">
        <f t="shared" si="11"/>
        <v>0</v>
      </c>
    </row>
    <row r="93" spans="1:10" s="25" customFormat="1" x14ac:dyDescent="0.25">
      <c r="A93" s="35" t="str">
        <f t="shared" si="9"/>
        <v>Mountain_2028</v>
      </c>
      <c r="B93" s="48">
        <f>B481*Constants!$B$20/1000000</f>
        <v>1.7348077741499999</v>
      </c>
      <c r="C93" s="48">
        <f>C481*Constants!$B$18/1000000</f>
        <v>2.3494958318269163</v>
      </c>
      <c r="D93" s="48">
        <f>D481*Constants!$B$22/1000000</f>
        <v>2.9960928961320605</v>
      </c>
      <c r="E93" s="48">
        <f>E481*Constants!$B$21/1000000</f>
        <v>3.6884610893900001</v>
      </c>
      <c r="F93" s="48">
        <f>F481*Constants!$B$15/1000000</f>
        <v>1.5651037122</v>
      </c>
      <c r="G93" s="48">
        <f>G481*Constants!$B$16/1000000</f>
        <v>1.6686685289579801</v>
      </c>
      <c r="H93" s="48">
        <f>H481*Constants!$B$19/1000000</f>
        <v>4.18199249059378</v>
      </c>
      <c r="I93" s="35">
        <f t="shared" si="10"/>
        <v>0</v>
      </c>
      <c r="J93" s="35">
        <f t="shared" si="11"/>
        <v>0</v>
      </c>
    </row>
    <row r="94" spans="1:10" s="25" customFormat="1" x14ac:dyDescent="0.25">
      <c r="A94" s="35" t="str">
        <f t="shared" si="9"/>
        <v>Mountain_2027</v>
      </c>
      <c r="B94" s="48">
        <f>B482*Constants!$B$20/1000000</f>
        <v>1.7297815953</v>
      </c>
      <c r="C94" s="48">
        <f>C482*Constants!$B$18/1000000</f>
        <v>2.4627938677423433</v>
      </c>
      <c r="D94" s="48">
        <f>D482*Constants!$B$22/1000000</f>
        <v>3.0012901839009203</v>
      </c>
      <c r="E94" s="48">
        <f>E482*Constants!$B$21/1000000</f>
        <v>3.6807469194099998</v>
      </c>
      <c r="F94" s="48">
        <f>F482*Constants!$B$15/1000000</f>
        <v>1.5563055664800001</v>
      </c>
      <c r="G94" s="48">
        <f>G482*Constants!$B$16/1000000</f>
        <v>1.7007107420545002</v>
      </c>
      <c r="H94" s="48">
        <f>H482*Constants!$B$19/1000000</f>
        <v>4.2195592231897008</v>
      </c>
      <c r="I94" s="35">
        <f t="shared" si="10"/>
        <v>0</v>
      </c>
      <c r="J94" s="35">
        <f t="shared" si="11"/>
        <v>0</v>
      </c>
    </row>
    <row r="95" spans="1:10" s="25" customFormat="1" x14ac:dyDescent="0.25">
      <c r="A95" s="35" t="str">
        <f t="shared" si="9"/>
        <v>Mountain_2026</v>
      </c>
      <c r="B95" s="48">
        <f>B483*Constants!$B$20/1000000</f>
        <v>1.7138662002</v>
      </c>
      <c r="C95" s="48">
        <f>C483*Constants!$B$18/1000000</f>
        <v>2.633360849497572</v>
      </c>
      <c r="D95" s="48">
        <f>D483*Constants!$B$22/1000000</f>
        <v>2.9858200840391604</v>
      </c>
      <c r="E95" s="48">
        <f>E483*Constants!$B$21/1000000</f>
        <v>3.6376565868499999</v>
      </c>
      <c r="F95" s="48">
        <f>F483*Constants!$B$15/1000000</f>
        <v>1.533690172</v>
      </c>
      <c r="G95" s="48">
        <f>G483*Constants!$B$16/1000000</f>
        <v>1.74252450170748</v>
      </c>
      <c r="H95" s="48">
        <f>H483*Constants!$B$19/1000000</f>
        <v>4.25021470601554</v>
      </c>
      <c r="I95" s="35">
        <f t="shared" si="10"/>
        <v>0</v>
      </c>
      <c r="J95" s="35">
        <f t="shared" si="11"/>
        <v>0</v>
      </c>
    </row>
    <row r="96" spans="1:10" s="25" customFormat="1" x14ac:dyDescent="0.25">
      <c r="A96" s="35" t="str">
        <f t="shared" si="9"/>
        <v>Mountain_2025</v>
      </c>
      <c r="B96" s="48">
        <f>B484*Constants!$B$20/1000000</f>
        <v>1.71027214182</v>
      </c>
      <c r="C96" s="48">
        <f>C484*Constants!$B$18/1000000</f>
        <v>2.5881726971200778</v>
      </c>
      <c r="D96" s="48">
        <f>D484*Constants!$B$22/1000000</f>
        <v>2.9527685953070399</v>
      </c>
      <c r="E96" s="48">
        <f>E484*Constants!$B$21/1000000</f>
        <v>3.5872874968699997</v>
      </c>
      <c r="F96" s="48">
        <f>F484*Constants!$B$15/1000000</f>
        <v>1.49411303972</v>
      </c>
      <c r="G96" s="48">
        <f>G484*Constants!$B$16/1000000</f>
        <v>1.7631676811754802</v>
      </c>
      <c r="H96" s="48">
        <f>H484*Constants!$B$19/1000000</f>
        <v>4.2557491014817801</v>
      </c>
      <c r="I96" s="35">
        <f t="shared" si="10"/>
        <v>0</v>
      </c>
      <c r="J96" s="35">
        <f t="shared" si="11"/>
        <v>0</v>
      </c>
    </row>
    <row r="97" spans="1:10" s="25" customFormat="1" x14ac:dyDescent="0.25">
      <c r="A97" s="35" t="str">
        <f t="shared" si="9"/>
        <v>Mountain_2024</v>
      </c>
      <c r="B97" s="48">
        <f>B485*Constants!$B$20/1000000</f>
        <v>1.7129682797700001</v>
      </c>
      <c r="C97" s="48">
        <f>C485*Constants!$B$18/1000000</f>
        <v>2.5307000908766315</v>
      </c>
      <c r="D97" s="48">
        <f>D485*Constants!$B$22/1000000</f>
        <v>2.9088301779586403</v>
      </c>
      <c r="E97" s="48">
        <f>E485*Constants!$B$21/1000000</f>
        <v>3.5035047860999997</v>
      </c>
      <c r="F97" s="48">
        <f>F485*Constants!$B$15/1000000</f>
        <v>1.4464658541199999</v>
      </c>
      <c r="G97" s="48">
        <f>G485*Constants!$B$16/1000000</f>
        <v>1.7765064992177202</v>
      </c>
      <c r="H97" s="48">
        <f>H485*Constants!$B$19/1000000</f>
        <v>4.2511142620683211</v>
      </c>
      <c r="I97" s="35">
        <f t="shared" si="10"/>
        <v>0</v>
      </c>
      <c r="J97" s="35">
        <f t="shared" si="11"/>
        <v>0</v>
      </c>
    </row>
    <row r="98" spans="1:10" s="25" customFormat="1" x14ac:dyDescent="0.25">
      <c r="A98" s="35" t="str">
        <f t="shared" si="9"/>
        <v>Mountain_2023</v>
      </c>
      <c r="B98" s="48">
        <f>B486*Constants!$B$20/1000000</f>
        <v>1.70515144503</v>
      </c>
      <c r="C98" s="48">
        <f>C486*Constants!$B$18/1000000</f>
        <v>2.9140052453855541</v>
      </c>
      <c r="D98" s="48">
        <f>D486*Constants!$B$22/1000000</f>
        <v>2.8847491985213605</v>
      </c>
      <c r="E98" s="48">
        <f>E486*Constants!$B$21/1000000</f>
        <v>3.4673554338499999</v>
      </c>
      <c r="F98" s="48">
        <f>F486*Constants!$B$15/1000000</f>
        <v>1.4170701151599998</v>
      </c>
      <c r="G98" s="48">
        <f>G486*Constants!$B$16/1000000</f>
        <v>1.8095183636438599</v>
      </c>
      <c r="H98" s="48">
        <f>H486*Constants!$B$19/1000000</f>
        <v>4.2819603992296207</v>
      </c>
      <c r="I98" s="35">
        <f t="shared" si="10"/>
        <v>0</v>
      </c>
      <c r="J98" s="35">
        <f t="shared" si="11"/>
        <v>0</v>
      </c>
    </row>
    <row r="99" spans="1:10" s="25" customFormat="1" x14ac:dyDescent="0.25">
      <c r="A99" s="35" t="str">
        <f t="shared" si="9"/>
        <v>Mountain_2022</v>
      </c>
      <c r="B99" s="48">
        <f>B487*Constants!$B$20/1000000</f>
        <v>1.6829834231099998</v>
      </c>
      <c r="C99" s="48">
        <f>C487*Constants!$B$18/1000000</f>
        <v>2.8683921486073425</v>
      </c>
      <c r="D99" s="48">
        <f>D487*Constants!$B$22/1000000</f>
        <v>2.8549448554230601</v>
      </c>
      <c r="E99" s="48">
        <f>E487*Constants!$B$21/1000000</f>
        <v>3.4228461327500002</v>
      </c>
      <c r="F99" s="48">
        <f>F487*Constants!$B$15/1000000</f>
        <v>1.3860609285600001</v>
      </c>
      <c r="G99" s="48">
        <f>G487*Constants!$B$16/1000000</f>
        <v>1.8488995040500802</v>
      </c>
      <c r="H99" s="48">
        <f>H487*Constants!$B$19/1000000</f>
        <v>4.2120156706646208</v>
      </c>
      <c r="I99" s="35">
        <f t="shared" si="10"/>
        <v>0</v>
      </c>
      <c r="J99" s="35">
        <f t="shared" si="11"/>
        <v>0</v>
      </c>
    </row>
    <row r="100" spans="1:10" s="25" customFormat="1" x14ac:dyDescent="0.25">
      <c r="A100" s="35" t="str">
        <f t="shared" si="9"/>
        <v>Mountain_2021</v>
      </c>
      <c r="B100" s="48">
        <f>B488*Constants!$B$20/1000000</f>
        <v>1.6490610807000001</v>
      </c>
      <c r="C100" s="48">
        <f>C488*Constants!$B$18/1000000</f>
        <v>2.8293727934274062</v>
      </c>
      <c r="D100" s="48">
        <f>D488*Constants!$B$22/1000000</f>
        <v>2.7432527288847002</v>
      </c>
      <c r="E100" s="48">
        <f>E488*Constants!$B$21/1000000</f>
        <v>3.3300211329000002</v>
      </c>
      <c r="F100" s="48">
        <f>F488*Constants!$B$15/1000000</f>
        <v>1.3400150343999999</v>
      </c>
      <c r="G100" s="48">
        <f>G488*Constants!$B$16/1000000</f>
        <v>1.8980854320718803</v>
      </c>
      <c r="H100" s="48">
        <f>H488*Constants!$B$19/1000000</f>
        <v>4.0869634084482804</v>
      </c>
      <c r="I100" s="35">
        <f t="shared" si="10"/>
        <v>0</v>
      </c>
      <c r="J100" s="35">
        <f t="shared" si="11"/>
        <v>0</v>
      </c>
    </row>
    <row r="101" spans="1:10" s="25" customFormat="1" x14ac:dyDescent="0.25">
      <c r="A101" s="35" t="str">
        <f t="shared" si="9"/>
        <v>Mountain_2020</v>
      </c>
      <c r="B101" s="48">
        <f>B489*Constants!$B$20/1000000</f>
        <v>1.6473433953899999</v>
      </c>
      <c r="C101" s="48">
        <f>C489*Constants!$B$18/1000000</f>
        <v>2.761569074867138</v>
      </c>
      <c r="D101" s="48">
        <f>D489*Constants!$B$22/1000000</f>
        <v>2.62197320643986</v>
      </c>
      <c r="E101" s="48">
        <f>E489*Constants!$B$21/1000000</f>
        <v>3.2520219030200002</v>
      </c>
      <c r="F101" s="48">
        <f>F489*Constants!$B$15/1000000</f>
        <v>1.2652478784399999</v>
      </c>
      <c r="G101" s="48">
        <f>G489*Constants!$B$16/1000000</f>
        <v>1.9286774437449801</v>
      </c>
      <c r="H101" s="48">
        <f>H489*Constants!$B$19/1000000</f>
        <v>4.0015389449319203</v>
      </c>
      <c r="I101" s="35">
        <f t="shared" si="10"/>
        <v>0</v>
      </c>
      <c r="J101" s="35">
        <f t="shared" si="11"/>
        <v>0</v>
      </c>
    </row>
    <row r="102" spans="1:10" s="25" customFormat="1" x14ac:dyDescent="0.25">
      <c r="A102" s="35" t="str">
        <f t="shared" si="9"/>
        <v>Mountain_2019</v>
      </c>
      <c r="B102" s="48">
        <f>B490*Constants!$B$20/1000000</f>
        <v>1.6515419481</v>
      </c>
      <c r="C102" s="48">
        <f>C490*Constants!$B$18/1000000</f>
        <v>2.6673096450826521</v>
      </c>
      <c r="D102" s="48">
        <f>D490*Constants!$B$22/1000000</f>
        <v>2.4957784634742</v>
      </c>
      <c r="E102" s="48">
        <f>E490*Constants!$B$21/1000000</f>
        <v>3.1433339815900001</v>
      </c>
      <c r="F102" s="48">
        <f>F490*Constants!$B$15/1000000</f>
        <v>1.18813240056</v>
      </c>
      <c r="G102" s="48">
        <f>G490*Constants!$B$16/1000000</f>
        <v>1.9469048653730201</v>
      </c>
      <c r="H102" s="48">
        <f>H490*Constants!$B$19/1000000</f>
        <v>3.9211688085424803</v>
      </c>
      <c r="I102" s="35">
        <f t="shared" si="10"/>
        <v>0</v>
      </c>
      <c r="J102" s="35">
        <f t="shared" si="11"/>
        <v>0</v>
      </c>
    </row>
    <row r="103" spans="1:10" s="25" customFormat="1" x14ac:dyDescent="0.25">
      <c r="A103" s="35" t="str">
        <f t="shared" si="9"/>
        <v>Mountain_2018</v>
      </c>
      <c r="B103" s="48">
        <f>B491*Constants!$B$20/1000000</f>
        <v>1.6486783470300002</v>
      </c>
      <c r="C103" s="48">
        <f>C491*Constants!$B$18/1000000</f>
        <v>2.5057730465497063</v>
      </c>
      <c r="D103" s="48">
        <f>D491*Constants!$B$22/1000000</f>
        <v>2.2728716290871604</v>
      </c>
      <c r="E103" s="48">
        <f>E491*Constants!$B$21/1000000</f>
        <v>2.9658360572499998</v>
      </c>
      <c r="F103" s="48">
        <f>F491*Constants!$B$15/1000000</f>
        <v>1.0427947927600001</v>
      </c>
      <c r="G103" s="48">
        <f>G491*Constants!$B$16/1000000</f>
        <v>1.93402829075434</v>
      </c>
      <c r="H103" s="48">
        <f>H491*Constants!$B$19/1000000</f>
        <v>3.8383455783408804</v>
      </c>
      <c r="I103" s="35">
        <f t="shared" si="10"/>
        <v>0</v>
      </c>
      <c r="J103" s="35">
        <f t="shared" si="11"/>
        <v>0</v>
      </c>
    </row>
    <row r="104" spans="1:10" s="25" customFormat="1" x14ac:dyDescent="0.25">
      <c r="A104" s="35" t="str">
        <f t="shared" si="9"/>
        <v>Mountain_2017</v>
      </c>
      <c r="B104" s="48">
        <f>B492*Constants!$B$20/1000000</f>
        <v>1.5556019427299999</v>
      </c>
      <c r="C104" s="48">
        <f>C492*Constants!$B$18/1000000</f>
        <v>2.5737820440068928</v>
      </c>
      <c r="D104" s="48">
        <f>D492*Constants!$B$22/1000000</f>
        <v>2.3087667940760999</v>
      </c>
      <c r="E104" s="48">
        <f>E492*Constants!$B$21/1000000</f>
        <v>2.7011998094399998</v>
      </c>
      <c r="F104" s="48">
        <f>F492*Constants!$B$15/1000000</f>
        <v>0.26077467444000002</v>
      </c>
      <c r="G104" s="48">
        <f>G492*Constants!$B$16/1000000</f>
        <v>1.9043940069874803</v>
      </c>
      <c r="H104" s="48">
        <f>H492*Constants!$B$19/1000000</f>
        <v>3.9447650225342605</v>
      </c>
      <c r="I104" s="35">
        <f t="shared" si="10"/>
        <v>0</v>
      </c>
      <c r="J104" s="35">
        <f t="shared" si="11"/>
        <v>0</v>
      </c>
    </row>
    <row r="105" spans="1:10" s="25" customFormat="1" x14ac:dyDescent="0.25">
      <c r="A105" s="35" t="str">
        <f t="shared" si="9"/>
        <v>Mountain_2016</v>
      </c>
      <c r="B105" s="48">
        <f>B493*Constants!$B$20/1000000</f>
        <v>1.5438053908199998</v>
      </c>
      <c r="C105" s="48">
        <f>C493*Constants!$B$18/1000000</f>
        <v>2.3813341121826999</v>
      </c>
      <c r="D105" s="48">
        <f>D493*Constants!$B$22/1000000</f>
        <v>2.2168644189444198</v>
      </c>
      <c r="E105" s="48">
        <f>E493*Constants!$B$21/1000000</f>
        <v>2.3738598598</v>
      </c>
      <c r="F105" s="48">
        <f>F493*Constants!$B$15/1000000</f>
        <v>0.18456656091999998</v>
      </c>
      <c r="G105" s="48">
        <f>G493*Constants!$B$16/1000000</f>
        <v>1.8438153081454001</v>
      </c>
      <c r="H105" s="48">
        <f>H493*Constants!$B$19/1000000</f>
        <v>3.7895616744326404</v>
      </c>
      <c r="I105" s="35">
        <f t="shared" si="10"/>
        <v>0</v>
      </c>
      <c r="J105" s="35">
        <f t="shared" si="11"/>
        <v>0</v>
      </c>
    </row>
    <row r="106" spans="1:10" s="25" customFormat="1" x14ac:dyDescent="0.25">
      <c r="A106" s="35" t="str">
        <f t="shared" si="9"/>
        <v>Mountain_2015</v>
      </c>
      <c r="B106" s="48">
        <f>B494*Constants!$B$20/1000000</f>
        <v>1.6256307780899999</v>
      </c>
      <c r="C106" s="48">
        <f>C494*Constants!$B$18/1000000</f>
        <v>2.6474142265957141</v>
      </c>
      <c r="D106" s="48">
        <f>D494*Constants!$B$22/1000000</f>
        <v>2.5575755193962002</v>
      </c>
      <c r="E106" s="48">
        <f>E494*Constants!$B$21/1000000</f>
        <v>2.8352290465399999</v>
      </c>
      <c r="F106" s="48">
        <f>F494*Constants!$B$15/1000000</f>
        <v>0.26672839731999998</v>
      </c>
      <c r="G106" s="48">
        <f>G494*Constants!$B$16/1000000</f>
        <v>1.8441350726815005</v>
      </c>
      <c r="H106" s="48">
        <f>H494*Constants!$B$19/1000000</f>
        <v>3.7708901956126608</v>
      </c>
      <c r="I106" s="35">
        <f t="shared" si="10"/>
        <v>0</v>
      </c>
      <c r="J106" s="35">
        <f t="shared" si="11"/>
        <v>0</v>
      </c>
    </row>
    <row r="107" spans="1:10" s="25" customFormat="1" x14ac:dyDescent="0.25">
      <c r="A107" s="36" t="str">
        <f>CONCATENATE("West South Central_",A498)</f>
        <v>West South Central_2050</v>
      </c>
      <c r="B107" s="50">
        <f>B498*Constants!$B$20/1000000</f>
        <v>2.1410903969400001</v>
      </c>
      <c r="C107" s="50">
        <f>C498*Constants!$B$18/1000000</f>
        <v>2.6701775252478872</v>
      </c>
      <c r="D107" s="50">
        <f>D498*Constants!$B$22/1000000</f>
        <v>3.3504918457468404</v>
      </c>
      <c r="E107" s="50">
        <f>E498*Constants!$B$21/1000000</f>
        <v>4.2195950290999997</v>
      </c>
      <c r="F107" s="50">
        <f>F498*Constants!$B$15/1000000</f>
        <v>1.50484363736</v>
      </c>
      <c r="G107" s="50">
        <f>G498*Constants!$B$16/1000000</f>
        <v>1.7798750469805003</v>
      </c>
      <c r="H107" s="50">
        <f>H498*Constants!$B$19/1000000</f>
        <v>3.6074953352103605</v>
      </c>
      <c r="I107" s="36">
        <f t="shared" ref="I107:I142" si="12">$B$13*J498</f>
        <v>0</v>
      </c>
      <c r="J107" s="36">
        <f t="shared" ref="J107:J142" si="13">$B$11*K498</f>
        <v>0</v>
      </c>
    </row>
    <row r="108" spans="1:10" s="25" customFormat="1" x14ac:dyDescent="0.25">
      <c r="A108" s="36" t="str">
        <f t="shared" ref="A108:A141" si="14">CONCATENATE("West South Central_",A499)</f>
        <v>West South Central_2049</v>
      </c>
      <c r="B108" s="50">
        <f>B499*Constants!$B$20/1000000</f>
        <v>2.1225106745700004</v>
      </c>
      <c r="C108" s="50">
        <f>C499*Constants!$B$18/1000000</f>
        <v>2.6914783353944149</v>
      </c>
      <c r="D108" s="50">
        <f>D499*Constants!$B$22/1000000</f>
        <v>3.3099711151181799</v>
      </c>
      <c r="E108" s="50">
        <f>E499*Constants!$B$21/1000000</f>
        <v>4.1829382494900003</v>
      </c>
      <c r="F108" s="50">
        <f>F499*Constants!$B$15/1000000</f>
        <v>1.4788778661999999</v>
      </c>
      <c r="G108" s="50">
        <f>G499*Constants!$B$16/1000000</f>
        <v>1.7688280554382403</v>
      </c>
      <c r="H108" s="50">
        <f>H499*Constants!$B$19/1000000</f>
        <v>3.6085252058499799</v>
      </c>
      <c r="I108" s="36">
        <f t="shared" si="12"/>
        <v>0</v>
      </c>
      <c r="J108" s="36">
        <f t="shared" si="13"/>
        <v>0</v>
      </c>
    </row>
    <row r="109" spans="1:10" s="25" customFormat="1" x14ac:dyDescent="0.25">
      <c r="A109" s="36" t="str">
        <f t="shared" si="14"/>
        <v>West South Central_2048</v>
      </c>
      <c r="B109" s="50">
        <f>B500*Constants!$B$20/1000000</f>
        <v>2.1122431377300002</v>
      </c>
      <c r="C109" s="50">
        <f>C500*Constants!$B$18/1000000</f>
        <v>2.7194394251960392</v>
      </c>
      <c r="D109" s="50">
        <f>D500*Constants!$B$22/1000000</f>
        <v>3.2967363560436205</v>
      </c>
      <c r="E109" s="50">
        <f>E500*Constants!$B$21/1000000</f>
        <v>4.1557996105999999</v>
      </c>
      <c r="F109" s="50">
        <f>F500*Constants!$B$15/1000000</f>
        <v>1.46104459284</v>
      </c>
      <c r="G109" s="50">
        <f>G500*Constants!$B$16/1000000</f>
        <v>1.76428523113046</v>
      </c>
      <c r="H109" s="50">
        <f>H500*Constants!$B$19/1000000</f>
        <v>3.5871420515007002</v>
      </c>
      <c r="I109" s="36">
        <f t="shared" si="12"/>
        <v>0</v>
      </c>
      <c r="J109" s="36">
        <f t="shared" si="13"/>
        <v>0</v>
      </c>
    </row>
    <row r="110" spans="1:10" s="25" customFormat="1" x14ac:dyDescent="0.25">
      <c r="A110" s="36" t="str">
        <f t="shared" si="14"/>
        <v>West South Central_2047</v>
      </c>
      <c r="B110" s="50">
        <f>B501*Constants!$B$20/1000000</f>
        <v>2.0930373482699998</v>
      </c>
      <c r="C110" s="50">
        <f>C501*Constants!$B$18/1000000</f>
        <v>2.7591355803133859</v>
      </c>
      <c r="D110" s="50">
        <f>D501*Constants!$B$22/1000000</f>
        <v>3.3094478093142801</v>
      </c>
      <c r="E110" s="50">
        <f>E501*Constants!$B$21/1000000</f>
        <v>4.1543969838799999</v>
      </c>
      <c r="F110" s="50">
        <f>F501*Constants!$B$15/1000000</f>
        <v>1.4549026407999999</v>
      </c>
      <c r="G110" s="50">
        <f>G501*Constants!$B$16/1000000</f>
        <v>1.7482101680804401</v>
      </c>
      <c r="H110" s="50">
        <f>H501*Constants!$B$19/1000000</f>
        <v>3.5651240651854001</v>
      </c>
      <c r="I110" s="36">
        <f t="shared" si="12"/>
        <v>0</v>
      </c>
      <c r="J110" s="36">
        <f t="shared" si="13"/>
        <v>0</v>
      </c>
    </row>
    <row r="111" spans="1:10" s="25" customFormat="1" x14ac:dyDescent="0.25">
      <c r="A111" s="36" t="str">
        <f t="shared" si="14"/>
        <v>West South Central_2046</v>
      </c>
      <c r="B111" s="50">
        <f>B502*Constants!$B$20/1000000</f>
        <v>2.0765767839299998</v>
      </c>
      <c r="C111" s="50">
        <f>C502*Constants!$B$18/1000000</f>
        <v>2.7918937942628537</v>
      </c>
      <c r="D111" s="50">
        <f>D502*Constants!$B$22/1000000</f>
        <v>3.2891357156126606</v>
      </c>
      <c r="E111" s="50">
        <f>E502*Constants!$B$21/1000000</f>
        <v>4.1090341689100001</v>
      </c>
      <c r="F111" s="50">
        <f>F502*Constants!$B$15/1000000</f>
        <v>1.42577497804</v>
      </c>
      <c r="G111" s="50">
        <f>G502*Constants!$B$16/1000000</f>
        <v>1.7380556267123801</v>
      </c>
      <c r="H111" s="50">
        <f>H502*Constants!$B$19/1000000</f>
        <v>3.5449113333452806</v>
      </c>
      <c r="I111" s="36">
        <f t="shared" si="12"/>
        <v>0</v>
      </c>
      <c r="J111" s="36">
        <f t="shared" si="13"/>
        <v>0</v>
      </c>
    </row>
    <row r="112" spans="1:10" s="25" customFormat="1" x14ac:dyDescent="0.25">
      <c r="A112" s="36" t="str">
        <f t="shared" si="14"/>
        <v>West South Central_2045</v>
      </c>
      <c r="B112" s="50">
        <f>B503*Constants!$B$20/1000000</f>
        <v>2.0610861710999999</v>
      </c>
      <c r="C112" s="50">
        <f>C503*Constants!$B$18/1000000</f>
        <v>2.8258897059854653</v>
      </c>
      <c r="D112" s="50">
        <f>D503*Constants!$B$22/1000000</f>
        <v>3.2747040375325405</v>
      </c>
      <c r="E112" s="50">
        <f>E503*Constants!$B$21/1000000</f>
        <v>4.0882727175399998</v>
      </c>
      <c r="F112" s="50">
        <f>F503*Constants!$B$15/1000000</f>
        <v>1.4083889248799999</v>
      </c>
      <c r="G112" s="50">
        <f>G503*Constants!$B$16/1000000</f>
        <v>1.7298684502020201</v>
      </c>
      <c r="H112" s="50">
        <f>H503*Constants!$B$19/1000000</f>
        <v>3.5284990421592601</v>
      </c>
      <c r="I112" s="36">
        <f t="shared" si="12"/>
        <v>0</v>
      </c>
      <c r="J112" s="36">
        <f t="shared" si="13"/>
        <v>0</v>
      </c>
    </row>
    <row r="113" spans="1:10" s="25" customFormat="1" x14ac:dyDescent="0.25">
      <c r="A113" s="36" t="str">
        <f t="shared" si="14"/>
        <v>West South Central_2044</v>
      </c>
      <c r="B113" s="50">
        <f>B504*Constants!$B$20/1000000</f>
        <v>2.0539529917499997</v>
      </c>
      <c r="C113" s="50">
        <f>C504*Constants!$B$18/1000000</f>
        <v>2.8011044596526009</v>
      </c>
      <c r="D113" s="50">
        <f>D504*Constants!$B$22/1000000</f>
        <v>3.2614433841546804</v>
      </c>
      <c r="E113" s="50">
        <f>E504*Constants!$B$21/1000000</f>
        <v>4.0712258449500007</v>
      </c>
      <c r="F113" s="50">
        <f>F504*Constants!$B$15/1000000</f>
        <v>1.3964317026800002</v>
      </c>
      <c r="G113" s="50">
        <f>G504*Constants!$B$16/1000000</f>
        <v>1.7202744301714401</v>
      </c>
      <c r="H113" s="50">
        <f>H504*Constants!$B$19/1000000</f>
        <v>3.5133149840200004</v>
      </c>
      <c r="I113" s="36">
        <f t="shared" si="12"/>
        <v>0</v>
      </c>
      <c r="J113" s="36">
        <f t="shared" si="13"/>
        <v>0</v>
      </c>
    </row>
    <row r="114" spans="1:10" s="25" customFormat="1" x14ac:dyDescent="0.25">
      <c r="A114" s="36" t="str">
        <f t="shared" si="14"/>
        <v>West South Central_2043</v>
      </c>
      <c r="B114" s="50">
        <f>B505*Constants!$B$20/1000000</f>
        <v>2.0397791399699998</v>
      </c>
      <c r="C114" s="50">
        <f>C505*Constants!$B$18/1000000</f>
        <v>2.7286633082808582</v>
      </c>
      <c r="D114" s="50">
        <f>D505*Constants!$B$22/1000000</f>
        <v>3.2499990656050404</v>
      </c>
      <c r="E114" s="50">
        <f>E505*Constants!$B$21/1000000</f>
        <v>4.0684403955799997</v>
      </c>
      <c r="F114" s="50">
        <f>F505*Constants!$B$15/1000000</f>
        <v>1.3868579913999999</v>
      </c>
      <c r="G114" s="50">
        <f>G505*Constants!$B$16/1000000</f>
        <v>1.7144078649912402</v>
      </c>
      <c r="H114" s="50">
        <f>H505*Constants!$B$19/1000000</f>
        <v>3.492689870345</v>
      </c>
      <c r="I114" s="36">
        <f t="shared" si="12"/>
        <v>0</v>
      </c>
      <c r="J114" s="36">
        <f t="shared" si="13"/>
        <v>0</v>
      </c>
    </row>
    <row r="115" spans="1:10" s="25" customFormat="1" x14ac:dyDescent="0.25">
      <c r="A115" s="36" t="str">
        <f t="shared" si="14"/>
        <v>West South Central_2042</v>
      </c>
      <c r="B115" s="50">
        <f>B506*Constants!$B$20/1000000</f>
        <v>2.02342872468</v>
      </c>
      <c r="C115" s="50">
        <f>C506*Constants!$B$18/1000000</f>
        <v>2.6336288899670053</v>
      </c>
      <c r="D115" s="50">
        <f>D506*Constants!$B$22/1000000</f>
        <v>3.24044659689836</v>
      </c>
      <c r="E115" s="50">
        <f>E506*Constants!$B$21/1000000</f>
        <v>4.0709647912999998</v>
      </c>
      <c r="F115" s="50">
        <f>F506*Constants!$B$15/1000000</f>
        <v>1.3789682337200002</v>
      </c>
      <c r="G115" s="50">
        <f>G506*Constants!$B$16/1000000</f>
        <v>1.7037209849227799</v>
      </c>
      <c r="H115" s="50">
        <f>H506*Constants!$B$19/1000000</f>
        <v>3.4818387119988605</v>
      </c>
      <c r="I115" s="36">
        <f t="shared" si="12"/>
        <v>0</v>
      </c>
      <c r="J115" s="36">
        <f t="shared" si="13"/>
        <v>0</v>
      </c>
    </row>
    <row r="116" spans="1:10" s="25" customFormat="1" x14ac:dyDescent="0.25">
      <c r="A116" s="36" t="str">
        <f t="shared" si="14"/>
        <v>West South Central_2041</v>
      </c>
      <c r="B116" s="50">
        <f>B507*Constants!$B$20/1000000</f>
        <v>2.0118979930500003</v>
      </c>
      <c r="C116" s="50">
        <f>C507*Constants!$B$18/1000000</f>
        <v>2.533252364853436</v>
      </c>
      <c r="D116" s="50">
        <f>D507*Constants!$B$22/1000000</f>
        <v>3.2349017232721802</v>
      </c>
      <c r="E116" s="50">
        <f>E507*Constants!$B$21/1000000</f>
        <v>4.0793795821899996</v>
      </c>
      <c r="F116" s="50">
        <f>F507*Constants!$B$15/1000000</f>
        <v>1.3771404530800002</v>
      </c>
      <c r="G116" s="50">
        <f>G507*Constants!$B$16/1000000</f>
        <v>1.6976964042731402</v>
      </c>
      <c r="H116" s="50">
        <f>H507*Constants!$B$19/1000000</f>
        <v>3.4884377848659005</v>
      </c>
      <c r="I116" s="36">
        <f t="shared" si="12"/>
        <v>0</v>
      </c>
      <c r="J116" s="36">
        <f t="shared" si="13"/>
        <v>0</v>
      </c>
    </row>
    <row r="117" spans="1:10" s="25" customFormat="1" x14ac:dyDescent="0.25">
      <c r="A117" s="36" t="str">
        <f t="shared" si="14"/>
        <v>West South Central_2040</v>
      </c>
      <c r="B117" s="50">
        <f>B508*Constants!$B$20/1000000</f>
        <v>1.99054388577</v>
      </c>
      <c r="C117" s="50">
        <f>C508*Constants!$B$18/1000000</f>
        <v>2.4530135826364403</v>
      </c>
      <c r="D117" s="50">
        <f>D508*Constants!$B$22/1000000</f>
        <v>3.21809619999186</v>
      </c>
      <c r="E117" s="50">
        <f>E508*Constants!$B$21/1000000</f>
        <v>4.0712089491699999</v>
      </c>
      <c r="F117" s="50">
        <f>F508*Constants!$B$15/1000000</f>
        <v>1.3657703113599999</v>
      </c>
      <c r="G117" s="50">
        <f>G508*Constants!$B$16/1000000</f>
        <v>1.6996629260605001</v>
      </c>
      <c r="H117" s="50">
        <f>H508*Constants!$B$19/1000000</f>
        <v>3.5021781452672207</v>
      </c>
      <c r="I117" s="36">
        <f t="shared" si="12"/>
        <v>0</v>
      </c>
      <c r="J117" s="36">
        <f t="shared" si="13"/>
        <v>0</v>
      </c>
    </row>
    <row r="118" spans="1:10" s="25" customFormat="1" x14ac:dyDescent="0.25">
      <c r="A118" s="36" t="str">
        <f t="shared" si="14"/>
        <v>West South Central_2039</v>
      </c>
      <c r="B118" s="50">
        <f>B509*Constants!$B$20/1000000</f>
        <v>1.97711283165</v>
      </c>
      <c r="C118" s="50">
        <f>C509*Constants!$B$18/1000000</f>
        <v>2.3711456970228704</v>
      </c>
      <c r="D118" s="50">
        <f>D509*Constants!$B$22/1000000</f>
        <v>3.1934671043949603</v>
      </c>
      <c r="E118" s="50">
        <f>E509*Constants!$B$21/1000000</f>
        <v>4.0516921074300001</v>
      </c>
      <c r="F118" s="50">
        <f>F509*Constants!$B$15/1000000</f>
        <v>1.3450212134799999</v>
      </c>
      <c r="G118" s="50">
        <f>G509*Constants!$B$16/1000000</f>
        <v>1.7059301905294404</v>
      </c>
      <c r="H118" s="50">
        <f>H509*Constants!$B$19/1000000</f>
        <v>3.5231613229594805</v>
      </c>
      <c r="I118" s="36">
        <f t="shared" si="12"/>
        <v>0</v>
      </c>
      <c r="J118" s="36">
        <f t="shared" si="13"/>
        <v>0</v>
      </c>
    </row>
    <row r="119" spans="1:10" s="25" customFormat="1" x14ac:dyDescent="0.25">
      <c r="A119" s="36" t="str">
        <f t="shared" si="14"/>
        <v>West South Central_2038</v>
      </c>
      <c r="B119" s="50">
        <f>B510*Constants!$B$20/1000000</f>
        <v>1.9421537170199998</v>
      </c>
      <c r="C119" s="50">
        <f>C510*Constants!$B$18/1000000</f>
        <v>2.2971708434414264</v>
      </c>
      <c r="D119" s="50">
        <f>D510*Constants!$B$22/1000000</f>
        <v>3.15029756719664</v>
      </c>
      <c r="E119" s="50">
        <f>E510*Constants!$B$21/1000000</f>
        <v>4.0098030371300002</v>
      </c>
      <c r="F119" s="50">
        <f>F510*Constants!$B$15/1000000</f>
        <v>1.3153609812</v>
      </c>
      <c r="G119" s="50">
        <f>G510*Constants!$B$16/1000000</f>
        <v>1.7067874726266001</v>
      </c>
      <c r="H119" s="50">
        <f>H510*Constants!$B$19/1000000</f>
        <v>3.5257725526797001</v>
      </c>
      <c r="I119" s="36">
        <f t="shared" si="12"/>
        <v>0</v>
      </c>
      <c r="J119" s="36">
        <f t="shared" si="13"/>
        <v>0</v>
      </c>
    </row>
    <row r="120" spans="1:10" s="25" customFormat="1" x14ac:dyDescent="0.25">
      <c r="A120" s="36" t="str">
        <f t="shared" si="14"/>
        <v>West South Central_2037</v>
      </c>
      <c r="B120" s="50">
        <f>B511*Constants!$B$20/1000000</f>
        <v>1.9173414780300002</v>
      </c>
      <c r="C120" s="50">
        <f>C511*Constants!$B$18/1000000</f>
        <v>2.250571095180125</v>
      </c>
      <c r="D120" s="50">
        <f>D511*Constants!$B$22/1000000</f>
        <v>3.1358831118391803</v>
      </c>
      <c r="E120" s="50">
        <f>E511*Constants!$B$21/1000000</f>
        <v>3.99845364314</v>
      </c>
      <c r="F120" s="50">
        <f>F511*Constants!$B$15/1000000</f>
        <v>1.3006190934799999</v>
      </c>
      <c r="G120" s="50">
        <f>G511*Constants!$B$16/1000000</f>
        <v>1.7127925422198003</v>
      </c>
      <c r="H120" s="50">
        <f>H511*Constants!$B$19/1000000</f>
        <v>3.53089384367934</v>
      </c>
      <c r="I120" s="36">
        <f t="shared" si="12"/>
        <v>0</v>
      </c>
      <c r="J120" s="36">
        <f t="shared" si="13"/>
        <v>0</v>
      </c>
    </row>
    <row r="121" spans="1:10" s="25" customFormat="1" x14ac:dyDescent="0.25">
      <c r="A121" s="36" t="str">
        <f t="shared" si="14"/>
        <v>West South Central_2036</v>
      </c>
      <c r="B121" s="50">
        <f>B512*Constants!$B$20/1000000</f>
        <v>1.90463046048</v>
      </c>
      <c r="C121" s="50">
        <f>C512*Constants!$B$18/1000000</f>
        <v>2.2255889321655911</v>
      </c>
      <c r="D121" s="50">
        <f>D512*Constants!$B$22/1000000</f>
        <v>3.1290476179610804</v>
      </c>
      <c r="E121" s="50">
        <f>E512*Constants!$B$21/1000000</f>
        <v>3.9928600320400003</v>
      </c>
      <c r="F121" s="50">
        <f>F512*Constants!$B$15/1000000</f>
        <v>1.2913050130399999</v>
      </c>
      <c r="G121" s="50">
        <f>G512*Constants!$B$16/1000000</f>
        <v>1.7201011189972601</v>
      </c>
      <c r="H121" s="50">
        <f>H512*Constants!$B$19/1000000</f>
        <v>3.5393323755896402</v>
      </c>
      <c r="I121" s="36">
        <f t="shared" si="12"/>
        <v>0</v>
      </c>
      <c r="J121" s="36">
        <f t="shared" si="13"/>
        <v>0</v>
      </c>
    </row>
    <row r="122" spans="1:10" s="25" customFormat="1" x14ac:dyDescent="0.25">
      <c r="A122" s="36" t="str">
        <f t="shared" si="14"/>
        <v>West South Central_2035</v>
      </c>
      <c r="B122" s="50">
        <f>B513*Constants!$B$20/1000000</f>
        <v>1.8775555497600001</v>
      </c>
      <c r="C122" s="50">
        <f>C513*Constants!$B$18/1000000</f>
        <v>2.167981541398937</v>
      </c>
      <c r="D122" s="50">
        <f>D513*Constants!$B$22/1000000</f>
        <v>3.0671587878106399</v>
      </c>
      <c r="E122" s="50">
        <f>E513*Constants!$B$21/1000000</f>
        <v>3.9231955458300001</v>
      </c>
      <c r="F122" s="50">
        <f>F513*Constants!$B$15/1000000</f>
        <v>1.2418743209599998</v>
      </c>
      <c r="G122" s="50">
        <f>G513*Constants!$B$16/1000000</f>
        <v>1.7293928380916401</v>
      </c>
      <c r="H122" s="50">
        <f>H513*Constants!$B$19/1000000</f>
        <v>3.5273741454484604</v>
      </c>
      <c r="I122" s="36">
        <f t="shared" si="12"/>
        <v>0</v>
      </c>
      <c r="J122" s="36">
        <f t="shared" si="13"/>
        <v>0</v>
      </c>
    </row>
    <row r="123" spans="1:10" s="25" customFormat="1" x14ac:dyDescent="0.25">
      <c r="A123" s="36" t="str">
        <f t="shared" si="14"/>
        <v>West South Central_2034</v>
      </c>
      <c r="B123" s="50">
        <f>B514*Constants!$B$20/1000000</f>
        <v>1.86856501062</v>
      </c>
      <c r="C123" s="50">
        <f>C514*Constants!$B$18/1000000</f>
        <v>2.1713337107182697</v>
      </c>
      <c r="D123" s="50">
        <f>D514*Constants!$B$22/1000000</f>
        <v>3.0492752184427006</v>
      </c>
      <c r="E123" s="50">
        <f>E514*Constants!$B$21/1000000</f>
        <v>3.9005570009999997</v>
      </c>
      <c r="F123" s="50">
        <f>F514*Constants!$B$15/1000000</f>
        <v>1.22609122272</v>
      </c>
      <c r="G123" s="50">
        <f>G514*Constants!$B$16/1000000</f>
        <v>1.7306446771079202</v>
      </c>
      <c r="H123" s="50">
        <f>H514*Constants!$B$19/1000000</f>
        <v>3.5298008632028401</v>
      </c>
      <c r="I123" s="36">
        <f t="shared" si="12"/>
        <v>0</v>
      </c>
      <c r="J123" s="36">
        <f t="shared" si="13"/>
        <v>0</v>
      </c>
    </row>
    <row r="124" spans="1:10" s="25" customFormat="1" x14ac:dyDescent="0.25">
      <c r="A124" s="36" t="str">
        <f t="shared" si="14"/>
        <v>West South Central_2033</v>
      </c>
      <c r="B124" s="50">
        <f>B515*Constants!$B$20/1000000</f>
        <v>1.8494261332799999</v>
      </c>
      <c r="C124" s="50">
        <f>C515*Constants!$B$18/1000000</f>
        <v>2.1596908096028722</v>
      </c>
      <c r="D124" s="50">
        <f>D515*Constants!$B$22/1000000</f>
        <v>3.0173883711659806</v>
      </c>
      <c r="E124" s="50">
        <f>E515*Constants!$B$21/1000000</f>
        <v>3.8583834722399999</v>
      </c>
      <c r="F124" s="50">
        <f>F515*Constants!$B$15/1000000</f>
        <v>1.1950195916399999</v>
      </c>
      <c r="G124" s="50">
        <f>G515*Constants!$B$16/1000000</f>
        <v>1.7436958877256004</v>
      </c>
      <c r="H124" s="50">
        <f>H515*Constants!$B$19/1000000</f>
        <v>3.5562915785490801</v>
      </c>
      <c r="I124" s="36">
        <f t="shared" si="12"/>
        <v>0</v>
      </c>
      <c r="J124" s="36">
        <f t="shared" si="13"/>
        <v>0</v>
      </c>
    </row>
    <row r="125" spans="1:10" s="25" customFormat="1" x14ac:dyDescent="0.25">
      <c r="A125" s="36" t="str">
        <f t="shared" si="14"/>
        <v>West South Central_2032</v>
      </c>
      <c r="B125" s="50">
        <f>B516*Constants!$B$20/1000000</f>
        <v>1.8440811163499999</v>
      </c>
      <c r="C125" s="50">
        <f>C516*Constants!$B$18/1000000</f>
        <v>2.200730763719104</v>
      </c>
      <c r="D125" s="50">
        <f>D516*Constants!$B$22/1000000</f>
        <v>3.0219814183783003</v>
      </c>
      <c r="E125" s="50">
        <f>E516*Constants!$B$21/1000000</f>
        <v>3.8561165294299999</v>
      </c>
      <c r="F125" s="50">
        <f>F516*Constants!$B$15/1000000</f>
        <v>1.19658390264</v>
      </c>
      <c r="G125" s="50">
        <f>G516*Constants!$B$16/1000000</f>
        <v>1.7665038309494803</v>
      </c>
      <c r="H125" s="50">
        <f>H516*Constants!$B$19/1000000</f>
        <v>3.58009687398518</v>
      </c>
      <c r="I125" s="36">
        <f t="shared" si="12"/>
        <v>0</v>
      </c>
      <c r="J125" s="36">
        <f t="shared" si="13"/>
        <v>0</v>
      </c>
    </row>
    <row r="126" spans="1:10" s="25" customFormat="1" x14ac:dyDescent="0.25">
      <c r="A126" s="36" t="str">
        <f t="shared" si="14"/>
        <v>West South Central_2031</v>
      </c>
      <c r="B126" s="50">
        <f>B517*Constants!$B$20/1000000</f>
        <v>1.81834655046</v>
      </c>
      <c r="C126" s="50">
        <f>C517*Constants!$B$18/1000000</f>
        <v>2.2004385357668541</v>
      </c>
      <c r="D126" s="50">
        <f>D517*Constants!$B$22/1000000</f>
        <v>2.9774433371409201</v>
      </c>
      <c r="E126" s="50">
        <f>E517*Constants!$B$21/1000000</f>
        <v>3.7946129819400003</v>
      </c>
      <c r="F126" s="50">
        <f>F517*Constants!$B$15/1000000</f>
        <v>1.1528602265600001</v>
      </c>
      <c r="G126" s="50">
        <f>G517*Constants!$B$16/1000000</f>
        <v>1.7838013459925</v>
      </c>
      <c r="H126" s="50">
        <f>H517*Constants!$B$19/1000000</f>
        <v>3.5900958086562005</v>
      </c>
      <c r="I126" s="36">
        <f t="shared" si="12"/>
        <v>0</v>
      </c>
      <c r="J126" s="36">
        <f t="shared" si="13"/>
        <v>0</v>
      </c>
    </row>
    <row r="127" spans="1:10" s="25" customFormat="1" x14ac:dyDescent="0.25">
      <c r="A127" s="36" t="str">
        <f t="shared" si="14"/>
        <v>West South Central_2030</v>
      </c>
      <c r="B127" s="50">
        <f>B518*Constants!$B$20/1000000</f>
        <v>1.7842463241899997</v>
      </c>
      <c r="C127" s="50">
        <f>C518*Constants!$B$18/1000000</f>
        <v>2.1696331238687612</v>
      </c>
      <c r="D127" s="50">
        <f>D518*Constants!$B$22/1000000</f>
        <v>2.93549010956598</v>
      </c>
      <c r="E127" s="50">
        <f>E518*Constants!$B$21/1000000</f>
        <v>3.74123782802</v>
      </c>
      <c r="F127" s="50">
        <f>F518*Constants!$B$15/1000000</f>
        <v>1.1141139385599999</v>
      </c>
      <c r="G127" s="50">
        <f>G518*Constants!$B$16/1000000</f>
        <v>1.7978107662709002</v>
      </c>
      <c r="H127" s="50">
        <f>H518*Constants!$B$19/1000000</f>
        <v>3.5758944092175202</v>
      </c>
      <c r="I127" s="36">
        <f t="shared" si="12"/>
        <v>0</v>
      </c>
      <c r="J127" s="36">
        <f t="shared" si="13"/>
        <v>0</v>
      </c>
    </row>
    <row r="128" spans="1:10" s="25" customFormat="1" x14ac:dyDescent="0.25">
      <c r="A128" s="36" t="str">
        <f t="shared" si="14"/>
        <v>West South Central_2029</v>
      </c>
      <c r="B128" s="50">
        <f>B519*Constants!$B$20/1000000</f>
        <v>1.7707459812899999</v>
      </c>
      <c r="C128" s="50">
        <f>C519*Constants!$B$18/1000000</f>
        <v>2.2203481610280864</v>
      </c>
      <c r="D128" s="50">
        <f>D519*Constants!$B$22/1000000</f>
        <v>2.8925086974921004</v>
      </c>
      <c r="E128" s="50">
        <f>E519*Constants!$B$21/1000000</f>
        <v>3.6759360537900001</v>
      </c>
      <c r="F128" s="50">
        <f>F519*Constants!$B$15/1000000</f>
        <v>1.0716633365200001</v>
      </c>
      <c r="G128" s="50">
        <f>G519*Constants!$B$16/1000000</f>
        <v>1.8182593169289802</v>
      </c>
      <c r="H128" s="50">
        <f>H519*Constants!$B$19/1000000</f>
        <v>3.5652492009115799</v>
      </c>
      <c r="I128" s="36">
        <f t="shared" si="12"/>
        <v>0</v>
      </c>
      <c r="J128" s="36">
        <f t="shared" si="13"/>
        <v>0</v>
      </c>
    </row>
    <row r="129" spans="1:10" s="25" customFormat="1" x14ac:dyDescent="0.25">
      <c r="A129" s="36" t="str">
        <f t="shared" si="14"/>
        <v>West South Central_2028</v>
      </c>
      <c r="B129" s="50">
        <f>B520*Constants!$B$20/1000000</f>
        <v>1.76833074627</v>
      </c>
      <c r="C129" s="50">
        <f>C520*Constants!$B$18/1000000</f>
        <v>2.2690608522585944</v>
      </c>
      <c r="D129" s="50">
        <f>D520*Constants!$B$22/1000000</f>
        <v>2.8672076748342201</v>
      </c>
      <c r="E129" s="50">
        <f>E520*Constants!$B$21/1000000</f>
        <v>3.6349453681200004</v>
      </c>
      <c r="F129" s="50">
        <f>F520*Constants!$B$15/1000000</f>
        <v>1.04596653728</v>
      </c>
      <c r="G129" s="50">
        <f>G520*Constants!$B$16/1000000</f>
        <v>1.8365160051416802</v>
      </c>
      <c r="H129" s="50">
        <f>H520*Constants!$B$19/1000000</f>
        <v>3.5408117231590999</v>
      </c>
      <c r="I129" s="36">
        <f t="shared" si="12"/>
        <v>0</v>
      </c>
      <c r="J129" s="36">
        <f t="shared" si="13"/>
        <v>0</v>
      </c>
    </row>
    <row r="130" spans="1:10" s="25" customFormat="1" x14ac:dyDescent="0.25">
      <c r="A130" s="36" t="str">
        <f t="shared" si="14"/>
        <v>West South Central_2027</v>
      </c>
      <c r="B130" s="50">
        <f>B521*Constants!$B$20/1000000</f>
        <v>1.7632075814099999</v>
      </c>
      <c r="C130" s="50">
        <f>C521*Constants!$B$18/1000000</f>
        <v>2.3725315768468791</v>
      </c>
      <c r="D130" s="50">
        <f>D521*Constants!$B$22/1000000</f>
        <v>2.8741692679474604</v>
      </c>
      <c r="E130" s="50">
        <f>E521*Constants!$B$21/1000000</f>
        <v>3.6182797584999999</v>
      </c>
      <c r="F130" s="50">
        <f>F521*Constants!$B$15/1000000</f>
        <v>1.0395012303200002</v>
      </c>
      <c r="G130" s="50">
        <f>G521*Constants!$B$16/1000000</f>
        <v>1.8596121579832201</v>
      </c>
      <c r="H130" s="50">
        <f>H521*Constants!$B$19/1000000</f>
        <v>3.5175068501891005</v>
      </c>
      <c r="I130" s="36">
        <f t="shared" si="12"/>
        <v>0</v>
      </c>
      <c r="J130" s="36">
        <f t="shared" si="13"/>
        <v>0</v>
      </c>
    </row>
    <row r="131" spans="1:10" s="25" customFormat="1" x14ac:dyDescent="0.25">
      <c r="A131" s="36" t="str">
        <f t="shared" si="14"/>
        <v>West South Central_2026</v>
      </c>
      <c r="B131" s="50">
        <f>B522*Constants!$B$20/1000000</f>
        <v>1.7469845916600002</v>
      </c>
      <c r="C131" s="50">
        <f>C522*Constants!$B$18/1000000</f>
        <v>2.4372773321985099</v>
      </c>
      <c r="D131" s="50">
        <f>D522*Constants!$B$22/1000000</f>
        <v>2.8695255160761199</v>
      </c>
      <c r="E131" s="50">
        <f>E522*Constants!$B$21/1000000</f>
        <v>3.5865914461299999</v>
      </c>
      <c r="F131" s="50">
        <f>F522*Constants!$B$15/1000000</f>
        <v>1.01965924088</v>
      </c>
      <c r="G131" s="50">
        <f>G522*Constants!$B$16/1000000</f>
        <v>1.8838852370194004</v>
      </c>
      <c r="H131" s="50">
        <f>H522*Constants!$B$19/1000000</f>
        <v>3.4823792405254204</v>
      </c>
      <c r="I131" s="36">
        <f t="shared" si="12"/>
        <v>0</v>
      </c>
      <c r="J131" s="36">
        <f t="shared" si="13"/>
        <v>0</v>
      </c>
    </row>
    <row r="132" spans="1:10" s="25" customFormat="1" x14ac:dyDescent="0.25">
      <c r="A132" s="36" t="str">
        <f t="shared" si="14"/>
        <v>West South Central_2025</v>
      </c>
      <c r="B132" s="50">
        <f>B523*Constants!$B$20/1000000</f>
        <v>1.7433207874499999</v>
      </c>
      <c r="C132" s="50">
        <f>C523*Constants!$B$18/1000000</f>
        <v>2.5154517262445188</v>
      </c>
      <c r="D132" s="50">
        <f>D523*Constants!$B$22/1000000</f>
        <v>2.8346715429570799</v>
      </c>
      <c r="E132" s="50">
        <f>E523*Constants!$B$21/1000000</f>
        <v>3.5355930575899999</v>
      </c>
      <c r="F132" s="50">
        <f>F523*Constants!$B$15/1000000</f>
        <v>0.98152754476000004</v>
      </c>
      <c r="G132" s="50">
        <f>G523*Constants!$B$16/1000000</f>
        <v>1.9044840950752402</v>
      </c>
      <c r="H132" s="50">
        <f>H523*Constants!$B$19/1000000</f>
        <v>3.4344333485351406</v>
      </c>
      <c r="I132" s="36">
        <f t="shared" si="12"/>
        <v>0</v>
      </c>
      <c r="J132" s="36">
        <f t="shared" si="13"/>
        <v>0</v>
      </c>
    </row>
    <row r="133" spans="1:10" s="25" customFormat="1" x14ac:dyDescent="0.25">
      <c r="A133" s="36" t="str">
        <f t="shared" si="14"/>
        <v>West South Central_2024</v>
      </c>
      <c r="B133" s="50">
        <f>B524*Constants!$B$20/1000000</f>
        <v>1.7460691205099999</v>
      </c>
      <c r="C133" s="50">
        <f>C524*Constants!$B$18/1000000</f>
        <v>2.660008801756224</v>
      </c>
      <c r="D133" s="50">
        <f>D524*Constants!$B$22/1000000</f>
        <v>2.7892837672556001</v>
      </c>
      <c r="E133" s="50">
        <f>E524*Constants!$B$21/1000000</f>
        <v>3.4518211490400001</v>
      </c>
      <c r="F133" s="50">
        <f>F524*Constants!$B$15/1000000</f>
        <v>0.93587256839999999</v>
      </c>
      <c r="G133" s="50">
        <f>G524*Constants!$B$16/1000000</f>
        <v>1.9313031260996001</v>
      </c>
      <c r="H133" s="50">
        <f>H524*Constants!$B$19/1000000</f>
        <v>3.3687988773027002</v>
      </c>
      <c r="I133" s="36">
        <f t="shared" si="12"/>
        <v>0</v>
      </c>
      <c r="J133" s="36">
        <f t="shared" si="13"/>
        <v>0</v>
      </c>
    </row>
    <row r="134" spans="1:10" s="25" customFormat="1" x14ac:dyDescent="0.25">
      <c r="A134" s="36" t="str">
        <f t="shared" si="14"/>
        <v>West South Central_2023</v>
      </c>
      <c r="B134" s="50">
        <f>B525*Constants!$B$20/1000000</f>
        <v>1.7381014592699999</v>
      </c>
      <c r="C134" s="50">
        <f>C525*Constants!$B$18/1000000</f>
        <v>2.6192601764293122</v>
      </c>
      <c r="D134" s="50">
        <f>D525*Constants!$B$22/1000000</f>
        <v>2.7622876914598402</v>
      </c>
      <c r="E134" s="50">
        <f>E525*Constants!$B$21/1000000</f>
        <v>3.4130295460799998</v>
      </c>
      <c r="F134" s="50">
        <f>F525*Constants!$B$15/1000000</f>
        <v>0.90478814131999996</v>
      </c>
      <c r="G134" s="50">
        <f>G525*Constants!$B$16/1000000</f>
        <v>1.9517289138585003</v>
      </c>
      <c r="H134" s="50">
        <f>H525*Constants!$B$19/1000000</f>
        <v>3.3862983679114604</v>
      </c>
      <c r="I134" s="36">
        <f t="shared" si="12"/>
        <v>0</v>
      </c>
      <c r="J134" s="36">
        <f t="shared" si="13"/>
        <v>0</v>
      </c>
    </row>
    <row r="135" spans="1:10" s="25" customFormat="1" x14ac:dyDescent="0.25">
      <c r="A135" s="36" t="str">
        <f t="shared" si="14"/>
        <v>West South Central_2022</v>
      </c>
      <c r="B135" s="50">
        <f>B526*Constants!$B$20/1000000</f>
        <v>1.71550509009</v>
      </c>
      <c r="C135" s="50">
        <f>C526*Constants!$B$18/1000000</f>
        <v>2.5713976437491191</v>
      </c>
      <c r="D135" s="50">
        <f>D526*Constants!$B$22/1000000</f>
        <v>2.7305812612358804</v>
      </c>
      <c r="E135" s="50">
        <f>E526*Constants!$B$21/1000000</f>
        <v>3.3680777694299997</v>
      </c>
      <c r="F135" s="50">
        <f>F526*Constants!$B$15/1000000</f>
        <v>0.86757379044000005</v>
      </c>
      <c r="G135" s="50">
        <f>G526*Constants!$B$16/1000000</f>
        <v>1.9779910367039801</v>
      </c>
      <c r="H135" s="50">
        <f>H526*Constants!$B$19/1000000</f>
        <v>3.4044366649607003</v>
      </c>
      <c r="I135" s="36">
        <f t="shared" si="12"/>
        <v>0</v>
      </c>
      <c r="J135" s="36">
        <f t="shared" si="13"/>
        <v>0</v>
      </c>
    </row>
    <row r="136" spans="1:10" s="25" customFormat="1" x14ac:dyDescent="0.25">
      <c r="A136" s="36" t="str">
        <f t="shared" si="14"/>
        <v>West South Central_2021</v>
      </c>
      <c r="B136" s="50">
        <f>B527*Constants!$B$20/1000000</f>
        <v>1.68092715516</v>
      </c>
      <c r="C136" s="50">
        <f>C527*Constants!$B$18/1000000</f>
        <v>2.9273322786688416</v>
      </c>
      <c r="D136" s="50">
        <f>D527*Constants!$B$22/1000000</f>
        <v>2.6230204202407603</v>
      </c>
      <c r="E136" s="50">
        <f>E527*Constants!$B$21/1000000</f>
        <v>3.2680553057899999</v>
      </c>
      <c r="F136" s="50">
        <f>F527*Constants!$B$15/1000000</f>
        <v>0.82094695788000005</v>
      </c>
      <c r="G136" s="50">
        <f>G527*Constants!$B$16/1000000</f>
        <v>2.0183223173833804</v>
      </c>
      <c r="H136" s="50">
        <f>H527*Constants!$B$19/1000000</f>
        <v>3.3361891574287403</v>
      </c>
      <c r="I136" s="36">
        <f t="shared" si="12"/>
        <v>0</v>
      </c>
      <c r="J136" s="36">
        <f t="shared" si="13"/>
        <v>0</v>
      </c>
    </row>
    <row r="137" spans="1:10" s="25" customFormat="1" x14ac:dyDescent="0.25">
      <c r="A137" s="36" t="str">
        <f t="shared" si="14"/>
        <v>West South Central_2020</v>
      </c>
      <c r="B137" s="50">
        <f>B528*Constants!$B$20/1000000</f>
        <v>1.6791761052</v>
      </c>
      <c r="C137" s="50">
        <f>C528*Constants!$B$18/1000000</f>
        <v>2.8788737807986453</v>
      </c>
      <c r="D137" s="50">
        <f>D528*Constants!$B$22/1000000</f>
        <v>2.5098228109524001</v>
      </c>
      <c r="E137" s="50">
        <f>E528*Constants!$B$21/1000000</f>
        <v>3.1866950621000001</v>
      </c>
      <c r="F137" s="50">
        <f>F528*Constants!$B$15/1000000</f>
        <v>0.76255689047999997</v>
      </c>
      <c r="G137" s="50">
        <f>G528*Constants!$B$16/1000000</f>
        <v>2.04985314809938</v>
      </c>
      <c r="H137" s="50">
        <f>H528*Constants!$B$19/1000000</f>
        <v>3.2819093984126604</v>
      </c>
      <c r="I137" s="36">
        <f t="shared" si="12"/>
        <v>0</v>
      </c>
      <c r="J137" s="36">
        <f t="shared" si="13"/>
        <v>0</v>
      </c>
    </row>
    <row r="138" spans="1:10" s="25" customFormat="1" x14ac:dyDescent="0.25">
      <c r="A138" s="36" t="str">
        <f t="shared" si="14"/>
        <v>West South Central_2019</v>
      </c>
      <c r="B138" s="50">
        <f>B529*Constants!$B$20/1000000</f>
        <v>1.68345573858</v>
      </c>
      <c r="C138" s="50">
        <f>C529*Constants!$B$18/1000000</f>
        <v>2.826691489570146</v>
      </c>
      <c r="D138" s="50">
        <f>D529*Constants!$B$22/1000000</f>
        <v>2.3939663986889204</v>
      </c>
      <c r="E138" s="50">
        <f>E529*Constants!$B$21/1000000</f>
        <v>3.0802738065000002</v>
      </c>
      <c r="F138" s="50">
        <f>F529*Constants!$B$15/1000000</f>
        <v>0.68712869316000003</v>
      </c>
      <c r="G138" s="50">
        <f>G529*Constants!$B$16/1000000</f>
        <v>2.0151225041272203</v>
      </c>
      <c r="H138" s="50">
        <f>H529*Constants!$B$19/1000000</f>
        <v>3.1490400675652204</v>
      </c>
      <c r="I138" s="36">
        <f t="shared" si="12"/>
        <v>0</v>
      </c>
      <c r="J138" s="36">
        <f t="shared" si="13"/>
        <v>0</v>
      </c>
    </row>
    <row r="139" spans="1:10" s="25" customFormat="1" x14ac:dyDescent="0.25">
      <c r="A139" s="36" t="str">
        <f t="shared" si="14"/>
        <v>West South Central_2018</v>
      </c>
      <c r="B139" s="50">
        <f>B530*Constants!$B$20/1000000</f>
        <v>1.6805369258699998</v>
      </c>
      <c r="C139" s="50">
        <f>C530*Constants!$B$18/1000000</f>
        <v>2.6796104637139311</v>
      </c>
      <c r="D139" s="50">
        <f>D530*Constants!$B$22/1000000</f>
        <v>2.1795956514943806</v>
      </c>
      <c r="E139" s="50">
        <f>E530*Constants!$B$21/1000000</f>
        <v>2.89713546144</v>
      </c>
      <c r="F139" s="50">
        <f>F530*Constants!$B$15/1000000</f>
        <v>0.56716580928000004</v>
      </c>
      <c r="G139" s="50">
        <f>G530*Constants!$B$16/1000000</f>
        <v>1.9712706821466</v>
      </c>
      <c r="H139" s="50">
        <f>H530*Constants!$B$19/1000000</f>
        <v>2.9907828778148802</v>
      </c>
      <c r="I139" s="36">
        <f t="shared" si="12"/>
        <v>0</v>
      </c>
      <c r="J139" s="36">
        <f t="shared" si="13"/>
        <v>0</v>
      </c>
    </row>
    <row r="140" spans="1:10" s="25" customFormat="1" x14ac:dyDescent="0.25">
      <c r="A140" s="36" t="str">
        <f t="shared" si="14"/>
        <v>West South Central_2017</v>
      </c>
      <c r="B140" s="50">
        <f>B531*Constants!$B$20/1000000</f>
        <v>1.5856619384099999</v>
      </c>
      <c r="C140" s="50">
        <f>C531*Constants!$B$18/1000000</f>
        <v>2.3997422252671248</v>
      </c>
      <c r="D140" s="50">
        <f>D531*Constants!$B$22/1000000</f>
        <v>2.2101397285967206</v>
      </c>
      <c r="E140" s="50">
        <f>E531*Constants!$B$21/1000000</f>
        <v>2.6187207050400003</v>
      </c>
      <c r="F140" s="50">
        <f>F531*Constants!$B$15/1000000</f>
        <v>0.73350318859999997</v>
      </c>
      <c r="G140" s="50">
        <f>G531*Constants!$B$16/1000000</f>
        <v>1.9372431588380004</v>
      </c>
      <c r="H140" s="50">
        <f>H531*Constants!$B$19/1000000</f>
        <v>3.2039374358246606</v>
      </c>
      <c r="I140" s="36">
        <f t="shared" si="12"/>
        <v>0</v>
      </c>
      <c r="J140" s="36">
        <f t="shared" si="13"/>
        <v>0</v>
      </c>
    </row>
    <row r="141" spans="1:10" s="25" customFormat="1" x14ac:dyDescent="0.25">
      <c r="A141" s="36" t="str">
        <f t="shared" si="14"/>
        <v>West South Central_2016</v>
      </c>
      <c r="B141" s="50">
        <f>B532*Constants!$B$20/1000000</f>
        <v>1.5736373185499999</v>
      </c>
      <c r="C141" s="50">
        <f>C532*Constants!$B$18/1000000</f>
        <v>2.1989269529652313</v>
      </c>
      <c r="D141" s="50">
        <f>D532*Constants!$B$22/1000000</f>
        <v>2.1204789570604805</v>
      </c>
      <c r="E141" s="50">
        <f>E532*Constants!$B$21/1000000</f>
        <v>2.2991129290800001</v>
      </c>
      <c r="F141" s="50">
        <f>F532*Constants!$B$15/1000000</f>
        <v>0.56679792428000009</v>
      </c>
      <c r="G141" s="50">
        <f>G532*Constants!$B$16/1000000</f>
        <v>1.8864650322598002</v>
      </c>
      <c r="H141" s="50">
        <f>H532*Constants!$B$19/1000000</f>
        <v>3.0431279108392801</v>
      </c>
      <c r="I141" s="36">
        <f t="shared" si="12"/>
        <v>0</v>
      </c>
      <c r="J141" s="36">
        <f t="shared" si="13"/>
        <v>0</v>
      </c>
    </row>
    <row r="142" spans="1:10" s="25" customFormat="1" x14ac:dyDescent="0.25">
      <c r="A142" s="36" t="str">
        <f>CONCATENATE("West South Central_",A533)</f>
        <v>West South Central_2015</v>
      </c>
      <c r="B142" s="50">
        <f>B533*Constants!$B$20/1000000</f>
        <v>1.6570440988199999</v>
      </c>
      <c r="C142" s="50">
        <f>C533*Constants!$B$18/1000000</f>
        <v>2.4650070673782452</v>
      </c>
      <c r="D142" s="50">
        <f>D533*Constants!$B$22/1000000</f>
        <v>2.4454993140986603</v>
      </c>
      <c r="E142" s="50">
        <f>E533*Constants!$B$21/1000000</f>
        <v>2.7475946518900001</v>
      </c>
      <c r="F142" s="50">
        <f>F533*Constants!$B$15/1000000</f>
        <v>0.76684419027999995</v>
      </c>
      <c r="G142" s="50">
        <f>G533*Constants!$B$16/1000000</f>
        <v>1.9067879654372202</v>
      </c>
      <c r="H142" s="50">
        <f>H533*Constants!$B$19/1000000</f>
        <v>2.0910743497419602</v>
      </c>
      <c r="I142" s="36">
        <f t="shared" si="12"/>
        <v>0</v>
      </c>
      <c r="J142" s="36">
        <f t="shared" si="13"/>
        <v>0</v>
      </c>
    </row>
    <row r="143" spans="1:10" s="25" customFormat="1" x14ac:dyDescent="0.25">
      <c r="A143" s="37" t="str">
        <f t="shared" ref="A143:A178" si="15">CONCATENATE("East South Central_",A537)</f>
        <v>East South Central_2050</v>
      </c>
      <c r="B143" s="51">
        <f>B537*Constants!$B$20/1000000</f>
        <v>2.1951952446599998</v>
      </c>
      <c r="C143" s="51">
        <f>C537*Constants!$B$18/1000000</f>
        <v>2.7051073975058899</v>
      </c>
      <c r="D143" s="51">
        <f>D537*Constants!$B$22/1000000</f>
        <v>3.35417244997404</v>
      </c>
      <c r="E143" s="51">
        <f>E537*Constants!$B$21/1000000</f>
        <v>4.2597162745500006</v>
      </c>
      <c r="F143" s="51">
        <f>F537*Constants!$B$15/1000000</f>
        <v>1.64297095508</v>
      </c>
      <c r="G143" s="51">
        <f>G537*Constants!$B$16/1000000</f>
        <v>1.8960772385220002</v>
      </c>
      <c r="H143" s="51">
        <f>H537*Constants!$B$19/1000000</f>
        <v>4.0774320165001008</v>
      </c>
      <c r="I143" s="37">
        <f t="shared" ref="I143:I178" si="16">$B$13*J537</f>
        <v>0</v>
      </c>
      <c r="J143" s="37">
        <f t="shared" ref="J143:J178" si="17">$B$11*K537</f>
        <v>0</v>
      </c>
    </row>
    <row r="144" spans="1:10" s="25" customFormat="1" x14ac:dyDescent="0.25">
      <c r="A144" s="37" t="str">
        <f t="shared" si="15"/>
        <v>East South Central_2049</v>
      </c>
      <c r="B144" s="51">
        <f>B538*Constants!$B$20/1000000</f>
        <v>2.17614640617</v>
      </c>
      <c r="C144" s="51">
        <f>C538*Constants!$B$18/1000000</f>
        <v>2.7255826861663852</v>
      </c>
      <c r="D144" s="51">
        <f>D538*Constants!$B$22/1000000</f>
        <v>3.3124975560499208</v>
      </c>
      <c r="E144" s="51">
        <f>E538*Constants!$B$21/1000000</f>
        <v>4.2230596334300001</v>
      </c>
      <c r="F144" s="51">
        <f>F538*Constants!$B$15/1000000</f>
        <v>1.6170051839199999</v>
      </c>
      <c r="G144" s="51">
        <f>G538*Constants!$B$16/1000000</f>
        <v>1.8839318467653403</v>
      </c>
      <c r="H144" s="51">
        <f>H538*Constants!$B$19/1000000</f>
        <v>4.0826259319876002</v>
      </c>
      <c r="I144" s="37">
        <f t="shared" si="16"/>
        <v>0</v>
      </c>
      <c r="J144" s="37">
        <f t="shared" si="17"/>
        <v>0</v>
      </c>
    </row>
    <row r="145" spans="1:10" s="25" customFormat="1" x14ac:dyDescent="0.25">
      <c r="A145" s="37" t="str">
        <f t="shared" si="15"/>
        <v>East South Central_2048</v>
      </c>
      <c r="B145" s="51">
        <f>B539*Constants!$B$20/1000000</f>
        <v>2.1656196305700002</v>
      </c>
      <c r="C145" s="51">
        <f>C539*Constants!$B$18/1000000</f>
        <v>2.7555849657354026</v>
      </c>
      <c r="D145" s="51">
        <f>D539*Constants!$B$22/1000000</f>
        <v>3.2991458510753402</v>
      </c>
      <c r="E145" s="51">
        <f>E539*Constants!$B$21/1000000</f>
        <v>4.1959175322899993</v>
      </c>
      <c r="F145" s="51">
        <f>F539*Constants!$B$15/1000000</f>
        <v>1.59917191056</v>
      </c>
      <c r="G145" s="51">
        <f>G539*Constants!$B$16/1000000</f>
        <v>1.8805787151459201</v>
      </c>
      <c r="H145" s="51">
        <f>H539*Constants!$B$19/1000000</f>
        <v>4.0895574154458396</v>
      </c>
      <c r="I145" s="37">
        <f t="shared" si="16"/>
        <v>0</v>
      </c>
      <c r="J145" s="37">
        <f t="shared" si="17"/>
        <v>0</v>
      </c>
    </row>
    <row r="146" spans="1:10" s="25" customFormat="1" x14ac:dyDescent="0.25">
      <c r="A146" s="37" t="str">
        <f t="shared" si="15"/>
        <v>East South Central_2047</v>
      </c>
      <c r="B146" s="51">
        <f>B540*Constants!$B$20/1000000</f>
        <v>2.1459280883699998</v>
      </c>
      <c r="C146" s="51">
        <f>C540*Constants!$B$18/1000000</f>
        <v>2.7926641970612773</v>
      </c>
      <c r="D146" s="51">
        <f>D540*Constants!$B$22/1000000</f>
        <v>3.3121704447580003</v>
      </c>
      <c r="E146" s="51">
        <f>E540*Constants!$B$21/1000000</f>
        <v>4.1945114433199997</v>
      </c>
      <c r="F146" s="51">
        <f>F540*Constants!$B$15/1000000</f>
        <v>1.5930298305600001</v>
      </c>
      <c r="G146" s="51">
        <f>G540*Constants!$B$16/1000000</f>
        <v>1.8704623528204001</v>
      </c>
      <c r="H146" s="51">
        <f>H540*Constants!$B$19/1000000</f>
        <v>4.1006826920911008</v>
      </c>
      <c r="I146" s="37">
        <f t="shared" si="16"/>
        <v>0</v>
      </c>
      <c r="J146" s="37">
        <f t="shared" si="17"/>
        <v>0</v>
      </c>
    </row>
    <row r="147" spans="1:10" s="25" customFormat="1" x14ac:dyDescent="0.25">
      <c r="A147" s="37" t="str">
        <f t="shared" si="15"/>
        <v>East South Central_2046</v>
      </c>
      <c r="B147" s="51">
        <f>B541*Constants!$B$20/1000000</f>
        <v>2.1290517913500002</v>
      </c>
      <c r="C147" s="51">
        <f>C541*Constants!$B$18/1000000</f>
        <v>2.8216816234730655</v>
      </c>
      <c r="D147" s="51">
        <f>D541*Constants!$B$22/1000000</f>
        <v>3.2926247019954404</v>
      </c>
      <c r="E147" s="51">
        <f>E541*Constants!$B$21/1000000</f>
        <v>4.1491454430800001</v>
      </c>
      <c r="F147" s="51">
        <f>F541*Constants!$B$15/1000000</f>
        <v>1.5639022957600002</v>
      </c>
      <c r="G147" s="51">
        <f>G541*Constants!$B$16/1000000</f>
        <v>1.8650480346583</v>
      </c>
      <c r="H147" s="51">
        <f>H541*Constants!$B$19/1000000</f>
        <v>4.1143739135354602</v>
      </c>
      <c r="I147" s="37">
        <f t="shared" si="16"/>
        <v>0</v>
      </c>
      <c r="J147" s="37">
        <f t="shared" si="17"/>
        <v>0</v>
      </c>
    </row>
    <row r="148" spans="1:10" s="25" customFormat="1" x14ac:dyDescent="0.25">
      <c r="A148" s="37" t="str">
        <f t="shared" si="15"/>
        <v>East South Central_2045</v>
      </c>
      <c r="B148" s="51">
        <f>B542*Constants!$B$20/1000000</f>
        <v>2.1131694866699999</v>
      </c>
      <c r="C148" s="51">
        <f>C542*Constants!$B$18/1000000</f>
        <v>2.8422499754968151</v>
      </c>
      <c r="D148" s="51">
        <f>D542*Constants!$B$22/1000000</f>
        <v>3.2792145842901603</v>
      </c>
      <c r="E148" s="51">
        <f>E542*Constants!$B$21/1000000</f>
        <v>4.1283817758700003</v>
      </c>
      <c r="F148" s="51">
        <f>F542*Constants!$B$15/1000000</f>
        <v>1.5465162426000001</v>
      </c>
      <c r="G148" s="51">
        <f>G542*Constants!$B$16/1000000</f>
        <v>1.8594408942655802</v>
      </c>
      <c r="H148" s="51">
        <f>H542*Constants!$B$19/1000000</f>
        <v>4.1184330563453209</v>
      </c>
      <c r="I148" s="37">
        <f t="shared" si="16"/>
        <v>0</v>
      </c>
      <c r="J148" s="37">
        <f t="shared" si="17"/>
        <v>0</v>
      </c>
    </row>
    <row r="149" spans="1:10" s="25" customFormat="1" x14ac:dyDescent="0.25">
      <c r="A149" s="37" t="str">
        <f t="shared" si="15"/>
        <v>East South Central_2044</v>
      </c>
      <c r="B149" s="51">
        <f>B543*Constants!$B$20/1000000</f>
        <v>2.1058561382100001</v>
      </c>
      <c r="C149" s="51">
        <f>C543*Constants!$B$18/1000000</f>
        <v>2.850382904198665</v>
      </c>
      <c r="D149" s="51">
        <f>D543*Constants!$B$22/1000000</f>
        <v>3.2660831615515602</v>
      </c>
      <c r="E149" s="51">
        <f>E543*Constants!$B$21/1000000</f>
        <v>4.1113321334799995</v>
      </c>
      <c r="F149" s="51">
        <f>F543*Constants!$B$15/1000000</f>
        <v>1.53455889244</v>
      </c>
      <c r="G149" s="51">
        <f>G543*Constants!$B$16/1000000</f>
        <v>1.8497413700038801</v>
      </c>
      <c r="H149" s="51">
        <f>H543*Constants!$B$19/1000000</f>
        <v>4.1419741094491407</v>
      </c>
      <c r="I149" s="37">
        <f t="shared" si="16"/>
        <v>0</v>
      </c>
      <c r="J149" s="37">
        <f t="shared" si="17"/>
        <v>0</v>
      </c>
    </row>
    <row r="150" spans="1:10" s="25" customFormat="1" x14ac:dyDescent="0.25">
      <c r="A150" s="37" t="str">
        <f t="shared" si="15"/>
        <v>East South Central_2043</v>
      </c>
      <c r="B150" s="51">
        <f>B544*Constants!$B$20/1000000</f>
        <v>2.0913242334600004</v>
      </c>
      <c r="C150" s="51">
        <f>C544*Constants!$B$18/1000000</f>
        <v>2.7637873997317413</v>
      </c>
      <c r="D150" s="51">
        <f>D544*Constants!$B$22/1000000</f>
        <v>3.2551778058264205</v>
      </c>
      <c r="E150" s="51">
        <f>E544*Constants!$B$21/1000000</f>
        <v>4.10854419129</v>
      </c>
      <c r="F150" s="51">
        <f>F544*Constants!$B$15/1000000</f>
        <v>1.5249851811600001</v>
      </c>
      <c r="G150" s="51">
        <f>G544*Constants!$B$16/1000000</f>
        <v>1.8446173089159801</v>
      </c>
      <c r="H150" s="51">
        <f>H544*Constants!$B$19/1000000</f>
        <v>4.1770414998028205</v>
      </c>
      <c r="I150" s="37">
        <f t="shared" si="16"/>
        <v>0</v>
      </c>
      <c r="J150" s="37">
        <f t="shared" si="17"/>
        <v>0</v>
      </c>
    </row>
    <row r="151" spans="1:10" s="25" customFormat="1" x14ac:dyDescent="0.25">
      <c r="A151" s="37" t="str">
        <f t="shared" si="15"/>
        <v>East South Central_2042</v>
      </c>
      <c r="B151" s="51">
        <f>B545*Constants!$B$20/1000000</f>
        <v>2.07456073638</v>
      </c>
      <c r="C151" s="51">
        <f>C545*Constants!$B$18/1000000</f>
        <v>2.6669204873665482</v>
      </c>
      <c r="D151" s="51">
        <f>D545*Constants!$B$22/1000000</f>
        <v>3.2457526407410806</v>
      </c>
      <c r="E151" s="51">
        <f>E545*Constants!$B$21/1000000</f>
        <v>4.1110669251300003</v>
      </c>
      <c r="F151" s="51">
        <f>F545*Constants!$B$15/1000000</f>
        <v>1.51709555144</v>
      </c>
      <c r="G151" s="51">
        <f>G545*Constants!$B$16/1000000</f>
        <v>1.8364244717904803</v>
      </c>
      <c r="H151" s="51">
        <f>H545*Constants!$B$19/1000000</f>
        <v>4.1940449037357999</v>
      </c>
      <c r="I151" s="37">
        <f t="shared" si="16"/>
        <v>0</v>
      </c>
      <c r="J151" s="37">
        <f t="shared" si="17"/>
        <v>0</v>
      </c>
    </row>
    <row r="152" spans="1:10" s="25" customFormat="1" x14ac:dyDescent="0.25">
      <c r="A152" s="37" t="str">
        <f t="shared" si="15"/>
        <v>East South Central_2041</v>
      </c>
      <c r="B152" s="51">
        <f>B546*Constants!$B$20/1000000</f>
        <v>2.0627383154399999</v>
      </c>
      <c r="C152" s="51">
        <f>C546*Constants!$B$18/1000000</f>
        <v>2.56644928039645</v>
      </c>
      <c r="D152" s="51">
        <f>D546*Constants!$B$22/1000000</f>
        <v>3.2404190164543807</v>
      </c>
      <c r="E152" s="51">
        <f>E546*Constants!$B$21/1000000</f>
        <v>4.1194797771600005</v>
      </c>
      <c r="F152" s="51">
        <f>F546*Constants!$B$15/1000000</f>
        <v>1.51526764284</v>
      </c>
      <c r="G152" s="51">
        <f>G546*Constants!$B$16/1000000</f>
        <v>1.8338096289116603</v>
      </c>
      <c r="H152" s="51">
        <f>H546*Constants!$B$19/1000000</f>
        <v>4.2126703750029399</v>
      </c>
      <c r="I152" s="37">
        <f t="shared" si="16"/>
        <v>0</v>
      </c>
      <c r="J152" s="37">
        <f t="shared" si="17"/>
        <v>0</v>
      </c>
    </row>
    <row r="153" spans="1:10" s="25" customFormat="1" x14ac:dyDescent="0.25">
      <c r="A153" s="37" t="str">
        <f t="shared" si="15"/>
        <v>East South Central_2040</v>
      </c>
      <c r="B153" s="51">
        <f>B547*Constants!$B$20/1000000</f>
        <v>2.0408446149300001</v>
      </c>
      <c r="C153" s="51">
        <f>C547*Constants!$B$18/1000000</f>
        <v>2.4851440909444742</v>
      </c>
      <c r="D153" s="51">
        <f>D547*Constants!$B$22/1000000</f>
        <v>3.2237789758379405</v>
      </c>
      <c r="E153" s="51">
        <f>E547*Constants!$B$21/1000000</f>
        <v>4.11130748226</v>
      </c>
      <c r="F153" s="51">
        <f>F547*Constants!$B$15/1000000</f>
        <v>1.50389750112</v>
      </c>
      <c r="G153" s="51">
        <f>G547*Constants!$B$16/1000000</f>
        <v>1.8393511302564802</v>
      </c>
      <c r="H153" s="51">
        <f>H547*Constants!$B$19/1000000</f>
        <v>4.2310855604395599</v>
      </c>
      <c r="I153" s="37">
        <f t="shared" si="16"/>
        <v>0</v>
      </c>
      <c r="J153" s="37">
        <f t="shared" si="17"/>
        <v>0</v>
      </c>
    </row>
    <row r="154" spans="1:10" s="25" customFormat="1" x14ac:dyDescent="0.25">
      <c r="A154" s="37" t="str">
        <f t="shared" si="15"/>
        <v>East South Central_2039</v>
      </c>
      <c r="B154" s="51">
        <f>B548*Constants!$B$20/1000000</f>
        <v>2.0270740640699998</v>
      </c>
      <c r="C154" s="51">
        <f>C548*Constants!$B$18/1000000</f>
        <v>2.4080321478165532</v>
      </c>
      <c r="D154" s="51">
        <f>D548*Constants!$B$22/1000000</f>
        <v>3.1992638151755601</v>
      </c>
      <c r="E154" s="51">
        <f>E548*Constants!$B$21/1000000</f>
        <v>4.0917889786400004</v>
      </c>
      <c r="F154" s="51">
        <f>F548*Constants!$B$15/1000000</f>
        <v>1.4831482752800003</v>
      </c>
      <c r="G154" s="51">
        <f>G548*Constants!$B$16/1000000</f>
        <v>1.85034994635074</v>
      </c>
      <c r="H154" s="51">
        <f>H548*Constants!$B$19/1000000</f>
        <v>4.2412001161857802</v>
      </c>
      <c r="I154" s="37">
        <f t="shared" si="16"/>
        <v>0</v>
      </c>
      <c r="J154" s="37">
        <f t="shared" si="17"/>
        <v>0</v>
      </c>
    </row>
    <row r="155" spans="1:10" s="25" customFormat="1" x14ac:dyDescent="0.25">
      <c r="A155" s="37" t="str">
        <f t="shared" si="15"/>
        <v>East South Central_2038</v>
      </c>
      <c r="B155" s="51">
        <f>B549*Constants!$B$20/1000000</f>
        <v>1.9912317460200002</v>
      </c>
      <c r="C155" s="51">
        <f>C549*Constants!$B$18/1000000</f>
        <v>2.3331946373200672</v>
      </c>
      <c r="D155" s="51">
        <f>D549*Constants!$B$22/1000000</f>
        <v>3.1559173536444605</v>
      </c>
      <c r="E155" s="51">
        <f>E549*Constants!$B$21/1000000</f>
        <v>4.0498988004200003</v>
      </c>
      <c r="F155" s="51">
        <f>F549*Constants!$B$15/1000000</f>
        <v>1.45348829892</v>
      </c>
      <c r="G155" s="51">
        <f>G549*Constants!$B$16/1000000</f>
        <v>1.8578106371052603</v>
      </c>
      <c r="H155" s="51">
        <f>H549*Constants!$B$19/1000000</f>
        <v>4.2513591137827804</v>
      </c>
      <c r="I155" s="37">
        <f t="shared" si="16"/>
        <v>0</v>
      </c>
      <c r="J155" s="37">
        <f t="shared" si="17"/>
        <v>0</v>
      </c>
    </row>
    <row r="156" spans="1:10" s="25" customFormat="1" x14ac:dyDescent="0.25">
      <c r="A156" s="37" t="str">
        <f t="shared" si="15"/>
        <v>East South Central_2037</v>
      </c>
      <c r="B156" s="51">
        <f>B550*Constants!$B$20/1000000</f>
        <v>1.9657925258399997</v>
      </c>
      <c r="C156" s="51">
        <f>C550*Constants!$B$18/1000000</f>
        <v>2.2854704858148014</v>
      </c>
      <c r="D156" s="51">
        <f>D550*Constants!$B$22/1000000</f>
        <v>3.1408326573667003</v>
      </c>
      <c r="E156" s="51">
        <f>E550*Constants!$B$21/1000000</f>
        <v>4.0385482985100003</v>
      </c>
      <c r="F156" s="51">
        <f>F550*Constants!$B$15/1000000</f>
        <v>1.43874628324</v>
      </c>
      <c r="G156" s="51">
        <f>G550*Constants!$B$16/1000000</f>
        <v>1.8684800535738202</v>
      </c>
      <c r="H156" s="51">
        <f>H550*Constants!$B$19/1000000</f>
        <v>4.2654670528523404</v>
      </c>
      <c r="I156" s="37">
        <f t="shared" si="16"/>
        <v>0</v>
      </c>
      <c r="J156" s="37">
        <f t="shared" si="17"/>
        <v>0</v>
      </c>
    </row>
    <row r="157" spans="1:10" s="25" customFormat="1" x14ac:dyDescent="0.25">
      <c r="A157" s="37" t="str">
        <f t="shared" si="15"/>
        <v>East South Central_2036</v>
      </c>
      <c r="B157" s="51">
        <f>B551*Constants!$B$20/1000000</f>
        <v>1.9527603849600002</v>
      </c>
      <c r="C157" s="51">
        <f>C551*Constants!$B$18/1000000</f>
        <v>2.2611938959514384</v>
      </c>
      <c r="D157" s="51">
        <f>D551*Constants!$B$22/1000000</f>
        <v>3.1337860345877404</v>
      </c>
      <c r="E157" s="51">
        <f>E551*Constants!$B$21/1000000</f>
        <v>4.0329538564699998</v>
      </c>
      <c r="F157" s="51">
        <f>F551*Constants!$B$15/1000000</f>
        <v>1.4294322028000002</v>
      </c>
      <c r="G157" s="51">
        <f>G551*Constants!$B$16/1000000</f>
        <v>1.88004770127034</v>
      </c>
      <c r="H157" s="51">
        <f>H551*Constants!$B$19/1000000</f>
        <v>4.2848327398780004</v>
      </c>
      <c r="I157" s="37">
        <f t="shared" si="16"/>
        <v>0</v>
      </c>
      <c r="J157" s="37">
        <f t="shared" si="17"/>
        <v>0</v>
      </c>
    </row>
    <row r="158" spans="1:10" s="25" customFormat="1" x14ac:dyDescent="0.25">
      <c r="A158" s="37" t="str">
        <f t="shared" si="15"/>
        <v>East South Central_2035</v>
      </c>
      <c r="B158" s="51">
        <f>B552*Constants!$B$20/1000000</f>
        <v>1.9250012703899999</v>
      </c>
      <c r="C158" s="51">
        <f>C552*Constants!$B$18/1000000</f>
        <v>2.2004793577638764</v>
      </c>
      <c r="D158" s="51">
        <f>D552*Constants!$B$22/1000000</f>
        <v>3.0720448621854204</v>
      </c>
      <c r="E158" s="51">
        <f>E552*Constants!$B$21/1000000</f>
        <v>3.9632884008300002</v>
      </c>
      <c r="F158" s="51">
        <f>F552*Constants!$B$15/1000000</f>
        <v>1.3800015107200001</v>
      </c>
      <c r="G158" s="51">
        <f>G552*Constants!$B$16/1000000</f>
        <v>1.89455019725902</v>
      </c>
      <c r="H158" s="51">
        <f>H552*Constants!$B$19/1000000</f>
        <v>4.3141210034895998</v>
      </c>
      <c r="I158" s="37">
        <f t="shared" si="16"/>
        <v>0</v>
      </c>
      <c r="J158" s="37">
        <f t="shared" si="17"/>
        <v>0</v>
      </c>
    </row>
    <row r="159" spans="1:10" s="25" customFormat="1" x14ac:dyDescent="0.25">
      <c r="A159" s="37" t="str">
        <f t="shared" si="15"/>
        <v>East South Central_2034</v>
      </c>
      <c r="B159" s="51">
        <f>B553*Constants!$B$20/1000000</f>
        <v>1.9157832117599998</v>
      </c>
      <c r="C159" s="51">
        <f>C553*Constants!$B$18/1000000</f>
        <v>2.2044643579533432</v>
      </c>
      <c r="D159" s="51">
        <f>D553*Constants!$B$22/1000000</f>
        <v>3.0544461301537802</v>
      </c>
      <c r="E159" s="51">
        <f>E553*Constants!$B$21/1000000</f>
        <v>3.9406486095900002</v>
      </c>
      <c r="F159" s="51">
        <f>F553*Constants!$B$15/1000000</f>
        <v>1.3642184124800001</v>
      </c>
      <c r="G159" s="51">
        <f>G553*Constants!$B$16/1000000</f>
        <v>1.9011430073178202</v>
      </c>
      <c r="H159" s="51">
        <f>H553*Constants!$B$19/1000000</f>
        <v>4.3560091942097392</v>
      </c>
      <c r="I159" s="37">
        <f t="shared" si="16"/>
        <v>0</v>
      </c>
      <c r="J159" s="37">
        <f t="shared" si="17"/>
        <v>0</v>
      </c>
    </row>
    <row r="160" spans="1:10" s="25" customFormat="1" x14ac:dyDescent="0.25">
      <c r="A160" s="37" t="str">
        <f t="shared" si="15"/>
        <v>East South Central_2033</v>
      </c>
      <c r="B160" s="51">
        <f>B554*Constants!$B$20/1000000</f>
        <v>1.89616068411</v>
      </c>
      <c r="C160" s="51">
        <f>C554*Constants!$B$18/1000000</f>
        <v>2.1934131959621781</v>
      </c>
      <c r="D160" s="51">
        <f>D554*Constants!$B$22/1000000</f>
        <v>3.0226416628931401</v>
      </c>
      <c r="E160" s="51">
        <f>E554*Constants!$B$21/1000000</f>
        <v>3.8984743883799999</v>
      </c>
      <c r="F160" s="51">
        <f>F554*Constants!$B$15/1000000</f>
        <v>1.3331469093600001</v>
      </c>
      <c r="G160" s="51">
        <f>G554*Constants!$B$16/1000000</f>
        <v>1.9206585199867601</v>
      </c>
      <c r="H160" s="51">
        <f>H554*Constants!$B$19/1000000</f>
        <v>4.3912944580270006</v>
      </c>
      <c r="I160" s="37">
        <f t="shared" si="16"/>
        <v>0</v>
      </c>
      <c r="J160" s="37">
        <f t="shared" si="17"/>
        <v>0</v>
      </c>
    </row>
    <row r="161" spans="1:10" s="25" customFormat="1" x14ac:dyDescent="0.25">
      <c r="A161" s="37" t="str">
        <f t="shared" si="15"/>
        <v>East South Central_2032</v>
      </c>
      <c r="B161" s="51">
        <f>B555*Constants!$B$20/1000000</f>
        <v>1.8906806546099999</v>
      </c>
      <c r="C161" s="51">
        <f>C555*Constants!$B$18/1000000</f>
        <v>2.2344402920485109</v>
      </c>
      <c r="D161" s="51">
        <f>D555*Constants!$B$22/1000000</f>
        <v>3.0270662164760802</v>
      </c>
      <c r="E161" s="51">
        <f>E555*Constants!$B$21/1000000</f>
        <v>3.8962077225500003</v>
      </c>
      <c r="F161" s="51">
        <f>F555*Constants!$B$15/1000000</f>
        <v>1.33471122036</v>
      </c>
      <c r="G161" s="51">
        <f>G555*Constants!$B$16/1000000</f>
        <v>1.9509855666958604</v>
      </c>
      <c r="H161" s="51">
        <f>H555*Constants!$B$19/1000000</f>
        <v>4.4239544008055001</v>
      </c>
      <c r="I161" s="37">
        <f t="shared" si="16"/>
        <v>0</v>
      </c>
      <c r="J161" s="37">
        <f t="shared" si="17"/>
        <v>0</v>
      </c>
    </row>
    <row r="162" spans="1:10" s="25" customFormat="1" x14ac:dyDescent="0.25">
      <c r="A162" s="37" t="str">
        <f t="shared" si="15"/>
        <v>East South Central_2031</v>
      </c>
      <c r="B162" s="51">
        <f>B556*Constants!$B$20/1000000</f>
        <v>1.8642961636199999</v>
      </c>
      <c r="C162" s="51">
        <f>C556*Constants!$B$18/1000000</f>
        <v>2.2348967071517789</v>
      </c>
      <c r="D162" s="51">
        <f>D556*Constants!$B$22/1000000</f>
        <v>2.9821514032353407</v>
      </c>
      <c r="E162" s="51">
        <f>E556*Constants!$B$21/1000000</f>
        <v>3.8347036211000001</v>
      </c>
      <c r="F162" s="51">
        <f>F556*Constants!$B$15/1000000</f>
        <v>1.2909874163199999</v>
      </c>
      <c r="G162" s="51">
        <f>G556*Constants!$B$16/1000000</f>
        <v>1.9754010041808803</v>
      </c>
      <c r="H162" s="51">
        <f>H556*Constants!$B$19/1000000</f>
        <v>4.4582867542613203</v>
      </c>
      <c r="I162" s="37">
        <f t="shared" si="16"/>
        <v>0</v>
      </c>
      <c r="J162" s="37">
        <f t="shared" si="17"/>
        <v>0</v>
      </c>
    </row>
    <row r="163" spans="1:10" s="25" customFormat="1" x14ac:dyDescent="0.25">
      <c r="A163" s="37" t="str">
        <f t="shared" si="15"/>
        <v>East South Central_2030</v>
      </c>
      <c r="B163" s="51">
        <f>B557*Constants!$B$20/1000000</f>
        <v>1.82933394105</v>
      </c>
      <c r="C163" s="51">
        <f>C557*Constants!$B$18/1000000</f>
        <v>2.2046453594511526</v>
      </c>
      <c r="D163" s="51">
        <f>D557*Constants!$B$22/1000000</f>
        <v>2.9396546361683402</v>
      </c>
      <c r="E163" s="51">
        <f>E557*Constants!$B$21/1000000</f>
        <v>3.7813276362399999</v>
      </c>
      <c r="F163" s="51">
        <f>F557*Constants!$B$15/1000000</f>
        <v>1.2522411283199999</v>
      </c>
      <c r="G163" s="51">
        <f>G557*Constants!$B$16/1000000</f>
        <v>1.9955482174117205</v>
      </c>
      <c r="H163" s="51">
        <f>H557*Constants!$B$19/1000000</f>
        <v>4.5012505822966808</v>
      </c>
      <c r="I163" s="37">
        <f t="shared" si="16"/>
        <v>0</v>
      </c>
      <c r="J163" s="37">
        <f t="shared" si="17"/>
        <v>0</v>
      </c>
    </row>
    <row r="164" spans="1:10" s="25" customFormat="1" x14ac:dyDescent="0.25">
      <c r="A164" s="37" t="str">
        <f t="shared" si="15"/>
        <v>East South Central_2029</v>
      </c>
      <c r="B164" s="51">
        <f>B558*Constants!$B$20/1000000</f>
        <v>1.8154924560300001</v>
      </c>
      <c r="C164" s="51">
        <f>C558*Constants!$B$18/1000000</f>
        <v>2.2681393900879301</v>
      </c>
      <c r="D164" s="51">
        <f>D558*Constants!$B$22/1000000</f>
        <v>2.8963589997348804</v>
      </c>
      <c r="E164" s="51">
        <f>E558*Constants!$B$21/1000000</f>
        <v>3.7160258620100004</v>
      </c>
      <c r="F164" s="51">
        <f>F558*Constants!$B$15/1000000</f>
        <v>1.2097905262799999</v>
      </c>
      <c r="G164" s="51">
        <f>G558*Constants!$B$16/1000000</f>
        <v>2.0256540183758802</v>
      </c>
      <c r="H164" s="51">
        <f>H558*Constants!$B$19/1000000</f>
        <v>4.5295435411526004</v>
      </c>
      <c r="I164" s="37">
        <f t="shared" si="16"/>
        <v>0</v>
      </c>
      <c r="J164" s="37">
        <f t="shared" si="17"/>
        <v>0</v>
      </c>
    </row>
    <row r="165" spans="1:10" s="25" customFormat="1" x14ac:dyDescent="0.25">
      <c r="A165" s="37" t="str">
        <f t="shared" si="15"/>
        <v>East South Central_2028</v>
      </c>
      <c r="B165" s="51">
        <f>B559*Constants!$B$20/1000000</f>
        <v>1.8130163419499998</v>
      </c>
      <c r="C165" s="51">
        <f>C559*Constants!$B$18/1000000</f>
        <v>2.2721979418050711</v>
      </c>
      <c r="D165" s="51">
        <f>D559*Constants!$B$22/1000000</f>
        <v>2.87166450596732</v>
      </c>
      <c r="E165" s="51">
        <f>E559*Constants!$B$21/1000000</f>
        <v>3.6750347608700005</v>
      </c>
      <c r="F165" s="51">
        <f>F559*Constants!$B$15/1000000</f>
        <v>1.184093855</v>
      </c>
      <c r="G165" s="51">
        <f>G559*Constants!$B$16/1000000</f>
        <v>2.05288037281308</v>
      </c>
      <c r="H165" s="51">
        <f>H559*Constants!$B$19/1000000</f>
        <v>4.5332025868668202</v>
      </c>
      <c r="I165" s="37">
        <f t="shared" si="16"/>
        <v>0</v>
      </c>
      <c r="J165" s="37">
        <f t="shared" si="17"/>
        <v>0</v>
      </c>
    </row>
    <row r="166" spans="1:10" s="25" customFormat="1" x14ac:dyDescent="0.25">
      <c r="A166" s="37" t="str">
        <f t="shared" si="15"/>
        <v>East South Central_2027</v>
      </c>
      <c r="B166" s="51">
        <f>B560*Constants!$B$20/1000000</f>
        <v>1.80776383194</v>
      </c>
      <c r="C166" s="51">
        <f>C560*Constants!$B$18/1000000</f>
        <v>2.4036514260215931</v>
      </c>
      <c r="D166" s="51">
        <f>D560*Constants!$B$22/1000000</f>
        <v>2.8777841126881398</v>
      </c>
      <c r="E166" s="51">
        <f>E560*Constants!$B$21/1000000</f>
        <v>3.6583687357800003</v>
      </c>
      <c r="F166" s="51">
        <f>F560*Constants!$B$15/1000000</f>
        <v>1.17762842008</v>
      </c>
      <c r="G166" s="51">
        <f>G560*Constants!$B$16/1000000</f>
        <v>2.0853791687180201</v>
      </c>
      <c r="H166" s="51">
        <f>H560*Constants!$B$19/1000000</f>
        <v>4.5480841031926404</v>
      </c>
      <c r="I166" s="37">
        <f t="shared" si="16"/>
        <v>0</v>
      </c>
      <c r="J166" s="37">
        <f t="shared" si="17"/>
        <v>0</v>
      </c>
    </row>
    <row r="167" spans="1:10" s="25" customFormat="1" x14ac:dyDescent="0.25">
      <c r="A167" s="37" t="str">
        <f t="shared" si="15"/>
        <v>East South Central_2026</v>
      </c>
      <c r="B167" s="51">
        <f>B561*Constants!$B$20/1000000</f>
        <v>1.7911307769300002</v>
      </c>
      <c r="C167" s="51">
        <f>C561*Constants!$B$18/1000000</f>
        <v>2.5064638734288254</v>
      </c>
      <c r="D167" s="51">
        <f>D561*Constants!$B$22/1000000</f>
        <v>2.8737962695413204</v>
      </c>
      <c r="E167" s="51">
        <f>E561*Constants!$B$21/1000000</f>
        <v>3.6266797309600003</v>
      </c>
      <c r="F167" s="51">
        <f>F561*Constants!$B$15/1000000</f>
        <v>1.1577864306399999</v>
      </c>
      <c r="G167" s="51">
        <f>G561*Constants!$B$16/1000000</f>
        <v>2.1168630283722201</v>
      </c>
      <c r="H167" s="51">
        <f>H561*Constants!$B$19/1000000</f>
        <v>4.5555633414946399</v>
      </c>
      <c r="I167" s="37">
        <f t="shared" si="16"/>
        <v>0</v>
      </c>
      <c r="J167" s="37">
        <f t="shared" si="17"/>
        <v>0</v>
      </c>
    </row>
    <row r="168" spans="1:10" s="25" customFormat="1" x14ac:dyDescent="0.25">
      <c r="A168" s="37" t="str">
        <f t="shared" si="15"/>
        <v>East South Central_2025</v>
      </c>
      <c r="B168" s="51">
        <f>B562*Constants!$B$20/1000000</f>
        <v>1.7873743743899999</v>
      </c>
      <c r="C168" s="51">
        <f>C562*Constants!$B$18/1000000</f>
        <v>2.4553720870018303</v>
      </c>
      <c r="D168" s="51">
        <f>D562*Constants!$B$22/1000000</f>
        <v>2.8399775867998005</v>
      </c>
      <c r="E168" s="51">
        <f>E562*Constants!$B$21/1000000</f>
        <v>3.57568106544</v>
      </c>
      <c r="F168" s="51">
        <f>F562*Constants!$B$15/1000000</f>
        <v>1.1196547345200001</v>
      </c>
      <c r="G168" s="51">
        <f>G562*Constants!$B$16/1000000</f>
        <v>2.1480026744504603</v>
      </c>
      <c r="H168" s="51">
        <f>H562*Constants!$B$19/1000000</f>
        <v>4.5645536027231595</v>
      </c>
      <c r="I168" s="37">
        <f t="shared" si="16"/>
        <v>0</v>
      </c>
      <c r="J168" s="37">
        <f t="shared" si="17"/>
        <v>0</v>
      </c>
    </row>
    <row r="169" spans="1:10" s="25" customFormat="1" x14ac:dyDescent="0.25">
      <c r="A169" s="37" t="str">
        <f t="shared" si="15"/>
        <v>East South Central_2024</v>
      </c>
      <c r="B169" s="51">
        <f>B563*Constants!$B$20/1000000</f>
        <v>1.7901920876400002</v>
      </c>
      <c r="C169" s="51">
        <f>C563*Constants!$B$18/1000000</f>
        <v>2.5996808137122689</v>
      </c>
      <c r="D169" s="51">
        <f>D563*Constants!$B$22/1000000</f>
        <v>2.7960957756028004</v>
      </c>
      <c r="E169" s="51">
        <f>E563*Constants!$B$21/1000000</f>
        <v>3.4919051406799997</v>
      </c>
      <c r="F169" s="51">
        <f>F563*Constants!$B$15/1000000</f>
        <v>1.07399975816</v>
      </c>
      <c r="G169" s="51">
        <f>G563*Constants!$B$16/1000000</f>
        <v>2.1793620005715804</v>
      </c>
      <c r="H169" s="51">
        <f>H563*Constants!$B$19/1000000</f>
        <v>4.5060272984044998</v>
      </c>
      <c r="I169" s="37">
        <f t="shared" si="16"/>
        <v>0</v>
      </c>
      <c r="J169" s="37">
        <f t="shared" si="17"/>
        <v>0</v>
      </c>
    </row>
    <row r="170" spans="1:10" s="25" customFormat="1" x14ac:dyDescent="0.25">
      <c r="A170" s="37" t="str">
        <f t="shared" si="15"/>
        <v>East South Central_2023</v>
      </c>
      <c r="B170" s="51">
        <f>B564*Constants!$B$20/1000000</f>
        <v>1.7820230501699998</v>
      </c>
      <c r="C170" s="51">
        <f>C564*Constants!$B$18/1000000</f>
        <v>2.5543966307338515</v>
      </c>
      <c r="D170" s="51">
        <f>D564*Constants!$B$22/1000000</f>
        <v>2.7700459860443805</v>
      </c>
      <c r="E170" s="51">
        <f>E564*Constants!$B$21/1000000</f>
        <v>3.4531117373499995</v>
      </c>
      <c r="F170" s="51">
        <f>F564*Constants!$B$15/1000000</f>
        <v>1.0429152031199997</v>
      </c>
      <c r="G170" s="51">
        <f>G564*Constants!$B$16/1000000</f>
        <v>2.2054217865354602</v>
      </c>
      <c r="H170" s="51">
        <f>H564*Constants!$B$19/1000000</f>
        <v>4.534764675768221</v>
      </c>
      <c r="I170" s="37">
        <f t="shared" si="16"/>
        <v>0</v>
      </c>
      <c r="J170" s="37">
        <f t="shared" si="17"/>
        <v>0</v>
      </c>
    </row>
    <row r="171" spans="1:10" s="25" customFormat="1" x14ac:dyDescent="0.25">
      <c r="A171" s="37" t="str">
        <f t="shared" si="15"/>
        <v>East South Central_2022</v>
      </c>
      <c r="B171" s="51">
        <f>B565*Constants!$B$20/1000000</f>
        <v>1.7588556427200002</v>
      </c>
      <c r="C171" s="51">
        <f>C565*Constants!$B$18/1000000</f>
        <v>2.7453566277414803</v>
      </c>
      <c r="D171" s="51">
        <f>D565*Constants!$B$22/1000000</f>
        <v>2.73914950553992</v>
      </c>
      <c r="E171" s="51">
        <f>E565*Constants!$B$21/1000000</f>
        <v>3.40815705241</v>
      </c>
      <c r="F171" s="51">
        <f>F565*Constants!$B$15/1000000</f>
        <v>1.0057009802000001</v>
      </c>
      <c r="G171" s="51">
        <f>G565*Constants!$B$16/1000000</f>
        <v>2.2316236900709403</v>
      </c>
      <c r="H171" s="51">
        <f>H565*Constants!$B$19/1000000</f>
        <v>4.5596238091293202</v>
      </c>
      <c r="I171" s="37">
        <f t="shared" si="16"/>
        <v>0</v>
      </c>
      <c r="J171" s="37">
        <f t="shared" si="17"/>
        <v>0</v>
      </c>
    </row>
    <row r="172" spans="1:10" s="25" customFormat="1" x14ac:dyDescent="0.25">
      <c r="A172" s="37" t="str">
        <f t="shared" si="15"/>
        <v>East South Central_2021</v>
      </c>
      <c r="B172" s="51">
        <f>B566*Constants!$B$20/1000000</f>
        <v>1.7234038281899999</v>
      </c>
      <c r="C172" s="51">
        <f>C566*Constants!$B$18/1000000</f>
        <v>2.8551314735482878</v>
      </c>
      <c r="D172" s="51">
        <f>D566*Constants!$B$22/1000000</f>
        <v>2.63478245586996</v>
      </c>
      <c r="E172" s="51">
        <f>E566*Constants!$B$21/1000000</f>
        <v>3.3001183721000005</v>
      </c>
      <c r="F172" s="51">
        <f>F566*Constants!$B$15/1000000</f>
        <v>0.95907414763999999</v>
      </c>
      <c r="G172" s="51">
        <f>G566*Constants!$B$16/1000000</f>
        <v>2.2686613358092003</v>
      </c>
      <c r="H172" s="51">
        <f>H566*Constants!$B$19/1000000</f>
        <v>4.5177108080534607</v>
      </c>
      <c r="I172" s="37">
        <f t="shared" si="16"/>
        <v>0</v>
      </c>
      <c r="J172" s="37">
        <f t="shared" si="17"/>
        <v>0</v>
      </c>
    </row>
    <row r="173" spans="1:10" s="25" customFormat="1" x14ac:dyDescent="0.25">
      <c r="A173" s="37" t="str">
        <f t="shared" si="15"/>
        <v>East South Central_2020</v>
      </c>
      <c r="B173" s="51">
        <f>B567*Constants!$B$20/1000000</f>
        <v>1.7216087186100002</v>
      </c>
      <c r="C173" s="51">
        <f>C567*Constants!$B$18/1000000</f>
        <v>2.8087169528505673</v>
      </c>
      <c r="D173" s="51">
        <f>D567*Constants!$B$22/1000000</f>
        <v>2.5248445178319003</v>
      </c>
      <c r="E173" s="51">
        <f>E567*Constants!$B$21/1000000</f>
        <v>3.2107421887200003</v>
      </c>
      <c r="F173" s="51">
        <f>F567*Constants!$B$15/1000000</f>
        <v>0.90068408024000002</v>
      </c>
      <c r="G173" s="51">
        <f>G567*Constants!$B$16/1000000</f>
        <v>2.2965490187088204</v>
      </c>
      <c r="H173" s="51">
        <f>H567*Constants!$B$19/1000000</f>
        <v>4.5026481520431609</v>
      </c>
      <c r="I173" s="37">
        <f t="shared" si="16"/>
        <v>0</v>
      </c>
      <c r="J173" s="37">
        <f t="shared" si="17"/>
        <v>0</v>
      </c>
    </row>
    <row r="174" spans="1:10" s="25" customFormat="1" x14ac:dyDescent="0.25">
      <c r="A174" s="37" t="str">
        <f t="shared" si="15"/>
        <v>East South Central_2019</v>
      </c>
      <c r="B174" s="51">
        <f>B568*Constants!$B$20/1000000</f>
        <v>1.72599667284</v>
      </c>
      <c r="C174" s="51">
        <f>C568*Constants!$B$18/1000000</f>
        <v>2.7595403834644725</v>
      </c>
      <c r="D174" s="51">
        <f>D568*Constants!$B$22/1000000</f>
        <v>2.4130647119781803</v>
      </c>
      <c r="E174" s="51">
        <f>E568*Constants!$B$21/1000000</f>
        <v>3.0963052704099998</v>
      </c>
      <c r="F174" s="51">
        <f>F568*Constants!$B$15/1000000</f>
        <v>0.82525588291999996</v>
      </c>
      <c r="G174" s="51">
        <f>G568*Constants!$B$16/1000000</f>
        <v>2.2662067967335999</v>
      </c>
      <c r="H174" s="51">
        <f>H568*Constants!$B$19/1000000</f>
        <v>4.4324957872972792</v>
      </c>
      <c r="I174" s="37">
        <f t="shared" si="16"/>
        <v>0</v>
      </c>
      <c r="J174" s="37">
        <f t="shared" si="17"/>
        <v>0</v>
      </c>
    </row>
    <row r="175" spans="1:10" s="25" customFormat="1" x14ac:dyDescent="0.25">
      <c r="A175" s="37" t="str">
        <f t="shared" si="15"/>
        <v>East South Central_2018</v>
      </c>
      <c r="B175" s="51">
        <f>B569*Constants!$B$20/1000000</f>
        <v>1.72300390944</v>
      </c>
      <c r="C175" s="51">
        <f>C569*Constants!$B$18/1000000</f>
        <v>2.6225463471895827</v>
      </c>
      <c r="D175" s="51">
        <f>D569*Constants!$B$22/1000000</f>
        <v>2.2016532621156601</v>
      </c>
      <c r="E175" s="51">
        <f>E569*Constants!$B$21/1000000</f>
        <v>2.9051511241500001</v>
      </c>
      <c r="F175" s="51">
        <f>F569*Constants!$B$15/1000000</f>
        <v>0.70529312700000002</v>
      </c>
      <c r="G175" s="51">
        <f>G569*Constants!$B$16/1000000</f>
        <v>2.2311386837482003</v>
      </c>
      <c r="H175" s="51">
        <f>H569*Constants!$B$19/1000000</f>
        <v>4.3845830159275003</v>
      </c>
      <c r="I175" s="37">
        <f t="shared" si="16"/>
        <v>0</v>
      </c>
      <c r="J175" s="37">
        <f t="shared" si="17"/>
        <v>0</v>
      </c>
    </row>
    <row r="176" spans="1:10" s="25" customFormat="1" x14ac:dyDescent="0.25">
      <c r="A176" s="37" t="str">
        <f t="shared" si="15"/>
        <v>East South Central_2017</v>
      </c>
      <c r="B176" s="51">
        <f>B570*Constants!$B$20/1000000</f>
        <v>1.6257313290900002</v>
      </c>
      <c r="C176" s="51">
        <f>C570*Constants!$B$18/1000000</f>
        <v>2.4114563400865787</v>
      </c>
      <c r="D176" s="51">
        <f>D570*Constants!$B$22/1000000</f>
        <v>2.2280717142899005</v>
      </c>
      <c r="E176" s="51">
        <f>E570*Constants!$B$21/1000000</f>
        <v>2.6187207050400003</v>
      </c>
      <c r="F176" s="51">
        <f>F570*Constants!$B$15/1000000</f>
        <v>0.878774897</v>
      </c>
      <c r="G176" s="51">
        <f>G570*Constants!$B$16/1000000</f>
        <v>2.1961118812094607</v>
      </c>
      <c r="H176" s="51">
        <f>H570*Constants!$B$19/1000000</f>
        <v>4.4077202383384613</v>
      </c>
      <c r="I176" s="37">
        <f t="shared" si="16"/>
        <v>0</v>
      </c>
      <c r="J176" s="37">
        <f t="shared" si="17"/>
        <v>0</v>
      </c>
    </row>
    <row r="177" spans="1:10" s="25" customFormat="1" x14ac:dyDescent="0.25">
      <c r="A177" s="37" t="str">
        <f t="shared" si="15"/>
        <v>East South Central_2016</v>
      </c>
      <c r="B177" s="51">
        <f>B571*Constants!$B$20/1000000</f>
        <v>1.6134030452099999</v>
      </c>
      <c r="C177" s="51">
        <f>C571*Constants!$B$18/1000000</f>
        <v>2.2089677255719553</v>
      </c>
      <c r="D177" s="51">
        <f>D571*Constants!$B$22/1000000</f>
        <v>2.1361694595968403</v>
      </c>
      <c r="E177" s="51">
        <f>E571*Constants!$B$21/1000000</f>
        <v>2.2991129290800001</v>
      </c>
      <c r="F177" s="51">
        <f>F571*Constants!$B$15/1000000</f>
        <v>0.67634703947999997</v>
      </c>
      <c r="G177" s="51">
        <f>G571*Constants!$B$16/1000000</f>
        <v>2.15846288903608</v>
      </c>
      <c r="H177" s="51">
        <f>H571*Constants!$B$19/1000000</f>
        <v>4.1122242046070809</v>
      </c>
      <c r="I177" s="37">
        <f t="shared" si="16"/>
        <v>0</v>
      </c>
      <c r="J177" s="37">
        <f t="shared" si="17"/>
        <v>0</v>
      </c>
    </row>
    <row r="178" spans="1:10" s="25" customFormat="1" x14ac:dyDescent="0.25">
      <c r="A178" s="37" t="str">
        <f t="shared" si="15"/>
        <v>East South Central_2015</v>
      </c>
      <c r="B178" s="51">
        <f>B572*Constants!$B$20/1000000</f>
        <v>1.6989173744400001</v>
      </c>
      <c r="C178" s="51">
        <f>C572*Constants!$B$18/1000000</f>
        <v>2.4733744977722392</v>
      </c>
      <c r="D178" s="51">
        <f>D572*Constants!$B$22/1000000</f>
        <v>2.4656731442645206</v>
      </c>
      <c r="E178" s="51">
        <f>E572*Constants!$B$21/1000000</f>
        <v>2.7475946518900001</v>
      </c>
      <c r="F178" s="51">
        <f>F572*Constants!$B$15/1000000</f>
        <v>0.91449749020000004</v>
      </c>
      <c r="G178" s="51">
        <f>G572*Constants!$B$16/1000000</f>
        <v>2.1335766569854799</v>
      </c>
      <c r="H178" s="51">
        <f>H572*Constants!$B$19/1000000</f>
        <v>4.0633107087437201</v>
      </c>
      <c r="I178" s="37">
        <f t="shared" si="16"/>
        <v>0</v>
      </c>
      <c r="J178" s="37">
        <f t="shared" si="17"/>
        <v>0</v>
      </c>
    </row>
    <row r="179" spans="1:10" x14ac:dyDescent="0.25">
      <c r="A179" s="39" t="str">
        <f t="shared" ref="A179:A214" si="18">CONCATENATE("South Atlantic_",A576)</f>
        <v>South Atlantic_2050</v>
      </c>
      <c r="B179" s="52">
        <f>B576*Constants!$B$20/1000000</f>
        <v>2.20681711206</v>
      </c>
      <c r="C179" s="52">
        <f>C576*Constants!$B$18/1000000</f>
        <v>2.8233088386274861</v>
      </c>
      <c r="D179" s="52">
        <f>D576*Constants!$B$22/1000000</f>
        <v>3.4323961292778402</v>
      </c>
      <c r="E179" s="52">
        <f>E576*Constants!$B$21/1000000</f>
        <v>4.1088372361300003</v>
      </c>
      <c r="F179" s="52">
        <f>F576*Constants!$B$15/1000000</f>
        <v>2.0144854125199996</v>
      </c>
      <c r="G179" s="52">
        <f>G576*Constants!$B$16/1000000</f>
        <v>1.7929275824230002</v>
      </c>
      <c r="H179" s="52">
        <f>H576*Constants!$B$19/1000000</f>
        <v>4.6584541749992603</v>
      </c>
      <c r="I179" s="59">
        <f t="shared" ref="I179:I214" si="19">$B$13*J576</f>
        <v>0</v>
      </c>
      <c r="J179" s="59">
        <f t="shared" ref="J179:J214" si="20">$B$11*K576</f>
        <v>0</v>
      </c>
    </row>
    <row r="180" spans="1:10" s="25" customFormat="1" x14ac:dyDescent="0.25">
      <c r="A180" s="39" t="str">
        <f t="shared" si="18"/>
        <v>South Atlantic_2049</v>
      </c>
      <c r="B180" s="52">
        <f>B577*Constants!$B$20/1000000</f>
        <v>2.18766726552</v>
      </c>
      <c r="C180" s="52">
        <f>C577*Constants!$B$18/1000000</f>
        <v>2.8417364635474924</v>
      </c>
      <c r="D180" s="52">
        <f>D577*Constants!$B$22/1000000</f>
        <v>3.3912611616871806</v>
      </c>
      <c r="E180" s="52">
        <f>E577*Constants!$B$21/1000000</f>
        <v>4.07177177253</v>
      </c>
      <c r="F180" s="52">
        <f>F577*Constants!$B$15/1000000</f>
        <v>1.98851989728</v>
      </c>
      <c r="G180" s="52">
        <f>G577*Constants!$B$16/1000000</f>
        <v>1.77547855559602</v>
      </c>
      <c r="H180" s="52">
        <f>H577*Constants!$B$19/1000000</f>
        <v>4.6647971953601797</v>
      </c>
      <c r="I180" s="59">
        <f t="shared" si="19"/>
        <v>0</v>
      </c>
      <c r="J180" s="59">
        <f t="shared" si="20"/>
        <v>0</v>
      </c>
    </row>
    <row r="181" spans="1:10" s="25" customFormat="1" x14ac:dyDescent="0.25">
      <c r="A181" s="39" t="str">
        <f t="shared" si="18"/>
        <v>South Atlantic_2048</v>
      </c>
      <c r="B181" s="52">
        <f>B578*Constants!$B$20/1000000</f>
        <v>2.1770847298199998</v>
      </c>
      <c r="C181" s="52">
        <f>C578*Constants!$B$18/1000000</f>
        <v>2.8709190661895212</v>
      </c>
      <c r="D181" s="52">
        <f>D578*Constants!$B$22/1000000</f>
        <v>3.3779170443456605</v>
      </c>
      <c r="E181" s="52">
        <f>E578*Constants!$B$21/1000000</f>
        <v>4.04143138333</v>
      </c>
      <c r="F181" s="52">
        <f>F578*Constants!$B$15/1000000</f>
        <v>1.9706866239200003</v>
      </c>
      <c r="G181" s="52">
        <f>G578*Constants!$B$16/1000000</f>
        <v>1.77494151978944</v>
      </c>
      <c r="H181" s="52">
        <f>H578*Constants!$B$19/1000000</f>
        <v>4.6764310842977004</v>
      </c>
      <c r="I181" s="59">
        <f t="shared" si="19"/>
        <v>0</v>
      </c>
      <c r="J181" s="59">
        <f t="shared" si="20"/>
        <v>0</v>
      </c>
    </row>
    <row r="182" spans="1:10" s="25" customFormat="1" x14ac:dyDescent="0.25">
      <c r="A182" s="39" t="str">
        <f t="shared" si="18"/>
        <v>South Atlantic_2047</v>
      </c>
      <c r="B182" s="52">
        <f>B579*Constants!$B$20/1000000</f>
        <v>2.1572889802200002</v>
      </c>
      <c r="C182" s="52">
        <f>C579*Constants!$B$18/1000000</f>
        <v>2.908299427180653</v>
      </c>
      <c r="D182" s="52">
        <f>D579*Constants!$B$22/1000000</f>
        <v>3.3907535129038804</v>
      </c>
      <c r="E182" s="52">
        <f>E579*Constants!$B$21/1000000</f>
        <v>4.0436373905399998</v>
      </c>
      <c r="F182" s="52">
        <f>F579*Constants!$B$15/1000000</f>
        <v>1.9645442879999999</v>
      </c>
      <c r="G182" s="52">
        <f>G579*Constants!$B$16/1000000</f>
        <v>1.7706900365034401</v>
      </c>
      <c r="H182" s="52">
        <f>H579*Constants!$B$19/1000000</f>
        <v>4.6880548563911404</v>
      </c>
      <c r="I182" s="59">
        <f t="shared" si="19"/>
        <v>0</v>
      </c>
      <c r="J182" s="59">
        <f t="shared" si="20"/>
        <v>0</v>
      </c>
    </row>
    <row r="183" spans="1:10" s="25" customFormat="1" x14ac:dyDescent="0.25">
      <c r="A183" s="39" t="str">
        <f t="shared" si="18"/>
        <v>South Atlantic_2046</v>
      </c>
      <c r="B183" s="52">
        <f>B580*Constants!$B$20/1000000</f>
        <v>2.1403231928099999</v>
      </c>
      <c r="C183" s="52">
        <f>C580*Constants!$B$18/1000000</f>
        <v>2.9417254494382314</v>
      </c>
      <c r="D183" s="52">
        <f>D580*Constants!$B$22/1000000</f>
        <v>3.3707475741743003</v>
      </c>
      <c r="E183" s="52">
        <f>E580*Constants!$B$21/1000000</f>
        <v>3.9924667204399999</v>
      </c>
      <c r="F183" s="52">
        <f>F580*Constants!$B$15/1000000</f>
        <v>1.9354167532000002</v>
      </c>
      <c r="G183" s="52">
        <f>G580*Constants!$B$16/1000000</f>
        <v>1.7716360818635399</v>
      </c>
      <c r="H183" s="52">
        <f>H580*Constants!$B$19/1000000</f>
        <v>4.7016311793920202</v>
      </c>
      <c r="I183" s="59">
        <f t="shared" si="19"/>
        <v>0</v>
      </c>
      <c r="J183" s="59">
        <f t="shared" si="20"/>
        <v>0</v>
      </c>
    </row>
    <row r="184" spans="1:10" s="25" customFormat="1" x14ac:dyDescent="0.25">
      <c r="A184" s="39" t="str">
        <f t="shared" si="18"/>
        <v>South Atlantic_2045</v>
      </c>
      <c r="B184" s="52">
        <f>B581*Constants!$B$20/1000000</f>
        <v>2.1243568823399999</v>
      </c>
      <c r="C184" s="52">
        <f>C581*Constants!$B$18/1000000</f>
        <v>2.9770132784586676</v>
      </c>
      <c r="D184" s="52">
        <f>D581*Constants!$B$22/1000000</f>
        <v>3.3568617239200202</v>
      </c>
      <c r="E184" s="52">
        <f>E581*Constants!$B$21/1000000</f>
        <v>3.97101738924</v>
      </c>
      <c r="F184" s="52">
        <f>F581*Constants!$B$15/1000000</f>
        <v>1.9180307000400001</v>
      </c>
      <c r="G184" s="52">
        <f>G581*Constants!$B$16/1000000</f>
        <v>1.7691533601508602</v>
      </c>
      <c r="H184" s="52">
        <f>H581*Constants!$B$19/1000000</f>
        <v>4.7089651687182998</v>
      </c>
      <c r="I184" s="59">
        <f t="shared" si="19"/>
        <v>0</v>
      </c>
      <c r="J184" s="59">
        <f t="shared" si="20"/>
        <v>0</v>
      </c>
    </row>
    <row r="185" spans="1:10" s="25" customFormat="1" x14ac:dyDescent="0.25">
      <c r="A185" s="39" t="str">
        <f t="shared" si="18"/>
        <v>South Atlantic_2044</v>
      </c>
      <c r="B185" s="52">
        <f>B582*Constants!$B$20/1000000</f>
        <v>2.11700505027</v>
      </c>
      <c r="C185" s="52">
        <f>C582*Constants!$B$18/1000000</f>
        <v>2.9508516834288518</v>
      </c>
      <c r="D185" s="52">
        <f>D582*Constants!$B$22/1000000</f>
        <v>3.3437457173247802</v>
      </c>
      <c r="E185" s="52">
        <f>E582*Constants!$B$21/1000000</f>
        <v>3.9538462911200001</v>
      </c>
      <c r="F185" s="52">
        <f>F582*Constants!$B$15/1000000</f>
        <v>1.9060736057999998</v>
      </c>
      <c r="G185" s="52">
        <f>G582*Constants!$B$16/1000000</f>
        <v>1.7689928154704002</v>
      </c>
      <c r="H185" s="52">
        <f>H582*Constants!$B$19/1000000</f>
        <v>4.7075620587953004</v>
      </c>
      <c r="I185" s="59">
        <f t="shared" si="19"/>
        <v>0</v>
      </c>
      <c r="J185" s="59">
        <f t="shared" si="20"/>
        <v>0</v>
      </c>
    </row>
    <row r="186" spans="1:10" s="25" customFormat="1" x14ac:dyDescent="0.25">
      <c r="A186" s="39" t="str">
        <f t="shared" si="18"/>
        <v>South Atlantic_2043</v>
      </c>
      <c r="B186" s="52">
        <f>B583*Constants!$B$20/1000000</f>
        <v>2.1023961782999998</v>
      </c>
      <c r="C186" s="52">
        <f>C583*Constants!$B$18/1000000</f>
        <v>2.8649480848365632</v>
      </c>
      <c r="D186" s="52">
        <f>D583*Constants!$B$22/1000000</f>
        <v>3.3325513089116403</v>
      </c>
      <c r="E186" s="52">
        <f>E583*Constants!$B$21/1000000</f>
        <v>3.9498875544700001</v>
      </c>
      <c r="F186" s="52">
        <f>F583*Constants!$B$15/1000000</f>
        <v>1.8964997665599999</v>
      </c>
      <c r="G186" s="52">
        <f>G583*Constants!$B$16/1000000</f>
        <v>1.7664432503236203</v>
      </c>
      <c r="H186" s="52">
        <f>H583*Constants!$B$19/1000000</f>
        <v>4.7101027114842005</v>
      </c>
      <c r="I186" s="59">
        <f t="shared" si="19"/>
        <v>0</v>
      </c>
      <c r="J186" s="59">
        <f t="shared" si="20"/>
        <v>0</v>
      </c>
    </row>
    <row r="187" spans="1:10" s="25" customFormat="1" x14ac:dyDescent="0.25">
      <c r="A187" s="39" t="str">
        <f t="shared" si="18"/>
        <v>South Atlantic_2042</v>
      </c>
      <c r="B187" s="52">
        <f>B584*Constants!$B$20/1000000</f>
        <v>2.0855437392900003</v>
      </c>
      <c r="C187" s="52">
        <f>C584*Constants!$B$18/1000000</f>
        <v>2.7827784401436855</v>
      </c>
      <c r="D187" s="52">
        <f>D584*Constants!$B$22/1000000</f>
        <v>3.3230519536363805</v>
      </c>
      <c r="E187" s="52">
        <f>E584*Constants!$B$21/1000000</f>
        <v>3.9519006451099998</v>
      </c>
      <c r="F187" s="52">
        <f>F584*Constants!$B$15/1000000</f>
        <v>1.8886101368399999</v>
      </c>
      <c r="G187" s="52">
        <f>G584*Constants!$B$16/1000000</f>
        <v>1.7645055133664402</v>
      </c>
      <c r="H187" s="52">
        <f>H584*Constants!$B$19/1000000</f>
        <v>4.72018872327748</v>
      </c>
      <c r="I187" s="59">
        <f t="shared" si="19"/>
        <v>0</v>
      </c>
      <c r="J187" s="59">
        <f t="shared" si="20"/>
        <v>0</v>
      </c>
    </row>
    <row r="188" spans="1:10" s="25" customFormat="1" x14ac:dyDescent="0.25">
      <c r="A188" s="39" t="str">
        <f t="shared" si="18"/>
        <v>South Atlantic_2041</v>
      </c>
      <c r="B188" s="52">
        <f>B585*Constants!$B$20/1000000</f>
        <v>2.07365879391</v>
      </c>
      <c r="C188" s="52">
        <f>C585*Constants!$B$18/1000000</f>
        <v>2.6833070124354546</v>
      </c>
      <c r="D188" s="52">
        <f>D585*Constants!$B$22/1000000</f>
        <v>3.3175769344098005</v>
      </c>
      <c r="E188" s="52">
        <f>E585*Constants!$B$21/1000000</f>
        <v>3.96249900783</v>
      </c>
      <c r="F188" s="52">
        <f>F585*Constants!$B$15/1000000</f>
        <v>1.8867823561999999</v>
      </c>
      <c r="G188" s="52">
        <f>G585*Constants!$B$16/1000000</f>
        <v>1.7645047907347202</v>
      </c>
      <c r="H188" s="52">
        <f>H585*Constants!$B$19/1000000</f>
        <v>4.7386902632046404</v>
      </c>
      <c r="I188" s="59">
        <f t="shared" si="19"/>
        <v>0</v>
      </c>
      <c r="J188" s="59">
        <f t="shared" si="20"/>
        <v>0</v>
      </c>
    </row>
    <row r="189" spans="1:10" s="25" customFormat="1" x14ac:dyDescent="0.25">
      <c r="A189" s="39" t="str">
        <f t="shared" si="18"/>
        <v>South Atlantic_2040</v>
      </c>
      <c r="B189" s="52">
        <f>B586*Constants!$B$20/1000000</f>
        <v>2.0516490941100001</v>
      </c>
      <c r="C189" s="52">
        <f>C586*Constants!$B$18/1000000</f>
        <v>2.6030312746220354</v>
      </c>
      <c r="D189" s="52">
        <f>D586*Constants!$B$22/1000000</f>
        <v>3.3008258493857201</v>
      </c>
      <c r="E189" s="52">
        <f>E586*Constants!$B$21/1000000</f>
        <v>3.95366251489</v>
      </c>
      <c r="F189" s="52">
        <f>F586*Constants!$B$15/1000000</f>
        <v>1.8754118306000001</v>
      </c>
      <c r="G189" s="52">
        <f>G586*Constants!$B$16/1000000</f>
        <v>1.76462426584576</v>
      </c>
      <c r="H189" s="52">
        <f>H586*Constants!$B$19/1000000</f>
        <v>4.7637865402085202</v>
      </c>
      <c r="I189" s="59">
        <f t="shared" si="19"/>
        <v>0</v>
      </c>
      <c r="J189" s="59">
        <f t="shared" si="20"/>
        <v>0</v>
      </c>
    </row>
    <row r="190" spans="1:10" s="25" customFormat="1" x14ac:dyDescent="0.25">
      <c r="A190" s="39" t="str">
        <f t="shared" si="18"/>
        <v>South Atlantic_2039</v>
      </c>
      <c r="B190" s="52">
        <f>B587*Constants!$B$20/1000000</f>
        <v>2.0378060551199999</v>
      </c>
      <c r="C190" s="52">
        <f>C587*Constants!$B$18/1000000</f>
        <v>2.5255817857301919</v>
      </c>
      <c r="D190" s="52">
        <f>D587*Constants!$B$22/1000000</f>
        <v>3.2762361372175604</v>
      </c>
      <c r="E190" s="52">
        <f>E587*Constants!$B$21/1000000</f>
        <v>3.9348582041999998</v>
      </c>
      <c r="F190" s="52">
        <f>F587*Constants!$B$15/1000000</f>
        <v>1.85466286068</v>
      </c>
      <c r="G190" s="52">
        <f>G587*Constants!$B$16/1000000</f>
        <v>1.7763923234059604</v>
      </c>
      <c r="H190" s="52">
        <f>H587*Constants!$B$19/1000000</f>
        <v>4.7739368662248802</v>
      </c>
      <c r="I190" s="59">
        <f t="shared" si="19"/>
        <v>0</v>
      </c>
      <c r="J190" s="59">
        <f t="shared" si="20"/>
        <v>0</v>
      </c>
    </row>
    <row r="191" spans="1:10" s="25" customFormat="1" x14ac:dyDescent="0.25">
      <c r="A191" s="39" t="str">
        <f t="shared" si="18"/>
        <v>South Atlantic_2038</v>
      </c>
      <c r="B191" s="52">
        <f>B588*Constants!$B$20/1000000</f>
        <v>2.0017735128599998</v>
      </c>
      <c r="C191" s="52">
        <f>C588*Constants!$B$18/1000000</f>
        <v>2.45074499456405</v>
      </c>
      <c r="D191" s="52">
        <f>D588*Constants!$B$22/1000000</f>
        <v>3.2329722965797805</v>
      </c>
      <c r="E191" s="52">
        <f>E588*Constants!$B$21/1000000</f>
        <v>3.8888966969600003</v>
      </c>
      <c r="F191" s="52">
        <f>F588*Constants!$B$15/1000000</f>
        <v>1.82500275636</v>
      </c>
      <c r="G191" s="52">
        <f>G588*Constants!$B$16/1000000</f>
        <v>1.7804813349935802</v>
      </c>
      <c r="H191" s="52">
        <f>H588*Constants!$B$19/1000000</f>
        <v>4.78136455679752</v>
      </c>
      <c r="I191" s="59">
        <f t="shared" si="19"/>
        <v>0</v>
      </c>
      <c r="J191" s="59">
        <f t="shared" si="20"/>
        <v>0</v>
      </c>
    </row>
    <row r="192" spans="1:10" s="25" customFormat="1" x14ac:dyDescent="0.25">
      <c r="A192" s="39" t="str">
        <f t="shared" si="18"/>
        <v>South Atlantic_2037</v>
      </c>
      <c r="B192" s="52">
        <f>B589*Constants!$B$20/1000000</f>
        <v>1.97619973716</v>
      </c>
      <c r="C192" s="52">
        <f>C589*Constants!$B$18/1000000</f>
        <v>2.4029654546222963</v>
      </c>
      <c r="D192" s="52">
        <f>D589*Constants!$B$22/1000000</f>
        <v>3.2182232627359602</v>
      </c>
      <c r="E192" s="52">
        <f>E589*Constants!$B$21/1000000</f>
        <v>3.8780206617900004</v>
      </c>
      <c r="F192" s="52">
        <f>F589*Constants!$B$15/1000000</f>
        <v>1.8102606127199998</v>
      </c>
      <c r="G192" s="52">
        <f>G589*Constants!$B$16/1000000</f>
        <v>1.7853411537492003</v>
      </c>
      <c r="H192" s="52">
        <f>H589*Constants!$B$19/1000000</f>
        <v>4.788098520918961</v>
      </c>
      <c r="I192" s="59">
        <f t="shared" si="19"/>
        <v>0</v>
      </c>
      <c r="J192" s="59">
        <f t="shared" si="20"/>
        <v>0</v>
      </c>
    </row>
    <row r="193" spans="1:10" s="25" customFormat="1" x14ac:dyDescent="0.25">
      <c r="A193" s="39" t="str">
        <f t="shared" si="18"/>
        <v>South Atlantic_2036</v>
      </c>
      <c r="B193" s="52">
        <f>B590*Constants!$B$20/1000000</f>
        <v>1.9630986731399998</v>
      </c>
      <c r="C193" s="52">
        <f>C590*Constants!$B$18/1000000</f>
        <v>2.3767574627852932</v>
      </c>
      <c r="D193" s="52">
        <f>D590*Constants!$B$22/1000000</f>
        <v>3.2111548405667798</v>
      </c>
      <c r="E193" s="52">
        <f>E590*Constants!$B$21/1000000</f>
        <v>3.8724641660100003</v>
      </c>
      <c r="F193" s="52">
        <f>F590*Constants!$B$15/1000000</f>
        <v>1.8009466602400002</v>
      </c>
      <c r="G193" s="52">
        <f>G590*Constants!$B$16/1000000</f>
        <v>1.7770631665193601</v>
      </c>
      <c r="H193" s="52">
        <f>H590*Constants!$B$19/1000000</f>
        <v>4.8023130481672203</v>
      </c>
      <c r="I193" s="59">
        <f t="shared" si="19"/>
        <v>0</v>
      </c>
      <c r="J193" s="59">
        <f t="shared" si="20"/>
        <v>0</v>
      </c>
    </row>
    <row r="194" spans="1:10" s="25" customFormat="1" x14ac:dyDescent="0.25">
      <c r="A194" s="39" t="str">
        <f t="shared" si="18"/>
        <v>South Atlantic_2035</v>
      </c>
      <c r="B194" s="52">
        <f>B591*Constants!$B$20/1000000</f>
        <v>1.9351925712900002</v>
      </c>
      <c r="C194" s="52">
        <f>C591*Constants!$B$18/1000000</f>
        <v>2.3183060277762482</v>
      </c>
      <c r="D194" s="52">
        <f>D591*Constants!$B$22/1000000</f>
        <v>3.1494451026442802</v>
      </c>
      <c r="E194" s="52">
        <f>E591*Constants!$B$21/1000000</f>
        <v>3.8034730181800001</v>
      </c>
      <c r="F194" s="52">
        <f>F591*Constants!$B$15/1000000</f>
        <v>1.7515160961199998</v>
      </c>
      <c r="G194" s="52">
        <f>G591*Constants!$B$16/1000000</f>
        <v>1.7843452468004202</v>
      </c>
      <c r="H194" s="52">
        <f>H591*Constants!$B$19/1000000</f>
        <v>4.80295631083664</v>
      </c>
      <c r="I194" s="59">
        <f t="shared" si="19"/>
        <v>0</v>
      </c>
      <c r="J194" s="59">
        <f t="shared" si="20"/>
        <v>0</v>
      </c>
    </row>
    <row r="195" spans="1:10" s="25" customFormat="1" x14ac:dyDescent="0.25">
      <c r="A195" s="39" t="str">
        <f t="shared" si="18"/>
        <v>South Atlantic_2034</v>
      </c>
      <c r="B195" s="52">
        <f>B592*Constants!$B$20/1000000</f>
        <v>1.9259258825399999</v>
      </c>
      <c r="C195" s="52">
        <f>C592*Constants!$B$18/1000000</f>
        <v>2.3225276876488912</v>
      </c>
      <c r="D195" s="52">
        <f>D592*Constants!$B$22/1000000</f>
        <v>3.1317102749720402</v>
      </c>
      <c r="E195" s="52">
        <f>E592*Constants!$B$21/1000000</f>
        <v>3.7797525894700001</v>
      </c>
      <c r="F195" s="52">
        <f>F592*Constants!$B$15/1000000</f>
        <v>1.73573299788</v>
      </c>
      <c r="G195" s="52">
        <f>G592*Constants!$B$16/1000000</f>
        <v>1.7849067316468601</v>
      </c>
      <c r="H195" s="52">
        <f>H592*Constants!$B$19/1000000</f>
        <v>4.8059720938814401</v>
      </c>
      <c r="I195" s="59">
        <f t="shared" si="19"/>
        <v>0</v>
      </c>
      <c r="J195" s="59">
        <f t="shared" si="20"/>
        <v>0</v>
      </c>
    </row>
    <row r="196" spans="1:10" s="25" customFormat="1" x14ac:dyDescent="0.25">
      <c r="A196" s="39" t="str">
        <f t="shared" si="18"/>
        <v>South Atlantic_2033</v>
      </c>
      <c r="B196" s="52">
        <f>B593*Constants!$B$20/1000000</f>
        <v>1.9061993303099998</v>
      </c>
      <c r="C196" s="52">
        <f>C593*Constants!$B$18/1000000</f>
        <v>2.3136428789049752</v>
      </c>
      <c r="D196" s="52">
        <f>D593*Constants!$B$22/1000000</f>
        <v>3.0998647381419806</v>
      </c>
      <c r="E196" s="52">
        <f>E593*Constants!$B$21/1000000</f>
        <v>3.7375153553100002</v>
      </c>
      <c r="F196" s="52">
        <f>F593*Constants!$B$15/1000000</f>
        <v>1.7046614947599998</v>
      </c>
      <c r="G196" s="52">
        <f>G593*Constants!$B$16/1000000</f>
        <v>1.7946428692490402</v>
      </c>
      <c r="H196" s="52">
        <f>H593*Constants!$B$19/1000000</f>
        <v>4.8268571140984005</v>
      </c>
      <c r="I196" s="59">
        <f t="shared" si="19"/>
        <v>0</v>
      </c>
      <c r="J196" s="59">
        <f t="shared" si="20"/>
        <v>0</v>
      </c>
    </row>
    <row r="197" spans="1:10" s="25" customFormat="1" x14ac:dyDescent="0.25">
      <c r="A197" s="39" t="str">
        <f t="shared" si="18"/>
        <v>South Atlantic_2032</v>
      </c>
      <c r="B197" s="52">
        <f>B594*Constants!$B$20/1000000</f>
        <v>1.9006905066600002</v>
      </c>
      <c r="C197" s="52">
        <f>C594*Constants!$B$18/1000000</f>
        <v>2.3523998583419372</v>
      </c>
      <c r="D197" s="52">
        <f>D594*Constants!$B$22/1000000</f>
        <v>3.1043497519121601</v>
      </c>
      <c r="E197" s="52">
        <f>E594*Constants!$B$21/1000000</f>
        <v>3.7352086658700001</v>
      </c>
      <c r="F197" s="52">
        <f>F594*Constants!$B$15/1000000</f>
        <v>1.7062256778</v>
      </c>
      <c r="G197" s="52">
        <f>G594*Constants!$B$16/1000000</f>
        <v>1.81429568194478</v>
      </c>
      <c r="H197" s="52">
        <f>H594*Constants!$B$19/1000000</f>
        <v>4.8528566807522804</v>
      </c>
      <c r="I197" s="59">
        <f t="shared" si="19"/>
        <v>0</v>
      </c>
      <c r="J197" s="59">
        <f t="shared" si="20"/>
        <v>0</v>
      </c>
    </row>
    <row r="198" spans="1:10" s="25" customFormat="1" x14ac:dyDescent="0.25">
      <c r="A198" s="39" t="str">
        <f t="shared" si="18"/>
        <v>South Atlantic_2031</v>
      </c>
      <c r="B198" s="52">
        <f>B595*Constants!$B$20/1000000</f>
        <v>1.8741659755500002</v>
      </c>
      <c r="C198" s="52">
        <f>C595*Constants!$B$18/1000000</f>
        <v>2.3527732807067663</v>
      </c>
      <c r="D198" s="52">
        <f>D595*Constants!$B$22/1000000</f>
        <v>3.0596098155476605</v>
      </c>
      <c r="E198" s="52">
        <f>E595*Constants!$B$21/1000000</f>
        <v>3.6737047029100003</v>
      </c>
      <c r="F198" s="52">
        <f>F595*Constants!$B$15/1000000</f>
        <v>1.66250212968</v>
      </c>
      <c r="G198" s="52">
        <f>G595*Constants!$B$16/1000000</f>
        <v>1.8314667364368</v>
      </c>
      <c r="H198" s="52">
        <f>H595*Constants!$B$19/1000000</f>
        <v>4.8721470936404403</v>
      </c>
      <c r="I198" s="59">
        <f t="shared" si="19"/>
        <v>0</v>
      </c>
      <c r="J198" s="59">
        <f t="shared" si="20"/>
        <v>0</v>
      </c>
    </row>
    <row r="199" spans="1:10" s="25" customFormat="1" x14ac:dyDescent="0.25">
      <c r="A199" s="39" t="str">
        <f t="shared" si="18"/>
        <v>South Atlantic_2030</v>
      </c>
      <c r="B199" s="52">
        <f>B596*Constants!$B$20/1000000</f>
        <v>1.8390188305500001</v>
      </c>
      <c r="C199" s="52">
        <f>C596*Constants!$B$18/1000000</f>
        <v>2.3234963558733801</v>
      </c>
      <c r="D199" s="52">
        <f>D596*Constants!$B$22/1000000</f>
        <v>3.0172753997404205</v>
      </c>
      <c r="E199" s="52">
        <f>E596*Constants!$B$21/1000000</f>
        <v>3.62032954899</v>
      </c>
      <c r="F199" s="52">
        <f>F596*Constants!$B$15/1000000</f>
        <v>1.62375584168</v>
      </c>
      <c r="G199" s="52">
        <f>G596*Constants!$B$16/1000000</f>
        <v>1.8493967951120602</v>
      </c>
      <c r="H199" s="52">
        <f>H596*Constants!$B$19/1000000</f>
        <v>4.8824223145057397</v>
      </c>
      <c r="I199" s="59">
        <f t="shared" si="19"/>
        <v>0</v>
      </c>
      <c r="J199" s="59">
        <f t="shared" si="20"/>
        <v>0</v>
      </c>
    </row>
    <row r="200" spans="1:10" s="25" customFormat="1" x14ac:dyDescent="0.25">
      <c r="A200" s="39" t="str">
        <f t="shared" si="18"/>
        <v>South Atlantic_2029</v>
      </c>
      <c r="B200" s="52">
        <f>B597*Constants!$B$20/1000000</f>
        <v>1.82510403471</v>
      </c>
      <c r="C200" s="52">
        <f>C597*Constants!$B$18/1000000</f>
        <v>2.3824222791605862</v>
      </c>
      <c r="D200" s="52">
        <f>D597*Constants!$B$22/1000000</f>
        <v>2.9742188339676603</v>
      </c>
      <c r="E200" s="52">
        <f>E597*Constants!$B$21/1000000</f>
        <v>3.5550274977799998</v>
      </c>
      <c r="F200" s="52">
        <f>F597*Constants!$B$15/1000000</f>
        <v>1.58130523964</v>
      </c>
      <c r="G200" s="52">
        <f>G597*Constants!$B$16/1000000</f>
        <v>1.8612803533088402</v>
      </c>
      <c r="H200" s="52">
        <f>H597*Constants!$B$19/1000000</f>
        <v>4.8808772074497613</v>
      </c>
      <c r="I200" s="59">
        <f t="shared" si="19"/>
        <v>0</v>
      </c>
      <c r="J200" s="59">
        <f t="shared" si="20"/>
        <v>0</v>
      </c>
    </row>
    <row r="201" spans="1:10" s="25" customFormat="1" x14ac:dyDescent="0.25">
      <c r="A201" s="39" t="str">
        <f t="shared" si="18"/>
        <v>South Atlantic_2028</v>
      </c>
      <c r="B201" s="52">
        <f>B598*Constants!$B$20/1000000</f>
        <v>1.822614849</v>
      </c>
      <c r="C201" s="52">
        <f>C598*Constants!$B$18/1000000</f>
        <v>2.3880694719424511</v>
      </c>
      <c r="D201" s="52">
        <f>D598*Constants!$B$22/1000000</f>
        <v>2.9492709373436203</v>
      </c>
      <c r="E201" s="52">
        <f>E598*Constants!$B$21/1000000</f>
        <v>3.5140369506</v>
      </c>
      <c r="F201" s="52">
        <f>F598*Constants!$B$15/1000000</f>
        <v>1.5556084403999999</v>
      </c>
      <c r="G201" s="52">
        <f>G598*Constants!$B$16/1000000</f>
        <v>1.87796676279398</v>
      </c>
      <c r="H201" s="52">
        <f>H598*Constants!$B$19/1000000</f>
        <v>4.8732552493830612</v>
      </c>
      <c r="I201" s="59">
        <f t="shared" si="19"/>
        <v>0</v>
      </c>
      <c r="J201" s="59">
        <f t="shared" si="20"/>
        <v>0</v>
      </c>
    </row>
    <row r="202" spans="1:10" s="25" customFormat="1" x14ac:dyDescent="0.25">
      <c r="A202" s="39" t="str">
        <f t="shared" si="18"/>
        <v>South Atlantic_2027</v>
      </c>
      <c r="B202" s="52">
        <f>B599*Constants!$B$20/1000000</f>
        <v>1.81733445894</v>
      </c>
      <c r="C202" s="52">
        <f>C599*Constants!$B$18/1000000</f>
        <v>2.520250019304171</v>
      </c>
      <c r="D202" s="52">
        <f>D599*Constants!$B$22/1000000</f>
        <v>2.9558719372285807</v>
      </c>
      <c r="E202" s="52">
        <f>E599*Constants!$B$21/1000000</f>
        <v>3.5032783549499995</v>
      </c>
      <c r="F202" s="52">
        <f>F599*Constants!$B$15/1000000</f>
        <v>1.5491430054799999</v>
      </c>
      <c r="G202" s="52">
        <f>G599*Constants!$B$16/1000000</f>
        <v>1.89847914592066</v>
      </c>
      <c r="H202" s="52">
        <f>H599*Constants!$B$19/1000000</f>
        <v>4.8700951808715001</v>
      </c>
      <c r="I202" s="59">
        <f t="shared" si="19"/>
        <v>0</v>
      </c>
      <c r="J202" s="59">
        <f t="shared" si="20"/>
        <v>0</v>
      </c>
    </row>
    <row r="203" spans="1:10" s="25" customFormat="1" x14ac:dyDescent="0.25">
      <c r="A203" s="39" t="str">
        <f t="shared" si="18"/>
        <v>South Atlantic_2026</v>
      </c>
      <c r="B203" s="52">
        <f>B600*Constants!$B$20/1000000</f>
        <v>1.80061319328</v>
      </c>
      <c r="C203" s="52">
        <f>C600*Constants!$B$18/1000000</f>
        <v>2.622345114525849</v>
      </c>
      <c r="D203" s="52">
        <f>D600*Constants!$B$22/1000000</f>
        <v>2.9515171176066204</v>
      </c>
      <c r="E203" s="52">
        <f>E600*Constants!$B$21/1000000</f>
        <v>3.4658202722000002</v>
      </c>
      <c r="F203" s="52">
        <f>F600*Constants!$B$15/1000000</f>
        <v>1.5293008880799999</v>
      </c>
      <c r="G203" s="52">
        <f>G600*Constants!$B$16/1000000</f>
        <v>1.8879540149188603</v>
      </c>
      <c r="H203" s="52">
        <f>H600*Constants!$B$19/1000000</f>
        <v>4.8636153422382602</v>
      </c>
      <c r="I203" s="59">
        <f t="shared" si="19"/>
        <v>0</v>
      </c>
      <c r="J203" s="59">
        <f t="shared" si="20"/>
        <v>0</v>
      </c>
    </row>
    <row r="204" spans="1:10" s="25" customFormat="1" x14ac:dyDescent="0.25">
      <c r="A204" s="39" t="str">
        <f t="shared" si="18"/>
        <v>South Atlantic_2025</v>
      </c>
      <c r="B204" s="52">
        <f>B601*Constants!$B$20/1000000</f>
        <v>1.7968372290000001</v>
      </c>
      <c r="C204" s="52">
        <f>C601*Constants!$B$18/1000000</f>
        <v>2.7756410646379313</v>
      </c>
      <c r="D204" s="52">
        <f>D601*Constants!$B$22/1000000</f>
        <v>2.9171817531853002</v>
      </c>
      <c r="E204" s="52">
        <f>E601*Constants!$B$21/1000000</f>
        <v>3.4169459047899999</v>
      </c>
      <c r="F204" s="52">
        <f>F601*Constants!$B$15/1000000</f>
        <v>1.49116931992</v>
      </c>
      <c r="G204" s="52">
        <f>G601*Constants!$B$16/1000000</f>
        <v>1.8973024606032602</v>
      </c>
      <c r="H204" s="52">
        <f>H601*Constants!$B$19/1000000</f>
        <v>4.8202834537801804</v>
      </c>
      <c r="I204" s="59">
        <f t="shared" si="19"/>
        <v>0</v>
      </c>
      <c r="J204" s="59">
        <f t="shared" si="20"/>
        <v>0</v>
      </c>
    </row>
    <row r="205" spans="1:10" s="25" customFormat="1" x14ac:dyDescent="0.25">
      <c r="A205" s="39" t="str">
        <f t="shared" si="18"/>
        <v>South Atlantic_2024</v>
      </c>
      <c r="B205" s="52">
        <f>B602*Constants!$B$20/1000000</f>
        <v>1.7996695678500003</v>
      </c>
      <c r="C205" s="52">
        <f>C602*Constants!$B$18/1000000</f>
        <v>2.7175055954824883</v>
      </c>
      <c r="D205" s="52">
        <f>D602*Constants!$B$22/1000000</f>
        <v>2.8724795141088602</v>
      </c>
      <c r="E205" s="52">
        <f>E602*Constants!$B$21/1000000</f>
        <v>3.3342279051400006</v>
      </c>
      <c r="F205" s="52">
        <f>F602*Constants!$B$15/1000000</f>
        <v>1.44551434356</v>
      </c>
      <c r="G205" s="52">
        <f>G602*Constants!$B$16/1000000</f>
        <v>1.9075956268229401</v>
      </c>
      <c r="H205" s="52">
        <f>H602*Constants!$B$19/1000000</f>
        <v>4.7325301891075009</v>
      </c>
      <c r="I205" s="59">
        <f t="shared" si="19"/>
        <v>0</v>
      </c>
      <c r="J205" s="59">
        <f t="shared" si="20"/>
        <v>0</v>
      </c>
    </row>
    <row r="206" spans="1:10" s="25" customFormat="1" x14ac:dyDescent="0.25">
      <c r="A206" s="39" t="str">
        <f t="shared" si="18"/>
        <v>South Atlantic_2023</v>
      </c>
      <c r="B206" s="52">
        <f>B603*Constants!$B$20/1000000</f>
        <v>1.7914572934499999</v>
      </c>
      <c r="C206" s="52">
        <f>C603*Constants!$B$18/1000000</f>
        <v>2.6738697579873461</v>
      </c>
      <c r="D206" s="52">
        <f>D603*Constants!$B$22/1000000</f>
        <v>2.8459626635820801</v>
      </c>
      <c r="E206" s="52">
        <f>E603*Constants!$B$21/1000000</f>
        <v>3.2936306695600002</v>
      </c>
      <c r="F206" s="52">
        <f>F603*Constants!$B$15/1000000</f>
        <v>1.4144297885199999</v>
      </c>
      <c r="G206" s="52">
        <f>G603*Constants!$B$16/1000000</f>
        <v>1.9098555370886201</v>
      </c>
      <c r="H206" s="52">
        <f>H603*Constants!$B$19/1000000</f>
        <v>4.7030604244955612</v>
      </c>
      <c r="I206" s="59">
        <f t="shared" si="19"/>
        <v>0</v>
      </c>
      <c r="J206" s="59">
        <f t="shared" si="20"/>
        <v>0</v>
      </c>
    </row>
    <row r="207" spans="1:10" s="25" customFormat="1" x14ac:dyDescent="0.25">
      <c r="A207" s="39" t="str">
        <f t="shared" si="18"/>
        <v>South Atlantic_2022</v>
      </c>
      <c r="B207" s="52">
        <f>B604*Constants!$B$20/1000000</f>
        <v>1.7681673966</v>
      </c>
      <c r="C207" s="52">
        <f>C604*Constants!$B$18/1000000</f>
        <v>3.0480557818927951</v>
      </c>
      <c r="D207" s="52">
        <f>D604*Constants!$B$22/1000000</f>
        <v>2.8146499472069002</v>
      </c>
      <c r="E207" s="52">
        <f>E604*Constants!$B$21/1000000</f>
        <v>3.24716616664</v>
      </c>
      <c r="F207" s="52">
        <f>F604*Constants!$B$15/1000000</f>
        <v>1.3772155656</v>
      </c>
      <c r="G207" s="52">
        <f>G604*Constants!$B$16/1000000</f>
        <v>1.9274870284249002</v>
      </c>
      <c r="H207" s="52">
        <f>H604*Constants!$B$19/1000000</f>
        <v>4.6083507455703003</v>
      </c>
      <c r="I207" s="59">
        <f t="shared" si="19"/>
        <v>0</v>
      </c>
      <c r="J207" s="59">
        <f t="shared" si="20"/>
        <v>0</v>
      </c>
    </row>
    <row r="208" spans="1:10" s="25" customFormat="1" x14ac:dyDescent="0.25">
      <c r="A208" s="39" t="str">
        <f t="shared" si="18"/>
        <v>South Atlantic_2021</v>
      </c>
      <c r="B208" s="52">
        <f>B605*Constants!$B$20/1000000</f>
        <v>1.7325278259299999</v>
      </c>
      <c r="C208" s="52">
        <f>C605*Constants!$B$18/1000000</f>
        <v>3.0013263743369887</v>
      </c>
      <c r="D208" s="52">
        <f>D605*Constants!$B$22/1000000</f>
        <v>2.6943342950379203</v>
      </c>
      <c r="E208" s="52">
        <f>E605*Constants!$B$21/1000000</f>
        <v>3.1737290743399997</v>
      </c>
      <c r="F208" s="52">
        <f>F605*Constants!$B$15/1000000</f>
        <v>1.3305887330400001</v>
      </c>
      <c r="G208" s="52">
        <f>G605*Constants!$B$16/1000000</f>
        <v>1.93495398198766</v>
      </c>
      <c r="H208" s="52">
        <f>H605*Constants!$B$19/1000000</f>
        <v>4.3925565343259798</v>
      </c>
      <c r="I208" s="59">
        <f t="shared" si="19"/>
        <v>0</v>
      </c>
      <c r="J208" s="59">
        <f t="shared" si="20"/>
        <v>0</v>
      </c>
    </row>
    <row r="209" spans="1:10" s="25" customFormat="1" x14ac:dyDescent="0.25">
      <c r="A209" s="39" t="str">
        <f t="shared" si="18"/>
        <v>South Atlantic_2020</v>
      </c>
      <c r="B209" s="52">
        <f>B606*Constants!$B$20/1000000</f>
        <v>1.7307231183</v>
      </c>
      <c r="C209" s="52">
        <f>C606*Constants!$B$18/1000000</f>
        <v>2.9537668595642055</v>
      </c>
      <c r="D209" s="52">
        <f>D606*Constants!$B$22/1000000</f>
        <v>2.5683150311416001</v>
      </c>
      <c r="E209" s="52">
        <f>E606*Constants!$B$21/1000000</f>
        <v>3.1172406652199998</v>
      </c>
      <c r="F209" s="52">
        <f>F606*Constants!$B$15/1000000</f>
        <v>1.2721986656399999</v>
      </c>
      <c r="G209" s="52">
        <f>G606*Constants!$B$16/1000000</f>
        <v>1.9424732059115002</v>
      </c>
      <c r="H209" s="52">
        <f>H606*Constants!$B$19/1000000</f>
        <v>4.2341679460412198</v>
      </c>
      <c r="I209" s="59">
        <f t="shared" si="19"/>
        <v>0</v>
      </c>
      <c r="J209" s="59">
        <f t="shared" si="20"/>
        <v>0</v>
      </c>
    </row>
    <row r="210" spans="1:10" s="25" customFormat="1" x14ac:dyDescent="0.25">
      <c r="A210" s="39" t="str">
        <f t="shared" si="18"/>
        <v>South Atlantic_2019</v>
      </c>
      <c r="B210" s="52">
        <f>B607*Constants!$B$20/1000000</f>
        <v>1.73513419926</v>
      </c>
      <c r="C210" s="52">
        <f>C607*Constants!$B$18/1000000</f>
        <v>2.9007505947181311</v>
      </c>
      <c r="D210" s="52">
        <f>D607*Constants!$B$22/1000000</f>
        <v>2.4400012910956601</v>
      </c>
      <c r="E210" s="52">
        <f>E607*Constants!$B$21/1000000</f>
        <v>3.0365484972899996</v>
      </c>
      <c r="F210" s="52">
        <f>F607*Constants!$B$15/1000000</f>
        <v>1.19677046832</v>
      </c>
      <c r="G210" s="52">
        <f>G607*Constants!$B$16/1000000</f>
        <v>1.9390634681406804</v>
      </c>
      <c r="H210" s="52">
        <f>H607*Constants!$B$19/1000000</f>
        <v>4.0021260832044199</v>
      </c>
      <c r="I210" s="59">
        <f t="shared" si="19"/>
        <v>0</v>
      </c>
      <c r="J210" s="59">
        <f t="shared" si="20"/>
        <v>0</v>
      </c>
    </row>
    <row r="211" spans="1:10" s="25" customFormat="1" x14ac:dyDescent="0.25">
      <c r="A211" s="39" t="str">
        <f t="shared" si="18"/>
        <v>South Atlantic_2018</v>
      </c>
      <c r="B211" s="52">
        <f>B608*Constants!$B$20/1000000</f>
        <v>1.7321258047500001</v>
      </c>
      <c r="C211" s="52">
        <f>C608*Constants!$B$18/1000000</f>
        <v>2.7684877739483165</v>
      </c>
      <c r="D211" s="52">
        <f>D608*Constants!$B$22/1000000</f>
        <v>2.2126249795204203</v>
      </c>
      <c r="E211" s="52">
        <f>E608*Constants!$B$21/1000000</f>
        <v>2.8798812693199998</v>
      </c>
      <c r="F211" s="52">
        <f>F608*Constants!$B$15/1000000</f>
        <v>1.0768075844399998</v>
      </c>
      <c r="G211" s="52">
        <f>G608*Constants!$B$16/1000000</f>
        <v>1.93742779124246</v>
      </c>
      <c r="H211" s="52">
        <f>H608*Constants!$B$19/1000000</f>
        <v>3.7762853640341802</v>
      </c>
      <c r="I211" s="59">
        <f t="shared" si="19"/>
        <v>0</v>
      </c>
      <c r="J211" s="59">
        <f t="shared" si="20"/>
        <v>0</v>
      </c>
    </row>
    <row r="212" spans="1:10" s="25" customFormat="1" x14ac:dyDescent="0.25">
      <c r="A212" s="39" t="str">
        <f t="shared" si="18"/>
        <v>South Atlantic_2017</v>
      </c>
      <c r="B212" s="52">
        <f>B609*Constants!$B$20/1000000</f>
        <v>1.6343384032799999</v>
      </c>
      <c r="C212" s="52">
        <f>C609*Constants!$B$18/1000000</f>
        <v>2.4951294751147102</v>
      </c>
      <c r="D212" s="52">
        <f>D609*Constants!$B$22/1000000</f>
        <v>2.2258303515716999</v>
      </c>
      <c r="E212" s="52">
        <f>E609*Constants!$B$21/1000000</f>
        <v>2.6264528787199999</v>
      </c>
      <c r="F212" s="52">
        <f>F609*Constants!$B$15/1000000</f>
        <v>0.86210439616000001</v>
      </c>
      <c r="G212" s="52">
        <f>G609*Constants!$B$16/1000000</f>
        <v>1.93433372309466</v>
      </c>
      <c r="H212" s="52">
        <f>H609*Constants!$B$19/1000000</f>
        <v>3.4863546784943802</v>
      </c>
      <c r="I212" s="59">
        <f t="shared" si="19"/>
        <v>0</v>
      </c>
      <c r="J212" s="59">
        <f t="shared" si="20"/>
        <v>0</v>
      </c>
    </row>
    <row r="213" spans="1:10" s="25" customFormat="1" x14ac:dyDescent="0.25">
      <c r="A213" s="39" t="str">
        <f t="shared" si="18"/>
        <v>South Atlantic_2016</v>
      </c>
      <c r="B213" s="52">
        <f>B610*Constants!$B$20/1000000</f>
        <v>1.6219448526599998</v>
      </c>
      <c r="C213" s="52">
        <f>C610*Constants!$B$18/1000000</f>
        <v>2.2926405908512071</v>
      </c>
      <c r="D213" s="52">
        <f>D610*Constants!$B$22/1000000</f>
        <v>2.1361694595968403</v>
      </c>
      <c r="E213" s="52">
        <f>E610*Constants!$B$21/1000000</f>
        <v>2.30684524125</v>
      </c>
      <c r="F213" s="52">
        <f>F610*Constants!$B$15/1000000</f>
        <v>0.66443959372000005</v>
      </c>
      <c r="G213" s="52">
        <f>G610*Constants!$B$16/1000000</f>
        <v>1.9160099505706203</v>
      </c>
      <c r="H213" s="52">
        <f>H610*Constants!$B$19/1000000</f>
        <v>3.1763969774664997</v>
      </c>
      <c r="I213" s="59">
        <f t="shared" si="19"/>
        <v>0</v>
      </c>
      <c r="J213" s="59">
        <f t="shared" si="20"/>
        <v>0</v>
      </c>
    </row>
    <row r="214" spans="1:10" s="25" customFormat="1" x14ac:dyDescent="0.25">
      <c r="A214" s="39" t="str">
        <f t="shared" si="18"/>
        <v>South Atlantic_2015</v>
      </c>
      <c r="B214" s="52">
        <f>B611*Constants!$B$20/1000000</f>
        <v>1.7079117528000001</v>
      </c>
      <c r="C214" s="52">
        <f>C611*Constants!$B$18/1000000</f>
        <v>2.5570473630514914</v>
      </c>
      <c r="D214" s="52">
        <f>D611*Constants!$B$22/1000000</f>
        <v>2.4634316611077005</v>
      </c>
      <c r="E214" s="52">
        <f>E611*Constants!$B$21/1000000</f>
        <v>2.7553269640599996</v>
      </c>
      <c r="F214" s="52">
        <f>F611*Constants!$B$15/1000000</f>
        <v>0.90020845292000007</v>
      </c>
      <c r="G214" s="52">
        <f>G611*Constants!$B$16/1000000</f>
        <v>1.8633889926678002</v>
      </c>
      <c r="H214" s="52">
        <f>H611*Constants!$B$19/1000000</f>
        <v>3.0692402080414802</v>
      </c>
      <c r="I214" s="59">
        <f t="shared" si="19"/>
        <v>0</v>
      </c>
      <c r="J214" s="59">
        <f t="shared" si="20"/>
        <v>0</v>
      </c>
    </row>
    <row r="215" spans="1:10" customFormat="1" x14ac:dyDescent="0.25">
      <c r="A215" s="40" t="str">
        <f t="shared" ref="A215:A250" si="21">CONCATENATE("West North Central_",A615)</f>
        <v>West North Central_2050</v>
      </c>
      <c r="B215" s="53">
        <f>B615*Constants!$B$20/1000000</f>
        <v>2.1293396414400001</v>
      </c>
      <c r="C215" s="53">
        <f>C615*Constants!$B$18/1000000</f>
        <v>2.674855330474919</v>
      </c>
      <c r="D215" s="53">
        <f>D615*Constants!$B$22/1000000</f>
        <v>3.3689903747085004</v>
      </c>
      <c r="E215" s="53">
        <f>E615*Constants!$B$21/1000000</f>
        <v>4.2702938637700001</v>
      </c>
      <c r="F215" s="53">
        <f>F615*Constants!$B$15/1000000</f>
        <v>1.5429476941200002</v>
      </c>
      <c r="G215" s="53">
        <f>G615*Constants!$B$16/1000000</f>
        <v>1.88737097155944</v>
      </c>
      <c r="H215" s="53">
        <f>H615*Constants!$B$19/1000000</f>
        <v>4.0562749254405608</v>
      </c>
      <c r="I215" s="60">
        <f t="shared" ref="I215:I250" si="22">$B$13*J615</f>
        <v>0</v>
      </c>
      <c r="J215" s="60">
        <f t="shared" ref="J215:J250" si="23">$B$11*K615</f>
        <v>0</v>
      </c>
    </row>
    <row r="216" spans="1:10" customFormat="1" x14ac:dyDescent="0.25">
      <c r="A216" s="40" t="str">
        <f t="shared" si="21"/>
        <v>West North Central_2049</v>
      </c>
      <c r="B216" s="53">
        <f>B616*Constants!$B$20/1000000</f>
        <v>2.1108622982700003</v>
      </c>
      <c r="C216" s="53">
        <f>C616*Constants!$B$18/1000000</f>
        <v>2.7196221351034153</v>
      </c>
      <c r="D216" s="53">
        <f>D616*Constants!$B$22/1000000</f>
        <v>3.3274895145902805</v>
      </c>
      <c r="E216" s="53">
        <f>E616*Constants!$B$21/1000000</f>
        <v>4.2332285386599997</v>
      </c>
      <c r="F216" s="53">
        <f>F616*Constants!$B$15/1000000</f>
        <v>1.5169820509199998</v>
      </c>
      <c r="G216" s="53">
        <f>G616*Constants!$B$16/1000000</f>
        <v>1.8703227644598202</v>
      </c>
      <c r="H216" s="53">
        <f>H616*Constants!$B$19/1000000</f>
        <v>4.0769150939430601</v>
      </c>
      <c r="I216" s="60">
        <f t="shared" si="22"/>
        <v>0</v>
      </c>
      <c r="J216" s="60">
        <f t="shared" si="23"/>
        <v>0</v>
      </c>
    </row>
    <row r="217" spans="1:10" customFormat="1" x14ac:dyDescent="0.25">
      <c r="A217" s="40" t="str">
        <f t="shared" si="21"/>
        <v>West North Central_2048</v>
      </c>
      <c r="B217" s="53">
        <f>B617*Constants!$B$20/1000000</f>
        <v>2.1006510699900001</v>
      </c>
      <c r="C217" s="53">
        <f>C617*Constants!$B$18/1000000</f>
        <v>2.6997387653997391</v>
      </c>
      <c r="D217" s="53">
        <f>D617*Constants!$B$22/1000000</f>
        <v>3.3141747842720402</v>
      </c>
      <c r="E217" s="53">
        <f>E617*Constants!$B$21/1000000</f>
        <v>4.2028875955</v>
      </c>
      <c r="F217" s="53">
        <f>F617*Constants!$B$15/1000000</f>
        <v>1.4991486495999999</v>
      </c>
      <c r="G217" s="53">
        <f>G617*Constants!$B$16/1000000</f>
        <v>1.8672648278980202</v>
      </c>
      <c r="H217" s="53">
        <f>H617*Constants!$B$19/1000000</f>
        <v>4.0783816750188002</v>
      </c>
      <c r="I217" s="60">
        <f t="shared" si="22"/>
        <v>0</v>
      </c>
      <c r="J217" s="60">
        <f t="shared" si="23"/>
        <v>0</v>
      </c>
    </row>
    <row r="218" spans="1:10" customFormat="1" x14ac:dyDescent="0.25">
      <c r="A218" s="40" t="str">
        <f t="shared" si="21"/>
        <v>West North Central_2047</v>
      </c>
      <c r="B218" s="53">
        <f>B618*Constants!$B$20/1000000</f>
        <v>2.08155049344</v>
      </c>
      <c r="C218" s="53">
        <f>C618*Constants!$B$18/1000000</f>
        <v>2.828628915935417</v>
      </c>
      <c r="D218" s="53">
        <f>D618*Constants!$B$22/1000000</f>
        <v>3.3270980890752804</v>
      </c>
      <c r="E218" s="53">
        <f>E618*Constants!$B$21/1000000</f>
        <v>4.2050934642199991</v>
      </c>
      <c r="F218" s="53">
        <f>F618*Constants!$B$15/1000000</f>
        <v>1.49300682552</v>
      </c>
      <c r="G218" s="53">
        <f>G618*Constants!$B$16/1000000</f>
        <v>1.8467901420594</v>
      </c>
      <c r="H218" s="53">
        <f>H618*Constants!$B$19/1000000</f>
        <v>4.0824747815195002</v>
      </c>
      <c r="I218" s="60">
        <f t="shared" si="22"/>
        <v>0</v>
      </c>
      <c r="J218" s="60">
        <f t="shared" si="23"/>
        <v>0</v>
      </c>
    </row>
    <row r="219" spans="1:10" customFormat="1" x14ac:dyDescent="0.25">
      <c r="A219" s="40" t="str">
        <f t="shared" si="21"/>
        <v>West North Central_2046</v>
      </c>
      <c r="B219" s="53">
        <f>B619*Constants!$B$20/1000000</f>
        <v>2.0651801507700003</v>
      </c>
      <c r="C219" s="53">
        <f>C619*Constants!$B$18/1000000</f>
        <v>2.811574132976935</v>
      </c>
      <c r="D219" s="53">
        <f>D619*Constants!$B$22/1000000</f>
        <v>3.3074269697092999</v>
      </c>
      <c r="E219" s="53">
        <f>E619*Constants!$B$21/1000000</f>
        <v>4.1539226556299997</v>
      </c>
      <c r="F219" s="53">
        <f>F619*Constants!$B$15/1000000</f>
        <v>1.4638790347999999</v>
      </c>
      <c r="G219" s="53">
        <f>G619*Constants!$B$16/1000000</f>
        <v>1.8334330173469202</v>
      </c>
      <c r="H219" s="53">
        <f>H619*Constants!$B$19/1000000</f>
        <v>4.0832710012363203</v>
      </c>
      <c r="I219" s="60">
        <f t="shared" si="22"/>
        <v>0</v>
      </c>
      <c r="J219" s="60">
        <f t="shared" si="23"/>
        <v>0</v>
      </c>
    </row>
    <row r="220" spans="1:10" customFormat="1" x14ac:dyDescent="0.25">
      <c r="A220" s="40" t="str">
        <f t="shared" si="21"/>
        <v>West North Central_2045</v>
      </c>
      <c r="B220" s="53">
        <f>B620*Constants!$B$20/1000000</f>
        <v>2.0497745492399999</v>
      </c>
      <c r="C220" s="53">
        <f>C620*Constants!$B$18/1000000</f>
        <v>2.7991725181812028</v>
      </c>
      <c r="D220" s="53">
        <f>D620*Constants!$B$22/1000000</f>
        <v>3.2934959549725207</v>
      </c>
      <c r="E220" s="53">
        <f>E620*Constants!$B$21/1000000</f>
        <v>4.1324729089600005</v>
      </c>
      <c r="F220" s="53">
        <f>F620*Constants!$B$15/1000000</f>
        <v>1.4464929816399998</v>
      </c>
      <c r="G220" s="53">
        <f>G620*Constants!$B$16/1000000</f>
        <v>1.8227139801669201</v>
      </c>
      <c r="H220" s="53">
        <f>H620*Constants!$B$19/1000000</f>
        <v>4.0888209332845395</v>
      </c>
      <c r="I220" s="60">
        <f t="shared" si="22"/>
        <v>0</v>
      </c>
      <c r="J220" s="60">
        <f t="shared" si="23"/>
        <v>0</v>
      </c>
    </row>
    <row r="221" spans="1:10" customFormat="1" x14ac:dyDescent="0.25">
      <c r="A221" s="40" t="str">
        <f t="shared" si="21"/>
        <v>West North Central_2044</v>
      </c>
      <c r="B221" s="53">
        <f>B621*Constants!$B$20/1000000</f>
        <v>2.0426806761899998</v>
      </c>
      <c r="C221" s="53">
        <f>C621*Constants!$B$18/1000000</f>
        <v>2.7888448226835161</v>
      </c>
      <c r="D221" s="53">
        <f>D621*Constants!$B$22/1000000</f>
        <v>3.2801662902654005</v>
      </c>
      <c r="E221" s="53">
        <f>E621*Constants!$B$21/1000000</f>
        <v>4.1153016723500002</v>
      </c>
      <c r="F221" s="53">
        <f>F621*Constants!$B$15/1000000</f>
        <v>1.4345357594399999</v>
      </c>
      <c r="G221" s="53">
        <f>G621*Constants!$B$16/1000000</f>
        <v>1.8104558578619403</v>
      </c>
      <c r="H221" s="53">
        <f>H621*Constants!$B$19/1000000</f>
        <v>4.09198329012988</v>
      </c>
      <c r="I221" s="60">
        <f t="shared" si="22"/>
        <v>0</v>
      </c>
      <c r="J221" s="60">
        <f t="shared" si="23"/>
        <v>0</v>
      </c>
    </row>
    <row r="222" spans="1:10" customFormat="1" x14ac:dyDescent="0.25">
      <c r="A222" s="40" t="str">
        <f t="shared" si="21"/>
        <v>West North Central_2043</v>
      </c>
      <c r="B222" s="53">
        <f>B622*Constants!$B$20/1000000</f>
        <v>2.0285844315000001</v>
      </c>
      <c r="C222" s="53">
        <f>C622*Constants!$B$18/1000000</f>
        <v>2.7797439450875214</v>
      </c>
      <c r="D222" s="53">
        <f>D622*Constants!$B$22/1000000</f>
        <v>3.2685475765940004</v>
      </c>
      <c r="E222" s="53">
        <f>E622*Constants!$B$21/1000000</f>
        <v>4.1113429357000006</v>
      </c>
      <c r="F222" s="53">
        <f>F622*Constants!$B$15/1000000</f>
        <v>1.42496204816</v>
      </c>
      <c r="G222" s="53">
        <f>G622*Constants!$B$16/1000000</f>
        <v>1.8033649136708201</v>
      </c>
      <c r="H222" s="53">
        <f>H622*Constants!$B$19/1000000</f>
        <v>4.1059138231121803</v>
      </c>
      <c r="I222" s="60">
        <f t="shared" si="22"/>
        <v>0</v>
      </c>
      <c r="J222" s="60">
        <f t="shared" si="23"/>
        <v>0</v>
      </c>
    </row>
    <row r="223" spans="1:10" customFormat="1" x14ac:dyDescent="0.25">
      <c r="A223" s="40" t="str">
        <f t="shared" si="21"/>
        <v>West North Central_2042</v>
      </c>
      <c r="B223" s="53">
        <f>B623*Constants!$B$20/1000000</f>
        <v>2.0123237808300001</v>
      </c>
      <c r="C223" s="53">
        <f>C623*Constants!$B$18/1000000</f>
        <v>2.6344135894560163</v>
      </c>
      <c r="D223" s="53">
        <f>D623*Constants!$B$22/1000000</f>
        <v>3.2578769557392402</v>
      </c>
      <c r="E223" s="53">
        <f>E623*Constants!$B$21/1000000</f>
        <v>4.1133557493600001</v>
      </c>
      <c r="F223" s="53">
        <f>F623*Constants!$B$15/1000000</f>
        <v>1.4170724184399999</v>
      </c>
      <c r="G223" s="53">
        <f>G623*Constants!$B$16/1000000</f>
        <v>1.7907736581429203</v>
      </c>
      <c r="H223" s="53">
        <f>H623*Constants!$B$19/1000000</f>
        <v>4.134687934255</v>
      </c>
      <c r="I223" s="60">
        <f t="shared" si="22"/>
        <v>0</v>
      </c>
      <c r="J223" s="60">
        <f t="shared" si="23"/>
        <v>0</v>
      </c>
    </row>
    <row r="224" spans="1:10" customFormat="1" x14ac:dyDescent="0.25">
      <c r="A224" s="40" t="str">
        <f t="shared" si="21"/>
        <v>West North Central_2041</v>
      </c>
      <c r="B224" s="53">
        <f>B624*Constants!$B$20/1000000</f>
        <v>2.0008563963300001</v>
      </c>
      <c r="C224" s="53">
        <f>C624*Constants!$B$18/1000000</f>
        <v>2.5330896163631058</v>
      </c>
      <c r="D224" s="53">
        <f>D624*Constants!$B$22/1000000</f>
        <v>3.2527430186845003</v>
      </c>
      <c r="E224" s="53">
        <f>E624*Constants!$B$21/1000000</f>
        <v>4.1239538351</v>
      </c>
      <c r="F224" s="53">
        <f>F624*Constants!$B$15/1000000</f>
        <v>1.4152445098399999</v>
      </c>
      <c r="G224" s="53">
        <f>G624*Constants!$B$16/1000000</f>
        <v>1.7847148729252</v>
      </c>
      <c r="H224" s="53">
        <f>H624*Constants!$B$19/1000000</f>
        <v>4.1580006357353003</v>
      </c>
      <c r="I224" s="60">
        <f t="shared" si="22"/>
        <v>0</v>
      </c>
      <c r="J224" s="60">
        <f t="shared" si="23"/>
        <v>0</v>
      </c>
    </row>
    <row r="225" spans="1:10" s="25" customFormat="1" x14ac:dyDescent="0.25">
      <c r="A225" s="40" t="str">
        <f t="shared" si="21"/>
        <v>West North Central_2040</v>
      </c>
      <c r="B225" s="53">
        <f>B625*Constants!$B$20/1000000</f>
        <v>1.9796192938499999</v>
      </c>
      <c r="C225" s="53">
        <f>C625*Constants!$B$18/1000000</f>
        <v>2.503904855730045</v>
      </c>
      <c r="D225" s="53">
        <f>D625*Constants!$B$22/1000000</f>
        <v>3.23500457785366</v>
      </c>
      <c r="E225" s="53">
        <f>E625*Constants!$B$21/1000000</f>
        <v>4.1151173421599996</v>
      </c>
      <c r="F225" s="53">
        <f>F625*Constants!$B$15/1000000</f>
        <v>1.4038743681200001</v>
      </c>
      <c r="G225" s="53">
        <f>G625*Constants!$B$16/1000000</f>
        <v>1.7856847651320602</v>
      </c>
      <c r="H225" s="53">
        <f>H625*Constants!$B$19/1000000</f>
        <v>4.1908812220656397</v>
      </c>
      <c r="I225" s="60">
        <f t="shared" si="22"/>
        <v>0</v>
      </c>
      <c r="J225" s="60">
        <f t="shared" si="23"/>
        <v>0</v>
      </c>
    </row>
    <row r="226" spans="1:10" s="25" customFormat="1" x14ac:dyDescent="0.25">
      <c r="A226" s="40" t="str">
        <f t="shared" si="21"/>
        <v>West North Central_2039</v>
      </c>
      <c r="B226" s="53">
        <f>B626*Constants!$B$20/1000000</f>
        <v>1.9662620990099999</v>
      </c>
      <c r="C226" s="53">
        <f>C626*Constants!$B$18/1000000</f>
        <v>2.418193767921069</v>
      </c>
      <c r="D226" s="53">
        <f>D626*Constants!$B$22/1000000</f>
        <v>3.2104475045515204</v>
      </c>
      <c r="E226" s="53">
        <f>E626*Constants!$B$21/1000000</f>
        <v>4.0963128929800003</v>
      </c>
      <c r="F226" s="53">
        <f>F626*Constants!$B$15/1000000</f>
        <v>1.3831251422799999</v>
      </c>
      <c r="G226" s="53">
        <f>G626*Constants!$B$16/1000000</f>
        <v>1.7922781773839602</v>
      </c>
      <c r="H226" s="53">
        <f>H626*Constants!$B$19/1000000</f>
        <v>4.2068387370225393</v>
      </c>
      <c r="I226" s="60">
        <f t="shared" si="22"/>
        <v>0</v>
      </c>
      <c r="J226" s="60">
        <f t="shared" si="23"/>
        <v>0</v>
      </c>
    </row>
    <row r="227" spans="1:10" s="25" customFormat="1" x14ac:dyDescent="0.25">
      <c r="A227" s="40" t="str">
        <f t="shared" si="21"/>
        <v>West North Central_2038</v>
      </c>
      <c r="B227" s="53">
        <f>B627*Constants!$B$20/1000000</f>
        <v>1.9314949453799999</v>
      </c>
      <c r="C227" s="53">
        <f>C627*Constants!$B$18/1000000</f>
        <v>2.3253543861519321</v>
      </c>
      <c r="D227" s="53">
        <f>D627*Constants!$B$22/1000000</f>
        <v>3.1671269373237201</v>
      </c>
      <c r="E227" s="53">
        <f>E627*Constants!$B$21/1000000</f>
        <v>4.0503512472499992</v>
      </c>
      <c r="F227" s="53">
        <f>F627*Constants!$B$15/1000000</f>
        <v>1.3534650379600002</v>
      </c>
      <c r="G227" s="53">
        <f>G627*Constants!$B$16/1000000</f>
        <v>1.7934136726933203</v>
      </c>
      <c r="H227" s="53">
        <f>H627*Constants!$B$19/1000000</f>
        <v>4.2286694412837402</v>
      </c>
      <c r="I227" s="60">
        <f t="shared" si="22"/>
        <v>0</v>
      </c>
      <c r="J227" s="60">
        <f t="shared" si="23"/>
        <v>0</v>
      </c>
    </row>
    <row r="228" spans="1:10" s="25" customFormat="1" x14ac:dyDescent="0.25">
      <c r="A228" s="40" t="str">
        <f t="shared" si="21"/>
        <v>West North Central_2037</v>
      </c>
      <c r="B228" s="53">
        <f>B628*Constants!$B$20/1000000</f>
        <v>1.9068187244700001</v>
      </c>
      <c r="C228" s="53">
        <f>C628*Constants!$B$18/1000000</f>
        <v>2.2683479059713973</v>
      </c>
      <c r="D228" s="53">
        <f>D628*Constants!$B$22/1000000</f>
        <v>3.1524518527925807</v>
      </c>
      <c r="E228" s="53">
        <f>E628*Constants!$B$21/1000000</f>
        <v>4.0394749350999994</v>
      </c>
      <c r="F228" s="53">
        <f>F628*Constants!$B$15/1000000</f>
        <v>1.3387231502400001</v>
      </c>
      <c r="G228" s="53">
        <f>G628*Constants!$B$16/1000000</f>
        <v>1.7996862364615402</v>
      </c>
      <c r="H228" s="53">
        <f>H628*Constants!$B$19/1000000</f>
        <v>4.2472034996383004</v>
      </c>
      <c r="I228" s="60">
        <f t="shared" si="22"/>
        <v>0</v>
      </c>
      <c r="J228" s="60">
        <f t="shared" si="23"/>
        <v>0</v>
      </c>
    </row>
    <row r="229" spans="1:10" s="25" customFormat="1" x14ac:dyDescent="0.25">
      <c r="A229" s="40" t="str">
        <f t="shared" si="21"/>
        <v>West North Central_2036</v>
      </c>
      <c r="B229" s="53">
        <f>B629*Constants!$B$20/1000000</f>
        <v>1.8941778183900002</v>
      </c>
      <c r="C229" s="53">
        <f>C629*Constants!$B$18/1000000</f>
        <v>2.2528321302839029</v>
      </c>
      <c r="D229" s="53">
        <f>D629*Constants!$B$22/1000000</f>
        <v>3.1451335204869002</v>
      </c>
      <c r="E229" s="53">
        <f>E629*Constants!$B$21/1000000</f>
        <v>4.0339185778099997</v>
      </c>
      <c r="F229" s="53">
        <f>F629*Constants!$B$15/1000000</f>
        <v>1.3294090697999998</v>
      </c>
      <c r="G229" s="53">
        <f>G629*Constants!$B$16/1000000</f>
        <v>1.8066149498315203</v>
      </c>
      <c r="H229" s="53">
        <f>H629*Constants!$B$19/1000000</f>
        <v>4.275993267801721</v>
      </c>
      <c r="I229" s="60">
        <f t="shared" si="22"/>
        <v>0</v>
      </c>
      <c r="J229" s="60">
        <f t="shared" si="23"/>
        <v>0</v>
      </c>
    </row>
    <row r="230" spans="1:10" s="25" customFormat="1" x14ac:dyDescent="0.25">
      <c r="A230" s="40" t="str">
        <f t="shared" si="21"/>
        <v>West North Central_2035</v>
      </c>
      <c r="B230" s="53">
        <f>B630*Constants!$B$20/1000000</f>
        <v>1.8672512660999998</v>
      </c>
      <c r="C230" s="53">
        <f>C630*Constants!$B$18/1000000</f>
        <v>2.1901201915636395</v>
      </c>
      <c r="D230" s="53">
        <f>D630*Constants!$B$22/1000000</f>
        <v>3.0833010556106206</v>
      </c>
      <c r="E230" s="53">
        <f>E630*Constants!$B$21/1000000</f>
        <v>3.9649274299799999</v>
      </c>
      <c r="F230" s="53">
        <f>F630*Constants!$B$15/1000000</f>
        <v>1.2799782497599999</v>
      </c>
      <c r="G230" s="53">
        <f>G630*Constants!$B$16/1000000</f>
        <v>1.8152361871283602</v>
      </c>
      <c r="H230" s="53">
        <f>H630*Constants!$B$19/1000000</f>
        <v>4.2855471817718405</v>
      </c>
      <c r="I230" s="60">
        <f t="shared" si="22"/>
        <v>0</v>
      </c>
      <c r="J230" s="60">
        <f t="shared" si="23"/>
        <v>0</v>
      </c>
    </row>
    <row r="231" spans="1:10" s="25" customFormat="1" x14ac:dyDescent="0.25">
      <c r="A231" s="40" t="str">
        <f t="shared" si="21"/>
        <v>West North Central_2034</v>
      </c>
      <c r="B231" s="53">
        <f>B631*Constants!$B$20/1000000</f>
        <v>1.8583099969500001</v>
      </c>
      <c r="C231" s="53">
        <f>C631*Constants!$B$18/1000000</f>
        <v>2.2008537692079284</v>
      </c>
      <c r="D231" s="53">
        <f>D631*Constants!$B$22/1000000</f>
        <v>3.0655936879437404</v>
      </c>
      <c r="E231" s="53">
        <f>E631*Constants!$B$21/1000000</f>
        <v>3.9412071397600004</v>
      </c>
      <c r="F231" s="53">
        <f>F631*Constants!$B$15/1000000</f>
        <v>1.26419527948</v>
      </c>
      <c r="G231" s="53">
        <f>G631*Constants!$B$16/1000000</f>
        <v>1.8134359910752202</v>
      </c>
      <c r="H231" s="53">
        <f>H631*Constants!$B$19/1000000</f>
        <v>4.3367941758977011</v>
      </c>
      <c r="I231" s="60">
        <f t="shared" si="22"/>
        <v>0</v>
      </c>
      <c r="J231" s="60">
        <f t="shared" si="23"/>
        <v>0</v>
      </c>
    </row>
    <row r="232" spans="1:10" s="25" customFormat="1" x14ac:dyDescent="0.25">
      <c r="A232" s="40" t="str">
        <f t="shared" si="21"/>
        <v>West North Central_2033</v>
      </c>
      <c r="B232" s="53">
        <f>B632*Constants!$B$20/1000000</f>
        <v>1.8392761496999999</v>
      </c>
      <c r="C232" s="53">
        <f>C632*Constants!$B$18/1000000</f>
        <v>2.2043609542163933</v>
      </c>
      <c r="D232" s="53">
        <f>D632*Constants!$B$22/1000000</f>
        <v>3.0337545343605399</v>
      </c>
      <c r="E232" s="53">
        <f>E632*Constants!$B$21/1000000</f>
        <v>3.8989699056</v>
      </c>
      <c r="F232" s="53">
        <f>F632*Constants!$B$15/1000000</f>
        <v>1.2331236483999999</v>
      </c>
      <c r="G232" s="53">
        <f>G632*Constants!$B$16/1000000</f>
        <v>1.8305053953719603</v>
      </c>
      <c r="H232" s="53">
        <f>H632*Constants!$B$19/1000000</f>
        <v>4.3681185748190199</v>
      </c>
      <c r="I232" s="60">
        <f t="shared" si="22"/>
        <v>0</v>
      </c>
      <c r="J232" s="60">
        <f t="shared" si="23"/>
        <v>0</v>
      </c>
    </row>
    <row r="233" spans="1:10" s="25" customFormat="1" x14ac:dyDescent="0.25">
      <c r="A233" s="40" t="str">
        <f t="shared" si="21"/>
        <v>West North Central_2032</v>
      </c>
      <c r="B233" s="53">
        <f>B633*Constants!$B$20/1000000</f>
        <v>1.83396020115</v>
      </c>
      <c r="C233" s="53">
        <f>C633*Constants!$B$18/1000000</f>
        <v>2.2010206538477362</v>
      </c>
      <c r="D233" s="53">
        <f>D633*Constants!$B$22/1000000</f>
        <v>3.0382424386575999</v>
      </c>
      <c r="E233" s="53">
        <f>E633*Constants!$B$21/1000000</f>
        <v>3.8966629391800001</v>
      </c>
      <c r="F233" s="53">
        <f>F633*Constants!$B$15/1000000</f>
        <v>1.2346879594</v>
      </c>
      <c r="G233" s="53">
        <f>G633*Constants!$B$16/1000000</f>
        <v>1.8563015411966601</v>
      </c>
      <c r="H233" s="53">
        <f>H633*Constants!$B$19/1000000</f>
        <v>4.3867340496806992</v>
      </c>
      <c r="I233" s="60">
        <f t="shared" si="22"/>
        <v>0</v>
      </c>
      <c r="J233" s="60">
        <f t="shared" si="23"/>
        <v>0</v>
      </c>
    </row>
    <row r="234" spans="1:10" s="25" customFormat="1" x14ac:dyDescent="0.25">
      <c r="A234" s="40" t="str">
        <f t="shared" si="21"/>
        <v>West North Central_2031</v>
      </c>
      <c r="B234" s="53">
        <f>B634*Constants!$B$20/1000000</f>
        <v>1.8083672293500002</v>
      </c>
      <c r="C234" s="53">
        <f>C634*Constants!$B$18/1000000</f>
        <v>2.2157315887965874</v>
      </c>
      <c r="D234" s="53">
        <f>D634*Constants!$B$22/1000000</f>
        <v>2.9934609509692001</v>
      </c>
      <c r="E234" s="53">
        <f>E634*Constants!$B$21/1000000</f>
        <v>3.8351589762200002</v>
      </c>
      <c r="F234" s="53">
        <f>F634*Constants!$B$15/1000000</f>
        <v>1.1909644112800002</v>
      </c>
      <c r="G234" s="53">
        <f>G634*Constants!$B$16/1000000</f>
        <v>1.87775756091104</v>
      </c>
      <c r="H234" s="53">
        <f>H634*Constants!$B$19/1000000</f>
        <v>4.3989978326008199</v>
      </c>
      <c r="I234" s="60">
        <f t="shared" si="22"/>
        <v>0</v>
      </c>
      <c r="J234" s="60">
        <f t="shared" si="23"/>
        <v>0</v>
      </c>
    </row>
    <row r="235" spans="1:10" s="25" customFormat="1" x14ac:dyDescent="0.25">
      <c r="A235" s="40" t="str">
        <f t="shared" si="21"/>
        <v>West North Central_2030</v>
      </c>
      <c r="B235" s="53">
        <f>B635*Constants!$B$20/1000000</f>
        <v>1.7744541193500001</v>
      </c>
      <c r="C235" s="53">
        <f>C635*Constants!$B$18/1000000</f>
        <v>2.171797588873857</v>
      </c>
      <c r="D235" s="53">
        <f>D635*Constants!$B$22/1000000</f>
        <v>2.9536123882787599</v>
      </c>
      <c r="E235" s="53">
        <f>E635*Constants!$B$21/1000000</f>
        <v>3.7817838222999995</v>
      </c>
      <c r="F235" s="53">
        <f>F635*Constants!$B$15/1000000</f>
        <v>1.15221799532</v>
      </c>
      <c r="G235" s="53">
        <f>G635*Constants!$B$16/1000000</f>
        <v>1.8992547706334599</v>
      </c>
      <c r="H235" s="53">
        <f>H635*Constants!$B$19/1000000</f>
        <v>4.4038195927525212</v>
      </c>
      <c r="I235" s="60">
        <f t="shared" si="22"/>
        <v>0</v>
      </c>
      <c r="J235" s="60">
        <f t="shared" si="23"/>
        <v>0</v>
      </c>
    </row>
    <row r="236" spans="1:10" s="25" customFormat="1" x14ac:dyDescent="0.25">
      <c r="A236" s="40" t="str">
        <f t="shared" si="21"/>
        <v>West North Central_2029</v>
      </c>
      <c r="B236" s="53">
        <f>B636*Constants!$B$20/1000000</f>
        <v>1.7610279099600001</v>
      </c>
      <c r="C236" s="53">
        <f>C636*Constants!$B$18/1000000</f>
        <v>2.2096250136737852</v>
      </c>
      <c r="D236" s="53">
        <f>D636*Constants!$B$22/1000000</f>
        <v>2.9104606759962004</v>
      </c>
      <c r="E236" s="53">
        <f>E636*Constants!$B$21/1000000</f>
        <v>3.7164817710899998</v>
      </c>
      <c r="F236" s="53">
        <f>F636*Constants!$B$15/1000000</f>
        <v>1.1097673932800001</v>
      </c>
      <c r="G236" s="53">
        <f>G636*Constants!$B$16/1000000</f>
        <v>1.9263765843485003</v>
      </c>
      <c r="H236" s="53">
        <f>H636*Constants!$B$19/1000000</f>
        <v>4.4358740905882801</v>
      </c>
      <c r="I236" s="60">
        <f t="shared" si="22"/>
        <v>0</v>
      </c>
      <c r="J236" s="60">
        <f t="shared" si="23"/>
        <v>0</v>
      </c>
    </row>
    <row r="237" spans="1:10" s="25" customFormat="1" x14ac:dyDescent="0.25">
      <c r="A237" s="40" t="str">
        <f t="shared" si="21"/>
        <v>West North Central_2028</v>
      </c>
      <c r="B237" s="53">
        <f>B637*Constants!$B$20/1000000</f>
        <v>1.7586260208</v>
      </c>
      <c r="C237" s="53">
        <f>C637*Constants!$B$18/1000000</f>
        <v>2.303751547177217</v>
      </c>
      <c r="D237" s="53">
        <f>D637*Constants!$B$22/1000000</f>
        <v>2.8857900290754004</v>
      </c>
      <c r="E237" s="53">
        <f>E637*Constants!$B$21/1000000</f>
        <v>3.6754909469300001</v>
      </c>
      <c r="F237" s="53">
        <f>F637*Constants!$B$15/1000000</f>
        <v>1.0840707220000001</v>
      </c>
      <c r="G237" s="53">
        <f>G637*Constants!$B$16/1000000</f>
        <v>1.9510295267921602</v>
      </c>
      <c r="H237" s="53">
        <f>H637*Constants!$B$19/1000000</f>
        <v>4.45994073782978</v>
      </c>
      <c r="I237" s="60">
        <f t="shared" si="22"/>
        <v>0</v>
      </c>
      <c r="J237" s="60">
        <f t="shared" si="23"/>
        <v>0</v>
      </c>
    </row>
    <row r="238" spans="1:10" s="25" customFormat="1" x14ac:dyDescent="0.25">
      <c r="A238" s="40" t="str">
        <f t="shared" si="21"/>
        <v>West North Central_2027</v>
      </c>
      <c r="B238" s="53">
        <f>B638*Constants!$B$20/1000000</f>
        <v>1.7535310102200001</v>
      </c>
      <c r="C238" s="53">
        <f>C638*Constants!$B$18/1000000</f>
        <v>2.5019625738849522</v>
      </c>
      <c r="D238" s="53">
        <f>D638*Constants!$B$22/1000000</f>
        <v>2.8920492241568003</v>
      </c>
      <c r="E238" s="53">
        <f>E638*Constants!$B$21/1000000</f>
        <v>3.6647323512800001</v>
      </c>
      <c r="F238" s="53">
        <f>F638*Constants!$B$15/1000000</f>
        <v>1.0776054150400001</v>
      </c>
      <c r="G238" s="53">
        <f>G638*Constants!$B$16/1000000</f>
        <v>1.97791600344372</v>
      </c>
      <c r="H238" s="53">
        <f>H638*Constants!$B$19/1000000</f>
        <v>4.4825211725004808</v>
      </c>
      <c r="I238" s="60">
        <f t="shared" si="22"/>
        <v>0</v>
      </c>
      <c r="J238" s="60">
        <f t="shared" si="23"/>
        <v>0</v>
      </c>
    </row>
    <row r="239" spans="1:10" s="25" customFormat="1" x14ac:dyDescent="0.25">
      <c r="A239" s="40" t="str">
        <f t="shared" si="21"/>
        <v>West North Central_2026</v>
      </c>
      <c r="B239" s="53">
        <f>B639*Constants!$B$20/1000000</f>
        <v>1.7373968709900001</v>
      </c>
      <c r="C239" s="53">
        <f>C639*Constants!$B$18/1000000</f>
        <v>2.497486271070533</v>
      </c>
      <c r="D239" s="53">
        <f>D639*Constants!$B$22/1000000</f>
        <v>2.8886882640270799</v>
      </c>
      <c r="E239" s="53">
        <f>E639*Constants!$B$21/1000000</f>
        <v>3.6272739915500001</v>
      </c>
      <c r="F239" s="53">
        <f>F639*Constants!$B$15/1000000</f>
        <v>1.0577631696800001</v>
      </c>
      <c r="G239" s="53">
        <f>G639*Constants!$B$16/1000000</f>
        <v>2.0142401707971005</v>
      </c>
      <c r="H239" s="53">
        <f>H639*Constants!$B$19/1000000</f>
        <v>4.5276231473567004</v>
      </c>
      <c r="I239" s="60">
        <f t="shared" si="22"/>
        <v>0</v>
      </c>
      <c r="J239" s="60">
        <f t="shared" si="23"/>
        <v>0</v>
      </c>
    </row>
    <row r="240" spans="1:10" s="25" customFormat="1" x14ac:dyDescent="0.25">
      <c r="A240" s="40" t="str">
        <f t="shared" si="21"/>
        <v>West North Central_2025</v>
      </c>
      <c r="B240" s="53">
        <f>B640*Constants!$B$20/1000000</f>
        <v>1.7337533597999999</v>
      </c>
      <c r="C240" s="53">
        <f>C640*Constants!$B$18/1000000</f>
        <v>2.4703238177833353</v>
      </c>
      <c r="D240" s="53">
        <f>D640*Constants!$B$22/1000000</f>
        <v>2.8536853083351001</v>
      </c>
      <c r="E240" s="53">
        <f>E640*Constants!$B$21/1000000</f>
        <v>3.5783999011200001</v>
      </c>
      <c r="F240" s="53">
        <f>F640*Constants!$B$15/1000000</f>
        <v>1.01963160152</v>
      </c>
      <c r="G240" s="53">
        <f>G640*Constants!$B$16/1000000</f>
        <v>2.0477152421557601</v>
      </c>
      <c r="H240" s="53">
        <f>H640*Constants!$B$19/1000000</f>
        <v>4.5483602689482998</v>
      </c>
      <c r="I240" s="60">
        <f t="shared" si="22"/>
        <v>0</v>
      </c>
      <c r="J240" s="60">
        <f t="shared" si="23"/>
        <v>0</v>
      </c>
    </row>
    <row r="241" spans="1:10" s="25" customFormat="1" x14ac:dyDescent="0.25">
      <c r="A241" s="40" t="str">
        <f t="shared" si="21"/>
        <v>West North Central_2024</v>
      </c>
      <c r="B241" s="53">
        <f>B641*Constants!$B$20/1000000</f>
        <v>1.7364862445699998</v>
      </c>
      <c r="C241" s="53">
        <f>C641*Constants!$B$18/1000000</f>
        <v>2.8536407513266417</v>
      </c>
      <c r="D241" s="53">
        <f>D641*Constants!$B$22/1000000</f>
        <v>2.8098816618024807</v>
      </c>
      <c r="E241" s="53">
        <f>E641*Constants!$B$21/1000000</f>
        <v>3.4956817629800003</v>
      </c>
      <c r="F241" s="53">
        <f>F641*Constants!$B$15/1000000</f>
        <v>0.97397662515999994</v>
      </c>
      <c r="G241" s="53">
        <f>G641*Constants!$B$16/1000000</f>
        <v>2.0829626882463401</v>
      </c>
      <c r="H241" s="53">
        <f>H641*Constants!$B$19/1000000</f>
        <v>4.5764704019790603</v>
      </c>
      <c r="I241" s="60">
        <f t="shared" si="22"/>
        <v>0</v>
      </c>
      <c r="J241" s="60">
        <f t="shared" si="23"/>
        <v>0</v>
      </c>
    </row>
    <row r="242" spans="1:10" s="25" customFormat="1" x14ac:dyDescent="0.25">
      <c r="A242" s="40" t="str">
        <f t="shared" si="21"/>
        <v>West North Central_2023</v>
      </c>
      <c r="B242" s="53">
        <f>B642*Constants!$B$20/1000000</f>
        <v>1.72856236872</v>
      </c>
      <c r="C242" s="53">
        <f>C642*Constants!$B$18/1000000</f>
        <v>2.8379442438902172</v>
      </c>
      <c r="D242" s="53">
        <f>D642*Constants!$B$22/1000000</f>
        <v>2.7884599670947998</v>
      </c>
      <c r="E242" s="53">
        <f>E642*Constants!$B$21/1000000</f>
        <v>3.45508438891</v>
      </c>
      <c r="F242" s="53">
        <f>F642*Constants!$B$15/1000000</f>
        <v>0.94289207012000009</v>
      </c>
      <c r="G242" s="53">
        <f>G642*Constants!$B$16/1000000</f>
        <v>2.1131146172019601</v>
      </c>
      <c r="H242" s="53">
        <f>H642*Constants!$B$19/1000000</f>
        <v>4.6303651187270001</v>
      </c>
      <c r="I242" s="60">
        <f t="shared" si="22"/>
        <v>0</v>
      </c>
      <c r="J242" s="60">
        <f t="shared" si="23"/>
        <v>0</v>
      </c>
    </row>
    <row r="243" spans="1:10" s="25" customFormat="1" x14ac:dyDescent="0.25">
      <c r="A243" s="40" t="str">
        <f t="shared" si="21"/>
        <v>West North Central_2022</v>
      </c>
      <c r="B243" s="53">
        <f>B643*Constants!$B$20/1000000</f>
        <v>1.7060901343200001</v>
      </c>
      <c r="C243" s="53">
        <f>C643*Constants!$B$18/1000000</f>
        <v>2.8068207980637836</v>
      </c>
      <c r="D243" s="53">
        <f>D643*Constants!$B$22/1000000</f>
        <v>2.752004401207</v>
      </c>
      <c r="E243" s="53">
        <f>E643*Constants!$B$21/1000000</f>
        <v>3.4086193320299998</v>
      </c>
      <c r="F243" s="53">
        <f>F643*Constants!$B$15/1000000</f>
        <v>0.9056778472</v>
      </c>
      <c r="G243" s="53">
        <f>G643*Constants!$B$16/1000000</f>
        <v>2.1481014341188605</v>
      </c>
      <c r="H243" s="53">
        <f>H643*Constants!$B$19/1000000</f>
        <v>4.5566875155737208</v>
      </c>
      <c r="I243" s="60">
        <f t="shared" si="22"/>
        <v>0</v>
      </c>
      <c r="J243" s="60">
        <f t="shared" si="23"/>
        <v>0</v>
      </c>
    </row>
    <row r="244" spans="1:10" s="25" customFormat="1" x14ac:dyDescent="0.25">
      <c r="A244" s="40" t="str">
        <f t="shared" si="21"/>
        <v>West North Central_2021</v>
      </c>
      <c r="B244" s="53">
        <f>B644*Constants!$B$20/1000000</f>
        <v>1.6717018751399999</v>
      </c>
      <c r="C244" s="53">
        <f>C644*Constants!$B$18/1000000</f>
        <v>2.7612390820718282</v>
      </c>
      <c r="D244" s="53">
        <f>D644*Constants!$B$22/1000000</f>
        <v>2.6498542652153803</v>
      </c>
      <c r="E244" s="53">
        <f>E644*Constants!$B$21/1000000</f>
        <v>3.3023763130599995</v>
      </c>
      <c r="F244" s="53">
        <f>F644*Constants!$B$15/1000000</f>
        <v>0.85905114259999993</v>
      </c>
      <c r="G244" s="53">
        <f>G644*Constants!$B$16/1000000</f>
        <v>2.1895836262509798</v>
      </c>
      <c r="H244" s="53">
        <f>H644*Constants!$B$19/1000000</f>
        <v>4.49218625131686</v>
      </c>
      <c r="I244" s="60">
        <f t="shared" si="22"/>
        <v>0</v>
      </c>
      <c r="J244" s="60">
        <f t="shared" si="23"/>
        <v>0</v>
      </c>
    </row>
    <row r="245" spans="1:10" s="25" customFormat="1" x14ac:dyDescent="0.25">
      <c r="A245" s="40" t="str">
        <f t="shared" si="21"/>
        <v>West North Central_2020</v>
      </c>
      <c r="B245" s="53">
        <f>B645*Constants!$B$20/1000000</f>
        <v>1.6699605146400001</v>
      </c>
      <c r="C245" s="53">
        <f>C645*Constants!$B$18/1000000</f>
        <v>2.7126356391373152</v>
      </c>
      <c r="D245" s="53">
        <f>D645*Constants!$B$22/1000000</f>
        <v>2.5452418820764802</v>
      </c>
      <c r="E245" s="53">
        <f>E645*Constants!$B$21/1000000</f>
        <v>3.2130817002900001</v>
      </c>
      <c r="F245" s="53">
        <f>F645*Constants!$B$15/1000000</f>
        <v>0.80066094724000003</v>
      </c>
      <c r="G245" s="53">
        <f>G645*Constants!$B$16/1000000</f>
        <v>2.2152541545950202</v>
      </c>
      <c r="H245" s="53">
        <f>H645*Constants!$B$19/1000000</f>
        <v>4.4383421187893211</v>
      </c>
      <c r="I245" s="60">
        <f t="shared" si="22"/>
        <v>0</v>
      </c>
      <c r="J245" s="60">
        <f t="shared" si="23"/>
        <v>0</v>
      </c>
    </row>
    <row r="246" spans="1:10" s="25" customFormat="1" x14ac:dyDescent="0.25">
      <c r="A246" s="40" t="str">
        <f t="shared" si="21"/>
        <v>West North Central_2019</v>
      </c>
      <c r="B246" s="53">
        <f>B646*Constants!$B$20/1000000</f>
        <v>1.67421674706</v>
      </c>
      <c r="C246" s="53">
        <f>C646*Constants!$B$18/1000000</f>
        <v>2.6569716991275634</v>
      </c>
      <c r="D246" s="53">
        <f>D646*Constants!$B$22/1000000</f>
        <v>2.4342867194539002</v>
      </c>
      <c r="E246" s="53">
        <f>E646*Constants!$B$21/1000000</f>
        <v>3.0995830517299998</v>
      </c>
      <c r="F246" s="53">
        <f>F646*Constants!$B$15/1000000</f>
        <v>0.72523262196000005</v>
      </c>
      <c r="G246" s="53">
        <f>G646*Constants!$B$16/1000000</f>
        <v>2.1974658521755002</v>
      </c>
      <c r="H246" s="53">
        <f>H646*Constants!$B$19/1000000</f>
        <v>4.4087746784565605</v>
      </c>
      <c r="I246" s="60">
        <f t="shared" si="22"/>
        <v>0</v>
      </c>
      <c r="J246" s="60">
        <f t="shared" si="23"/>
        <v>0</v>
      </c>
    </row>
    <row r="247" spans="1:10" s="25" customFormat="1" x14ac:dyDescent="0.25">
      <c r="A247" s="40" t="str">
        <f t="shared" si="21"/>
        <v>West North Central_2018</v>
      </c>
      <c r="B247" s="53">
        <f>B647*Constants!$B$20/1000000</f>
        <v>1.67131383969</v>
      </c>
      <c r="C247" s="53">
        <f>C647*Constants!$B$18/1000000</f>
        <v>2.5329690386141928</v>
      </c>
      <c r="D247" s="53">
        <f>D647*Constants!$B$22/1000000</f>
        <v>2.2377065630126607</v>
      </c>
      <c r="E247" s="53">
        <f>E647*Constants!$B$21/1000000</f>
        <v>2.9101103125600001</v>
      </c>
      <c r="F247" s="53">
        <f>F647*Constants!$B$15/1000000</f>
        <v>0.60526986603999999</v>
      </c>
      <c r="G247" s="53">
        <f>G647*Constants!$B$16/1000000</f>
        <v>2.1642697166607605</v>
      </c>
      <c r="H247" s="53">
        <f>H647*Constants!$B$19/1000000</f>
        <v>4.3524127765779204</v>
      </c>
      <c r="I247" s="60">
        <f t="shared" si="22"/>
        <v>0</v>
      </c>
      <c r="J247" s="60">
        <f t="shared" si="23"/>
        <v>0</v>
      </c>
    </row>
    <row r="248" spans="1:10" s="25" customFormat="1" x14ac:dyDescent="0.25">
      <c r="A248" s="40" t="str">
        <f t="shared" si="21"/>
        <v>West North Central_2017</v>
      </c>
      <c r="B248" s="53">
        <f>B648*Constants!$B$20/1000000</f>
        <v>1.5769595235899998</v>
      </c>
      <c r="C248" s="53">
        <f>C648*Constants!$B$18/1000000</f>
        <v>2.4214972925258889</v>
      </c>
      <c r="D248" s="53">
        <f>D648*Constants!$B$22/1000000</f>
        <v>2.2616946842739201</v>
      </c>
      <c r="E248" s="53">
        <f>E648*Constants!$B$21/1000000</f>
        <v>2.62387557982</v>
      </c>
      <c r="F248" s="53">
        <f>F648*Constants!$B$15/1000000</f>
        <v>0.54060131328000005</v>
      </c>
      <c r="G248" s="53">
        <f>G648*Constants!$B$16/1000000</f>
        <v>2.13038539487134</v>
      </c>
      <c r="H248" s="53">
        <f>H648*Constants!$B$19/1000000</f>
        <v>4.4070567419808802</v>
      </c>
      <c r="I248" s="60">
        <f t="shared" si="22"/>
        <v>0</v>
      </c>
      <c r="J248" s="60">
        <f t="shared" si="23"/>
        <v>0</v>
      </c>
    </row>
    <row r="249" spans="1:10" s="25" customFormat="1" x14ac:dyDescent="0.25">
      <c r="A249" s="40" t="str">
        <f t="shared" si="21"/>
        <v>West North Central_2016</v>
      </c>
      <c r="B249" s="53">
        <f>B649*Constants!$B$20/1000000</f>
        <v>1.56500117598</v>
      </c>
      <c r="C249" s="53">
        <f>C649*Constants!$B$18/1000000</f>
        <v>2.2190085880949719</v>
      </c>
      <c r="D249" s="53">
        <f>D649*Constants!$B$22/1000000</f>
        <v>2.1697924295808604</v>
      </c>
      <c r="E249" s="53">
        <f>E649*Constants!$B$21/1000000</f>
        <v>2.30684524125</v>
      </c>
      <c r="F249" s="53">
        <f>F649*Constants!$B$15/1000000</f>
        <v>0.41676316080000003</v>
      </c>
      <c r="G249" s="53">
        <f>G649*Constants!$B$16/1000000</f>
        <v>2.06884728198234</v>
      </c>
      <c r="H249" s="53">
        <f>H649*Constants!$B$19/1000000</f>
        <v>4.1465156089321002</v>
      </c>
      <c r="I249" s="60">
        <f t="shared" si="22"/>
        <v>0</v>
      </c>
      <c r="J249" s="60">
        <f t="shared" si="23"/>
        <v>0</v>
      </c>
    </row>
    <row r="250" spans="1:10" s="25" customFormat="1" x14ac:dyDescent="0.25">
      <c r="A250" s="40" t="str">
        <f t="shared" si="21"/>
        <v>West North Central_2015</v>
      </c>
      <c r="B250" s="53">
        <f>B650*Constants!$B$20/1000000</f>
        <v>1.64794990074</v>
      </c>
      <c r="C250" s="53">
        <f>C650*Constants!$B$18/1000000</f>
        <v>2.4867620447207162</v>
      </c>
      <c r="D250" s="53">
        <f>D650*Constants!$B$22/1000000</f>
        <v>2.5037788396849403</v>
      </c>
      <c r="E250" s="53">
        <f>E650*Constants!$B$21/1000000</f>
        <v>2.7527496651599996</v>
      </c>
      <c r="F250" s="53">
        <f>F650*Constants!$B$15/1000000</f>
        <v>0.56441633276000003</v>
      </c>
      <c r="G250" s="53">
        <f>G650*Constants!$B$16/1000000</f>
        <v>2.0767360115923399</v>
      </c>
      <c r="H250" s="53">
        <f>H650*Constants!$B$19/1000000</f>
        <v>3.3932415339158406</v>
      </c>
      <c r="I250" s="60">
        <f t="shared" si="22"/>
        <v>0</v>
      </c>
      <c r="J250" s="60">
        <f t="shared" si="23"/>
        <v>0</v>
      </c>
    </row>
    <row r="251" spans="1:10" customFormat="1" x14ac:dyDescent="0.25">
      <c r="A251" s="41" t="str">
        <f t="shared" ref="A251:A286" si="24">CONCATENATE("East North Central_",A654)</f>
        <v>East North Central_2050</v>
      </c>
      <c r="B251" s="54">
        <f>B654*Constants!$B$20/1000000</f>
        <v>2.1606749894400004</v>
      </c>
      <c r="C251" s="54">
        <f>C654*Constants!$B$18/1000000</f>
        <v>2.7116140102162491</v>
      </c>
      <c r="D251" s="54">
        <f>D654*Constants!$B$22/1000000</f>
        <v>3.3920821917597204</v>
      </c>
      <c r="E251" s="54">
        <f>E654*Constants!$B$21/1000000</f>
        <v>4.2606645155800003</v>
      </c>
      <c r="F251" s="54">
        <f>F654*Constants!$B$15/1000000</f>
        <v>1.9287513167999999</v>
      </c>
      <c r="G251" s="54">
        <f>G654*Constants!$B$16/1000000</f>
        <v>1.7709203151448802</v>
      </c>
      <c r="H251" s="54">
        <f>H654*Constants!$B$19/1000000</f>
        <v>4.4518472625657806</v>
      </c>
      <c r="I251" s="61">
        <f t="shared" ref="I251:I286" si="25">$B$13*J654</f>
        <v>0</v>
      </c>
      <c r="J251" s="61">
        <f t="shared" ref="J251:J286" si="26">$B$11*K654</f>
        <v>0</v>
      </c>
    </row>
    <row r="252" spans="1:10" customFormat="1" x14ac:dyDescent="0.25">
      <c r="A252" s="41" t="str">
        <f t="shared" si="24"/>
        <v>East North Central_2049</v>
      </c>
      <c r="B252" s="54">
        <f>B655*Constants!$B$20/1000000</f>
        <v>2.1419255186999999</v>
      </c>
      <c r="C252" s="54">
        <f>C655*Constants!$B$18/1000000</f>
        <v>2.7950262980783869</v>
      </c>
      <c r="D252" s="54">
        <f>D655*Constants!$B$22/1000000</f>
        <v>3.3507174272821008</v>
      </c>
      <c r="E252" s="54">
        <f>E655*Constants!$B$21/1000000</f>
        <v>4.2235986365100002</v>
      </c>
      <c r="F252" s="54">
        <f>F655*Constants!$B$15/1000000</f>
        <v>1.90278592952</v>
      </c>
      <c r="G252" s="54">
        <f>G655*Constants!$B$16/1000000</f>
        <v>1.7572246374715801</v>
      </c>
      <c r="H252" s="54">
        <f>H655*Constants!$B$19/1000000</f>
        <v>4.4569897507625411</v>
      </c>
      <c r="I252" s="61">
        <f t="shared" si="25"/>
        <v>0</v>
      </c>
      <c r="J252" s="61">
        <f t="shared" si="26"/>
        <v>0</v>
      </c>
    </row>
    <row r="253" spans="1:10" customFormat="1" x14ac:dyDescent="0.25">
      <c r="A253" s="41" t="str">
        <f t="shared" si="24"/>
        <v>East North Central_2048</v>
      </c>
      <c r="B253" s="54">
        <f>B656*Constants!$B$20/1000000</f>
        <v>2.1315641952000002</v>
      </c>
      <c r="C253" s="54">
        <f>C656*Constants!$B$18/1000000</f>
        <v>2.7748717408350232</v>
      </c>
      <c r="D253" s="54">
        <f>D656*Constants!$B$22/1000000</f>
        <v>3.3374224488975406</v>
      </c>
      <c r="E253" s="54">
        <f>E656*Constants!$B$21/1000000</f>
        <v>4.1932596322100002</v>
      </c>
      <c r="F253" s="54">
        <f>F656*Constants!$B$15/1000000</f>
        <v>1.8849522722799998</v>
      </c>
      <c r="G253" s="54">
        <f>G656*Constants!$B$16/1000000</f>
        <v>1.7547579340953601</v>
      </c>
      <c r="H253" s="54">
        <f>H656*Constants!$B$19/1000000</f>
        <v>4.4538394377791999</v>
      </c>
      <c r="I253" s="61">
        <f t="shared" si="25"/>
        <v>0</v>
      </c>
      <c r="J253" s="61">
        <f t="shared" si="26"/>
        <v>0</v>
      </c>
    </row>
    <row r="254" spans="1:10" customFormat="1" x14ac:dyDescent="0.25">
      <c r="A254" s="41" t="str">
        <f t="shared" si="24"/>
        <v>East North Central_2047</v>
      </c>
      <c r="B254" s="54">
        <f>B657*Constants!$B$20/1000000</f>
        <v>2.1121823500799999</v>
      </c>
      <c r="C254" s="54">
        <f>C657*Constants!$B$18/1000000</f>
        <v>2.7764737794274041</v>
      </c>
      <c r="D254" s="54">
        <f>D657*Constants!$B$22/1000000</f>
        <v>3.3502920380762604</v>
      </c>
      <c r="E254" s="54">
        <f>E657*Constants!$B$21/1000000</f>
        <v>4.1954666088499994</v>
      </c>
      <c r="F254" s="54">
        <f>F657*Constants!$B$15/1000000</f>
        <v>1.8788103202399999</v>
      </c>
      <c r="G254" s="54">
        <f>G657*Constants!$B$16/1000000</f>
        <v>1.7400845357049002</v>
      </c>
      <c r="H254" s="54">
        <f>H657*Constants!$B$19/1000000</f>
        <v>4.4485457991143411</v>
      </c>
      <c r="I254" s="61">
        <f t="shared" si="25"/>
        <v>0</v>
      </c>
      <c r="J254" s="61">
        <f t="shared" si="26"/>
        <v>0</v>
      </c>
    </row>
    <row r="255" spans="1:10" s="25" customFormat="1" x14ac:dyDescent="0.25">
      <c r="A255" s="41" t="str">
        <f t="shared" si="24"/>
        <v>East North Central_2046</v>
      </c>
      <c r="B255" s="54">
        <f>B658*Constants!$B$20/1000000</f>
        <v>2.0955714162899999</v>
      </c>
      <c r="C255" s="54">
        <f>C658*Constants!$B$18/1000000</f>
        <v>2.955478146452581</v>
      </c>
      <c r="D255" s="54">
        <f>D658*Constants!$B$22/1000000</f>
        <v>3.3305395022031599</v>
      </c>
      <c r="E255" s="54">
        <f>E658*Constants!$B$21/1000000</f>
        <v>4.14429732365</v>
      </c>
      <c r="F255" s="54">
        <f>F658*Constants!$B$15/1000000</f>
        <v>1.84968265748</v>
      </c>
      <c r="G255" s="54">
        <f>G658*Constants!$B$16/1000000</f>
        <v>1.7326771992590402</v>
      </c>
      <c r="H255" s="54">
        <f>H658*Constants!$B$19/1000000</f>
        <v>4.4470599478594011</v>
      </c>
      <c r="I255" s="61">
        <f t="shared" si="25"/>
        <v>0</v>
      </c>
      <c r="J255" s="61">
        <f t="shared" si="26"/>
        <v>0</v>
      </c>
    </row>
    <row r="256" spans="1:10" s="25" customFormat="1" x14ac:dyDescent="0.25">
      <c r="A256" s="41" t="str">
        <f t="shared" si="24"/>
        <v>East North Central_2045</v>
      </c>
      <c r="B256" s="54">
        <f>B659*Constants!$B$20/1000000</f>
        <v>2.0799387523200004</v>
      </c>
      <c r="C256" s="54">
        <f>C659*Constants!$B$18/1000000</f>
        <v>2.9321120489721362</v>
      </c>
      <c r="D256" s="54">
        <f>D659*Constants!$B$22/1000000</f>
        <v>3.3163876030372998</v>
      </c>
      <c r="E256" s="54">
        <f>E659*Constants!$B$21/1000000</f>
        <v>4.1228486849000001</v>
      </c>
      <c r="F256" s="54">
        <f>F659*Constants!$B$15/1000000</f>
        <v>1.83229647636</v>
      </c>
      <c r="G256" s="54">
        <f>G659*Constants!$B$16/1000000</f>
        <v>1.7280833089763801</v>
      </c>
      <c r="H256" s="54">
        <f>H659*Constants!$B$19/1000000</f>
        <v>4.4420029710828404</v>
      </c>
      <c r="I256" s="61">
        <f t="shared" si="25"/>
        <v>0</v>
      </c>
      <c r="J256" s="61">
        <f t="shared" si="26"/>
        <v>0</v>
      </c>
    </row>
    <row r="257" spans="1:10" s="25" customFormat="1" x14ac:dyDescent="0.25">
      <c r="A257" s="41" t="str">
        <f t="shared" si="24"/>
        <v>East North Central_2044</v>
      </c>
      <c r="B257" s="54">
        <f>B660*Constants!$B$20/1000000</f>
        <v>2.0727404890499996</v>
      </c>
      <c r="C257" s="54">
        <f>C660*Constants!$B$18/1000000</f>
        <v>2.9130925050953111</v>
      </c>
      <c r="D257" s="54">
        <f>D660*Constants!$B$22/1000000</f>
        <v>3.3029920584050405</v>
      </c>
      <c r="E257" s="54">
        <f>E660*Constants!$B$21/1000000</f>
        <v>4.1056786946999999</v>
      </c>
      <c r="F257" s="54">
        <f>F660*Constants!$B$15/1000000</f>
        <v>1.8203395100799999</v>
      </c>
      <c r="G257" s="54">
        <f>G660*Constants!$B$16/1000000</f>
        <v>1.7209918830307802</v>
      </c>
      <c r="H257" s="54">
        <f>H660*Constants!$B$19/1000000</f>
        <v>4.4358221815430605</v>
      </c>
      <c r="I257" s="61">
        <f t="shared" si="25"/>
        <v>0</v>
      </c>
      <c r="J257" s="61">
        <f t="shared" si="26"/>
        <v>0</v>
      </c>
    </row>
    <row r="258" spans="1:10" s="25" customFormat="1" x14ac:dyDescent="0.25">
      <c r="A258" s="41" t="str">
        <f t="shared" si="24"/>
        <v>East North Central_2043</v>
      </c>
      <c r="B258" s="54">
        <f>B661*Constants!$B$20/1000000</f>
        <v>2.0584369264799998</v>
      </c>
      <c r="C258" s="54">
        <f>C661*Constants!$B$18/1000000</f>
        <v>2.7179731602060881</v>
      </c>
      <c r="D258" s="54">
        <f>D661*Constants!$B$22/1000000</f>
        <v>3.2912950596306403</v>
      </c>
      <c r="E258" s="54">
        <f>E661*Constants!$B$21/1000000</f>
        <v>4.10172051201</v>
      </c>
      <c r="F258" s="54">
        <f>F661*Constants!$B$15/1000000</f>
        <v>1.81076592676</v>
      </c>
      <c r="G258" s="54">
        <f>G661*Constants!$B$16/1000000</f>
        <v>1.7161109875166602</v>
      </c>
      <c r="H258" s="54">
        <f>H661*Constants!$B$19/1000000</f>
        <v>4.4358207362796209</v>
      </c>
      <c r="I258" s="61">
        <f t="shared" si="25"/>
        <v>0</v>
      </c>
      <c r="J258" s="61">
        <f t="shared" si="26"/>
        <v>0</v>
      </c>
    </row>
    <row r="259" spans="1:10" s="25" customFormat="1" x14ac:dyDescent="0.25">
      <c r="A259" s="41" t="str">
        <f t="shared" si="24"/>
        <v>East North Central_2042</v>
      </c>
      <c r="B259" s="54">
        <f>B662*Constants!$B$20/1000000</f>
        <v>2.0419370558400001</v>
      </c>
      <c r="C259" s="54">
        <f>C662*Constants!$B$18/1000000</f>
        <v>2.6706606454901762</v>
      </c>
      <c r="D259" s="54">
        <f>D662*Constants!$B$22/1000000</f>
        <v>3.2806659900997803</v>
      </c>
      <c r="E259" s="54">
        <f>E662*Constants!$B$21/1000000</f>
        <v>4.1037342950999998</v>
      </c>
      <c r="F259" s="54">
        <f>F662*Constants!$B$15/1000000</f>
        <v>1.80287604112</v>
      </c>
      <c r="G259" s="54">
        <f>G662*Constants!$B$16/1000000</f>
        <v>1.708849381801</v>
      </c>
      <c r="H259" s="54">
        <f>H662*Constants!$B$19/1000000</f>
        <v>4.4409168556076803</v>
      </c>
      <c r="I259" s="61">
        <f t="shared" si="25"/>
        <v>0</v>
      </c>
      <c r="J259" s="61">
        <f t="shared" si="26"/>
        <v>0</v>
      </c>
    </row>
    <row r="260" spans="1:10" s="25" customFormat="1" x14ac:dyDescent="0.25">
      <c r="A260" s="41" t="str">
        <f t="shared" si="24"/>
        <v>East North Central_2041</v>
      </c>
      <c r="B260" s="54">
        <f>B663*Constants!$B$20/1000000</f>
        <v>2.03030092848</v>
      </c>
      <c r="C260" s="54">
        <f>C663*Constants!$B$18/1000000</f>
        <v>2.6219642291087011</v>
      </c>
      <c r="D260" s="54">
        <f>D663*Constants!$B$22/1000000</f>
        <v>3.2754800235612</v>
      </c>
      <c r="E260" s="54">
        <f>E663*Constants!$B$21/1000000</f>
        <v>4.1143333502699999</v>
      </c>
      <c r="F260" s="54">
        <f>F663*Constants!$B$15/1000000</f>
        <v>1.8010481325200001</v>
      </c>
      <c r="G260" s="54">
        <f>G663*Constants!$B$16/1000000</f>
        <v>1.7042719916092803</v>
      </c>
      <c r="H260" s="54">
        <f>H663*Constants!$B$19/1000000</f>
        <v>4.4478047402854806</v>
      </c>
      <c r="I260" s="61">
        <f t="shared" si="25"/>
        <v>0</v>
      </c>
      <c r="J260" s="61">
        <f t="shared" si="26"/>
        <v>0</v>
      </c>
    </row>
    <row r="261" spans="1:10" s="25" customFormat="1" x14ac:dyDescent="0.25">
      <c r="A261" s="41" t="str">
        <f t="shared" si="24"/>
        <v>East North Central_2040</v>
      </c>
      <c r="B261" s="54">
        <f>B664*Constants!$B$20/1000000</f>
        <v>2.0087513866200002</v>
      </c>
      <c r="C261" s="54">
        <f>C664*Constants!$B$18/1000000</f>
        <v>2.5051502863043882</v>
      </c>
      <c r="D261" s="54">
        <f>D664*Constants!$B$22/1000000</f>
        <v>3.2577653091385006</v>
      </c>
      <c r="E261" s="54">
        <f>E664*Constants!$B$21/1000000</f>
        <v>4.1054975497799999</v>
      </c>
      <c r="F261" s="54">
        <f>F664*Constants!$B$15/1000000</f>
        <v>1.7896778628400001</v>
      </c>
      <c r="G261" s="54">
        <f>G664*Constants!$B$16/1000000</f>
        <v>1.7079020116160801</v>
      </c>
      <c r="H261" s="54">
        <f>H664*Constants!$B$19/1000000</f>
        <v>4.4690872079484407</v>
      </c>
      <c r="I261" s="61">
        <f t="shared" si="25"/>
        <v>0</v>
      </c>
      <c r="J261" s="61">
        <f t="shared" si="26"/>
        <v>0</v>
      </c>
    </row>
    <row r="262" spans="1:10" s="25" customFormat="1" x14ac:dyDescent="0.25">
      <c r="A262" s="41" t="str">
        <f t="shared" si="24"/>
        <v>East North Central_2039</v>
      </c>
      <c r="B262" s="54">
        <f>B665*Constants!$B$20/1000000</f>
        <v>1.9951974774600001</v>
      </c>
      <c r="C262" s="54">
        <f>C665*Constants!$B$18/1000000</f>
        <v>2.4634215733837759</v>
      </c>
      <c r="D262" s="54">
        <f>D665*Constants!$B$22/1000000</f>
        <v>3.2331889656571602</v>
      </c>
      <c r="E262" s="54">
        <f>E665*Constants!$B$21/1000000</f>
        <v>4.0866936545600003</v>
      </c>
      <c r="F262" s="54">
        <f>F665*Constants!$B$15/1000000</f>
        <v>1.7689290208799999</v>
      </c>
      <c r="G262" s="54">
        <f>G665*Constants!$B$16/1000000</f>
        <v>1.7205533660153602</v>
      </c>
      <c r="H262" s="54">
        <f>H665*Constants!$B$19/1000000</f>
        <v>4.4835751308641001</v>
      </c>
      <c r="I262" s="61">
        <f t="shared" si="25"/>
        <v>0</v>
      </c>
      <c r="J262" s="61">
        <f t="shared" si="26"/>
        <v>0</v>
      </c>
    </row>
    <row r="263" spans="1:10" s="25" customFormat="1" x14ac:dyDescent="0.25">
      <c r="A263" s="41" t="str">
        <f t="shared" si="24"/>
        <v>East North Central_2038</v>
      </c>
      <c r="B263" s="54">
        <f>B666*Constants!$B$20/1000000</f>
        <v>1.9599185192400002</v>
      </c>
      <c r="C263" s="54">
        <f>C666*Constants!$B$18/1000000</f>
        <v>2.3403832651128313</v>
      </c>
      <c r="D263" s="54">
        <f>D666*Constants!$B$22/1000000</f>
        <v>3.1899560777447205</v>
      </c>
      <c r="E263" s="54">
        <f>E666*Constants!$B$21/1000000</f>
        <v>4.0407325627900006</v>
      </c>
      <c r="F263" s="54">
        <f>F666*Constants!$B$15/1000000</f>
        <v>1.7392685326799999</v>
      </c>
      <c r="G263" s="54">
        <f>G666*Constants!$B$16/1000000</f>
        <v>1.7223717483001202</v>
      </c>
      <c r="H263" s="54">
        <f>H666*Constants!$B$19/1000000</f>
        <v>4.4862613938445799</v>
      </c>
      <c r="I263" s="61">
        <f t="shared" si="25"/>
        <v>0</v>
      </c>
      <c r="J263" s="61">
        <f t="shared" si="26"/>
        <v>0</v>
      </c>
    </row>
    <row r="264" spans="1:10" s="25" customFormat="1" x14ac:dyDescent="0.25">
      <c r="A264" s="41" t="str">
        <f t="shared" si="24"/>
        <v>East North Central_2037</v>
      </c>
      <c r="B264" s="54">
        <f>B667*Constants!$B$20/1000000</f>
        <v>1.9348796748599999</v>
      </c>
      <c r="C264" s="54">
        <f>C667*Constants!$B$18/1000000</f>
        <v>2.3177731838239302</v>
      </c>
      <c r="D264" s="54">
        <f>D667*Constants!$B$22/1000000</f>
        <v>3.1755953380117803</v>
      </c>
      <c r="E264" s="54">
        <f>E667*Constants!$B$21/1000000</f>
        <v>4.0298566661099997</v>
      </c>
      <c r="F264" s="54">
        <f>F667*Constants!$B$15/1000000</f>
        <v>1.7245266449599999</v>
      </c>
      <c r="G264" s="54">
        <f>G667*Constants!$B$16/1000000</f>
        <v>1.7282238608459202</v>
      </c>
      <c r="H264" s="54">
        <f>H667*Constants!$B$19/1000000</f>
        <v>4.4935099921892805</v>
      </c>
      <c r="I264" s="61">
        <f t="shared" si="25"/>
        <v>0</v>
      </c>
      <c r="J264" s="61">
        <f t="shared" si="26"/>
        <v>0</v>
      </c>
    </row>
    <row r="265" spans="1:10" s="25" customFormat="1" x14ac:dyDescent="0.25">
      <c r="A265" s="41" t="str">
        <f t="shared" si="24"/>
        <v>East North Central_2036</v>
      </c>
      <c r="B265" s="54">
        <f>B668*Constants!$B$20/1000000</f>
        <v>1.9220524751999999</v>
      </c>
      <c r="C265" s="54">
        <f>C668*Constants!$B$18/1000000</f>
        <v>2.300425813248026</v>
      </c>
      <c r="D265" s="54">
        <f>D668*Constants!$B$22/1000000</f>
        <v>3.1683325279099206</v>
      </c>
      <c r="E265" s="54">
        <f>E668*Constants!$B$21/1000000</f>
        <v>4.0243008627799997</v>
      </c>
      <c r="F265" s="54">
        <f>F668*Constants!$B$15/1000000</f>
        <v>1.7152124365600001</v>
      </c>
      <c r="G265" s="54">
        <f>G668*Constants!$B$16/1000000</f>
        <v>1.7320432103633601</v>
      </c>
      <c r="H265" s="54">
        <f>H668*Constants!$B$19/1000000</f>
        <v>4.5073551341900009</v>
      </c>
      <c r="I265" s="61">
        <f t="shared" si="25"/>
        <v>0</v>
      </c>
      <c r="J265" s="61">
        <f t="shared" si="26"/>
        <v>0</v>
      </c>
    </row>
    <row r="266" spans="1:10" s="25" customFormat="1" x14ac:dyDescent="0.25">
      <c r="A266" s="41" t="str">
        <f t="shared" si="24"/>
        <v>East North Central_2035</v>
      </c>
      <c r="B266" s="54">
        <f>B669*Constants!$B$20/1000000</f>
        <v>1.8947298433799999</v>
      </c>
      <c r="C266" s="54">
        <f>C669*Constants!$B$18/1000000</f>
        <v>2.236948686874332</v>
      </c>
      <c r="D266" s="54">
        <f>D669*Constants!$B$22/1000000</f>
        <v>3.1064695920627803</v>
      </c>
      <c r="E266" s="54">
        <f>E669*Constants!$B$21/1000000</f>
        <v>3.9553102689099995</v>
      </c>
      <c r="F266" s="54">
        <f>F669*Constants!$B$15/1000000</f>
        <v>1.66578174448</v>
      </c>
      <c r="G266" s="54">
        <f>G669*Constants!$B$16/1000000</f>
        <v>1.7387764518530802</v>
      </c>
      <c r="H266" s="54">
        <f>H669*Constants!$B$19/1000000</f>
        <v>4.4876695621896205</v>
      </c>
      <c r="I266" s="61">
        <f t="shared" si="25"/>
        <v>0</v>
      </c>
      <c r="J266" s="61">
        <f t="shared" si="26"/>
        <v>0</v>
      </c>
    </row>
    <row r="267" spans="1:10" s="25" customFormat="1" x14ac:dyDescent="0.25">
      <c r="A267" s="41" t="str">
        <f t="shared" si="24"/>
        <v>East North Central_2034</v>
      </c>
      <c r="B267" s="54">
        <f>B670*Constants!$B$20/1000000</f>
        <v>1.8856567610100001</v>
      </c>
      <c r="C267" s="54">
        <f>C670*Constants!$B$18/1000000</f>
        <v>2.2107424034468961</v>
      </c>
      <c r="D267" s="54">
        <f>D670*Constants!$B$22/1000000</f>
        <v>3.0887148920182401</v>
      </c>
      <c r="E267" s="54">
        <f>E670*Constants!$B$21/1000000</f>
        <v>3.9315899786900004</v>
      </c>
      <c r="F267" s="54">
        <f>F670*Constants!$B$15/1000000</f>
        <v>1.64999903012</v>
      </c>
      <c r="G267" s="54">
        <f>G670*Constants!$B$16/1000000</f>
        <v>1.7257525808021401</v>
      </c>
      <c r="H267" s="54">
        <f>H670*Constants!$B$19/1000000</f>
        <v>4.4919464580244401</v>
      </c>
      <c r="I267" s="61">
        <f t="shared" si="25"/>
        <v>0</v>
      </c>
      <c r="J267" s="61">
        <f t="shared" si="26"/>
        <v>0</v>
      </c>
    </row>
    <row r="268" spans="1:10" s="25" customFormat="1" x14ac:dyDescent="0.25">
      <c r="A268" s="41" t="str">
        <f t="shared" si="24"/>
        <v>East North Central_2033</v>
      </c>
      <c r="B268" s="54">
        <f>B671*Constants!$B$20/1000000</f>
        <v>1.8663427421100001</v>
      </c>
      <c r="C268" s="54">
        <f>C671*Constants!$B$18/1000000</f>
        <v>2.2593423396459822</v>
      </c>
      <c r="D268" s="54">
        <f>D671*Constants!$B$22/1000000</f>
        <v>3.0568659829068201</v>
      </c>
      <c r="E268" s="54">
        <f>E671*Constants!$B$21/1000000</f>
        <v>3.8893531600000002</v>
      </c>
      <c r="F268" s="54">
        <f>F671*Constants!$B$15/1000000</f>
        <v>1.61892727108</v>
      </c>
      <c r="G268" s="54">
        <f>G671*Constants!$B$16/1000000</f>
        <v>1.7309472189213602</v>
      </c>
      <c r="H268" s="54">
        <f>H671*Constants!$B$19/1000000</f>
        <v>4.5132739697312809</v>
      </c>
      <c r="I268" s="61">
        <f t="shared" si="25"/>
        <v>0</v>
      </c>
      <c r="J268" s="61">
        <f t="shared" si="26"/>
        <v>0</v>
      </c>
    </row>
    <row r="269" spans="1:10" s="25" customFormat="1" x14ac:dyDescent="0.25">
      <c r="A269" s="41" t="str">
        <f t="shared" si="24"/>
        <v>East North Central_2032</v>
      </c>
      <c r="B269" s="54">
        <f>B672*Constants!$B$20/1000000</f>
        <v>1.8609490036499998</v>
      </c>
      <c r="C269" s="54">
        <f>C672*Constants!$B$18/1000000</f>
        <v>2.2510406380621713</v>
      </c>
      <c r="D269" s="54">
        <f>D672*Constants!$B$22/1000000</f>
        <v>3.06138255159544</v>
      </c>
      <c r="E269" s="54">
        <f>E672*Constants!$B$21/1000000</f>
        <v>3.8870463320700002</v>
      </c>
      <c r="F269" s="54">
        <f>F672*Constants!$B$15/1000000</f>
        <v>1.6204915820799999</v>
      </c>
      <c r="G269" s="54">
        <f>G672*Constants!$B$16/1000000</f>
        <v>1.7528971574163603</v>
      </c>
      <c r="H269" s="54">
        <f>H672*Constants!$B$19/1000000</f>
        <v>4.5306830109364205</v>
      </c>
      <c r="I269" s="61">
        <f t="shared" si="25"/>
        <v>0</v>
      </c>
      <c r="J269" s="61">
        <f t="shared" si="26"/>
        <v>0</v>
      </c>
    </row>
    <row r="270" spans="1:10" s="25" customFormat="1" x14ac:dyDescent="0.25">
      <c r="A270" s="41" t="str">
        <f t="shared" si="24"/>
        <v>East North Central_2031</v>
      </c>
      <c r="B270" s="54">
        <f>B673*Constants!$B$20/1000000</f>
        <v>1.8349791484200002</v>
      </c>
      <c r="C270" s="54">
        <f>C673*Constants!$B$18/1000000</f>
        <v>2.2017765801229867</v>
      </c>
      <c r="D270" s="54">
        <f>D673*Constants!$B$22/1000000</f>
        <v>3.0166673051480406</v>
      </c>
      <c r="E270" s="54">
        <f>E673*Constants!$B$21/1000000</f>
        <v>3.8255425075999998</v>
      </c>
      <c r="F270" s="54">
        <f>F673*Constants!$B$15/1000000</f>
        <v>1.5767680339599999</v>
      </c>
      <c r="G270" s="54">
        <f>G673*Constants!$B$16/1000000</f>
        <v>1.7695108219750202</v>
      </c>
      <c r="H270" s="54">
        <f>H673*Constants!$B$19/1000000</f>
        <v>4.5532835588566609</v>
      </c>
      <c r="I270" s="61">
        <f t="shared" si="25"/>
        <v>0</v>
      </c>
      <c r="J270" s="61">
        <f t="shared" si="26"/>
        <v>0</v>
      </c>
    </row>
    <row r="271" spans="1:10" s="25" customFormat="1" x14ac:dyDescent="0.25">
      <c r="A271" s="41" t="str">
        <f t="shared" si="24"/>
        <v>East North Central_2030</v>
      </c>
      <c r="B271" s="54">
        <f>B674*Constants!$B$20/1000000</f>
        <v>1.8005668484099999</v>
      </c>
      <c r="C271" s="54">
        <f>C674*Constants!$B$18/1000000</f>
        <v>2.2826177115867901</v>
      </c>
      <c r="D271" s="54">
        <f>D674*Constants!$B$22/1000000</f>
        <v>2.9767886328026001</v>
      </c>
      <c r="E271" s="54">
        <f>E674*Constants!$B$21/1000000</f>
        <v>3.7721674921699999</v>
      </c>
      <c r="F271" s="54">
        <f>F674*Constants!$B$15/1000000</f>
        <v>1.53802149004</v>
      </c>
      <c r="G271" s="54">
        <f>G674*Constants!$B$16/1000000</f>
        <v>1.7875705930440202</v>
      </c>
      <c r="H271" s="54">
        <f>H674*Constants!$B$19/1000000</f>
        <v>4.5444697402064396</v>
      </c>
      <c r="I271" s="61">
        <f t="shared" si="25"/>
        <v>0</v>
      </c>
      <c r="J271" s="61">
        <f t="shared" si="26"/>
        <v>0</v>
      </c>
    </row>
    <row r="272" spans="1:10" s="25" customFormat="1" x14ac:dyDescent="0.25">
      <c r="A272" s="41" t="str">
        <f t="shared" si="24"/>
        <v>East North Central_2029</v>
      </c>
      <c r="B272" s="54">
        <f>B675*Constants!$B$20/1000000</f>
        <v>1.7869430106000002</v>
      </c>
      <c r="C272" s="54">
        <f>C675*Constants!$B$18/1000000</f>
        <v>2.2336118033248091</v>
      </c>
      <c r="D272" s="54">
        <f>D675*Constants!$B$22/1000000</f>
        <v>2.9336596834192203</v>
      </c>
      <c r="E272" s="54">
        <f>E675*Constants!$B$21/1000000</f>
        <v>3.7068654409600001</v>
      </c>
      <c r="F272" s="54">
        <f>F675*Constants!$B$15/1000000</f>
        <v>1.49557101596</v>
      </c>
      <c r="G272" s="54">
        <f>G675*Constants!$B$16/1000000</f>
        <v>1.8071331972133802</v>
      </c>
      <c r="H272" s="54">
        <f>H675*Constants!$B$19/1000000</f>
        <v>4.5284703126097794</v>
      </c>
      <c r="I272" s="61">
        <f t="shared" si="25"/>
        <v>0</v>
      </c>
      <c r="J272" s="61">
        <f t="shared" si="26"/>
        <v>0</v>
      </c>
    </row>
    <row r="273" spans="1:10" s="25" customFormat="1" x14ac:dyDescent="0.25">
      <c r="A273" s="41" t="str">
        <f t="shared" si="24"/>
        <v>East North Central_2028</v>
      </c>
      <c r="B273" s="54">
        <f>B676*Constants!$B$20/1000000</f>
        <v>1.78450574577</v>
      </c>
      <c r="C273" s="54">
        <f>C676*Constants!$B$18/1000000</f>
        <v>2.4045641663118364</v>
      </c>
      <c r="D273" s="54">
        <f>D676*Constants!$B$22/1000000</f>
        <v>2.9091464497747603</v>
      </c>
      <c r="E273" s="54">
        <f>E676*Constants!$B$21/1000000</f>
        <v>3.6658748937799999</v>
      </c>
      <c r="F273" s="54">
        <f>F676*Constants!$B$15/1000000</f>
        <v>1.46987434468</v>
      </c>
      <c r="G273" s="54">
        <f>G676*Constants!$B$16/1000000</f>
        <v>1.82140938903508</v>
      </c>
      <c r="H273" s="54">
        <f>H676*Constants!$B$19/1000000</f>
        <v>4.4983639094525207</v>
      </c>
      <c r="I273" s="61">
        <f t="shared" si="25"/>
        <v>0</v>
      </c>
      <c r="J273" s="61">
        <f t="shared" si="26"/>
        <v>0</v>
      </c>
    </row>
    <row r="274" spans="1:10" s="25" customFormat="1" x14ac:dyDescent="0.25">
      <c r="A274" s="41" t="str">
        <f t="shared" si="24"/>
        <v>East North Central_2027</v>
      </c>
      <c r="B274" s="54">
        <f>B677*Constants!$B$20/1000000</f>
        <v>1.7793357789899999</v>
      </c>
      <c r="C274" s="54">
        <f>C677*Constants!$B$18/1000000</f>
        <v>2.4059129107068364</v>
      </c>
      <c r="D274" s="54">
        <f>D677*Constants!$B$22/1000000</f>
        <v>2.9261612953766405</v>
      </c>
      <c r="E274" s="54">
        <f>E677*Constants!$B$21/1000000</f>
        <v>3.6551165751100001</v>
      </c>
      <c r="F274" s="54">
        <f>F677*Constants!$B$15/1000000</f>
        <v>1.4634090377200002</v>
      </c>
      <c r="G274" s="54">
        <f>G677*Constants!$B$16/1000000</f>
        <v>1.8327412179136402</v>
      </c>
      <c r="H274" s="54">
        <f>H677*Constants!$B$19/1000000</f>
        <v>4.4624611568305204</v>
      </c>
      <c r="I274" s="61">
        <f t="shared" si="25"/>
        <v>0</v>
      </c>
      <c r="J274" s="61">
        <f t="shared" si="26"/>
        <v>0</v>
      </c>
    </row>
    <row r="275" spans="1:10" s="25" customFormat="1" x14ac:dyDescent="0.25">
      <c r="A275" s="41" t="str">
        <f t="shared" si="24"/>
        <v>East North Central_2026</v>
      </c>
      <c r="B275" s="54">
        <f>B678*Constants!$B$20/1000000</f>
        <v>1.7629642479900001</v>
      </c>
      <c r="C275" s="54">
        <f>C678*Constants!$B$18/1000000</f>
        <v>2.3868319540018925</v>
      </c>
      <c r="D275" s="54">
        <f>D678*Constants!$B$22/1000000</f>
        <v>2.9183774678046599</v>
      </c>
      <c r="E275" s="54">
        <f>E678*Constants!$B$21/1000000</f>
        <v>3.6176587693400002</v>
      </c>
      <c r="F275" s="54">
        <f>F678*Constants!$B$15/1000000</f>
        <v>1.4435667923599997</v>
      </c>
      <c r="G275" s="54">
        <f>G678*Constants!$B$16/1000000</f>
        <v>1.8472287795134401</v>
      </c>
      <c r="H275" s="54">
        <f>H678*Constants!$B$19/1000000</f>
        <v>4.4342380523742007</v>
      </c>
      <c r="I275" s="61">
        <f t="shared" si="25"/>
        <v>0</v>
      </c>
      <c r="J275" s="61">
        <f t="shared" si="26"/>
        <v>0</v>
      </c>
    </row>
    <row r="276" spans="1:10" s="25" customFormat="1" x14ac:dyDescent="0.25">
      <c r="A276" s="41" t="str">
        <f t="shared" si="24"/>
        <v>East North Central_2025</v>
      </c>
      <c r="B276" s="54">
        <f>B679*Constants!$B$20/1000000</f>
        <v>1.7592672619500003</v>
      </c>
      <c r="C276" s="54">
        <f>C679*Constants!$B$18/1000000</f>
        <v>2.768999037990314</v>
      </c>
      <c r="D276" s="54">
        <f>D679*Constants!$B$22/1000000</f>
        <v>2.8871270181960202</v>
      </c>
      <c r="E276" s="54">
        <f>E679*Constants!$B$21/1000000</f>
        <v>3.5687844019300003</v>
      </c>
      <c r="F276" s="54">
        <f>F679*Constants!$B$15/1000000</f>
        <v>1.40543535216</v>
      </c>
      <c r="G276" s="54">
        <f>G679*Constants!$B$16/1000000</f>
        <v>1.8730830971916002</v>
      </c>
      <c r="H276" s="54">
        <f>H679*Constants!$B$19/1000000</f>
        <v>4.3611577043374998</v>
      </c>
      <c r="I276" s="61">
        <f t="shared" si="25"/>
        <v>0</v>
      </c>
      <c r="J276" s="61">
        <f t="shared" si="26"/>
        <v>0</v>
      </c>
    </row>
    <row r="277" spans="1:10" s="25" customFormat="1" x14ac:dyDescent="0.25">
      <c r="A277" s="41" t="str">
        <f t="shared" si="24"/>
        <v>East North Central_2024</v>
      </c>
      <c r="B277" s="54">
        <f>B680*Constants!$B$20/1000000</f>
        <v>1.7620407327600001</v>
      </c>
      <c r="C277" s="54">
        <f>C680*Constants!$B$18/1000000</f>
        <v>2.7329095153014902</v>
      </c>
      <c r="D277" s="54">
        <f>D680*Constants!$B$22/1000000</f>
        <v>2.8430574431904398</v>
      </c>
      <c r="E277" s="54">
        <f>E680*Constants!$B$21/1000000</f>
        <v>3.4860677871800001</v>
      </c>
      <c r="F277" s="54">
        <f>F680*Constants!$B$15/1000000</f>
        <v>1.3597801198799999</v>
      </c>
      <c r="G277" s="54">
        <f>G680*Constants!$B$16/1000000</f>
        <v>1.8990491819091202</v>
      </c>
      <c r="H277" s="54">
        <f>H680*Constants!$B$19/1000000</f>
        <v>4.2912699432397599</v>
      </c>
      <c r="I277" s="61">
        <f t="shared" si="25"/>
        <v>0</v>
      </c>
      <c r="J277" s="61">
        <f t="shared" si="26"/>
        <v>0</v>
      </c>
    </row>
    <row r="278" spans="1:10" s="25" customFormat="1" x14ac:dyDescent="0.25">
      <c r="A278" s="41" t="str">
        <f t="shared" si="24"/>
        <v>East North Central_2023</v>
      </c>
      <c r="B278" s="54">
        <f>B681*Constants!$B$20/1000000</f>
        <v>1.75399966929</v>
      </c>
      <c r="C278" s="54">
        <f>C681*Constants!$B$18/1000000</f>
        <v>2.7061263289381663</v>
      </c>
      <c r="D278" s="54">
        <f>D681*Constants!$B$22/1000000</f>
        <v>2.8151944502079203</v>
      </c>
      <c r="E278" s="54">
        <f>E681*Constants!$B$21/1000000</f>
        <v>3.44547152103</v>
      </c>
      <c r="F278" s="54">
        <f>F681*Constants!$B$15/1000000</f>
        <v>1.3286956928</v>
      </c>
      <c r="G278" s="54">
        <f>G681*Constants!$B$16/1000000</f>
        <v>1.9210424783073201</v>
      </c>
      <c r="H278" s="54">
        <f>H681*Constants!$B$19/1000000</f>
        <v>4.2385289080327997</v>
      </c>
      <c r="I278" s="61">
        <f t="shared" si="25"/>
        <v>0</v>
      </c>
      <c r="J278" s="61">
        <f t="shared" si="26"/>
        <v>0</v>
      </c>
    </row>
    <row r="279" spans="1:10" s="25" customFormat="1" x14ac:dyDescent="0.25">
      <c r="A279" s="41" t="str">
        <f t="shared" si="24"/>
        <v>East North Central_2022</v>
      </c>
      <c r="B279" s="54">
        <f>B682*Constants!$B$20/1000000</f>
        <v>1.7311968049199997</v>
      </c>
      <c r="C279" s="54">
        <f>C682*Constants!$B$18/1000000</f>
        <v>2.6782982253338892</v>
      </c>
      <c r="D279" s="54">
        <f>D682*Constants!$B$22/1000000</f>
        <v>2.7799618180676005</v>
      </c>
      <c r="E279" s="54">
        <f>E682*Constants!$B$21/1000000</f>
        <v>3.3990077105599998</v>
      </c>
      <c r="F279" s="54">
        <f>F682*Constants!$B$15/1000000</f>
        <v>1.2914814698799999</v>
      </c>
      <c r="G279" s="54">
        <f>G682*Constants!$B$16/1000000</f>
        <v>1.9453154369048802</v>
      </c>
      <c r="H279" s="54">
        <f>H682*Constants!$B$19/1000000</f>
        <v>4.1088873322013599</v>
      </c>
      <c r="I279" s="61">
        <f t="shared" si="25"/>
        <v>0</v>
      </c>
      <c r="J279" s="61">
        <f t="shared" si="26"/>
        <v>0</v>
      </c>
    </row>
    <row r="280" spans="1:10" s="25" customFormat="1" x14ac:dyDescent="0.25">
      <c r="A280" s="41" t="str">
        <f t="shared" si="24"/>
        <v>East North Central_2021</v>
      </c>
      <c r="B280" s="54">
        <f>B683*Constants!$B$20/1000000</f>
        <v>1.6963025913900003</v>
      </c>
      <c r="C280" s="54">
        <f>C683*Constants!$B$18/1000000</f>
        <v>2.6329633295662189</v>
      </c>
      <c r="D280" s="54">
        <f>D683*Constants!$B$22/1000000</f>
        <v>2.6738036052410004</v>
      </c>
      <c r="E280" s="54">
        <f>E683*Constants!$B$21/1000000</f>
        <v>3.2926248166899996</v>
      </c>
      <c r="F280" s="54">
        <f>F683*Constants!$B$15/1000000</f>
        <v>1.24485463732</v>
      </c>
      <c r="G280" s="54">
        <f>G683*Constants!$B$16/1000000</f>
        <v>1.9729275562419402</v>
      </c>
      <c r="H280" s="54">
        <f>H683*Constants!$B$19/1000000</f>
        <v>4.0049264015580404</v>
      </c>
      <c r="I280" s="61">
        <f t="shared" si="25"/>
        <v>0</v>
      </c>
      <c r="J280" s="61">
        <f t="shared" si="26"/>
        <v>0</v>
      </c>
    </row>
    <row r="281" spans="1:10" s="25" customFormat="1" x14ac:dyDescent="0.25">
      <c r="A281" s="41" t="str">
        <f t="shared" si="24"/>
        <v>East North Central_2020</v>
      </c>
      <c r="B281" s="54">
        <f>B684*Constants!$B$20/1000000</f>
        <v>1.6945355446800001</v>
      </c>
      <c r="C281" s="54">
        <f>C684*Constants!$B$18/1000000</f>
        <v>2.5812867275695521</v>
      </c>
      <c r="D281" s="54">
        <f>D684*Constants!$B$22/1000000</f>
        <v>2.5675999870546606</v>
      </c>
      <c r="E281" s="54">
        <f>E684*Constants!$B$21/1000000</f>
        <v>3.2031908829799995</v>
      </c>
      <c r="F281" s="54">
        <f>F684*Constants!$B$15/1000000</f>
        <v>1.1864645699199998</v>
      </c>
      <c r="G281" s="54">
        <f>G684*Constants!$B$16/1000000</f>
        <v>1.9878154558146202</v>
      </c>
      <c r="H281" s="54">
        <f>H684*Constants!$B$19/1000000</f>
        <v>3.86790398577714</v>
      </c>
      <c r="I281" s="61">
        <f t="shared" si="25"/>
        <v>0</v>
      </c>
      <c r="J281" s="61">
        <f t="shared" si="26"/>
        <v>0</v>
      </c>
    </row>
    <row r="282" spans="1:10" s="25" customFormat="1" x14ac:dyDescent="0.25">
      <c r="A282" s="41" t="str">
        <f t="shared" si="24"/>
        <v>East North Central_2019</v>
      </c>
      <c r="B282" s="54">
        <f>B685*Constants!$B$20/1000000</f>
        <v>1.69885439295</v>
      </c>
      <c r="C282" s="54">
        <f>C685*Constants!$B$18/1000000</f>
        <v>2.531043121534426</v>
      </c>
      <c r="D282" s="54">
        <f>D685*Constants!$B$22/1000000</f>
        <v>2.4631352616638802</v>
      </c>
      <c r="E282" s="54">
        <f>E685*Constants!$B$21/1000000</f>
        <v>3.0895527749900005</v>
      </c>
      <c r="F282" s="54">
        <f>F685*Constants!$B$15/1000000</f>
        <v>1.1110362446399999</v>
      </c>
      <c r="G282" s="54">
        <f>G685*Constants!$B$16/1000000</f>
        <v>1.97217806670968</v>
      </c>
      <c r="H282" s="54">
        <f>H685*Constants!$B$19/1000000</f>
        <v>3.7184109939655805</v>
      </c>
      <c r="I282" s="61">
        <f t="shared" si="25"/>
        <v>0</v>
      </c>
      <c r="J282" s="61">
        <f t="shared" si="26"/>
        <v>0</v>
      </c>
    </row>
    <row r="283" spans="1:10" s="25" customFormat="1" x14ac:dyDescent="0.25">
      <c r="A283" s="41" t="str">
        <f t="shared" si="24"/>
        <v>East North Central_2018</v>
      </c>
      <c r="B283" s="54">
        <f>B686*Constants!$B$20/1000000</f>
        <v>1.69590897993</v>
      </c>
      <c r="C283" s="54">
        <f>C686*Constants!$B$18/1000000</f>
        <v>2.4299634510095971</v>
      </c>
      <c r="D283" s="54">
        <f>D686*Constants!$B$22/1000000</f>
        <v>2.2901766113246205</v>
      </c>
      <c r="E283" s="54">
        <f>E686*Constants!$B$21/1000000</f>
        <v>2.89994002243</v>
      </c>
      <c r="F283" s="54">
        <f>F686*Constants!$B$15/1000000</f>
        <v>0.99107348872000001</v>
      </c>
      <c r="G283" s="54">
        <f>G686*Constants!$B$16/1000000</f>
        <v>1.9595611577557204</v>
      </c>
      <c r="H283" s="54">
        <f>H686*Constants!$B$19/1000000</f>
        <v>3.54173042895246</v>
      </c>
      <c r="I283" s="61">
        <f t="shared" si="25"/>
        <v>0</v>
      </c>
      <c r="J283" s="61">
        <f t="shared" si="26"/>
        <v>0</v>
      </c>
    </row>
    <row r="284" spans="1:10" s="25" customFormat="1" x14ac:dyDescent="0.25">
      <c r="A284" s="41" t="str">
        <f t="shared" si="24"/>
        <v>East North Central_2017</v>
      </c>
      <c r="B284" s="54">
        <f>B687*Constants!$B$20/1000000</f>
        <v>1.60016596311</v>
      </c>
      <c r="C284" s="54">
        <f>C687*Constants!$B$18/1000000</f>
        <v>2.4750479299012622</v>
      </c>
      <c r="D284" s="54">
        <f>D687*Constants!$B$22/1000000</f>
        <v>2.2953174133807002</v>
      </c>
      <c r="E284" s="54">
        <f>E687*Constants!$B$21/1000000</f>
        <v>2.6135658302599998</v>
      </c>
      <c r="F284" s="54">
        <f>F687*Constants!$B$15/1000000</f>
        <v>0.69063607676000005</v>
      </c>
      <c r="G284" s="54">
        <f>G687*Constants!$B$16/1000000</f>
        <v>1.9430626325177802</v>
      </c>
      <c r="H284" s="54">
        <f>H687*Constants!$B$19/1000000</f>
        <v>3.4315239127918007</v>
      </c>
      <c r="I284" s="61">
        <f t="shared" si="25"/>
        <v>0</v>
      </c>
      <c r="J284" s="61">
        <f t="shared" si="26"/>
        <v>0</v>
      </c>
    </row>
    <row r="285" spans="1:10" s="25" customFormat="1" x14ac:dyDescent="0.25">
      <c r="A285" s="41" t="str">
        <f t="shared" si="24"/>
        <v>East North Central_2016</v>
      </c>
      <c r="B285" s="54">
        <f>B688*Constants!$B$20/1000000</f>
        <v>1.5880316512499999</v>
      </c>
      <c r="C285" s="54">
        <f>C688*Constants!$B$18/1000000</f>
        <v>2.2608451106508909</v>
      </c>
      <c r="D285" s="54">
        <f>D688*Constants!$B$22/1000000</f>
        <v>2.20341515868764</v>
      </c>
      <c r="E285" s="54">
        <f>E688*Constants!$B$21/1000000</f>
        <v>2.2965356301799997</v>
      </c>
      <c r="F285" s="54">
        <f>F688*Constants!$B$15/1000000</f>
        <v>0.53345679463999995</v>
      </c>
      <c r="G285" s="54">
        <f>G688*Constants!$B$16/1000000</f>
        <v>1.8993591909170002</v>
      </c>
      <c r="H285" s="54">
        <f>H688*Constants!$B$19/1000000</f>
        <v>3.1781471914923407</v>
      </c>
      <c r="I285" s="61">
        <f t="shared" si="25"/>
        <v>0</v>
      </c>
      <c r="J285" s="61">
        <f t="shared" si="26"/>
        <v>0</v>
      </c>
    </row>
    <row r="286" spans="1:10" s="25" customFormat="1" x14ac:dyDescent="0.25">
      <c r="A286" s="41" t="str">
        <f t="shared" si="24"/>
        <v>East North Central_2015</v>
      </c>
      <c r="B286" s="54">
        <f>B689*Constants!$B$20/1000000</f>
        <v>1.6722012479700001</v>
      </c>
      <c r="C286" s="54">
        <f>C689*Constants!$B$18/1000000</f>
        <v>2.5603944071421232</v>
      </c>
      <c r="D286" s="54">
        <f>D689*Constants!$B$22/1000000</f>
        <v>2.5418847759826</v>
      </c>
      <c r="E286" s="54">
        <f>E689*Constants!$B$21/1000000</f>
        <v>2.74243977711</v>
      </c>
      <c r="F286" s="54">
        <f>F689*Constants!$B$15/1000000</f>
        <v>0.71921415132000011</v>
      </c>
      <c r="G286" s="54">
        <f>G689*Constants!$B$16/1000000</f>
        <v>1.8760818983909802</v>
      </c>
      <c r="H286" s="54">
        <f>H689*Constants!$B$19/1000000</f>
        <v>2.6511768017016002</v>
      </c>
      <c r="I286" s="61">
        <f t="shared" si="25"/>
        <v>0</v>
      </c>
      <c r="J286" s="61">
        <f t="shared" si="26"/>
        <v>0</v>
      </c>
    </row>
    <row r="287" spans="1:10" customFormat="1" x14ac:dyDescent="0.25">
      <c r="A287" s="42" t="str">
        <f t="shared" ref="A287:A322" si="27">CONCATENATE("Middle Atlantic_",A693)</f>
        <v>Middle Atlantic_2050</v>
      </c>
      <c r="B287" s="55">
        <f>B693*Constants!$B$20/1000000</f>
        <v>2.11793295318</v>
      </c>
      <c r="C287" s="55">
        <f>C693*Constants!$B$18/1000000</f>
        <v>2.91721094106359</v>
      </c>
      <c r="D287" s="55">
        <f>D693*Constants!$B$22/1000000</f>
        <v>3.5433393684770405</v>
      </c>
      <c r="E287" s="55">
        <f>E693*Constants!$B$21/1000000</f>
        <v>4.3574975545200001</v>
      </c>
      <c r="F287" s="55">
        <f>F693*Constants!$B$15/1000000</f>
        <v>2.0001963752399998</v>
      </c>
      <c r="G287" s="55">
        <f>G693*Constants!$B$16/1000000</f>
        <v>2.0031905296052002</v>
      </c>
      <c r="H287" s="55">
        <f>H693*Constants!$B$19/1000000</f>
        <v>5.2780540278706196</v>
      </c>
      <c r="I287" s="62">
        <f t="shared" ref="I287:I322" si="28">$B$13*J693</f>
        <v>0</v>
      </c>
      <c r="J287" s="62">
        <f t="shared" ref="J287:J322" si="29">$B$11*K693</f>
        <v>0</v>
      </c>
    </row>
    <row r="288" spans="1:10" customFormat="1" x14ac:dyDescent="0.25">
      <c r="A288" s="42" t="str">
        <f t="shared" si="27"/>
        <v>Middle Atlantic_2049</v>
      </c>
      <c r="B288" s="55">
        <f>B694*Constants!$B$20/1000000</f>
        <v>2.09955460704</v>
      </c>
      <c r="C288" s="55">
        <f>C694*Constants!$B$18/1000000</f>
        <v>2.997658329080346</v>
      </c>
      <c r="D288" s="55">
        <f>D694*Constants!$B$22/1000000</f>
        <v>3.5043595295526604</v>
      </c>
      <c r="E288" s="55">
        <f>E694*Constants!$B$21/1000000</f>
        <v>4.3204319524299999</v>
      </c>
      <c r="F288" s="55">
        <f>F694*Constants!$B$15/1000000</f>
        <v>1.97423098796</v>
      </c>
      <c r="G288" s="55">
        <f>G694*Constants!$B$16/1000000</f>
        <v>1.9900074386986204</v>
      </c>
      <c r="H288" s="55">
        <f>H694*Constants!$B$19/1000000</f>
        <v>5.2595262323243004</v>
      </c>
      <c r="I288" s="62">
        <f t="shared" si="28"/>
        <v>0</v>
      </c>
      <c r="J288" s="62">
        <f t="shared" si="29"/>
        <v>0</v>
      </c>
    </row>
    <row r="289" spans="1:10" customFormat="1" x14ac:dyDescent="0.25">
      <c r="A289" s="42" t="str">
        <f t="shared" si="27"/>
        <v>Middle Atlantic_2048</v>
      </c>
      <c r="B289" s="55">
        <f>B695*Constants!$B$20/1000000</f>
        <v>2.0893981333499996</v>
      </c>
      <c r="C289" s="55">
        <f>C695*Constants!$B$18/1000000</f>
        <v>2.9729277518536263</v>
      </c>
      <c r="D289" s="55">
        <f>D695*Constants!$B$22/1000000</f>
        <v>3.4912424390098407</v>
      </c>
      <c r="E289" s="55">
        <f>E695*Constants!$B$21/1000000</f>
        <v>4.2900878240000004</v>
      </c>
      <c r="F289" s="55">
        <f>F695*Constants!$B$15/1000000</f>
        <v>1.9563974586799999</v>
      </c>
      <c r="G289" s="55">
        <f>G695*Constants!$B$16/1000000</f>
        <v>1.98878257793322</v>
      </c>
      <c r="H289" s="55">
        <f>H695*Constants!$B$19/1000000</f>
        <v>5.2758901071850799</v>
      </c>
      <c r="I289" s="62">
        <f t="shared" si="28"/>
        <v>0</v>
      </c>
      <c r="J289" s="62">
        <f t="shared" si="29"/>
        <v>0</v>
      </c>
    </row>
    <row r="290" spans="1:10" customFormat="1" x14ac:dyDescent="0.25">
      <c r="A290" s="42" t="str">
        <f t="shared" si="27"/>
        <v>Middle Atlantic_2047</v>
      </c>
      <c r="B290" s="55">
        <f>B696*Constants!$B$20/1000000</f>
        <v>2.0703996617699998</v>
      </c>
      <c r="C290" s="55">
        <f>C696*Constants!$B$18/1000000</f>
        <v>2.9719509012464744</v>
      </c>
      <c r="D290" s="55">
        <f>D696*Constants!$B$22/1000000</f>
        <v>3.5035039335961802</v>
      </c>
      <c r="E290" s="55">
        <f>E696*Constants!$B$21/1000000</f>
        <v>4.2922903689600007</v>
      </c>
      <c r="F290" s="55">
        <f>F696*Constants!$B$15/1000000</f>
        <v>1.95025550664</v>
      </c>
      <c r="G290" s="55">
        <f>G696*Constants!$B$16/1000000</f>
        <v>1.9853305662067802</v>
      </c>
      <c r="H290" s="55">
        <f>H696*Constants!$B$19/1000000</f>
        <v>5.2675898388105411</v>
      </c>
      <c r="I290" s="62">
        <f t="shared" si="28"/>
        <v>0</v>
      </c>
      <c r="J290" s="62">
        <f t="shared" si="29"/>
        <v>0</v>
      </c>
    </row>
    <row r="291" spans="1:10" customFormat="1" x14ac:dyDescent="0.25">
      <c r="A291" s="42" t="str">
        <f t="shared" si="27"/>
        <v>Middle Atlantic_2046</v>
      </c>
      <c r="B291" s="55">
        <f>B697*Constants!$B$20/1000000</f>
        <v>2.0541176211600001</v>
      </c>
      <c r="C291" s="55">
        <f>C697*Constants!$B$18/1000000</f>
        <v>3.1429062314711702</v>
      </c>
      <c r="D291" s="55">
        <f>D697*Constants!$B$22/1000000</f>
        <v>3.4820747716940601</v>
      </c>
      <c r="E291" s="55">
        <f>E697*Constants!$B$21/1000000</f>
        <v>4.2411170675499994</v>
      </c>
      <c r="F291" s="55">
        <f>F697*Constants!$B$15/1000000</f>
        <v>1.9211275879599998</v>
      </c>
      <c r="G291" s="55">
        <f>G697*Constants!$B$16/1000000</f>
        <v>1.9839839419965601</v>
      </c>
      <c r="H291" s="55">
        <f>H697*Constants!$B$19/1000000</f>
        <v>5.2635615282874006</v>
      </c>
      <c r="I291" s="62">
        <f t="shared" si="28"/>
        <v>0</v>
      </c>
      <c r="J291" s="62">
        <f t="shared" si="29"/>
        <v>0</v>
      </c>
    </row>
    <row r="292" spans="1:10" customFormat="1" x14ac:dyDescent="0.25">
      <c r="A292" s="42" t="str">
        <f t="shared" si="27"/>
        <v>Middle Atlantic_2045</v>
      </c>
      <c r="B292" s="55">
        <f>B698*Constants!$B$20/1000000</f>
        <v>2.0387941058099996</v>
      </c>
      <c r="C292" s="55">
        <f>C698*Constants!$B$18/1000000</f>
        <v>3.1173613722950422</v>
      </c>
      <c r="D292" s="55">
        <f>D698*Constants!$B$22/1000000</f>
        <v>3.46628900220928</v>
      </c>
      <c r="E292" s="55">
        <f>E698*Constants!$B$21/1000000</f>
        <v>4.2196652435300006</v>
      </c>
      <c r="F292" s="55">
        <f>F698*Constants!$B$15/1000000</f>
        <v>1.9037416627599999</v>
      </c>
      <c r="G292" s="55">
        <f>G698*Constants!$B$16/1000000</f>
        <v>1.9745882843731202</v>
      </c>
      <c r="H292" s="55">
        <f>H698*Constants!$B$19/1000000</f>
        <v>5.2622112909185805</v>
      </c>
      <c r="I292" s="62">
        <f t="shared" si="28"/>
        <v>0</v>
      </c>
      <c r="J292" s="62">
        <f t="shared" si="29"/>
        <v>0</v>
      </c>
    </row>
    <row r="293" spans="1:10" s="25" customFormat="1" x14ac:dyDescent="0.25">
      <c r="A293" s="42" t="str">
        <f t="shared" si="27"/>
        <v>Middle Atlantic_2044</v>
      </c>
      <c r="B293" s="55">
        <f>B699*Constants!$B$20/1000000</f>
        <v>2.03173844214</v>
      </c>
      <c r="C293" s="55">
        <f>C699*Constants!$B$18/1000000</f>
        <v>3.0903497985474981</v>
      </c>
      <c r="D293" s="55">
        <f>D699*Constants!$B$22/1000000</f>
        <v>3.45293705635746</v>
      </c>
      <c r="E293" s="55">
        <f>E699*Constants!$B$21/1000000</f>
        <v>4.20249165259</v>
      </c>
      <c r="F293" s="55">
        <f>F699*Constants!$B$15/1000000</f>
        <v>1.8917843126</v>
      </c>
      <c r="G293" s="55">
        <f>G699*Constants!$B$16/1000000</f>
        <v>1.9636207823200602</v>
      </c>
      <c r="H293" s="55">
        <f>H699*Constants!$B$19/1000000</f>
        <v>5.2466018435734805</v>
      </c>
      <c r="I293" s="62">
        <f t="shared" si="28"/>
        <v>0</v>
      </c>
      <c r="J293" s="62">
        <f t="shared" si="29"/>
        <v>0</v>
      </c>
    </row>
    <row r="294" spans="1:10" s="25" customFormat="1" x14ac:dyDescent="0.25">
      <c r="A294" s="42" t="str">
        <f t="shared" si="27"/>
        <v>Middle Atlantic_2043</v>
      </c>
      <c r="B294" s="55">
        <f>B700*Constants!$B$20/1000000</f>
        <v>2.0177178849300001</v>
      </c>
      <c r="C294" s="55">
        <f>C700*Constants!$B$18/1000000</f>
        <v>3.0682230173334721</v>
      </c>
      <c r="D294" s="55">
        <f>D700*Constants!$B$22/1000000</f>
        <v>3.4407436095914203</v>
      </c>
      <c r="E294" s="55">
        <f>E700*Constants!$B$21/1000000</f>
        <v>4.1985307001000001</v>
      </c>
      <c r="F294" s="55">
        <f>F700*Constants!$B$15/1000000</f>
        <v>1.8822107292799999</v>
      </c>
      <c r="G294" s="55">
        <f>G700*Constants!$B$16/1000000</f>
        <v>1.9536036614174201</v>
      </c>
      <c r="H294" s="55">
        <f>H700*Constants!$B$19/1000000</f>
        <v>5.2269095270103803</v>
      </c>
      <c r="I294" s="62">
        <f t="shared" si="28"/>
        <v>0</v>
      </c>
      <c r="J294" s="62">
        <f t="shared" si="29"/>
        <v>0</v>
      </c>
    </row>
    <row r="295" spans="1:10" s="25" customFormat="1" x14ac:dyDescent="0.25">
      <c r="A295" s="42" t="str">
        <f t="shared" si="27"/>
        <v>Middle Atlantic_2042</v>
      </c>
      <c r="B295" s="55">
        <f>B701*Constants!$B$20/1000000</f>
        <v>2.0015440737599999</v>
      </c>
      <c r="C295" s="55">
        <f>C701*Constants!$B$18/1000000</f>
        <v>2.8415044795115518</v>
      </c>
      <c r="D295" s="55">
        <f>D701*Constants!$B$22/1000000</f>
        <v>3.4310116873409404</v>
      </c>
      <c r="E295" s="55">
        <f>E701*Constants!$B$21/1000000</f>
        <v>4.2005414364100009</v>
      </c>
      <c r="F295" s="55">
        <f>F701*Constants!$B$15/1000000</f>
        <v>1.8743209716</v>
      </c>
      <c r="G295" s="55">
        <f>G701*Constants!$B$16/1000000</f>
        <v>1.94843046137256</v>
      </c>
      <c r="H295" s="55">
        <f>H701*Constants!$B$19/1000000</f>
        <v>5.21088842046212</v>
      </c>
      <c r="I295" s="62">
        <f t="shared" si="28"/>
        <v>0</v>
      </c>
      <c r="J295" s="62">
        <f t="shared" si="29"/>
        <v>0</v>
      </c>
    </row>
    <row r="296" spans="1:10" s="25" customFormat="1" x14ac:dyDescent="0.25">
      <c r="A296" s="42" t="str">
        <f t="shared" si="27"/>
        <v>Middle Atlantic_2041</v>
      </c>
      <c r="B296" s="55">
        <f>B702*Constants!$B$20/1000000</f>
        <v>1.9901380253700001</v>
      </c>
      <c r="C296" s="55">
        <f>C702*Constants!$B$18/1000000</f>
        <v>2.8217632674671091</v>
      </c>
      <c r="D296" s="55">
        <f>D702*Constants!$B$22/1000000</f>
        <v>3.4251459652310801</v>
      </c>
      <c r="E296" s="55">
        <f>E702*Constants!$B$21/1000000</f>
        <v>4.2111388297000003</v>
      </c>
      <c r="F296" s="55">
        <f>F702*Constants!$B$15/1000000</f>
        <v>1.8724933189199999</v>
      </c>
      <c r="G296" s="55">
        <f>G702*Constants!$B$16/1000000</f>
        <v>1.9438211549465403</v>
      </c>
      <c r="H296" s="55">
        <f>H702*Constants!$B$19/1000000</f>
        <v>5.2005093815063805</v>
      </c>
      <c r="I296" s="62">
        <f t="shared" si="28"/>
        <v>0</v>
      </c>
      <c r="J296" s="62">
        <f t="shared" si="29"/>
        <v>0</v>
      </c>
    </row>
    <row r="297" spans="1:10" s="25" customFormat="1" x14ac:dyDescent="0.25">
      <c r="A297" s="42" t="str">
        <f t="shared" si="27"/>
        <v>Middle Atlantic_2040</v>
      </c>
      <c r="B297" s="55">
        <f>B703*Constants!$B$20/1000000</f>
        <v>1.9690149111600002</v>
      </c>
      <c r="C297" s="55">
        <f>C703*Constants!$B$18/1000000</f>
        <v>2.6651742230401951</v>
      </c>
      <c r="D297" s="55">
        <f>D703*Constants!$B$22/1000000</f>
        <v>3.4080905318142598</v>
      </c>
      <c r="E297" s="55">
        <f>E703*Constants!$B$21/1000000</f>
        <v>4.20230067488</v>
      </c>
      <c r="F297" s="55">
        <f>F703*Constants!$B$15/1000000</f>
        <v>1.8611230492399999</v>
      </c>
      <c r="G297" s="55">
        <f>G703*Constants!$B$16/1000000</f>
        <v>1.9448680074315803</v>
      </c>
      <c r="H297" s="55">
        <f>H703*Constants!$B$19/1000000</f>
        <v>5.2065343234718808</v>
      </c>
      <c r="I297" s="62">
        <f t="shared" si="28"/>
        <v>0</v>
      </c>
      <c r="J297" s="62">
        <f t="shared" si="29"/>
        <v>0</v>
      </c>
    </row>
    <row r="298" spans="1:10" s="25" customFormat="1" x14ac:dyDescent="0.25">
      <c r="A298" s="42" t="str">
        <f t="shared" si="27"/>
        <v>Middle Atlantic_2039</v>
      </c>
      <c r="B298" s="55">
        <f>B704*Constants!$B$20/1000000</f>
        <v>1.9557291989399999</v>
      </c>
      <c r="C298" s="55">
        <f>C704*Constants!$B$18/1000000</f>
        <v>2.6292425933618793</v>
      </c>
      <c r="D298" s="55">
        <f>D704*Constants!$B$22/1000000</f>
        <v>3.3832924608335007</v>
      </c>
      <c r="E298" s="55">
        <f>E704*Constants!$B$21/1000000</f>
        <v>4.1834948408000008</v>
      </c>
      <c r="F298" s="55">
        <f>F704*Constants!$B$15/1000000</f>
        <v>1.8403740793200001</v>
      </c>
      <c r="G298" s="55">
        <f>G704*Constants!$B$16/1000000</f>
        <v>1.95547262792258</v>
      </c>
      <c r="H298" s="55">
        <f>H704*Constants!$B$19/1000000</f>
        <v>5.2381836657899612</v>
      </c>
      <c r="I298" s="62">
        <f t="shared" si="28"/>
        <v>0</v>
      </c>
      <c r="J298" s="62">
        <f t="shared" si="29"/>
        <v>0</v>
      </c>
    </row>
    <row r="299" spans="1:10" s="25" customFormat="1" x14ac:dyDescent="0.25">
      <c r="A299" s="42" t="str">
        <f t="shared" si="27"/>
        <v>Middle Atlantic_2038</v>
      </c>
      <c r="B299" s="55">
        <f>B705*Constants!$B$20/1000000</f>
        <v>1.9211483388899999</v>
      </c>
      <c r="C299" s="55">
        <f>C705*Constants!$B$18/1000000</f>
        <v>2.5795518826124102</v>
      </c>
      <c r="D299" s="55">
        <f>D705*Constants!$B$22/1000000</f>
        <v>3.3403629578048402</v>
      </c>
      <c r="E299" s="55">
        <f>E705*Constants!$B$21/1000000</f>
        <v>4.1375316716799997</v>
      </c>
      <c r="F299" s="55">
        <f>F705*Constants!$B$15/1000000</f>
        <v>1.81071371908</v>
      </c>
      <c r="G299" s="55">
        <f>G705*Constants!$B$16/1000000</f>
        <v>1.9544894874675203</v>
      </c>
      <c r="H299" s="55">
        <f>H705*Constants!$B$19/1000000</f>
        <v>5.2241271540111409</v>
      </c>
      <c r="I299" s="62">
        <f t="shared" si="28"/>
        <v>0</v>
      </c>
      <c r="J299" s="62">
        <f t="shared" si="29"/>
        <v>0</v>
      </c>
    </row>
    <row r="300" spans="1:10" s="25" customFormat="1" x14ac:dyDescent="0.25">
      <c r="A300" s="42" t="str">
        <f t="shared" si="27"/>
        <v>Middle Atlantic_2037</v>
      </c>
      <c r="B300" s="55">
        <f>B706*Constants!$B$20/1000000</f>
        <v>1.8966043882500001</v>
      </c>
      <c r="C300" s="55">
        <f>C706*Constants!$B$18/1000000</f>
        <v>2.5510599270169139</v>
      </c>
      <c r="D300" s="55">
        <f>D706*Constants!$B$22/1000000</f>
        <v>3.3268674491179802</v>
      </c>
      <c r="E300" s="55">
        <f>E706*Constants!$B$21/1000000</f>
        <v>4.1266545285900005</v>
      </c>
      <c r="F300" s="55">
        <f>F706*Constants!$B$15/1000000</f>
        <v>1.7959718313599999</v>
      </c>
      <c r="G300" s="55">
        <f>G706*Constants!$B$16/1000000</f>
        <v>1.9498723525312001</v>
      </c>
      <c r="H300" s="55">
        <f>H706*Constants!$B$19/1000000</f>
        <v>5.216233968172201</v>
      </c>
      <c r="I300" s="62">
        <f t="shared" si="28"/>
        <v>0</v>
      </c>
      <c r="J300" s="62">
        <f t="shared" si="29"/>
        <v>0</v>
      </c>
    </row>
    <row r="301" spans="1:10" s="25" customFormat="1" x14ac:dyDescent="0.25">
      <c r="A301" s="42" t="str">
        <f t="shared" si="27"/>
        <v>Middle Atlantic_2036</v>
      </c>
      <c r="B301" s="55">
        <f>B707*Constants!$B$20/1000000</f>
        <v>1.8840309427499999</v>
      </c>
      <c r="C301" s="55">
        <f>C707*Constants!$B$18/1000000</f>
        <v>2.4862059124485114</v>
      </c>
      <c r="D301" s="55">
        <f>D707*Constants!$B$22/1000000</f>
        <v>3.3201952700086004</v>
      </c>
      <c r="E301" s="55">
        <f>E707*Constants!$B$21/1000000</f>
        <v>4.1210970633800006</v>
      </c>
      <c r="F301" s="55">
        <f>F707*Constants!$B$15/1000000</f>
        <v>1.78665762296</v>
      </c>
      <c r="G301" s="55">
        <f>G707*Constants!$B$16/1000000</f>
        <v>1.9469643620513</v>
      </c>
      <c r="H301" s="55">
        <f>H707*Constants!$B$19/1000000</f>
        <v>5.2038866008498008</v>
      </c>
      <c r="I301" s="62">
        <f t="shared" si="28"/>
        <v>0</v>
      </c>
      <c r="J301" s="62">
        <f t="shared" si="29"/>
        <v>0</v>
      </c>
    </row>
    <row r="302" spans="1:10" s="25" customFormat="1" x14ac:dyDescent="0.25">
      <c r="A302" s="42" t="str">
        <f t="shared" si="27"/>
        <v>Middle Atlantic_2035</v>
      </c>
      <c r="B302" s="55">
        <f>B708*Constants!$B$20/1000000</f>
        <v>1.85724872685</v>
      </c>
      <c r="C302" s="55">
        <f>C708*Constants!$B$18/1000000</f>
        <v>2.4630205467169963</v>
      </c>
      <c r="D302" s="55">
        <f>D708*Constants!$B$22/1000000</f>
        <v>3.25821285905042</v>
      </c>
      <c r="E302" s="55">
        <f>E708*Constants!$B$21/1000000</f>
        <v>4.0521055000799997</v>
      </c>
      <c r="F302" s="55">
        <f>F708*Constants!$B$15/1000000</f>
        <v>1.7372270588399998</v>
      </c>
      <c r="G302" s="55">
        <f>G708*Constants!$B$16/1000000</f>
        <v>1.9408428283125603</v>
      </c>
      <c r="H302" s="55">
        <f>H708*Constants!$B$19/1000000</f>
        <v>5.178950748087761</v>
      </c>
      <c r="I302" s="62">
        <f t="shared" si="28"/>
        <v>0</v>
      </c>
      <c r="J302" s="62">
        <f t="shared" si="29"/>
        <v>0</v>
      </c>
    </row>
    <row r="303" spans="1:10" s="25" customFormat="1" x14ac:dyDescent="0.25">
      <c r="A303" s="42" t="str">
        <f t="shared" si="27"/>
        <v>Middle Atlantic_2034</v>
      </c>
      <c r="B303" s="55">
        <f>B709*Constants!$B$20/1000000</f>
        <v>1.8483552651300001</v>
      </c>
      <c r="C303" s="55">
        <f>C709*Constants!$B$18/1000000</f>
        <v>2.4302957816285247</v>
      </c>
      <c r="D303" s="55">
        <f>D709*Constants!$B$22/1000000</f>
        <v>3.2399483423274202</v>
      </c>
      <c r="E303" s="55">
        <f>E709*Constants!$B$21/1000000</f>
        <v>4.0283838249600006</v>
      </c>
      <c r="F303" s="55">
        <f>F709*Constants!$B$15/1000000</f>
        <v>1.7214439606</v>
      </c>
      <c r="G303" s="55">
        <f>G709*Constants!$B$16/1000000</f>
        <v>1.9200694546963399</v>
      </c>
      <c r="H303" s="55">
        <f>H709*Constants!$B$19/1000000</f>
        <v>5.1184488890852409</v>
      </c>
      <c r="I303" s="62">
        <f t="shared" si="28"/>
        <v>0</v>
      </c>
      <c r="J303" s="62">
        <f t="shared" si="29"/>
        <v>0</v>
      </c>
    </row>
    <row r="304" spans="1:10" s="25" customFormat="1" x14ac:dyDescent="0.25">
      <c r="A304" s="42" t="str">
        <f t="shared" si="27"/>
        <v>Middle Atlantic_2033</v>
      </c>
      <c r="B304" s="55">
        <f>B710*Constants!$B$20/1000000</f>
        <v>1.82942343144</v>
      </c>
      <c r="C304" s="55">
        <f>C710*Constants!$B$18/1000000</f>
        <v>2.3866921341662772</v>
      </c>
      <c r="D304" s="55">
        <f>D710*Constants!$B$22/1000000</f>
        <v>3.2079511732747803</v>
      </c>
      <c r="E304" s="55">
        <f>E710*Constants!$B$21/1000000</f>
        <v>3.98614617533</v>
      </c>
      <c r="F304" s="55">
        <f>F710*Constants!$B$15/1000000</f>
        <v>1.6903724574799999</v>
      </c>
      <c r="G304" s="55">
        <f>G710*Constants!$B$16/1000000</f>
        <v>1.9128076081034402</v>
      </c>
      <c r="H304" s="55">
        <f>H710*Constants!$B$19/1000000</f>
        <v>5.0988883323724208</v>
      </c>
      <c r="I304" s="62">
        <f t="shared" si="28"/>
        <v>0</v>
      </c>
      <c r="J304" s="62">
        <f t="shared" si="29"/>
        <v>0</v>
      </c>
    </row>
    <row r="305" spans="1:10" s="25" customFormat="1" x14ac:dyDescent="0.25">
      <c r="A305" s="42" t="str">
        <f t="shared" si="27"/>
        <v>Middle Atlantic_2032</v>
      </c>
      <c r="B305" s="55">
        <f>B711*Constants!$B$20/1000000</f>
        <v>1.82413627704</v>
      </c>
      <c r="C305" s="55">
        <f>C711*Constants!$B$18/1000000</f>
        <v>2.5002005742073239</v>
      </c>
      <c r="D305" s="55">
        <f>D711*Constants!$B$22/1000000</f>
        <v>3.2127504114045404</v>
      </c>
      <c r="E305" s="55">
        <f>E711*Constants!$B$21/1000000</f>
        <v>3.9838393474</v>
      </c>
      <c r="F305" s="55">
        <f>F711*Constants!$B$15/1000000</f>
        <v>1.6919366405199998</v>
      </c>
      <c r="G305" s="55">
        <f>G711*Constants!$B$16/1000000</f>
        <v>1.91980557367992</v>
      </c>
      <c r="H305" s="55">
        <f>H711*Constants!$B$19/1000000</f>
        <v>5.103591099167561</v>
      </c>
      <c r="I305" s="62">
        <f t="shared" si="28"/>
        <v>0</v>
      </c>
      <c r="J305" s="62">
        <f t="shared" si="29"/>
        <v>0</v>
      </c>
    </row>
    <row r="306" spans="1:10" s="25" customFormat="1" x14ac:dyDescent="0.25">
      <c r="A306" s="42" t="str">
        <f t="shared" si="27"/>
        <v>Middle Atlantic_2031</v>
      </c>
      <c r="B306" s="55">
        <f>B712*Constants!$B$20/1000000</f>
        <v>1.7986801460099997</v>
      </c>
      <c r="C306" s="55">
        <f>C712*Constants!$B$18/1000000</f>
        <v>2.4469989019650842</v>
      </c>
      <c r="D306" s="55">
        <f>D712*Constants!$B$22/1000000</f>
        <v>3.1687145592125603</v>
      </c>
      <c r="E306" s="55">
        <f>E712*Constants!$B$21/1000000</f>
        <v>3.9223352459499998</v>
      </c>
      <c r="F306" s="55">
        <f>F712*Constants!$B$15/1000000</f>
        <v>1.6482130924</v>
      </c>
      <c r="G306" s="55">
        <f>G712*Constants!$B$16/1000000</f>
        <v>1.9248212400098204</v>
      </c>
      <c r="H306" s="55">
        <f>H712*Constants!$B$19/1000000</f>
        <v>5.0938317169117209</v>
      </c>
      <c r="I306" s="62">
        <f t="shared" si="28"/>
        <v>0</v>
      </c>
      <c r="J306" s="62">
        <f t="shared" si="29"/>
        <v>0</v>
      </c>
    </row>
    <row r="307" spans="1:10" s="25" customFormat="1" x14ac:dyDescent="0.25">
      <c r="A307" s="42" t="str">
        <f t="shared" si="27"/>
        <v>Middle Atlantic_2030</v>
      </c>
      <c r="B307" s="55">
        <f>B713*Constants!$B$20/1000000</f>
        <v>1.7649486676799999</v>
      </c>
      <c r="C307" s="55">
        <f>C713*Constants!$B$18/1000000</f>
        <v>2.3947076321894691</v>
      </c>
      <c r="D307" s="55">
        <f>D713*Constants!$B$22/1000000</f>
        <v>3.1273968862353603</v>
      </c>
      <c r="E307" s="55">
        <f>E713*Constants!$B$21/1000000</f>
        <v>3.8689592610900001</v>
      </c>
      <c r="F307" s="55">
        <f>F713*Constants!$B$15/1000000</f>
        <v>1.6094666764400001</v>
      </c>
      <c r="G307" s="55">
        <f>G713*Constants!$B$16/1000000</f>
        <v>1.9343478144132005</v>
      </c>
      <c r="H307" s="55">
        <f>H713*Constants!$B$19/1000000</f>
        <v>5.0876430988616406</v>
      </c>
      <c r="I307" s="62">
        <f t="shared" si="28"/>
        <v>0</v>
      </c>
      <c r="J307" s="62">
        <f t="shared" si="29"/>
        <v>0</v>
      </c>
    </row>
    <row r="308" spans="1:10" s="25" customFormat="1" x14ac:dyDescent="0.25">
      <c r="A308" s="42" t="str">
        <f t="shared" si="27"/>
        <v>Middle Atlantic_2029</v>
      </c>
      <c r="B308" s="55">
        <f>B714*Constants!$B$20/1000000</f>
        <v>1.7515941237300001</v>
      </c>
      <c r="C308" s="55">
        <f>C714*Constants!$B$18/1000000</f>
        <v>2.5431536772897174</v>
      </c>
      <c r="D308" s="55">
        <f>D714*Constants!$B$22/1000000</f>
        <v>3.0849268565420007</v>
      </c>
      <c r="E308" s="55">
        <f>E714*Constants!$B$21/1000000</f>
        <v>3.8036574868600002</v>
      </c>
      <c r="F308" s="55">
        <f>F714*Constants!$B$15/1000000</f>
        <v>1.5670160744000001</v>
      </c>
      <c r="G308" s="55">
        <f>G714*Constants!$B$16/1000000</f>
        <v>1.9403896177855005</v>
      </c>
      <c r="H308" s="55">
        <f>H714*Constants!$B$19/1000000</f>
        <v>5.0234556976485001</v>
      </c>
      <c r="I308" s="62">
        <f t="shared" si="28"/>
        <v>0</v>
      </c>
      <c r="J308" s="62">
        <f t="shared" si="29"/>
        <v>0</v>
      </c>
    </row>
    <row r="309" spans="1:10" s="25" customFormat="1" x14ac:dyDescent="0.25">
      <c r="A309" s="42" t="str">
        <f t="shared" si="27"/>
        <v>Middle Atlantic_2028</v>
      </c>
      <c r="B309" s="55">
        <f>B715*Constants!$B$20/1000000</f>
        <v>1.7492051233800001</v>
      </c>
      <c r="C309" s="55">
        <f>C715*Constants!$B$18/1000000</f>
        <v>2.5017175519865273</v>
      </c>
      <c r="D309" s="55">
        <f>D715*Constants!$B$22/1000000</f>
        <v>3.0588480412761601</v>
      </c>
      <c r="E309" s="55">
        <f>E715*Constants!$B$21/1000000</f>
        <v>3.7626661087399995</v>
      </c>
      <c r="F309" s="55">
        <f>F715*Constants!$B$15/1000000</f>
        <v>1.54131927516</v>
      </c>
      <c r="G309" s="55">
        <f>G715*Constants!$B$16/1000000</f>
        <v>1.94392196207148</v>
      </c>
      <c r="H309" s="55">
        <f>H715*Constants!$B$19/1000000</f>
        <v>4.9473592052511401</v>
      </c>
      <c r="I309" s="62">
        <f t="shared" si="28"/>
        <v>0</v>
      </c>
      <c r="J309" s="62">
        <f t="shared" si="29"/>
        <v>0</v>
      </c>
    </row>
    <row r="310" spans="1:10" s="25" customFormat="1" x14ac:dyDescent="0.25">
      <c r="A310" s="42" t="str">
        <f t="shared" si="27"/>
        <v>Middle Atlantic_2027</v>
      </c>
      <c r="B310" s="55">
        <f>B716*Constants!$B$20/1000000</f>
        <v>1.7441374443900002</v>
      </c>
      <c r="C310" s="55">
        <f>C716*Constants!$B$18/1000000</f>
        <v>2.4917436771017951</v>
      </c>
      <c r="D310" s="55">
        <f>D716*Constants!$B$22/1000000</f>
        <v>3.0670220899769403</v>
      </c>
      <c r="E310" s="55">
        <f>E716*Constants!$B$21/1000000</f>
        <v>3.7519069591299998</v>
      </c>
      <c r="F310" s="55">
        <f>F716*Constants!$B$15/1000000</f>
        <v>1.5348540961599999</v>
      </c>
      <c r="G310" s="55">
        <f>G716*Constants!$B$16/1000000</f>
        <v>1.9504004758798998</v>
      </c>
      <c r="H310" s="55">
        <f>H716*Constants!$B$19/1000000</f>
        <v>4.8613378479340605</v>
      </c>
      <c r="I310" s="62">
        <f t="shared" si="28"/>
        <v>0</v>
      </c>
      <c r="J310" s="62">
        <f t="shared" si="29"/>
        <v>0</v>
      </c>
    </row>
    <row r="311" spans="1:10" s="25" customFormat="1" x14ac:dyDescent="0.25">
      <c r="A311" s="42" t="str">
        <f t="shared" si="27"/>
        <v>Middle Atlantic_2026</v>
      </c>
      <c r="B311" s="55">
        <f>B717*Constants!$B$20/1000000</f>
        <v>1.7280898704300001</v>
      </c>
      <c r="C311" s="55">
        <f>C717*Constants!$B$18/1000000</f>
        <v>2.889624532454897</v>
      </c>
      <c r="D311" s="55">
        <f>D717*Constants!$B$22/1000000</f>
        <v>3.0614446979233603</v>
      </c>
      <c r="E311" s="55">
        <f>E717*Constants!$B$21/1000000</f>
        <v>3.71444832242</v>
      </c>
      <c r="F311" s="55">
        <f>F717*Constants!$B$15/1000000</f>
        <v>1.51501197876</v>
      </c>
      <c r="G311" s="55">
        <f>G717*Constants!$B$16/1000000</f>
        <v>1.9610123226881002</v>
      </c>
      <c r="H311" s="55">
        <f>H717*Constants!$B$19/1000000</f>
        <v>4.7541025525288001</v>
      </c>
      <c r="I311" s="62">
        <f t="shared" si="28"/>
        <v>0</v>
      </c>
      <c r="J311" s="62">
        <f t="shared" si="29"/>
        <v>0</v>
      </c>
    </row>
    <row r="312" spans="1:10" s="25" customFormat="1" x14ac:dyDescent="0.25">
      <c r="A312" s="42" t="str">
        <f t="shared" si="27"/>
        <v>Middle Atlantic_2025</v>
      </c>
      <c r="B312" s="55">
        <f>B718*Constants!$B$20/1000000</f>
        <v>1.72446601239</v>
      </c>
      <c r="C312" s="55">
        <f>C718*Constants!$B$18/1000000</f>
        <v>2.8619661008955108</v>
      </c>
      <c r="D312" s="55">
        <f>D718*Constants!$B$22/1000000</f>
        <v>3.0251785819848203</v>
      </c>
      <c r="E312" s="55">
        <f>E718*Constants!$B$21/1000000</f>
        <v>3.6655736780299994</v>
      </c>
      <c r="F312" s="55">
        <f>F718*Constants!$B$15/1000000</f>
        <v>1.4768804105999997</v>
      </c>
      <c r="G312" s="55">
        <f>G718*Constants!$B$16/1000000</f>
        <v>1.9843669368081602</v>
      </c>
      <c r="H312" s="55">
        <f>H718*Constants!$B$19/1000000</f>
        <v>4.6305043457717208</v>
      </c>
      <c r="I312" s="62">
        <f t="shared" si="28"/>
        <v>0</v>
      </c>
      <c r="J312" s="62">
        <f t="shared" si="29"/>
        <v>0</v>
      </c>
    </row>
    <row r="313" spans="1:10" s="25" customFormat="1" x14ac:dyDescent="0.25">
      <c r="A313" s="42" t="str">
        <f t="shared" si="27"/>
        <v>Middle Atlantic_2024</v>
      </c>
      <c r="B313" s="55">
        <f>B719*Constants!$B$20/1000000</f>
        <v>1.7271843629699999</v>
      </c>
      <c r="C313" s="55">
        <f>C719*Constants!$B$18/1000000</f>
        <v>2.817031692296863</v>
      </c>
      <c r="D313" s="55">
        <f>D719*Constants!$B$22/1000000</f>
        <v>2.9776815647312804</v>
      </c>
      <c r="E313" s="55">
        <f>E719*Constants!$B$21/1000000</f>
        <v>3.5828558168700004</v>
      </c>
      <c r="F313" s="55">
        <f>F719*Constants!$B$15/1000000</f>
        <v>1.4312253062800002</v>
      </c>
      <c r="G313" s="55">
        <f>G719*Constants!$B$16/1000000</f>
        <v>2.0030156527289602</v>
      </c>
      <c r="H313" s="55">
        <f>H719*Constants!$B$19/1000000</f>
        <v>4.4367326975102612</v>
      </c>
      <c r="I313" s="62">
        <f t="shared" si="28"/>
        <v>0</v>
      </c>
      <c r="J313" s="62">
        <f t="shared" si="29"/>
        <v>0</v>
      </c>
    </row>
    <row r="314" spans="1:10" s="25" customFormat="1" x14ac:dyDescent="0.25">
      <c r="A314" s="42" t="str">
        <f t="shared" si="27"/>
        <v>Middle Atlantic_2023</v>
      </c>
      <c r="B314" s="55">
        <f>B720*Constants!$B$20/1000000</f>
        <v>1.7193028099499998</v>
      </c>
      <c r="C314" s="55">
        <f>C720*Constants!$B$18/1000000</f>
        <v>2.803886200009142</v>
      </c>
      <c r="D314" s="55">
        <f>D720*Constants!$B$22/1000000</f>
        <v>2.9493937847360199</v>
      </c>
      <c r="E314" s="55">
        <f>E720*Constants!$B$21/1000000</f>
        <v>3.5422504103800003</v>
      </c>
      <c r="F314" s="55">
        <f>F720*Constants!$B$15/1000000</f>
        <v>1.4001407512400001</v>
      </c>
      <c r="G314" s="55">
        <f>G720*Constants!$B$16/1000000</f>
        <v>2.0115985905446405</v>
      </c>
      <c r="H314" s="55">
        <f>H720*Constants!$B$19/1000000</f>
        <v>4.2931140993892001</v>
      </c>
      <c r="I314" s="62">
        <f t="shared" si="28"/>
        <v>0</v>
      </c>
      <c r="J314" s="62">
        <f t="shared" si="29"/>
        <v>0</v>
      </c>
    </row>
    <row r="315" spans="1:10" s="25" customFormat="1" x14ac:dyDescent="0.25">
      <c r="A315" s="42" t="str">
        <f t="shared" si="27"/>
        <v>Middle Atlantic_2022</v>
      </c>
      <c r="B315" s="55">
        <f>B721*Constants!$B$20/1000000</f>
        <v>1.6969508711100001</v>
      </c>
      <c r="C315" s="55">
        <f>C721*Constants!$B$18/1000000</f>
        <v>2.771898568690685</v>
      </c>
      <c r="D315" s="55">
        <f>D721*Constants!$B$22/1000000</f>
        <v>2.9165781148218599</v>
      </c>
      <c r="E315" s="55">
        <f>E721*Constants!$B$21/1000000</f>
        <v>3.49578479954</v>
      </c>
      <c r="F315" s="55">
        <f>F721*Constants!$B$15/1000000</f>
        <v>1.36292665628</v>
      </c>
      <c r="G315" s="55">
        <f>G721*Constants!$B$16/1000000</f>
        <v>2.01600026078978</v>
      </c>
      <c r="H315" s="55">
        <f>H721*Constants!$B$19/1000000</f>
        <v>4.1236016797226194</v>
      </c>
      <c r="I315" s="62">
        <f t="shared" si="28"/>
        <v>0</v>
      </c>
      <c r="J315" s="62">
        <f t="shared" si="29"/>
        <v>0</v>
      </c>
    </row>
    <row r="316" spans="1:10" s="25" customFormat="1" x14ac:dyDescent="0.25">
      <c r="A316" s="42" t="str">
        <f t="shared" si="27"/>
        <v>Middle Atlantic_2021</v>
      </c>
      <c r="B316" s="55">
        <f>B722*Constants!$B$20/1000000</f>
        <v>1.6627467116699999</v>
      </c>
      <c r="C316" s="55">
        <f>C722*Constants!$B$18/1000000</f>
        <v>3.2052885370612962</v>
      </c>
      <c r="D316" s="55">
        <f>D722*Constants!$B$22/1000000</f>
        <v>2.7935875209026801</v>
      </c>
      <c r="E316" s="55">
        <f>E722*Constants!$B$21/1000000</f>
        <v>3.3834494669800002</v>
      </c>
      <c r="F316" s="55">
        <f>F722*Constants!$B$15/1000000</f>
        <v>1.3162996957599999</v>
      </c>
      <c r="G316" s="55">
        <f>G722*Constants!$B$16/1000000</f>
        <v>2.0129135393978004</v>
      </c>
      <c r="H316" s="55">
        <f>H722*Constants!$B$19/1000000</f>
        <v>3.8458399919090005</v>
      </c>
      <c r="I316" s="62">
        <f t="shared" si="28"/>
        <v>0</v>
      </c>
      <c r="J316" s="62">
        <f t="shared" si="29"/>
        <v>0</v>
      </c>
    </row>
    <row r="317" spans="1:10" s="25" customFormat="1" x14ac:dyDescent="0.25">
      <c r="A317" s="42" t="str">
        <f t="shared" si="27"/>
        <v>Middle Atlantic_2020</v>
      </c>
      <c r="B317" s="55">
        <f>B723*Constants!$B$20/1000000</f>
        <v>1.6610148578099999</v>
      </c>
      <c r="C317" s="55">
        <f>C723*Constants!$B$18/1000000</f>
        <v>3.137888362824012</v>
      </c>
      <c r="D317" s="55">
        <f>D723*Constants!$B$22/1000000</f>
        <v>2.6647669751437806</v>
      </c>
      <c r="E317" s="55">
        <f>E723*Constants!$B$21/1000000</f>
        <v>3.2880626791100003</v>
      </c>
      <c r="F317" s="55">
        <f>F723*Constants!$B$15/1000000</f>
        <v>1.25790962836</v>
      </c>
      <c r="G317" s="55">
        <f>G723*Constants!$B$16/1000000</f>
        <v>2.0053858847705599</v>
      </c>
      <c r="H317" s="55">
        <f>H723*Constants!$B$19/1000000</f>
        <v>3.7811374747181201</v>
      </c>
      <c r="I317" s="62">
        <f t="shared" si="28"/>
        <v>0</v>
      </c>
      <c r="J317" s="62">
        <f t="shared" si="29"/>
        <v>0</v>
      </c>
    </row>
    <row r="318" spans="1:10" s="25" customFormat="1" x14ac:dyDescent="0.25">
      <c r="A318" s="42" t="str">
        <f t="shared" si="27"/>
        <v>Middle Atlantic_2019</v>
      </c>
      <c r="B318" s="55">
        <f>B724*Constants!$B$20/1000000</f>
        <v>1.66524814632</v>
      </c>
      <c r="C318" s="55">
        <f>C724*Constants!$B$18/1000000</f>
        <v>3.066210960445011</v>
      </c>
      <c r="D318" s="55">
        <f>D724*Constants!$B$22/1000000</f>
        <v>2.5321275616219201</v>
      </c>
      <c r="E318" s="55">
        <f>E724*Constants!$B$21/1000000</f>
        <v>3.1684722709200002</v>
      </c>
      <c r="F318" s="55">
        <f>F724*Constants!$B$15/1000000</f>
        <v>1.18248143104</v>
      </c>
      <c r="G318" s="55">
        <f>G724*Constants!$B$16/1000000</f>
        <v>1.9666482479109999</v>
      </c>
      <c r="H318" s="55">
        <f>H724*Constants!$B$19/1000000</f>
        <v>3.6992681183869207</v>
      </c>
      <c r="I318" s="62">
        <f t="shared" si="28"/>
        <v>0</v>
      </c>
      <c r="J318" s="62">
        <f t="shared" si="29"/>
        <v>0</v>
      </c>
    </row>
    <row r="319" spans="1:10" s="25" customFormat="1" x14ac:dyDescent="0.25">
      <c r="A319" s="42" t="str">
        <f t="shared" si="27"/>
        <v>Middle Atlantic_2018</v>
      </c>
      <c r="B319" s="55">
        <f>B725*Constants!$B$20/1000000</f>
        <v>1.6623608700600001</v>
      </c>
      <c r="C319" s="55">
        <f>C725*Constants!$B$18/1000000</f>
        <v>2.8859328392131958</v>
      </c>
      <c r="D319" s="55">
        <f>D725*Constants!$B$22/1000000</f>
        <v>2.3025106099602004</v>
      </c>
      <c r="E319" s="55">
        <f>E725*Constants!$B$21/1000000</f>
        <v>2.9729068026900003</v>
      </c>
      <c r="F319" s="55">
        <f>F725*Constants!$B$15/1000000</f>
        <v>1.06251854716</v>
      </c>
      <c r="G319" s="55">
        <f>G725*Constants!$B$16/1000000</f>
        <v>1.9365852026569401</v>
      </c>
      <c r="H319" s="55">
        <f>H725*Constants!$B$19/1000000</f>
        <v>3.5913229577553802</v>
      </c>
      <c r="I319" s="62">
        <f t="shared" si="28"/>
        <v>0</v>
      </c>
      <c r="J319" s="62">
        <f t="shared" si="29"/>
        <v>0</v>
      </c>
    </row>
    <row r="320" spans="1:10" s="25" customFormat="1" x14ac:dyDescent="0.25">
      <c r="A320" s="42" t="str">
        <f t="shared" si="27"/>
        <v>Middle Atlantic_2017</v>
      </c>
      <c r="B320" s="55">
        <f>B726*Constants!$B$20/1000000</f>
        <v>1.5685122340800002</v>
      </c>
      <c r="C320" s="55">
        <f>C726*Constants!$B$18/1000000</f>
        <v>2.6055777939560882</v>
      </c>
      <c r="D320" s="55">
        <f>D726*Constants!$B$22/1000000</f>
        <v>2.3266987797692802</v>
      </c>
      <c r="E320" s="55">
        <f>E726*Constants!$B$21/1000000</f>
        <v>2.6805800333400001</v>
      </c>
      <c r="F320" s="55">
        <f>F726*Constants!$B$15/1000000</f>
        <v>0.7358846521600001</v>
      </c>
      <c r="G320" s="55">
        <f>G726*Constants!$B$16/1000000</f>
        <v>1.92020302112592</v>
      </c>
      <c r="H320" s="55">
        <f>H726*Constants!$B$19/1000000</f>
        <v>3.4398617580157804</v>
      </c>
      <c r="I320" s="62">
        <f t="shared" si="28"/>
        <v>0</v>
      </c>
      <c r="J320" s="62">
        <f t="shared" si="29"/>
        <v>0</v>
      </c>
    </row>
    <row r="321" spans="1:10" s="25" customFormat="1" x14ac:dyDescent="0.25">
      <c r="A321" s="42" t="str">
        <f t="shared" si="27"/>
        <v>Middle Atlantic_2016</v>
      </c>
      <c r="B321" s="55">
        <f>B727*Constants!$B$20/1000000</f>
        <v>1.55661769065</v>
      </c>
      <c r="C321" s="55">
        <f>C727*Constants!$B$18/1000000</f>
        <v>2.4064361336158031</v>
      </c>
      <c r="D321" s="55">
        <f>D727*Constants!$B$22/1000000</f>
        <v>2.2325549214807801</v>
      </c>
      <c r="E321" s="55">
        <f>E727*Constants!$B$21/1000000</f>
        <v>2.35581765958</v>
      </c>
      <c r="F321" s="55">
        <f>F727*Constants!$B$15/1000000</f>
        <v>0.56679792428000009</v>
      </c>
      <c r="G321" s="55">
        <f>G727*Constants!$B$16/1000000</f>
        <v>1.9330110661698203</v>
      </c>
      <c r="H321" s="55">
        <f>H727*Constants!$B$19/1000000</f>
        <v>3.3547740408809403</v>
      </c>
      <c r="I321" s="62">
        <f t="shared" si="28"/>
        <v>0</v>
      </c>
      <c r="J321" s="62">
        <f t="shared" si="29"/>
        <v>0</v>
      </c>
    </row>
    <row r="322" spans="1:10" s="25" customFormat="1" x14ac:dyDescent="0.25">
      <c r="A322" s="42" t="str">
        <f t="shared" si="27"/>
        <v>Middle Atlantic_2015</v>
      </c>
      <c r="B322" s="55">
        <f>B728*Constants!$B$20/1000000</f>
        <v>1.6391221628099999</v>
      </c>
      <c r="C322" s="55">
        <f>C728*Constants!$B$18/1000000</f>
        <v>2.6741895902415473</v>
      </c>
      <c r="D322" s="55">
        <f>D728*Constants!$B$22/1000000</f>
        <v>2.5755075050893796</v>
      </c>
      <c r="E322" s="55">
        <f>E728*Constants!$B$21/1000000</f>
        <v>2.8120315560700004</v>
      </c>
      <c r="F322" s="55">
        <f>F728*Constants!$B$15/1000000</f>
        <v>0.76684419027999995</v>
      </c>
      <c r="G322" s="55">
        <f>G728*Constants!$B$16/1000000</f>
        <v>1.9920705522592201</v>
      </c>
      <c r="H322" s="55">
        <f>H728*Constants!$B$19/1000000</f>
        <v>4.4313688431299401</v>
      </c>
      <c r="I322" s="62">
        <f t="shared" si="28"/>
        <v>0</v>
      </c>
      <c r="J322" s="62">
        <f t="shared" si="29"/>
        <v>0</v>
      </c>
    </row>
    <row r="323" spans="1:10" customFormat="1" x14ac:dyDescent="0.25">
      <c r="A323" s="43" t="str">
        <f t="shared" ref="A323:A358" si="30">CONCATENATE("New England_", A732)</f>
        <v>New England_2050</v>
      </c>
      <c r="B323" s="56">
        <f>B732*Constants!$B$20/1000000</f>
        <v>2.1020072287499998</v>
      </c>
      <c r="C323" s="56">
        <f>C732*Constants!$B$18/1000000</f>
        <v>2.9243859015798184</v>
      </c>
      <c r="D323" s="56">
        <f>D732*Constants!$B$22/1000000</f>
        <v>3.6007535425786203</v>
      </c>
      <c r="E323" s="56">
        <f>E732*Constants!$B$21/1000000</f>
        <v>4.1009179624600005</v>
      </c>
      <c r="F323" s="56">
        <f>F732*Constants!$B$15/1000000</f>
        <v>2.02163005912</v>
      </c>
      <c r="G323" s="56">
        <f>G732*Constants!$B$16/1000000</f>
        <v>2.2066270158058003</v>
      </c>
      <c r="H323" s="56">
        <f>H732*Constants!$B$19/1000000</f>
        <v>6.3277059881939</v>
      </c>
      <c r="I323" s="63">
        <f t="shared" ref="I323:I358" si="31">$B$13*J732</f>
        <v>0</v>
      </c>
      <c r="J323" s="63">
        <f t="shared" ref="J323:J358" si="32">$B$11*K732</f>
        <v>0</v>
      </c>
    </row>
    <row r="324" spans="1:10" customFormat="1" x14ac:dyDescent="0.25">
      <c r="A324" s="43" t="str">
        <f t="shared" si="30"/>
        <v>New England_2049</v>
      </c>
      <c r="B324" s="56">
        <f>B733*Constants!$B$20/1000000</f>
        <v>2.0837668202999997</v>
      </c>
      <c r="C324" s="56">
        <f>C733*Constants!$B$18/1000000</f>
        <v>2.9592584072428871</v>
      </c>
      <c r="D324" s="56">
        <f>D733*Constants!$B$22/1000000</f>
        <v>3.5626804860242203</v>
      </c>
      <c r="E324" s="56">
        <f>E733*Constants!$B$21/1000000</f>
        <v>4.0638523603700003</v>
      </c>
      <c r="F324" s="56">
        <f>F733*Constants!$B$15/1000000</f>
        <v>1.99566454388</v>
      </c>
      <c r="G324" s="56">
        <f>G733*Constants!$B$16/1000000</f>
        <v>2.2083625363200001</v>
      </c>
      <c r="H324" s="56">
        <f>H733*Constants!$B$19/1000000</f>
        <v>6.2566150452823601</v>
      </c>
      <c r="I324" s="63">
        <f t="shared" si="31"/>
        <v>0</v>
      </c>
      <c r="J324" s="63">
        <f t="shared" si="32"/>
        <v>0</v>
      </c>
    </row>
    <row r="325" spans="1:10" customFormat="1" x14ac:dyDescent="0.25">
      <c r="A325" s="43" t="str">
        <f t="shared" si="30"/>
        <v>New England_2048</v>
      </c>
      <c r="B325" s="56">
        <f>B734*Constants!$B$20/1000000</f>
        <v>2.0736868567800002</v>
      </c>
      <c r="C325" s="56">
        <f>C734*Constants!$B$18/1000000</f>
        <v>2.9956801706343459</v>
      </c>
      <c r="D325" s="56">
        <f>D734*Constants!$B$22/1000000</f>
        <v>3.54965962593878</v>
      </c>
      <c r="E325" s="56">
        <f>E734*Constants!$B$21/1000000</f>
        <v>4.0335085089200007</v>
      </c>
      <c r="F325" s="56">
        <f>F734*Constants!$B$15/1000000</f>
        <v>1.9778310146000002</v>
      </c>
      <c r="G325" s="56">
        <f>G734*Constants!$B$16/1000000</f>
        <v>2.2089182401126801</v>
      </c>
      <c r="H325" s="56">
        <f>H734*Constants!$B$19/1000000</f>
        <v>6.2810745633023011</v>
      </c>
      <c r="I325" s="63">
        <f t="shared" si="31"/>
        <v>0</v>
      </c>
      <c r="J325" s="63">
        <f t="shared" si="32"/>
        <v>0</v>
      </c>
    </row>
    <row r="326" spans="1:10" customFormat="1" x14ac:dyDescent="0.25">
      <c r="A326" s="43" t="str">
        <f t="shared" si="30"/>
        <v>New England_2047</v>
      </c>
      <c r="B326" s="56">
        <f>B735*Constants!$B$20/1000000</f>
        <v>2.0548313504399998</v>
      </c>
      <c r="C326" s="56">
        <f>C735*Constants!$B$18/1000000</f>
        <v>2.9904672735476714</v>
      </c>
      <c r="D326" s="56">
        <f>D735*Constants!$B$22/1000000</f>
        <v>3.5616791593375403</v>
      </c>
      <c r="E326" s="56">
        <f>E735*Constants!$B$21/1000000</f>
        <v>4.0357116078400006</v>
      </c>
      <c r="F326" s="56">
        <f>F735*Constants!$B$15/1000000</f>
        <v>1.9716890625600001</v>
      </c>
      <c r="G326" s="56">
        <f>G735*Constants!$B$16/1000000</f>
        <v>2.2086678482217001</v>
      </c>
      <c r="H326" s="56">
        <f>H735*Constants!$B$19/1000000</f>
        <v>6.3069868119566808</v>
      </c>
      <c r="I326" s="63">
        <f t="shared" si="31"/>
        <v>0</v>
      </c>
      <c r="J326" s="63">
        <f t="shared" si="32"/>
        <v>0</v>
      </c>
    </row>
    <row r="327" spans="1:10" customFormat="1" x14ac:dyDescent="0.25">
      <c r="A327" s="43" t="str">
        <f t="shared" si="30"/>
        <v>New England_2046</v>
      </c>
      <c r="B327" s="56">
        <f>B736*Constants!$B$20/1000000</f>
        <v>2.0386715249999998</v>
      </c>
      <c r="C327" s="56">
        <f>C736*Constants!$B$18/1000000</f>
        <v>3.0449121284569292</v>
      </c>
      <c r="D327" s="56">
        <f>D736*Constants!$B$22/1000000</f>
        <v>3.5396521401257401</v>
      </c>
      <c r="E327" s="56">
        <f>E736*Constants!$B$21/1000000</f>
        <v>3.9845383064299997</v>
      </c>
      <c r="F327" s="56">
        <f>F736*Constants!$B$15/1000000</f>
        <v>1.94256127184</v>
      </c>
      <c r="G327" s="56">
        <f>G736*Constants!$B$16/1000000</f>
        <v>2.2085293438087001</v>
      </c>
      <c r="H327" s="56">
        <f>H736*Constants!$B$19/1000000</f>
        <v>6.2975310554618602</v>
      </c>
      <c r="I327" s="63">
        <f t="shared" si="31"/>
        <v>0</v>
      </c>
      <c r="J327" s="63">
        <f t="shared" si="32"/>
        <v>0</v>
      </c>
    </row>
    <row r="328" spans="1:10" customFormat="1" x14ac:dyDescent="0.25">
      <c r="A328" s="43" t="str">
        <f t="shared" si="30"/>
        <v>New England_2045</v>
      </c>
      <c r="B328" s="56">
        <f>B737*Constants!$B$20/1000000</f>
        <v>2.0234635518899999</v>
      </c>
      <c r="C328" s="56">
        <f>C737*Constants!$B$18/1000000</f>
        <v>3.1416336461763414</v>
      </c>
      <c r="D328" s="56">
        <f>D737*Constants!$B$22/1000000</f>
        <v>3.5230668990814</v>
      </c>
      <c r="E328" s="56">
        <f>E737*Constants!$B$21/1000000</f>
        <v>3.9630862054299998</v>
      </c>
      <c r="F328" s="56">
        <f>F737*Constants!$B$15/1000000</f>
        <v>1.9251753466399999</v>
      </c>
      <c r="G328" s="56">
        <f>G737*Constants!$B$16/1000000</f>
        <v>2.2048306737885</v>
      </c>
      <c r="H328" s="56">
        <f>H737*Constants!$B$19/1000000</f>
        <v>6.3200416357329612</v>
      </c>
      <c r="I328" s="63">
        <f t="shared" si="31"/>
        <v>0</v>
      </c>
      <c r="J328" s="63">
        <f t="shared" si="32"/>
        <v>0</v>
      </c>
    </row>
    <row r="329" spans="1:10" customFormat="1" x14ac:dyDescent="0.25">
      <c r="A329" s="43" t="str">
        <f t="shared" si="30"/>
        <v>New England_2044</v>
      </c>
      <c r="B329" s="56">
        <f>B738*Constants!$B$20/1000000</f>
        <v>2.0164608146099998</v>
      </c>
      <c r="C329" s="56">
        <f>C738*Constants!$B$18/1000000</f>
        <v>3.1143889194810486</v>
      </c>
      <c r="D329" s="56">
        <f>D738*Constants!$B$22/1000000</f>
        <v>3.5096161935611798</v>
      </c>
      <c r="E329" s="56">
        <f>E738*Constants!$B$21/1000000</f>
        <v>3.9459131684500002</v>
      </c>
      <c r="F329" s="56">
        <f>F738*Constants!$B$15/1000000</f>
        <v>1.9132179964800002</v>
      </c>
      <c r="G329" s="56">
        <f>G738*Constants!$B$16/1000000</f>
        <v>2.2012211283471004</v>
      </c>
      <c r="H329" s="56">
        <f>H738*Constants!$B$19/1000000</f>
        <v>6.3290617657392403</v>
      </c>
      <c r="I329" s="63">
        <f t="shared" si="31"/>
        <v>0</v>
      </c>
      <c r="J329" s="63">
        <f t="shared" si="32"/>
        <v>0</v>
      </c>
    </row>
    <row r="330" spans="1:10" customFormat="1" x14ac:dyDescent="0.25">
      <c r="A330" s="43" t="str">
        <f t="shared" si="30"/>
        <v>New England_2043</v>
      </c>
      <c r="B330" s="56">
        <f>B739*Constants!$B$20/1000000</f>
        <v>2.0025454703099999</v>
      </c>
      <c r="C330" s="56">
        <f>C739*Constants!$B$18/1000000</f>
        <v>2.962637281701241</v>
      </c>
      <c r="D330" s="56">
        <f>D739*Constants!$B$22/1000000</f>
        <v>3.4970024160113407</v>
      </c>
      <c r="E330" s="56">
        <f>E739*Constants!$B$21/1000000</f>
        <v>3.94195193898</v>
      </c>
      <c r="F330" s="56">
        <f>F739*Constants!$B$15/1000000</f>
        <v>1.9036442852</v>
      </c>
      <c r="G330" s="56">
        <f>G739*Constants!$B$16/1000000</f>
        <v>2.1992507525239007</v>
      </c>
      <c r="H330" s="56">
        <f>H739*Constants!$B$19/1000000</f>
        <v>6.3220677746372207</v>
      </c>
      <c r="I330" s="63">
        <f t="shared" si="31"/>
        <v>0</v>
      </c>
      <c r="J330" s="63">
        <f t="shared" si="32"/>
        <v>0</v>
      </c>
    </row>
    <row r="331" spans="1:10" customFormat="1" x14ac:dyDescent="0.25">
      <c r="A331" s="43" t="str">
        <f t="shared" si="30"/>
        <v>New England_2042</v>
      </c>
      <c r="B331" s="56">
        <f>B740*Constants!$B$20/1000000</f>
        <v>1.9864936000799998</v>
      </c>
      <c r="C331" s="56">
        <f>C740*Constants!$B$18/1000000</f>
        <v>2.8520286421094441</v>
      </c>
      <c r="D331" s="56">
        <f>D740*Constants!$B$22/1000000</f>
        <v>3.4871731793559002</v>
      </c>
      <c r="E331" s="56">
        <f>E740*Constants!$B$21/1000000</f>
        <v>3.9439632292500004</v>
      </c>
      <c r="F331" s="56">
        <f>F740*Constants!$B$15/1000000</f>
        <v>1.8957545275200001</v>
      </c>
      <c r="G331" s="56">
        <f>G740*Constants!$B$16/1000000</f>
        <v>2.1995958091702006</v>
      </c>
      <c r="H331" s="56">
        <f>H740*Constants!$B$19/1000000</f>
        <v>6.3039710289118807</v>
      </c>
      <c r="I331" s="63">
        <f t="shared" si="31"/>
        <v>0</v>
      </c>
      <c r="J331" s="63">
        <f t="shared" si="32"/>
        <v>0</v>
      </c>
    </row>
    <row r="332" spans="1:10" customFormat="1" x14ac:dyDescent="0.25">
      <c r="A332" s="43" t="str">
        <f t="shared" si="30"/>
        <v>New England_2041</v>
      </c>
      <c r="B332" s="56">
        <f>B741*Constants!$B$20/1000000</f>
        <v>1.9751731114500002</v>
      </c>
      <c r="C332" s="56">
        <f>C741*Constants!$B$18/1000000</f>
        <v>2.7676823937119153</v>
      </c>
      <c r="D332" s="56">
        <f>D741*Constants!$B$22/1000000</f>
        <v>3.48114329940698</v>
      </c>
      <c r="E332" s="56">
        <f>E741*Constants!$B$21/1000000</f>
        <v>3.95456034556</v>
      </c>
      <c r="F332" s="56">
        <f>F741*Constants!$B$15/1000000</f>
        <v>1.89392687484</v>
      </c>
      <c r="G332" s="56">
        <f>G741*Constants!$B$16/1000000</f>
        <v>2.2052921945803403</v>
      </c>
      <c r="H332" s="56">
        <f>H741*Constants!$B$19/1000000</f>
        <v>6.3050432939457401</v>
      </c>
      <c r="I332" s="63">
        <f t="shared" si="31"/>
        <v>0</v>
      </c>
      <c r="J332" s="63">
        <f t="shared" si="32"/>
        <v>0</v>
      </c>
    </row>
    <row r="333" spans="1:10" customFormat="1" x14ac:dyDescent="0.25">
      <c r="A333" s="43" t="str">
        <f t="shared" si="30"/>
        <v>New England_2040</v>
      </c>
      <c r="B333" s="56">
        <f>B742*Constants!$B$20/1000000</f>
        <v>1.95420886782</v>
      </c>
      <c r="C333" s="56">
        <f>C742*Constants!$B$18/1000000</f>
        <v>2.6916966521538193</v>
      </c>
      <c r="D333" s="56">
        <f>D742*Constants!$B$22/1000000</f>
        <v>3.4639599601757207</v>
      </c>
      <c r="E333" s="56">
        <f>E742*Constants!$B$21/1000000</f>
        <v>3.9457219137599999</v>
      </c>
      <c r="F333" s="56">
        <f>F742*Constants!$B$15/1000000</f>
        <v>1.8825567331199999</v>
      </c>
      <c r="G333" s="56">
        <f>G742*Constants!$B$16/1000000</f>
        <v>2.2114472102554403</v>
      </c>
      <c r="H333" s="56">
        <f>H742*Constants!$B$19/1000000</f>
        <v>6.3103098339211003</v>
      </c>
      <c r="I333" s="63">
        <f t="shared" si="31"/>
        <v>0</v>
      </c>
      <c r="J333" s="63">
        <f t="shared" si="32"/>
        <v>0</v>
      </c>
    </row>
    <row r="334" spans="1:10" customFormat="1" x14ac:dyDescent="0.25">
      <c r="A334" s="43" t="str">
        <f t="shared" si="30"/>
        <v>New England_2039</v>
      </c>
      <c r="B334" s="56">
        <f>B743*Constants!$B$20/1000000</f>
        <v>1.9410230667299999</v>
      </c>
      <c r="C334" s="56">
        <f>C743*Constants!$B$18/1000000</f>
        <v>2.6184211674993296</v>
      </c>
      <c r="D334" s="56">
        <f>D743*Constants!$B$22/1000000</f>
        <v>3.4390743303182201</v>
      </c>
      <c r="E334" s="56">
        <f>E743*Constants!$B$21/1000000</f>
        <v>3.9269163566600001</v>
      </c>
      <c r="F334" s="56">
        <f>F743*Constants!$B$15/1000000</f>
        <v>1.86180750728</v>
      </c>
      <c r="G334" s="56">
        <f>G743*Constants!$B$16/1000000</f>
        <v>2.2262190069984404</v>
      </c>
      <c r="H334" s="56">
        <f>H743*Constants!$B$19/1000000</f>
        <v>6.3406437456315414</v>
      </c>
      <c r="I334" s="63">
        <f t="shared" si="31"/>
        <v>0</v>
      </c>
      <c r="J334" s="63">
        <f t="shared" si="32"/>
        <v>0</v>
      </c>
    </row>
    <row r="335" spans="1:10" customFormat="1" x14ac:dyDescent="0.25">
      <c r="A335" s="43" t="str">
        <f t="shared" si="30"/>
        <v>New England_2038</v>
      </c>
      <c r="B335" s="56">
        <f>B744*Constants!$B$20/1000000</f>
        <v>1.9067020853100001</v>
      </c>
      <c r="C335" s="56">
        <f>C744*Constants!$B$18/1000000</f>
        <v>2.5655510166293802</v>
      </c>
      <c r="D335" s="56">
        <f>D744*Constants!$B$22/1000000</f>
        <v>3.3962854995977203</v>
      </c>
      <c r="E335" s="56">
        <f>E744*Constants!$B$21/1000000</f>
        <v>3.8809537414999999</v>
      </c>
      <c r="F335" s="56">
        <f>F744*Constants!$B$15/1000000</f>
        <v>1.8321472750000001</v>
      </c>
      <c r="G335" s="56">
        <f>G744*Constants!$B$16/1000000</f>
        <v>2.2334552001652801</v>
      </c>
      <c r="H335" s="56">
        <f>H744*Constants!$B$19/1000000</f>
        <v>6.342650614356601</v>
      </c>
      <c r="I335" s="63">
        <f t="shared" si="31"/>
        <v>0</v>
      </c>
      <c r="J335" s="63">
        <f t="shared" si="32"/>
        <v>0</v>
      </c>
    </row>
    <row r="336" spans="1:10" customFormat="1" x14ac:dyDescent="0.25">
      <c r="A336" s="43" t="str">
        <f t="shared" si="30"/>
        <v>New England_2037</v>
      </c>
      <c r="B336" s="56">
        <f>B745*Constants!$B$20/1000000</f>
        <v>1.8823426914600001</v>
      </c>
      <c r="C336" s="56">
        <f>C745*Constants!$B$18/1000000</f>
        <v>2.5116505149579442</v>
      </c>
      <c r="D336" s="56">
        <f>D745*Constants!$B$22/1000000</f>
        <v>3.3833175120664607</v>
      </c>
      <c r="E336" s="56">
        <f>E745*Constants!$B$21/1000000</f>
        <v>3.8700765984100003</v>
      </c>
      <c r="F336" s="56">
        <f>F745*Constants!$B$15/1000000</f>
        <v>1.8174052593199999</v>
      </c>
      <c r="G336" s="56">
        <f>G745*Constants!$B$16/1000000</f>
        <v>2.2414973685771602</v>
      </c>
      <c r="H336" s="56">
        <f>H745*Constants!$B$19/1000000</f>
        <v>6.3539122275197011</v>
      </c>
      <c r="I336" s="63">
        <f t="shared" si="31"/>
        <v>0</v>
      </c>
      <c r="J336" s="63">
        <f t="shared" si="32"/>
        <v>0</v>
      </c>
    </row>
    <row r="337" spans="1:10" customFormat="1" x14ac:dyDescent="0.25">
      <c r="A337" s="43" t="str">
        <f t="shared" si="30"/>
        <v>New England_2036</v>
      </c>
      <c r="B337" s="56">
        <f>B746*Constants!$B$20/1000000</f>
        <v>1.86986385531</v>
      </c>
      <c r="C337" s="56">
        <f>C746*Constants!$B$18/1000000</f>
        <v>2.487562929142467</v>
      </c>
      <c r="D337" s="56">
        <f>D746*Constants!$B$22/1000000</f>
        <v>3.3768127426388803</v>
      </c>
      <c r="E337" s="56">
        <f>E746*Constants!$B$21/1000000</f>
        <v>3.8645191332</v>
      </c>
      <c r="F337" s="56">
        <f>F746*Constants!$B$15/1000000</f>
        <v>1.80809130684</v>
      </c>
      <c r="G337" s="56">
        <f>G746*Constants!$B$16/1000000</f>
        <v>2.2458048558214601</v>
      </c>
      <c r="H337" s="56">
        <f>H746*Constants!$B$19/1000000</f>
        <v>6.3494428707701207</v>
      </c>
      <c r="I337" s="63">
        <f t="shared" si="31"/>
        <v>0</v>
      </c>
      <c r="J337" s="63">
        <f t="shared" si="32"/>
        <v>0</v>
      </c>
    </row>
    <row r="338" spans="1:10" customFormat="1" x14ac:dyDescent="0.25">
      <c r="A338" s="43" t="str">
        <f t="shared" si="30"/>
        <v>New England_2035</v>
      </c>
      <c r="B338" s="56">
        <f>B747*Constants!$B$20/1000000</f>
        <v>1.84328310705</v>
      </c>
      <c r="C338" s="56">
        <f>C747*Constants!$B$18/1000000</f>
        <v>2.4175127419178875</v>
      </c>
      <c r="D338" s="56">
        <f>D747*Constants!$B$22/1000000</f>
        <v>3.3147160354303202</v>
      </c>
      <c r="E338" s="56">
        <f>E747*Constants!$B$21/1000000</f>
        <v>3.7955271544300002</v>
      </c>
      <c r="F338" s="56">
        <f>F747*Constants!$B$15/1000000</f>
        <v>1.7586607427200001</v>
      </c>
      <c r="G338" s="56">
        <f>G747*Constants!$B$16/1000000</f>
        <v>2.2511673853769598</v>
      </c>
      <c r="H338" s="56">
        <f>H747*Constants!$B$19/1000000</f>
        <v>6.3377492442770809</v>
      </c>
      <c r="I338" s="63">
        <f t="shared" si="31"/>
        <v>0</v>
      </c>
      <c r="J338" s="63">
        <f t="shared" si="32"/>
        <v>0</v>
      </c>
    </row>
    <row r="339" spans="1:10" customFormat="1" x14ac:dyDescent="0.25">
      <c r="A339" s="43" t="str">
        <f t="shared" si="30"/>
        <v>New England_2034</v>
      </c>
      <c r="B339" s="56">
        <f>B748*Constants!$B$20/1000000</f>
        <v>1.83445655745</v>
      </c>
      <c r="C339" s="56">
        <f>C748*Constants!$B$18/1000000</f>
        <v>2.428199742922402</v>
      </c>
      <c r="D339" s="56">
        <f>D748*Constants!$B$22/1000000</f>
        <v>3.2962284663830803</v>
      </c>
      <c r="E339" s="56">
        <f>E748*Constants!$B$21/1000000</f>
        <v>3.7718061717599998</v>
      </c>
      <c r="F339" s="56">
        <f>F748*Constants!$B$15/1000000</f>
        <v>1.7428775165200001</v>
      </c>
      <c r="G339" s="56">
        <f>G748*Constants!$B$16/1000000</f>
        <v>2.24585242907636</v>
      </c>
      <c r="H339" s="56">
        <f>H748*Constants!$B$19/1000000</f>
        <v>6.2863350813466612</v>
      </c>
      <c r="I339" s="63">
        <f t="shared" si="31"/>
        <v>0</v>
      </c>
      <c r="J339" s="63">
        <f t="shared" si="32"/>
        <v>0</v>
      </c>
    </row>
    <row r="340" spans="1:10" customFormat="1" x14ac:dyDescent="0.25">
      <c r="A340" s="43" t="str">
        <f t="shared" si="30"/>
        <v>New England_2033</v>
      </c>
      <c r="B340" s="56">
        <f>B749*Constants!$B$20/1000000</f>
        <v>1.8156667749000002</v>
      </c>
      <c r="C340" s="56">
        <f>C749*Constants!$B$18/1000000</f>
        <v>2.4001493662418292</v>
      </c>
      <c r="D340" s="56">
        <f>D749*Constants!$B$22/1000000</f>
        <v>3.2641675853004606</v>
      </c>
      <c r="E340" s="56">
        <f>E749*Constants!$B$21/1000000</f>
        <v>3.7295682451499998</v>
      </c>
      <c r="F340" s="56">
        <f>F749*Constants!$B$15/1000000</f>
        <v>1.7118060134000002</v>
      </c>
      <c r="G340" s="56">
        <f>G749*Constants!$B$16/1000000</f>
        <v>2.24973597237826</v>
      </c>
      <c r="H340" s="56">
        <f>H749*Constants!$B$19/1000000</f>
        <v>6.2817806949313599</v>
      </c>
      <c r="I340" s="63">
        <f t="shared" si="31"/>
        <v>0</v>
      </c>
      <c r="J340" s="63">
        <f t="shared" si="32"/>
        <v>0</v>
      </c>
    </row>
    <row r="341" spans="1:10" customFormat="1" x14ac:dyDescent="0.25">
      <c r="A341" s="43" t="str">
        <f t="shared" si="30"/>
        <v>New England_2032</v>
      </c>
      <c r="B341" s="56">
        <f>B750*Constants!$B$20/1000000</f>
        <v>1.8104195666699998</v>
      </c>
      <c r="C341" s="56">
        <f>C750*Constants!$B$18/1000000</f>
        <v>2.4304101551532211</v>
      </c>
      <c r="D341" s="56">
        <f>D750*Constants!$B$22/1000000</f>
        <v>3.2690991854736002</v>
      </c>
      <c r="E341" s="56">
        <f>E750*Constants!$B$21/1000000</f>
        <v>3.7272614172200003</v>
      </c>
      <c r="F341" s="56">
        <f>F750*Constants!$B$15/1000000</f>
        <v>1.71337006848</v>
      </c>
      <c r="G341" s="56">
        <f>G750*Constants!$B$16/1000000</f>
        <v>2.2662120960328802</v>
      </c>
      <c r="H341" s="56">
        <f>H750*Constants!$B$19/1000000</f>
        <v>6.3097194438058599</v>
      </c>
      <c r="I341" s="63">
        <f t="shared" si="31"/>
        <v>0</v>
      </c>
      <c r="J341" s="63">
        <f t="shared" si="32"/>
        <v>0</v>
      </c>
    </row>
    <row r="342" spans="1:10" customFormat="1" x14ac:dyDescent="0.25">
      <c r="A342" s="43" t="str">
        <f t="shared" si="30"/>
        <v>New England_2031</v>
      </c>
      <c r="B342" s="56">
        <f>B751*Constants!$B$20/1000000</f>
        <v>1.7851547567700001</v>
      </c>
      <c r="C342" s="56">
        <f>C751*Constants!$B$18/1000000</f>
        <v>2.4364334677887052</v>
      </c>
      <c r="D342" s="56">
        <f>D751*Constants!$B$22/1000000</f>
        <v>3.2253596122868204</v>
      </c>
      <c r="E342" s="56">
        <f>E751*Constants!$B$21/1000000</f>
        <v>3.6657573157700001</v>
      </c>
      <c r="F342" s="56">
        <f>F751*Constants!$B$15/1000000</f>
        <v>1.6696465203599999</v>
      </c>
      <c r="G342" s="56">
        <f>G751*Constants!$B$16/1000000</f>
        <v>2.2790936086349802</v>
      </c>
      <c r="H342" s="56">
        <f>H751*Constants!$B$19/1000000</f>
        <v>6.2995645411219403</v>
      </c>
      <c r="I342" s="63">
        <f t="shared" si="31"/>
        <v>0</v>
      </c>
      <c r="J342" s="63">
        <f t="shared" si="32"/>
        <v>0</v>
      </c>
    </row>
    <row r="343" spans="1:10" customFormat="1" x14ac:dyDescent="0.25">
      <c r="A343" s="43" t="str">
        <f t="shared" si="30"/>
        <v>New England_2030</v>
      </c>
      <c r="B343" s="56">
        <f>B752*Constants!$B$20/1000000</f>
        <v>1.7516769411900002</v>
      </c>
      <c r="C343" s="56">
        <f>C752*Constants!$B$18/1000000</f>
        <v>2.4695437939415603</v>
      </c>
      <c r="D343" s="56">
        <f>D752*Constants!$B$22/1000000</f>
        <v>3.1844697372878605</v>
      </c>
      <c r="E343" s="56">
        <f>E752*Constants!$B$21/1000000</f>
        <v>3.6123810539300005</v>
      </c>
      <c r="F343" s="56">
        <f>F752*Constants!$B$15/1000000</f>
        <v>1.6309001044</v>
      </c>
      <c r="G343" s="56">
        <f>G752*Constants!$B$16/1000000</f>
        <v>2.29654733256814</v>
      </c>
      <c r="H343" s="56">
        <f>H752*Constants!$B$19/1000000</f>
        <v>6.3200871615313208</v>
      </c>
      <c r="I343" s="63">
        <f t="shared" si="31"/>
        <v>0</v>
      </c>
      <c r="J343" s="63">
        <f t="shared" si="32"/>
        <v>0</v>
      </c>
    </row>
    <row r="344" spans="1:10" customFormat="1" x14ac:dyDescent="0.25">
      <c r="A344" s="43" t="str">
        <f t="shared" si="30"/>
        <v>New England_2029</v>
      </c>
      <c r="B344" s="56">
        <f>B753*Constants!$B$20/1000000</f>
        <v>1.73842313106</v>
      </c>
      <c r="C344" s="56">
        <f>C753*Constants!$B$18/1000000</f>
        <v>2.5392047335337429</v>
      </c>
      <c r="D344" s="56">
        <f>D753*Constants!$B$22/1000000</f>
        <v>3.1422466067655002</v>
      </c>
      <c r="E344" s="56">
        <f>E753*Constants!$B$21/1000000</f>
        <v>3.5470792796999997</v>
      </c>
      <c r="F344" s="56">
        <f>F753*Constants!$B$15/1000000</f>
        <v>1.58844963032</v>
      </c>
      <c r="G344" s="56">
        <f>G753*Constants!$B$16/1000000</f>
        <v>2.3060156146794406</v>
      </c>
      <c r="H344" s="56">
        <f>H753*Constants!$B$19/1000000</f>
        <v>6.297770487438421</v>
      </c>
      <c r="I344" s="63">
        <f t="shared" si="31"/>
        <v>0</v>
      </c>
      <c r="J344" s="63">
        <f t="shared" si="32"/>
        <v>0</v>
      </c>
    </row>
    <row r="345" spans="1:10" customFormat="1" x14ac:dyDescent="0.25">
      <c r="A345" s="43" t="str">
        <f t="shared" si="30"/>
        <v>New England_2028</v>
      </c>
      <c r="B345" s="56">
        <f>B754*Constants!$B$20/1000000</f>
        <v>1.73605195566</v>
      </c>
      <c r="C345" s="56">
        <f>C754*Constants!$B$18/1000000</f>
        <v>2.4974383456863642</v>
      </c>
      <c r="D345" s="56">
        <f>D754*Constants!$B$22/1000000</f>
        <v>3.1156920589506605</v>
      </c>
      <c r="E345" s="56">
        <f>E754*Constants!$B$21/1000000</f>
        <v>3.5060881785599998</v>
      </c>
      <c r="F345" s="56">
        <f>F754*Constants!$B$15/1000000</f>
        <v>1.5627529590399998</v>
      </c>
      <c r="G345" s="56">
        <f>G754*Constants!$B$16/1000000</f>
        <v>2.3107506590247402</v>
      </c>
      <c r="H345" s="56">
        <f>H754*Constants!$B$19/1000000</f>
        <v>6.2015836288388604</v>
      </c>
      <c r="I345" s="63">
        <f t="shared" si="31"/>
        <v>0</v>
      </c>
      <c r="J345" s="63">
        <f t="shared" si="32"/>
        <v>0</v>
      </c>
    </row>
    <row r="346" spans="1:10" customFormat="1" x14ac:dyDescent="0.25">
      <c r="A346" s="43" t="str">
        <f t="shared" si="30"/>
        <v>New England_2027</v>
      </c>
      <c r="B346" s="56">
        <f>B755*Constants!$B$20/1000000</f>
        <v>1.7310224860499999</v>
      </c>
      <c r="C346" s="56">
        <f>C755*Constants!$B$18/1000000</f>
        <v>2.6844160399933159</v>
      </c>
      <c r="D346" s="56">
        <f>D755*Constants!$B$22/1000000</f>
        <v>3.1245276769911006</v>
      </c>
      <c r="E346" s="56">
        <f>E755*Constants!$B$21/1000000</f>
        <v>3.4953293059299999</v>
      </c>
      <c r="F346" s="56">
        <f>F755*Constants!$B$15/1000000</f>
        <v>1.55628765208</v>
      </c>
      <c r="G346" s="56">
        <f>G755*Constants!$B$16/1000000</f>
        <v>2.3176373393163403</v>
      </c>
      <c r="H346" s="56">
        <f>H755*Constants!$B$19/1000000</f>
        <v>6.1684762565870601</v>
      </c>
      <c r="I346" s="63">
        <f t="shared" si="31"/>
        <v>0</v>
      </c>
      <c r="J346" s="63">
        <f t="shared" si="32"/>
        <v>0</v>
      </c>
    </row>
    <row r="347" spans="1:10" customFormat="1" x14ac:dyDescent="0.25">
      <c r="A347" s="43" t="str">
        <f t="shared" si="30"/>
        <v>New England_2026</v>
      </c>
      <c r="B347" s="56">
        <f>B756*Constants!$B$20/1000000</f>
        <v>1.7150953904699999</v>
      </c>
      <c r="C347" s="56">
        <f>C756*Constants!$B$18/1000000</f>
        <v>2.6588567942103083</v>
      </c>
      <c r="D347" s="56">
        <f>D756*Constants!$B$22/1000000</f>
        <v>3.1184367346618402</v>
      </c>
      <c r="E347" s="56">
        <f>E756*Constants!$B$21/1000000</f>
        <v>3.4578706692200001</v>
      </c>
      <c r="F347" s="56">
        <f>F756*Constants!$B$15/1000000</f>
        <v>1.5364455346799999</v>
      </c>
      <c r="G347" s="56">
        <f>G756*Constants!$B$16/1000000</f>
        <v>2.3287233529714801</v>
      </c>
      <c r="H347" s="56">
        <f>H756*Constants!$B$19/1000000</f>
        <v>6.1158279591175013</v>
      </c>
      <c r="I347" s="63">
        <f t="shared" si="31"/>
        <v>0</v>
      </c>
      <c r="J347" s="63">
        <f t="shared" si="32"/>
        <v>0</v>
      </c>
    </row>
    <row r="348" spans="1:10" customFormat="1" x14ac:dyDescent="0.25">
      <c r="A348" s="43" t="str">
        <f t="shared" si="30"/>
        <v>New England_2025</v>
      </c>
      <c r="B348" s="56">
        <f>B757*Constants!$B$20/1000000</f>
        <v>1.7114986811999999</v>
      </c>
      <c r="C348" s="56">
        <f>C757*Constants!$B$18/1000000</f>
        <v>2.6071587022196141</v>
      </c>
      <c r="D348" s="56">
        <f>D757*Constants!$B$22/1000000</f>
        <v>3.0813578989155403</v>
      </c>
      <c r="E348" s="56">
        <f>E757*Constants!$B$21/1000000</f>
        <v>3.4089957478500001</v>
      </c>
      <c r="F348" s="56">
        <f>F757*Constants!$B$15/1000000</f>
        <v>1.4983138385600001</v>
      </c>
      <c r="G348" s="56">
        <f>G757*Constants!$B$16/1000000</f>
        <v>2.3469527016174401</v>
      </c>
      <c r="H348" s="56">
        <f>H757*Constants!$B$19/1000000</f>
        <v>5.9832781519289204</v>
      </c>
      <c r="I348" s="63">
        <f t="shared" si="31"/>
        <v>0</v>
      </c>
      <c r="J348" s="63">
        <f t="shared" si="32"/>
        <v>0</v>
      </c>
    </row>
    <row r="349" spans="1:10" customFormat="1" x14ac:dyDescent="0.25">
      <c r="A349" s="43" t="str">
        <f t="shared" si="30"/>
        <v>New England_2024</v>
      </c>
      <c r="B349" s="56">
        <f>B758*Constants!$B$20/1000000</f>
        <v>1.7141965559400001</v>
      </c>
      <c r="C349" s="56">
        <f>C758*Constants!$B$18/1000000</f>
        <v>2.9691378700199689</v>
      </c>
      <c r="D349" s="56">
        <f>D758*Constants!$B$22/1000000</f>
        <v>3.0326858824852803</v>
      </c>
      <c r="E349" s="56">
        <f>E758*Constants!$B$21/1000000</f>
        <v>3.3262791331000003</v>
      </c>
      <c r="F349" s="56">
        <f>F758*Constants!$B$15/1000000</f>
        <v>1.4526588621999998</v>
      </c>
      <c r="G349" s="56">
        <f>G758*Constants!$B$16/1000000</f>
        <v>2.3579332110414604</v>
      </c>
      <c r="H349" s="56">
        <f>H758*Constants!$B$19/1000000</f>
        <v>5.8057953452679802</v>
      </c>
      <c r="I349" s="63">
        <f t="shared" si="31"/>
        <v>0</v>
      </c>
      <c r="J349" s="63">
        <f t="shared" si="32"/>
        <v>0</v>
      </c>
    </row>
    <row r="350" spans="1:10" customFormat="1" x14ac:dyDescent="0.25">
      <c r="A350" s="43" t="str">
        <f t="shared" si="30"/>
        <v>New England_2023</v>
      </c>
      <c r="B350" s="56">
        <f>B759*Constants!$B$20/1000000</f>
        <v>1.7063743280100001</v>
      </c>
      <c r="C350" s="56">
        <f>C759*Constants!$B$18/1000000</f>
        <v>2.9394896808127857</v>
      </c>
      <c r="D350" s="56">
        <f>D759*Constants!$B$22/1000000</f>
        <v>3.0036528283094599</v>
      </c>
      <c r="E350" s="56">
        <f>E759*Constants!$B$21/1000000</f>
        <v>3.2856723417100002</v>
      </c>
      <c r="F350" s="56">
        <f>F759*Constants!$B$15/1000000</f>
        <v>1.42157430716</v>
      </c>
      <c r="G350" s="56">
        <f>G759*Constants!$B$16/1000000</f>
        <v>2.3625778059831402</v>
      </c>
      <c r="H350" s="56">
        <f>H759*Constants!$B$19/1000000</f>
        <v>5.6214752381496398</v>
      </c>
      <c r="I350" s="63">
        <f t="shared" si="31"/>
        <v>0</v>
      </c>
      <c r="J350" s="63">
        <f t="shared" si="32"/>
        <v>0</v>
      </c>
    </row>
    <row r="351" spans="1:10" customFormat="1" x14ac:dyDescent="0.25">
      <c r="A351" s="43" t="str">
        <f t="shared" si="30"/>
        <v>New England_2022</v>
      </c>
      <c r="B351" s="56">
        <f>B760*Constants!$B$20/1000000</f>
        <v>1.6841904921599999</v>
      </c>
      <c r="C351" s="56">
        <f>C760*Constants!$B$18/1000000</f>
        <v>2.8873971260447013</v>
      </c>
      <c r="D351" s="56">
        <f>D760*Constants!$B$22/1000000</f>
        <v>2.9702052169561601</v>
      </c>
      <c r="E351" s="56">
        <f>E760*Constants!$B$21/1000000</f>
        <v>3.2392070078500002</v>
      </c>
      <c r="F351" s="56">
        <f>F760*Constants!$B$15/1000000</f>
        <v>1.3843600842399999</v>
      </c>
      <c r="G351" s="56">
        <f>G760*Constants!$B$16/1000000</f>
        <v>2.3637002939215401</v>
      </c>
      <c r="H351" s="56">
        <f>H760*Constants!$B$19/1000000</f>
        <v>5.3532073654347601</v>
      </c>
      <c r="I351" s="63">
        <f t="shared" si="31"/>
        <v>0</v>
      </c>
      <c r="J351" s="63">
        <f t="shared" si="32"/>
        <v>0</v>
      </c>
    </row>
    <row r="352" spans="1:10" customFormat="1" x14ac:dyDescent="0.25">
      <c r="A352" s="43" t="str">
        <f t="shared" si="30"/>
        <v>New England_2021</v>
      </c>
      <c r="B352" s="56">
        <f>B761*Constants!$B$20/1000000</f>
        <v>1.6502436518699999</v>
      </c>
      <c r="C352" s="56">
        <f>C761*Constants!$B$18/1000000</f>
        <v>2.8471747807807182</v>
      </c>
      <c r="D352" s="56">
        <f>D761*Constants!$B$22/1000000</f>
        <v>2.8462123328413398</v>
      </c>
      <c r="E352" s="56">
        <f>E761*Constants!$B$21/1000000</f>
        <v>3.1864356703300003</v>
      </c>
      <c r="F352" s="56">
        <f>F761*Constants!$B$15/1000000</f>
        <v>1.3377333796399999</v>
      </c>
      <c r="G352" s="56">
        <f>G761*Constants!$B$16/1000000</f>
        <v>2.3620628104440202</v>
      </c>
      <c r="H352" s="56">
        <f>H761*Constants!$B$19/1000000</f>
        <v>5.0550190467918998</v>
      </c>
      <c r="I352" s="63">
        <f t="shared" si="31"/>
        <v>0</v>
      </c>
      <c r="J352" s="63">
        <f t="shared" si="32"/>
        <v>0</v>
      </c>
    </row>
    <row r="353" spans="1:10" customFormat="1" x14ac:dyDescent="0.25">
      <c r="A353" s="43" t="str">
        <f t="shared" si="30"/>
        <v>New England_2020</v>
      </c>
      <c r="B353" s="56">
        <f>B762*Constants!$B$20/1000000</f>
        <v>1.6485245954099998</v>
      </c>
      <c r="C353" s="56">
        <f>C762*Constants!$B$18/1000000</f>
        <v>2.7976078847667099</v>
      </c>
      <c r="D353" s="56">
        <f>D762*Constants!$B$22/1000000</f>
        <v>2.7163360221395201</v>
      </c>
      <c r="E353" s="56">
        <f>E762*Constants!$B$21/1000000</f>
        <v>3.15061204656</v>
      </c>
      <c r="F353" s="56">
        <f>F762*Constants!$B$15/1000000</f>
        <v>1.2793431842799998</v>
      </c>
      <c r="G353" s="56">
        <f>G762*Constants!$B$16/1000000</f>
        <v>2.3558087942232802</v>
      </c>
      <c r="H353" s="56">
        <f>H762*Constants!$B$19/1000000</f>
        <v>4.8816427153184803</v>
      </c>
      <c r="I353" s="63">
        <f t="shared" si="31"/>
        <v>0</v>
      </c>
      <c r="J353" s="63">
        <f t="shared" si="32"/>
        <v>0</v>
      </c>
    </row>
    <row r="354" spans="1:10" customFormat="1" x14ac:dyDescent="0.25">
      <c r="A354" s="43" t="str">
        <f t="shared" si="30"/>
        <v>New England_2019</v>
      </c>
      <c r="B354" s="56">
        <f>B763*Constants!$B$20/1000000</f>
        <v>1.65272625606</v>
      </c>
      <c r="C354" s="56">
        <f>C763*Constants!$B$18/1000000</f>
        <v>2.7447959996546252</v>
      </c>
      <c r="D354" s="56">
        <f>D763*Constants!$B$22/1000000</f>
        <v>2.5819991467073802</v>
      </c>
      <c r="E354" s="56">
        <f>E763*Constants!$B$21/1000000</f>
        <v>3.0905850794500003</v>
      </c>
      <c r="F354" s="56">
        <f>F763*Constants!$B$15/1000000</f>
        <v>1.2039148589999999</v>
      </c>
      <c r="G354" s="56">
        <f>G763*Constants!$B$16/1000000</f>
        <v>2.3242810949113997</v>
      </c>
      <c r="H354" s="56">
        <f>H763*Constants!$B$19/1000000</f>
        <v>4.7023937967338609</v>
      </c>
      <c r="I354" s="63">
        <f t="shared" si="31"/>
        <v>0</v>
      </c>
      <c r="J354" s="63">
        <f t="shared" si="32"/>
        <v>0</v>
      </c>
    </row>
    <row r="355" spans="1:10" customFormat="1" x14ac:dyDescent="0.25">
      <c r="A355" s="43" t="str">
        <f t="shared" si="30"/>
        <v>New England_2018</v>
      </c>
      <c r="B355" s="56">
        <f>B764*Constants!$B$20/1000000</f>
        <v>1.6498606439699999</v>
      </c>
      <c r="C355" s="56">
        <f>C764*Constants!$B$18/1000000</f>
        <v>2.9451170020938982</v>
      </c>
      <c r="D355" s="56">
        <f>D764*Constants!$B$22/1000000</f>
        <v>2.3515626102365603</v>
      </c>
      <c r="E355" s="56">
        <f>E764*Constants!$B$21/1000000</f>
        <v>2.9545830523000003</v>
      </c>
      <c r="F355" s="56">
        <f>F764*Constants!$B$15/1000000</f>
        <v>1.08395223104</v>
      </c>
      <c r="G355" s="56">
        <f>G764*Constants!$B$16/1000000</f>
        <v>2.2922316554976803</v>
      </c>
      <c r="H355" s="56">
        <f>H764*Constants!$B$19/1000000</f>
        <v>4.3813669434576408</v>
      </c>
      <c r="I355" s="63">
        <f t="shared" si="31"/>
        <v>0</v>
      </c>
      <c r="J355" s="63">
        <f t="shared" si="32"/>
        <v>0</v>
      </c>
    </row>
    <row r="356" spans="1:10" customFormat="1" x14ac:dyDescent="0.25">
      <c r="A356" s="43" t="str">
        <f t="shared" si="30"/>
        <v>New England_2017</v>
      </c>
      <c r="B356" s="56">
        <f>B765*Constants!$B$20/1000000</f>
        <v>1.5567176017800002</v>
      </c>
      <c r="C356" s="56">
        <f>C765*Constants!$B$18/1000000</f>
        <v>2.6641489974674095</v>
      </c>
      <c r="D356" s="56">
        <f>D765*Constants!$B$22/1000000</f>
        <v>2.3804952186033006</v>
      </c>
      <c r="E356" s="56">
        <f>E765*Constants!$B$21/1000000</f>
        <v>2.7218200010100002</v>
      </c>
      <c r="F356" s="56">
        <f>F765*Constants!$B$15/1000000</f>
        <v>0.56917938784</v>
      </c>
      <c r="G356" s="56">
        <f>G765*Constants!$B$16/1000000</f>
        <v>2.2857838535373602</v>
      </c>
      <c r="H356" s="56">
        <f>H765*Constants!$B$19/1000000</f>
        <v>5.2011033847802199</v>
      </c>
      <c r="I356" s="63">
        <f t="shared" si="31"/>
        <v>0</v>
      </c>
      <c r="J356" s="63">
        <f t="shared" si="32"/>
        <v>0</v>
      </c>
    </row>
    <row r="357" spans="1:10" customFormat="1" x14ac:dyDescent="0.25">
      <c r="A357" s="43" t="str">
        <f t="shared" si="30"/>
        <v>New England_2016</v>
      </c>
      <c r="B357" s="56">
        <f>B766*Constants!$B$20/1000000</f>
        <v>1.5449124573299999</v>
      </c>
      <c r="C357" s="56">
        <f>C766*Constants!$B$18/1000000</f>
        <v>2.4666805894235608</v>
      </c>
      <c r="D357" s="56">
        <f>D766*Constants!$B$22/1000000</f>
        <v>2.28410975671936</v>
      </c>
      <c r="E357" s="56">
        <f>E766*Constants!$B$21/1000000</f>
        <v>2.39190219851</v>
      </c>
      <c r="F357" s="56">
        <f>F766*Constants!$B$15/1000000</f>
        <v>0.43819671671999999</v>
      </c>
      <c r="G357" s="56">
        <f>G766*Constants!$B$16/1000000</f>
        <v>2.2790278491484601</v>
      </c>
      <c r="H357" s="56">
        <f>H766*Constants!$B$19/1000000</f>
        <v>4.888195178439581</v>
      </c>
      <c r="I357" s="63">
        <f t="shared" si="31"/>
        <v>0</v>
      </c>
      <c r="J357" s="63">
        <f t="shared" si="32"/>
        <v>0</v>
      </c>
    </row>
    <row r="358" spans="1:10" customFormat="1" x14ac:dyDescent="0.25">
      <c r="A358" s="43" t="str">
        <f t="shared" si="30"/>
        <v>New England_2015</v>
      </c>
      <c r="B358" s="56">
        <f>B767*Constants!$B$20/1000000</f>
        <v>1.6267968040499998</v>
      </c>
      <c r="C358" s="56">
        <f>C767*Constants!$B$18/1000000</f>
        <v>2.7361077479272069</v>
      </c>
      <c r="D358" s="56">
        <f>D767*Constants!$B$22/1000000</f>
        <v>2.6337871511142801</v>
      </c>
      <c r="E358" s="56">
        <f>E767*Constants!$B$21/1000000</f>
        <v>2.8558488226400001</v>
      </c>
      <c r="F358" s="56">
        <f>F767*Constants!$B$15/1000000</f>
        <v>0.59299440731999997</v>
      </c>
      <c r="G358" s="56">
        <f>G767*Constants!$B$16/1000000</f>
        <v>2.3350511980662803</v>
      </c>
      <c r="H358" s="56">
        <f>H767*Constants!$B$19/1000000</f>
        <v>3.8086212064862606</v>
      </c>
      <c r="I358" s="63">
        <f t="shared" si="31"/>
        <v>0</v>
      </c>
      <c r="J358" s="63">
        <f t="shared" si="32"/>
        <v>0</v>
      </c>
    </row>
    <row r="359" spans="1:10" customFormat="1" x14ac:dyDescent="0.25"/>
    <row r="360" spans="1:10" s="24" customFormat="1" ht="23.25" x14ac:dyDescent="0.25">
      <c r="A360" s="28" t="s">
        <v>310</v>
      </c>
    </row>
    <row r="361" spans="1:10" s="24" customFormat="1" x14ac:dyDescent="0.25"/>
    <row r="362" spans="1:10" s="25" customFormat="1" x14ac:dyDescent="0.25">
      <c r="A362" s="21" t="s">
        <v>251</v>
      </c>
      <c r="C362" s="21" t="s">
        <v>164</v>
      </c>
      <c r="E362" s="21" t="s">
        <v>173</v>
      </c>
      <c r="F362" s="19" t="s">
        <v>225</v>
      </c>
    </row>
    <row r="363" spans="1:10" s="25" customFormat="1" x14ac:dyDescent="0.25">
      <c r="A363" s="46" t="s">
        <v>437</v>
      </c>
      <c r="C363" s="38">
        <v>2018</v>
      </c>
      <c r="E363" s="20" t="s">
        <v>224</v>
      </c>
      <c r="F363" s="68" t="s">
        <v>230</v>
      </c>
    </row>
    <row r="364" spans="1:10" s="25" customFormat="1" x14ac:dyDescent="0.25">
      <c r="A364" s="46" t="s">
        <v>428</v>
      </c>
      <c r="C364" s="38">
        <v>2019</v>
      </c>
      <c r="E364" s="20" t="s">
        <v>219</v>
      </c>
      <c r="F364" s="68" t="s">
        <v>144</v>
      </c>
    </row>
    <row r="365" spans="1:10" s="25" customFormat="1" x14ac:dyDescent="0.25">
      <c r="A365" s="46" t="s">
        <v>429</v>
      </c>
      <c r="C365" s="38">
        <v>2020</v>
      </c>
      <c r="E365" s="20" t="s">
        <v>215</v>
      </c>
      <c r="F365" s="68" t="s">
        <v>226</v>
      </c>
    </row>
    <row r="366" spans="1:10" s="25" customFormat="1" x14ac:dyDescent="0.25">
      <c r="A366" s="46" t="s">
        <v>249</v>
      </c>
      <c r="C366" s="38">
        <v>2021</v>
      </c>
      <c r="E366" s="20" t="s">
        <v>200</v>
      </c>
      <c r="F366" s="68" t="s">
        <v>229</v>
      </c>
    </row>
    <row r="367" spans="1:10" s="25" customFormat="1" x14ac:dyDescent="0.25">
      <c r="A367" s="46" t="s">
        <v>150</v>
      </c>
      <c r="C367" s="38">
        <v>2022</v>
      </c>
      <c r="E367" s="20" t="s">
        <v>216</v>
      </c>
      <c r="F367" s="68" t="s">
        <v>144</v>
      </c>
    </row>
    <row r="368" spans="1:10" s="25" customFormat="1" x14ac:dyDescent="0.25">
      <c r="A368" s="46" t="s">
        <v>103</v>
      </c>
      <c r="C368" s="38">
        <v>2023</v>
      </c>
      <c r="E368" s="20" t="s">
        <v>209</v>
      </c>
      <c r="F368" s="68" t="s">
        <v>226</v>
      </c>
    </row>
    <row r="369" spans="1:6" s="25" customFormat="1" x14ac:dyDescent="0.25">
      <c r="A369" s="46" t="s">
        <v>248</v>
      </c>
      <c r="C369" s="38">
        <v>2024</v>
      </c>
      <c r="E369" s="20" t="s">
        <v>174</v>
      </c>
      <c r="F369" s="69" t="s">
        <v>232</v>
      </c>
    </row>
    <row r="370" spans="1:6" s="25" customFormat="1" x14ac:dyDescent="0.25">
      <c r="A370" s="46" t="s">
        <v>108</v>
      </c>
      <c r="C370" s="38">
        <v>2025</v>
      </c>
      <c r="E370" s="20" t="s">
        <v>181</v>
      </c>
      <c r="F370" s="70" t="s">
        <v>233</v>
      </c>
    </row>
    <row r="371" spans="1:6" s="25" customFormat="1" x14ac:dyDescent="0.25">
      <c r="C371" s="38">
        <v>2026</v>
      </c>
      <c r="E371" s="20" t="s">
        <v>182</v>
      </c>
      <c r="F371" s="70" t="s">
        <v>233</v>
      </c>
    </row>
    <row r="372" spans="1:6" s="25" customFormat="1" x14ac:dyDescent="0.25">
      <c r="A372" s="44"/>
      <c r="C372" s="38">
        <v>2027</v>
      </c>
      <c r="E372" s="20" t="s">
        <v>187</v>
      </c>
      <c r="F372" s="70" t="s">
        <v>233</v>
      </c>
    </row>
    <row r="373" spans="1:6" s="25" customFormat="1" x14ac:dyDescent="0.25">
      <c r="A373" s="44"/>
      <c r="C373" s="38">
        <v>2028</v>
      </c>
      <c r="E373" s="20" t="s">
        <v>188</v>
      </c>
      <c r="F373" s="70" t="s">
        <v>233</v>
      </c>
    </row>
    <row r="374" spans="1:6" s="24" customFormat="1" x14ac:dyDescent="0.25">
      <c r="C374" s="38">
        <v>2029</v>
      </c>
      <c r="E374" s="20" t="s">
        <v>217</v>
      </c>
      <c r="F374" s="68" t="s">
        <v>144</v>
      </c>
    </row>
    <row r="375" spans="1:6" s="24" customFormat="1" x14ac:dyDescent="0.25">
      <c r="C375" s="38">
        <v>2030</v>
      </c>
      <c r="E375" s="20" t="s">
        <v>220</v>
      </c>
      <c r="F375" s="68" t="s">
        <v>226</v>
      </c>
    </row>
    <row r="376" spans="1:6" s="24" customFormat="1" x14ac:dyDescent="0.25">
      <c r="C376" s="38">
        <v>2031</v>
      </c>
      <c r="E376" s="20" t="s">
        <v>194</v>
      </c>
      <c r="F376" s="70" t="s">
        <v>228</v>
      </c>
    </row>
    <row r="377" spans="1:6" s="24" customFormat="1" x14ac:dyDescent="0.25">
      <c r="C377" s="38">
        <v>2032</v>
      </c>
      <c r="E377" s="20" t="s">
        <v>195</v>
      </c>
      <c r="F377" s="70" t="s">
        <v>228</v>
      </c>
    </row>
    <row r="378" spans="1:6" s="24" customFormat="1" x14ac:dyDescent="0.25">
      <c r="C378" s="38">
        <v>2033</v>
      </c>
      <c r="E378" s="20" t="s">
        <v>205</v>
      </c>
      <c r="F378" s="70" t="s">
        <v>227</v>
      </c>
    </row>
    <row r="379" spans="1:6" s="24" customFormat="1" x14ac:dyDescent="0.25">
      <c r="C379" s="38">
        <v>2034</v>
      </c>
      <c r="E379" s="20" t="s">
        <v>206</v>
      </c>
      <c r="F379" s="70" t="s">
        <v>227</v>
      </c>
    </row>
    <row r="380" spans="1:6" s="24" customFormat="1" x14ac:dyDescent="0.25">
      <c r="C380" s="38">
        <v>2035</v>
      </c>
      <c r="E380" s="20" t="s">
        <v>189</v>
      </c>
      <c r="F380" s="68" t="s">
        <v>230</v>
      </c>
    </row>
    <row r="381" spans="1:6" s="24" customFormat="1" x14ac:dyDescent="0.25">
      <c r="C381" s="38">
        <v>2036</v>
      </c>
      <c r="E381" s="20" t="s">
        <v>201</v>
      </c>
      <c r="F381" s="68" t="s">
        <v>229</v>
      </c>
    </row>
    <row r="382" spans="1:6" s="24" customFormat="1" x14ac:dyDescent="0.25">
      <c r="C382" s="38">
        <v>2037</v>
      </c>
      <c r="E382" s="20" t="s">
        <v>175</v>
      </c>
      <c r="F382" s="69" t="s">
        <v>232</v>
      </c>
    </row>
    <row r="383" spans="1:6" s="24" customFormat="1" x14ac:dyDescent="0.25">
      <c r="C383" s="38">
        <v>2038</v>
      </c>
      <c r="E383" s="20" t="s">
        <v>183</v>
      </c>
      <c r="F383" s="70" t="s">
        <v>233</v>
      </c>
    </row>
    <row r="384" spans="1:6" s="24" customFormat="1" x14ac:dyDescent="0.25">
      <c r="C384" s="38">
        <v>2039</v>
      </c>
      <c r="E384" s="20" t="s">
        <v>176</v>
      </c>
      <c r="F384" s="69" t="s">
        <v>232</v>
      </c>
    </row>
    <row r="385" spans="3:6" s="24" customFormat="1" x14ac:dyDescent="0.25">
      <c r="C385" s="38">
        <v>2040</v>
      </c>
      <c r="E385" s="20" t="s">
        <v>196</v>
      </c>
      <c r="F385" s="70" t="s">
        <v>228</v>
      </c>
    </row>
    <row r="386" spans="3:6" s="24" customFormat="1" x14ac:dyDescent="0.25">
      <c r="C386" s="38">
        <v>2041</v>
      </c>
      <c r="E386" s="20" t="s">
        <v>197</v>
      </c>
      <c r="F386" s="70" t="s">
        <v>227</v>
      </c>
    </row>
    <row r="387" spans="3:6" s="24" customFormat="1" x14ac:dyDescent="0.25">
      <c r="C387"/>
      <c r="E387" s="20" t="s">
        <v>190</v>
      </c>
      <c r="F387" s="68" t="s">
        <v>230</v>
      </c>
    </row>
    <row r="388" spans="3:6" s="24" customFormat="1" x14ac:dyDescent="0.25">
      <c r="C388"/>
      <c r="E388" s="20" t="s">
        <v>207</v>
      </c>
      <c r="F388" s="70" t="s">
        <v>227</v>
      </c>
    </row>
    <row r="389" spans="3:6" s="24" customFormat="1" x14ac:dyDescent="0.25">
      <c r="C389"/>
      <c r="E389" s="20" t="s">
        <v>210</v>
      </c>
      <c r="F389" s="68" t="s">
        <v>226</v>
      </c>
    </row>
    <row r="390" spans="3:6" s="24" customFormat="1" x14ac:dyDescent="0.25">
      <c r="C390"/>
      <c r="E390" s="20" t="s">
        <v>208</v>
      </c>
      <c r="F390" s="69" t="s">
        <v>227</v>
      </c>
    </row>
    <row r="391" spans="3:6" s="24" customFormat="1" x14ac:dyDescent="0.25">
      <c r="C391"/>
      <c r="E391" s="20" t="s">
        <v>218</v>
      </c>
      <c r="F391" s="68" t="s">
        <v>226</v>
      </c>
    </row>
    <row r="392" spans="3:6" s="24" customFormat="1" x14ac:dyDescent="0.25">
      <c r="C392"/>
      <c r="E392" s="20" t="s">
        <v>177</v>
      </c>
      <c r="F392" s="69" t="s">
        <v>232</v>
      </c>
    </row>
    <row r="393" spans="3:6" s="24" customFormat="1" x14ac:dyDescent="0.25">
      <c r="C393"/>
      <c r="E393" s="20" t="s">
        <v>223</v>
      </c>
      <c r="F393" s="69" t="s">
        <v>231</v>
      </c>
    </row>
    <row r="394" spans="3:6" s="24" customFormat="1" x14ac:dyDescent="0.25">
      <c r="C394"/>
      <c r="E394" s="20" t="s">
        <v>202</v>
      </c>
      <c r="F394" s="68" t="s">
        <v>226</v>
      </c>
    </row>
    <row r="395" spans="3:6" s="24" customFormat="1" x14ac:dyDescent="0.25">
      <c r="C395"/>
      <c r="E395" s="20" t="s">
        <v>180</v>
      </c>
      <c r="F395" s="69" t="s">
        <v>231</v>
      </c>
    </row>
    <row r="396" spans="3:6" s="24" customFormat="1" x14ac:dyDescent="0.25">
      <c r="E396" s="20" t="s">
        <v>191</v>
      </c>
      <c r="F396" s="70" t="s">
        <v>233</v>
      </c>
    </row>
    <row r="397" spans="3:6" s="24" customFormat="1" x14ac:dyDescent="0.25">
      <c r="E397" s="20" t="s">
        <v>211</v>
      </c>
      <c r="F397" s="70" t="s">
        <v>227</v>
      </c>
    </row>
    <row r="398" spans="3:6" s="24" customFormat="1" x14ac:dyDescent="0.25">
      <c r="E398" s="20" t="s">
        <v>198</v>
      </c>
      <c r="F398" s="70" t="s">
        <v>228</v>
      </c>
    </row>
    <row r="399" spans="3:6" s="24" customFormat="1" x14ac:dyDescent="0.25">
      <c r="E399" s="20" t="s">
        <v>203</v>
      </c>
      <c r="F399" s="68" t="s">
        <v>229</v>
      </c>
    </row>
    <row r="400" spans="3:6" s="24" customFormat="1" x14ac:dyDescent="0.25">
      <c r="E400" s="20" t="s">
        <v>221</v>
      </c>
      <c r="F400" s="68" t="s">
        <v>144</v>
      </c>
    </row>
    <row r="401" spans="1:6" s="24" customFormat="1" x14ac:dyDescent="0.25">
      <c r="E401" s="20" t="s">
        <v>184</v>
      </c>
      <c r="F401" s="69" t="s">
        <v>231</v>
      </c>
    </row>
    <row r="402" spans="1:6" s="24" customFormat="1" x14ac:dyDescent="0.25">
      <c r="E402" s="20" t="s">
        <v>178</v>
      </c>
      <c r="F402" s="69" t="s">
        <v>232</v>
      </c>
    </row>
    <row r="403" spans="1:6" s="24" customFormat="1" x14ac:dyDescent="0.25">
      <c r="E403" s="20" t="s">
        <v>192</v>
      </c>
      <c r="F403" s="70" t="s">
        <v>233</v>
      </c>
    </row>
    <row r="404" spans="1:6" s="24" customFormat="1" x14ac:dyDescent="0.25">
      <c r="E404" s="20" t="s">
        <v>212</v>
      </c>
      <c r="F404" s="69" t="s">
        <v>227</v>
      </c>
    </row>
    <row r="405" spans="1:6" s="24" customFormat="1" x14ac:dyDescent="0.25">
      <c r="E405" s="20" t="s">
        <v>193</v>
      </c>
      <c r="F405" s="68" t="s">
        <v>230</v>
      </c>
    </row>
    <row r="406" spans="1:6" s="24" customFormat="1" x14ac:dyDescent="0.25">
      <c r="E406" s="20" t="s">
        <v>204</v>
      </c>
      <c r="F406" s="68" t="s">
        <v>229</v>
      </c>
    </row>
    <row r="407" spans="1:6" s="24" customFormat="1" x14ac:dyDescent="0.25">
      <c r="E407" s="20" t="s">
        <v>213</v>
      </c>
      <c r="F407" s="68" t="s">
        <v>226</v>
      </c>
    </row>
    <row r="408" spans="1:6" s="24" customFormat="1" x14ac:dyDescent="0.25">
      <c r="E408" s="20" t="s">
        <v>179</v>
      </c>
      <c r="F408" s="69" t="s">
        <v>232</v>
      </c>
    </row>
    <row r="409" spans="1:6" s="24" customFormat="1" x14ac:dyDescent="0.25">
      <c r="E409" s="20" t="s">
        <v>185</v>
      </c>
      <c r="F409" s="70" t="s">
        <v>233</v>
      </c>
    </row>
    <row r="410" spans="1:6" s="24" customFormat="1" x14ac:dyDescent="0.25">
      <c r="E410" s="20" t="s">
        <v>222</v>
      </c>
      <c r="F410" s="68" t="s">
        <v>144</v>
      </c>
    </row>
    <row r="411" spans="1:6" s="24" customFormat="1" x14ac:dyDescent="0.25">
      <c r="E411" s="20" t="s">
        <v>186</v>
      </c>
      <c r="F411" s="70" t="s">
        <v>233</v>
      </c>
    </row>
    <row r="412" spans="1:6" s="24" customFormat="1" x14ac:dyDescent="0.25">
      <c r="E412" s="20" t="s">
        <v>199</v>
      </c>
      <c r="F412" s="70" t="s">
        <v>228</v>
      </c>
    </row>
    <row r="413" spans="1:6" s="24" customFormat="1" x14ac:dyDescent="0.25">
      <c r="E413" s="20" t="s">
        <v>214</v>
      </c>
      <c r="F413" s="68" t="s">
        <v>226</v>
      </c>
    </row>
    <row r="414" spans="1:6" customFormat="1" x14ac:dyDescent="0.25"/>
    <row r="415" spans="1:6" ht="23.25" x14ac:dyDescent="0.25">
      <c r="A415" s="28" t="s">
        <v>234</v>
      </c>
      <c r="B415" s="29" t="s">
        <v>427</v>
      </c>
    </row>
    <row r="417" spans="1:11" s="29" customFormat="1" x14ac:dyDescent="0.25">
      <c r="A417" s="30" t="s">
        <v>236</v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1:11" s="29" customFormat="1" x14ac:dyDescent="0.25">
      <c r="A418" s="29" t="s">
        <v>427</v>
      </c>
    </row>
    <row r="419" spans="1:11" s="29" customFormat="1" ht="30" x14ac:dyDescent="0.25">
      <c r="A419" s="31" t="s">
        <v>110</v>
      </c>
      <c r="B419" s="31" t="s">
        <v>116</v>
      </c>
      <c r="C419" s="31" t="s">
        <v>117</v>
      </c>
      <c r="D419" s="31" t="s">
        <v>145</v>
      </c>
      <c r="E419" s="31" t="s">
        <v>119</v>
      </c>
      <c r="F419" s="31" t="s">
        <v>120</v>
      </c>
      <c r="G419" s="31" t="s">
        <v>121</v>
      </c>
      <c r="H419" s="31" t="s">
        <v>122</v>
      </c>
      <c r="I419" s="31"/>
      <c r="J419" s="208" t="s">
        <v>456</v>
      </c>
      <c r="K419" s="208" t="s">
        <v>457</v>
      </c>
    </row>
    <row r="420" spans="1:11" x14ac:dyDescent="0.25">
      <c r="A420" s="32">
        <v>2050</v>
      </c>
      <c r="B420" s="32">
        <v>23.537827</v>
      </c>
      <c r="C420" s="32">
        <v>32.142676999999999</v>
      </c>
      <c r="D420" s="32">
        <v>29.844524</v>
      </c>
      <c r="E420" s="32">
        <v>32.281283999999999</v>
      </c>
      <c r="F420" s="32">
        <v>22.182604000000001</v>
      </c>
      <c r="G420" s="32">
        <v>20.285498</v>
      </c>
      <c r="H420" s="32">
        <v>47.626396</v>
      </c>
      <c r="I420" s="32"/>
      <c r="J420" s="32">
        <f>D420/$D$454</f>
        <v>1.4875407441640323</v>
      </c>
      <c r="K420" s="47">
        <f>E420/$E$454</f>
        <v>1.8590543836434601</v>
      </c>
    </row>
    <row r="421" spans="1:11" x14ac:dyDescent="0.25">
      <c r="A421" s="32">
        <v>2049</v>
      </c>
      <c r="B421" s="32">
        <v>23.333576000000001</v>
      </c>
      <c r="C421" s="32">
        <v>32.083190999999999</v>
      </c>
      <c r="D421" s="32">
        <v>29.535574</v>
      </c>
      <c r="E421" s="32">
        <v>32.066600999999999</v>
      </c>
      <c r="F421" s="32">
        <v>21.979683000000001</v>
      </c>
      <c r="G421" s="32">
        <v>20.211836000000002</v>
      </c>
      <c r="H421" s="32">
        <v>47.659542000000002</v>
      </c>
      <c r="I421" s="32"/>
      <c r="J421" s="32">
        <f t="shared" ref="J421:J454" si="33">D421/$D$454</f>
        <v>1.4721417479223942</v>
      </c>
      <c r="K421" s="47">
        <f t="shared" ref="K421:K454" si="34">E421/$E$454</f>
        <v>1.8466909543497638</v>
      </c>
    </row>
    <row r="422" spans="1:11" x14ac:dyDescent="0.25">
      <c r="A422" s="32">
        <v>2048</v>
      </c>
      <c r="B422" s="32">
        <v>23.220700999999998</v>
      </c>
      <c r="C422" s="32">
        <v>32.049762999999999</v>
      </c>
      <c r="D422" s="32">
        <v>29.329809000000001</v>
      </c>
      <c r="E422" s="32">
        <v>31.776164999999999</v>
      </c>
      <c r="F422" s="32">
        <v>21.840316999999999</v>
      </c>
      <c r="G422" s="32">
        <v>20.138123</v>
      </c>
      <c r="H422" s="32">
        <v>47.615375999999998</v>
      </c>
      <c r="I422" s="32"/>
      <c r="J422" s="32">
        <f t="shared" si="33"/>
        <v>1.4618858021005439</v>
      </c>
      <c r="K422" s="47">
        <f t="shared" si="34"/>
        <v>1.8299649678937149</v>
      </c>
    </row>
    <row r="423" spans="1:11" x14ac:dyDescent="0.25">
      <c r="A423" s="32">
        <v>2047</v>
      </c>
      <c r="B423" s="32">
        <v>23.00956</v>
      </c>
      <c r="C423" s="32">
        <v>32.773887999999999</v>
      </c>
      <c r="D423" s="32">
        <v>29.421309999999998</v>
      </c>
      <c r="E423" s="32">
        <v>31.747522</v>
      </c>
      <c r="F423" s="32">
        <v>21.792316</v>
      </c>
      <c r="G423" s="32">
        <v>20.007784000000001</v>
      </c>
      <c r="H423" s="32">
        <v>47.569713999999998</v>
      </c>
      <c r="I423" s="32"/>
      <c r="J423" s="32">
        <f t="shared" si="33"/>
        <v>1.4664464868557019</v>
      </c>
      <c r="K423" s="47">
        <f t="shared" si="34"/>
        <v>1.8283154394948229</v>
      </c>
    </row>
    <row r="424" spans="1:11" x14ac:dyDescent="0.25">
      <c r="A424" s="32">
        <v>2046</v>
      </c>
      <c r="B424" s="32">
        <v>22.828607999999999</v>
      </c>
      <c r="C424" s="32">
        <v>33.472316999999997</v>
      </c>
      <c r="D424" s="32">
        <v>29.313032</v>
      </c>
      <c r="E424" s="32">
        <v>31.470596</v>
      </c>
      <c r="F424" s="32">
        <v>21.564684</v>
      </c>
      <c r="G424" s="32">
        <v>19.985469999999999</v>
      </c>
      <c r="H424" s="32">
        <v>47.637329000000001</v>
      </c>
      <c r="I424" s="32"/>
      <c r="J424" s="32">
        <f t="shared" si="33"/>
        <v>1.4610495860139734</v>
      </c>
      <c r="K424" s="47">
        <f t="shared" si="34"/>
        <v>1.8123674835756949</v>
      </c>
    </row>
    <row r="425" spans="1:11" x14ac:dyDescent="0.25">
      <c r="A425" s="32">
        <v>2045</v>
      </c>
      <c r="B425" s="32">
        <v>22.65831</v>
      </c>
      <c r="C425" s="32">
        <v>33.908687999999998</v>
      </c>
      <c r="D425" s="32">
        <v>29.218730999999998</v>
      </c>
      <c r="E425" s="32">
        <v>31.318698999999999</v>
      </c>
      <c r="F425" s="32">
        <v>21.428818</v>
      </c>
      <c r="G425" s="32">
        <v>19.966116</v>
      </c>
      <c r="H425" s="32">
        <v>47.709335000000003</v>
      </c>
      <c r="I425" s="32"/>
      <c r="J425" s="32">
        <f t="shared" si="33"/>
        <v>1.4563493408462027</v>
      </c>
      <c r="K425" s="47">
        <f t="shared" si="34"/>
        <v>1.8036198518609126</v>
      </c>
    </row>
    <row r="426" spans="1:11" x14ac:dyDescent="0.25">
      <c r="A426" s="32">
        <v>2044</v>
      </c>
      <c r="B426" s="32">
        <v>22.579896999999999</v>
      </c>
      <c r="C426" s="32">
        <v>33.727753</v>
      </c>
      <c r="D426" s="32">
        <v>29.099883999999999</v>
      </c>
      <c r="E426" s="32">
        <v>31.175207</v>
      </c>
      <c r="F426" s="32">
        <v>21.335369</v>
      </c>
      <c r="G426" s="32">
        <v>19.926601000000002</v>
      </c>
      <c r="H426" s="32">
        <v>47.788066999999998</v>
      </c>
      <c r="I426" s="32"/>
      <c r="J426" s="32">
        <f t="shared" si="33"/>
        <v>1.4504256492898668</v>
      </c>
      <c r="K426" s="47">
        <f t="shared" si="34"/>
        <v>1.7953562576489301</v>
      </c>
    </row>
    <row r="427" spans="1:11" x14ac:dyDescent="0.25">
      <c r="A427" s="32">
        <v>2043</v>
      </c>
      <c r="B427" s="32">
        <v>22.424075999999999</v>
      </c>
      <c r="C427" s="32">
        <v>32.793509999999998</v>
      </c>
      <c r="D427" s="32">
        <v>28.967171</v>
      </c>
      <c r="E427" s="32">
        <v>31.054361</v>
      </c>
      <c r="F427" s="32">
        <v>21.260551</v>
      </c>
      <c r="G427" s="32">
        <v>19.888197000000002</v>
      </c>
      <c r="H427" s="32">
        <v>48.031288000000004</v>
      </c>
      <c r="I427" s="32"/>
      <c r="J427" s="32">
        <f t="shared" si="33"/>
        <v>1.4438108346330729</v>
      </c>
      <c r="K427" s="47">
        <f t="shared" si="34"/>
        <v>1.788396829205942</v>
      </c>
    </row>
    <row r="428" spans="1:11" x14ac:dyDescent="0.25">
      <c r="A428" s="32">
        <v>2042</v>
      </c>
      <c r="B428" s="32">
        <v>22.244329</v>
      </c>
      <c r="C428" s="32">
        <v>31.750322000000001</v>
      </c>
      <c r="D428" s="32">
        <v>28.830224999999999</v>
      </c>
      <c r="E428" s="32">
        <v>31.022396000000001</v>
      </c>
      <c r="F428" s="32">
        <v>21.198891</v>
      </c>
      <c r="G428" s="32">
        <v>19.883565999999998</v>
      </c>
      <c r="H428" s="32">
        <v>48.224460999999998</v>
      </c>
      <c r="I428" s="32"/>
      <c r="J428" s="32">
        <f t="shared" si="33"/>
        <v>1.4369850345382116</v>
      </c>
      <c r="K428" s="47">
        <f t="shared" si="34"/>
        <v>1.7865559893752474</v>
      </c>
    </row>
    <row r="429" spans="1:11" x14ac:dyDescent="0.25">
      <c r="A429" s="32">
        <v>2041</v>
      </c>
      <c r="B429" s="32">
        <v>22.117567000000001</v>
      </c>
      <c r="C429" s="32">
        <v>30.61401</v>
      </c>
      <c r="D429" s="32">
        <v>28.776882000000001</v>
      </c>
      <c r="E429" s="32">
        <v>31.063904000000001</v>
      </c>
      <c r="F429" s="32">
        <v>21.184608000000001</v>
      </c>
      <c r="G429" s="32">
        <v>19.907232</v>
      </c>
      <c r="H429" s="32">
        <v>48.365940000000002</v>
      </c>
      <c r="I429" s="32"/>
      <c r="J429" s="32">
        <f t="shared" si="33"/>
        <v>1.4343262591489327</v>
      </c>
      <c r="K429" s="47">
        <f t="shared" si="34"/>
        <v>1.7889464032558191</v>
      </c>
    </row>
    <row r="430" spans="1:11" x14ac:dyDescent="0.25">
      <c r="A430" s="32">
        <v>2040</v>
      </c>
      <c r="B430" s="32">
        <v>21.882812000000001</v>
      </c>
      <c r="C430" s="32">
        <v>29.724785000000001</v>
      </c>
      <c r="D430" s="32">
        <v>28.622454000000001</v>
      </c>
      <c r="E430" s="32">
        <v>31.007210000000001</v>
      </c>
      <c r="F430" s="32">
        <v>21.095749000000001</v>
      </c>
      <c r="G430" s="32">
        <v>19.994174999999998</v>
      </c>
      <c r="H430" s="32">
        <v>48.539817999999997</v>
      </c>
      <c r="I430" s="32"/>
      <c r="J430" s="32">
        <f t="shared" si="33"/>
        <v>1.4266291036493255</v>
      </c>
      <c r="K430" s="47">
        <f t="shared" si="34"/>
        <v>1.7856814392839311</v>
      </c>
    </row>
    <row r="431" spans="1:11" x14ac:dyDescent="0.25">
      <c r="A431" s="32">
        <v>2039</v>
      </c>
      <c r="B431" s="32">
        <v>21.735158999999999</v>
      </c>
      <c r="C431" s="32">
        <v>28.859027999999999</v>
      </c>
      <c r="D431" s="32">
        <v>28.434968999999999</v>
      </c>
      <c r="E431" s="32">
        <v>30.860507999999999</v>
      </c>
      <c r="F431" s="32">
        <v>20.933598</v>
      </c>
      <c r="G431" s="32">
        <v>20.062650999999999</v>
      </c>
      <c r="H431" s="32">
        <v>48.763953999999998</v>
      </c>
      <c r="I431" s="32"/>
      <c r="J431" s="32">
        <f t="shared" si="33"/>
        <v>1.4172842879498158</v>
      </c>
      <c r="K431" s="47">
        <f t="shared" si="34"/>
        <v>1.7772329836342344</v>
      </c>
    </row>
    <row r="432" spans="1:11" x14ac:dyDescent="0.25">
      <c r="A432" s="32">
        <v>2038</v>
      </c>
      <c r="B432" s="32">
        <v>21.350843000000001</v>
      </c>
      <c r="C432" s="32">
        <v>28.084040000000002</v>
      </c>
      <c r="D432" s="32">
        <v>28.075142</v>
      </c>
      <c r="E432" s="32">
        <v>30.578451000000001</v>
      </c>
      <c r="F432" s="32">
        <v>20.701806999999999</v>
      </c>
      <c r="G432" s="32">
        <v>20.129270999999999</v>
      </c>
      <c r="H432" s="32">
        <v>48.988503000000001</v>
      </c>
      <c r="I432" s="32"/>
      <c r="J432" s="32">
        <f t="shared" si="33"/>
        <v>1.3993494291680066</v>
      </c>
      <c r="K432" s="47">
        <f t="shared" si="34"/>
        <v>1.7609895373609288</v>
      </c>
    </row>
    <row r="433" spans="1:11" x14ac:dyDescent="0.25">
      <c r="A433" s="32">
        <v>2037</v>
      </c>
      <c r="B433" s="32">
        <v>21.078074000000001</v>
      </c>
      <c r="C433" s="32">
        <v>27.580632999999999</v>
      </c>
      <c r="D433" s="32">
        <v>27.936350000000001</v>
      </c>
      <c r="E433" s="32">
        <v>30.461400999999999</v>
      </c>
      <c r="F433" s="32">
        <v>20.586597000000001</v>
      </c>
      <c r="G433" s="32">
        <v>20.237635000000001</v>
      </c>
      <c r="H433" s="32">
        <v>49.201346999999998</v>
      </c>
      <c r="I433" s="32"/>
      <c r="J433" s="32">
        <f t="shared" si="33"/>
        <v>1.3924316188868304</v>
      </c>
      <c r="K433" s="47">
        <f t="shared" si="34"/>
        <v>1.754248717646153</v>
      </c>
    </row>
    <row r="434" spans="1:11" x14ac:dyDescent="0.25">
      <c r="A434" s="32">
        <v>2036</v>
      </c>
      <c r="B434" s="32">
        <v>20.938334999999999</v>
      </c>
      <c r="C434" s="32">
        <v>27.353982999999999</v>
      </c>
      <c r="D434" s="32">
        <v>27.881422000000001</v>
      </c>
      <c r="E434" s="32">
        <v>30.430396999999999</v>
      </c>
      <c r="F434" s="32">
        <v>20.513808999999998</v>
      </c>
      <c r="G434" s="32">
        <v>20.334166</v>
      </c>
      <c r="H434" s="32">
        <v>49.382565</v>
      </c>
      <c r="I434" s="32"/>
      <c r="J434" s="32">
        <f t="shared" si="33"/>
        <v>1.3896938423354122</v>
      </c>
      <c r="K434" s="47">
        <f t="shared" si="34"/>
        <v>1.7524632210683069</v>
      </c>
    </row>
    <row r="435" spans="1:11" x14ac:dyDescent="0.25">
      <c r="A435" s="32">
        <v>2035</v>
      </c>
      <c r="B435" s="32">
        <v>20.640692000000001</v>
      </c>
      <c r="C435" s="32">
        <v>26.705147</v>
      </c>
      <c r="D435" s="32">
        <v>27.346820999999998</v>
      </c>
      <c r="E435" s="32">
        <v>29.957504</v>
      </c>
      <c r="F435" s="32">
        <v>20.127510000000001</v>
      </c>
      <c r="G435" s="32">
        <v>20.400846000000001</v>
      </c>
      <c r="H435" s="32">
        <v>49.656429000000003</v>
      </c>
      <c r="I435" s="32"/>
      <c r="J435" s="32">
        <f t="shared" si="33"/>
        <v>1.3630477222843489</v>
      </c>
      <c r="K435" s="47">
        <f t="shared" si="34"/>
        <v>1.7252296759390517</v>
      </c>
    </row>
    <row r="436" spans="1:11" x14ac:dyDescent="0.25">
      <c r="A436" s="32">
        <v>2034</v>
      </c>
      <c r="B436" s="32">
        <v>20.541851000000001</v>
      </c>
      <c r="C436" s="32">
        <v>26.801659000000001</v>
      </c>
      <c r="D436" s="32">
        <v>27.202456999999999</v>
      </c>
      <c r="E436" s="32">
        <v>29.791371999999999</v>
      </c>
      <c r="F436" s="32">
        <v>20.004169000000001</v>
      </c>
      <c r="G436" s="32">
        <v>20.483073999999998</v>
      </c>
      <c r="H436" s="32">
        <v>49.817768000000001</v>
      </c>
      <c r="I436" s="32"/>
      <c r="J436" s="32">
        <f t="shared" si="33"/>
        <v>1.3558521867820739</v>
      </c>
      <c r="K436" s="47">
        <f t="shared" si="34"/>
        <v>1.715662261493472</v>
      </c>
    </row>
    <row r="437" spans="1:11" x14ac:dyDescent="0.25">
      <c r="A437" s="32">
        <v>2033</v>
      </c>
      <c r="B437" s="32">
        <v>20.33145</v>
      </c>
      <c r="C437" s="32">
        <v>26.699375</v>
      </c>
      <c r="D437" s="32">
        <v>26.939502999999998</v>
      </c>
      <c r="E437" s="32">
        <v>29.497744000000001</v>
      </c>
      <c r="F437" s="32">
        <v>19.761344999999999</v>
      </c>
      <c r="G437" s="32">
        <v>20.593729</v>
      </c>
      <c r="H437" s="32">
        <v>50.059432999999999</v>
      </c>
      <c r="I437" s="32"/>
      <c r="J437" s="32">
        <f t="shared" si="33"/>
        <v>1.3427457693756206</v>
      </c>
      <c r="K437" s="47">
        <f t="shared" si="34"/>
        <v>1.6987524502059019</v>
      </c>
    </row>
    <row r="438" spans="1:11" x14ac:dyDescent="0.25">
      <c r="A438" s="32">
        <v>2032</v>
      </c>
      <c r="B438" s="32">
        <v>20.272690000000001</v>
      </c>
      <c r="C438" s="32">
        <v>27.173570999999999</v>
      </c>
      <c r="D438" s="32">
        <v>26.984639999999999</v>
      </c>
      <c r="E438" s="32">
        <v>29.473231999999999</v>
      </c>
      <c r="F438" s="32">
        <v>19.773571</v>
      </c>
      <c r="G438" s="32">
        <v>20.759592000000001</v>
      </c>
      <c r="H438" s="32">
        <v>50.331532000000003</v>
      </c>
      <c r="I438" s="32"/>
      <c r="J438" s="32">
        <f t="shared" si="33"/>
        <v>1.3449955330699364</v>
      </c>
      <c r="K438" s="47">
        <f t="shared" si="34"/>
        <v>1.6973408229282549</v>
      </c>
    </row>
    <row r="439" spans="1:11" x14ac:dyDescent="0.25">
      <c r="A439" s="32">
        <v>2031</v>
      </c>
      <c r="B439" s="32">
        <v>19.989782000000002</v>
      </c>
      <c r="C439" s="32">
        <v>27.187798000000001</v>
      </c>
      <c r="D439" s="32">
        <v>26.621317000000001</v>
      </c>
      <c r="E439" s="32">
        <v>29.039657999999999</v>
      </c>
      <c r="F439" s="32">
        <v>19.431875000000002</v>
      </c>
      <c r="G439" s="32">
        <v>20.918028</v>
      </c>
      <c r="H439" s="32">
        <v>50.379330000000003</v>
      </c>
      <c r="I439" s="32"/>
      <c r="J439" s="32">
        <f t="shared" si="33"/>
        <v>1.32688642314438</v>
      </c>
      <c r="K439" s="47">
        <f t="shared" si="34"/>
        <v>1.6723716288486814</v>
      </c>
    </row>
    <row r="440" spans="1:11" x14ac:dyDescent="0.25">
      <c r="A440" s="32">
        <v>2030</v>
      </c>
      <c r="B440" s="32">
        <v>19.614903999999999</v>
      </c>
      <c r="C440" s="32">
        <v>26.912814999999998</v>
      </c>
      <c r="D440" s="32">
        <v>26.267852999999999</v>
      </c>
      <c r="E440" s="32">
        <v>28.642681</v>
      </c>
      <c r="F440" s="32">
        <v>19.129069999999999</v>
      </c>
      <c r="G440" s="32">
        <v>20.727672999999999</v>
      </c>
      <c r="H440" s="32">
        <v>50.442138999999997</v>
      </c>
      <c r="I440" s="32"/>
      <c r="J440" s="32">
        <f t="shared" si="33"/>
        <v>1.3092687154002325</v>
      </c>
      <c r="K440" s="47">
        <f t="shared" si="34"/>
        <v>1.6495100279267469</v>
      </c>
    </row>
    <row r="441" spans="1:11" x14ac:dyDescent="0.25">
      <c r="A441" s="32">
        <v>2029</v>
      </c>
      <c r="B441" s="32">
        <v>19.46649</v>
      </c>
      <c r="C441" s="32">
        <v>27.581572999999999</v>
      </c>
      <c r="D441" s="32">
        <v>25.921989</v>
      </c>
      <c r="E441" s="32">
        <v>28.178771999999999</v>
      </c>
      <c r="F441" s="32">
        <v>18.797322999999999</v>
      </c>
      <c r="G441" s="32">
        <v>20.942094999999998</v>
      </c>
      <c r="H441" s="32">
        <v>50.692180999999998</v>
      </c>
      <c r="I441" s="32"/>
      <c r="J441" s="32">
        <f t="shared" si="33"/>
        <v>1.2920298144903184</v>
      </c>
      <c r="K441" s="47">
        <f t="shared" si="34"/>
        <v>1.622793864466159</v>
      </c>
    </row>
    <row r="442" spans="1:11" x14ac:dyDescent="0.25">
      <c r="A442" s="32">
        <v>2028</v>
      </c>
      <c r="B442" s="32">
        <v>19.439938999999999</v>
      </c>
      <c r="C442" s="32">
        <v>27.998505000000002</v>
      </c>
      <c r="D442" s="32">
        <v>25.752558000000001</v>
      </c>
      <c r="E442" s="32">
        <v>27.891539000000002</v>
      </c>
      <c r="F442" s="32">
        <v>18.596503999999999</v>
      </c>
      <c r="G442" s="32">
        <v>21.097398999999999</v>
      </c>
      <c r="H442" s="32">
        <v>51.026691</v>
      </c>
      <c r="I442" s="32"/>
      <c r="J442" s="32">
        <f t="shared" si="33"/>
        <v>1.2835848643941314</v>
      </c>
      <c r="K442" s="47">
        <f t="shared" si="34"/>
        <v>1.6062523363231938</v>
      </c>
    </row>
    <row r="443" spans="1:11" x14ac:dyDescent="0.25">
      <c r="A443" s="32">
        <v>2027</v>
      </c>
      <c r="B443" s="32">
        <v>19.383618999999999</v>
      </c>
      <c r="C443" s="32">
        <v>29.271149000000001</v>
      </c>
      <c r="D443" s="32">
        <v>25.821562</v>
      </c>
      <c r="E443" s="32">
        <v>27.870564999999999</v>
      </c>
      <c r="F443" s="32">
        <v>18.545978999999999</v>
      </c>
      <c r="G443" s="32">
        <v>21.258431999999999</v>
      </c>
      <c r="H443" s="32">
        <v>50.961371999999997</v>
      </c>
      <c r="I443" s="32"/>
      <c r="J443" s="32">
        <f t="shared" si="33"/>
        <v>1.287024231076954</v>
      </c>
      <c r="K443" s="47">
        <f t="shared" si="34"/>
        <v>1.6050444597516627</v>
      </c>
    </row>
    <row r="444" spans="1:11" x14ac:dyDescent="0.25">
      <c r="A444" s="32">
        <v>2026</v>
      </c>
      <c r="B444" s="32">
        <v>19.205271</v>
      </c>
      <c r="C444" s="32">
        <v>30.434501999999998</v>
      </c>
      <c r="D444" s="32">
        <v>25.589386000000001</v>
      </c>
      <c r="E444" s="32">
        <v>27.343116999999999</v>
      </c>
      <c r="F444" s="32">
        <v>18.390913000000001</v>
      </c>
      <c r="G444" s="32">
        <v>18.829563</v>
      </c>
      <c r="H444" s="32">
        <v>50.879165999999998</v>
      </c>
      <c r="I444" s="32"/>
      <c r="J444" s="32">
        <f t="shared" si="33"/>
        <v>1.2754518816631377</v>
      </c>
      <c r="K444" s="47">
        <f t="shared" si="34"/>
        <v>1.5746691340197625</v>
      </c>
    </row>
    <row r="445" spans="1:11" x14ac:dyDescent="0.25">
      <c r="A445" s="32">
        <v>2025</v>
      </c>
      <c r="B445" s="32">
        <v>19.164995000000001</v>
      </c>
      <c r="C445" s="32">
        <v>30.823208000000001</v>
      </c>
      <c r="D445" s="32">
        <v>25.267047999999999</v>
      </c>
      <c r="E445" s="32">
        <v>26.972785999999999</v>
      </c>
      <c r="F445" s="32">
        <v>18.092915999999999</v>
      </c>
      <c r="G445" s="32">
        <v>18.780125000000002</v>
      </c>
      <c r="H445" s="32">
        <v>49.828648000000001</v>
      </c>
      <c r="I445" s="32"/>
      <c r="J445" s="32">
        <f t="shared" si="33"/>
        <v>1.2593855872771944</v>
      </c>
      <c r="K445" s="47">
        <f t="shared" si="34"/>
        <v>1.5533420557985533</v>
      </c>
    </row>
    <row r="446" spans="1:11" x14ac:dyDescent="0.25">
      <c r="A446" s="32">
        <v>2024</v>
      </c>
      <c r="B446" s="32">
        <v>19.195208000000001</v>
      </c>
      <c r="C446" s="32">
        <v>32.762146000000001</v>
      </c>
      <c r="D446" s="32">
        <v>24.873284999999999</v>
      </c>
      <c r="E446" s="32">
        <v>26.364726999999998</v>
      </c>
      <c r="F446" s="32">
        <v>17.736125999999999</v>
      </c>
      <c r="G446" s="32">
        <v>18.613769999999999</v>
      </c>
      <c r="H446" s="32">
        <v>49.190319000000002</v>
      </c>
      <c r="I446" s="32"/>
      <c r="J446" s="32">
        <f t="shared" si="33"/>
        <v>1.2397592562945237</v>
      </c>
      <c r="K446" s="47">
        <f t="shared" si="34"/>
        <v>1.5183244044107134</v>
      </c>
    </row>
    <row r="447" spans="1:11" x14ac:dyDescent="0.25">
      <c r="A447" s="32">
        <v>2023</v>
      </c>
      <c r="B447" s="32">
        <v>19.107616</v>
      </c>
      <c r="C447" s="32">
        <v>32.490355999999998</v>
      </c>
      <c r="D447" s="32">
        <v>24.676342000000002</v>
      </c>
      <c r="E447" s="32">
        <v>26.110720000000001</v>
      </c>
      <c r="F447" s="32">
        <v>17.493200000000002</v>
      </c>
      <c r="G447" s="32">
        <v>18.703258999999999</v>
      </c>
      <c r="H447" s="32">
        <v>48.855452999999997</v>
      </c>
      <c r="I447" s="32"/>
      <c r="J447" s="32">
        <f t="shared" si="33"/>
        <v>1.2299430254584114</v>
      </c>
      <c r="K447" s="47">
        <f t="shared" si="34"/>
        <v>1.5036963361211706</v>
      </c>
    </row>
    <row r="448" spans="1:11" x14ac:dyDescent="0.25">
      <c r="A448" s="32">
        <v>2022</v>
      </c>
      <c r="B448" s="32">
        <v>18.859204999999999</v>
      </c>
      <c r="C448" s="32">
        <v>32.132537999999997</v>
      </c>
      <c r="D448" s="32">
        <v>24.458637</v>
      </c>
      <c r="E448" s="32">
        <v>25.792759</v>
      </c>
      <c r="F448" s="32">
        <v>17.202373999999999</v>
      </c>
      <c r="G448" s="32">
        <v>18.846537000000001</v>
      </c>
      <c r="H448" s="32">
        <v>46.539988999999998</v>
      </c>
      <c r="I448" s="32"/>
      <c r="J448" s="32">
        <f t="shared" si="33"/>
        <v>1.2190919541627783</v>
      </c>
      <c r="K448" s="47">
        <f t="shared" si="34"/>
        <v>1.4853852060286483</v>
      </c>
    </row>
    <row r="449" spans="1:11" x14ac:dyDescent="0.25">
      <c r="A449" s="32">
        <v>2021</v>
      </c>
      <c r="B449" s="32">
        <v>18.479078000000001</v>
      </c>
      <c r="C449" s="32">
        <v>35.231178</v>
      </c>
      <c r="D449" s="32">
        <v>23.618798999999999</v>
      </c>
      <c r="E449" s="32">
        <v>24.971729</v>
      </c>
      <c r="F449" s="32">
        <v>16.837990000000001</v>
      </c>
      <c r="G449" s="32">
        <v>18.989235000000001</v>
      </c>
      <c r="H449" s="32">
        <v>44.233069999999998</v>
      </c>
      <c r="I449" s="32"/>
      <c r="J449" s="32">
        <f t="shared" si="33"/>
        <v>1.1772319049458018</v>
      </c>
      <c r="K449" s="47">
        <f t="shared" si="34"/>
        <v>1.4381027181138928</v>
      </c>
    </row>
    <row r="450" spans="1:11" x14ac:dyDescent="0.25">
      <c r="A450" s="32">
        <v>2020</v>
      </c>
      <c r="B450" s="32">
        <v>18.459827000000001</v>
      </c>
      <c r="C450" s="32">
        <v>35.307758</v>
      </c>
      <c r="D450" s="32">
        <v>22.681491999999999</v>
      </c>
      <c r="E450" s="32">
        <v>24.254778000000002</v>
      </c>
      <c r="F450" s="32">
        <v>16.381674</v>
      </c>
      <c r="G450" s="32">
        <v>19.042840999999999</v>
      </c>
      <c r="H450" s="32">
        <v>42.619343000000001</v>
      </c>
      <c r="I450" s="32"/>
      <c r="J450" s="32">
        <f t="shared" si="33"/>
        <v>1.1305137079227849</v>
      </c>
      <c r="K450" s="47">
        <f t="shared" si="34"/>
        <v>1.3968140599735426</v>
      </c>
    </row>
    <row r="451" spans="1:11" x14ac:dyDescent="0.25">
      <c r="A451" s="32">
        <v>2019</v>
      </c>
      <c r="B451" s="32">
        <v>18.506874</v>
      </c>
      <c r="C451" s="32">
        <v>34.363869000000001</v>
      </c>
      <c r="D451" s="32">
        <v>21.623726000000001</v>
      </c>
      <c r="E451" s="32">
        <v>23.264714999999999</v>
      </c>
      <c r="F451" s="32">
        <v>15.792206</v>
      </c>
      <c r="G451" s="32">
        <v>19.075210999999999</v>
      </c>
      <c r="H451" s="32">
        <v>41.065842000000004</v>
      </c>
      <c r="I451" s="32"/>
      <c r="J451" s="32">
        <f t="shared" si="33"/>
        <v>1.0777914724201711</v>
      </c>
      <c r="K451" s="47">
        <f t="shared" si="34"/>
        <v>1.3397970912484696</v>
      </c>
    </row>
    <row r="452" spans="1:11" x14ac:dyDescent="0.25">
      <c r="A452" s="32">
        <v>2018</v>
      </c>
      <c r="B452" s="32">
        <v>18.474786999999999</v>
      </c>
      <c r="C452" s="32">
        <v>32.240192</v>
      </c>
      <c r="D452" s="32">
        <v>19.779437999999999</v>
      </c>
      <c r="E452" s="32">
        <v>21.767831999999999</v>
      </c>
      <c r="F452" s="32">
        <v>14.854704</v>
      </c>
      <c r="G452" s="32">
        <v>18.819721000000001</v>
      </c>
      <c r="H452" s="32">
        <v>39.566605000000003</v>
      </c>
      <c r="I452" s="32"/>
      <c r="J452" s="32">
        <f t="shared" si="33"/>
        <v>0.98586661732873793</v>
      </c>
      <c r="K452" s="47">
        <f t="shared" si="34"/>
        <v>1.2535927474884327</v>
      </c>
    </row>
    <row r="453" spans="1:11" x14ac:dyDescent="0.25">
      <c r="A453" s="32">
        <v>2017</v>
      </c>
      <c r="B453" s="32">
        <v>17.431791</v>
      </c>
      <c r="C453" s="32">
        <v>29.740879</v>
      </c>
      <c r="D453" s="32">
        <v>20.919117</v>
      </c>
      <c r="E453" s="32">
        <v>19.765215000000001</v>
      </c>
      <c r="F453" s="32">
        <v>11.89263</v>
      </c>
      <c r="G453" s="32">
        <v>18.452164</v>
      </c>
      <c r="H453" s="32">
        <v>38.977530999999999</v>
      </c>
      <c r="I453" s="32"/>
      <c r="J453" s="32">
        <f t="shared" si="33"/>
        <v>1.0426716428593219</v>
      </c>
      <c r="K453" s="47">
        <f t="shared" si="34"/>
        <v>1.1382635706003974</v>
      </c>
    </row>
    <row r="454" spans="1:11" x14ac:dyDescent="0.25">
      <c r="A454" s="32">
        <v>2016</v>
      </c>
      <c r="B454" s="32">
        <v>17.299600999999999</v>
      </c>
      <c r="C454" s="32">
        <v>27.954194999999999</v>
      </c>
      <c r="D454" s="32">
        <v>20.062995999999998</v>
      </c>
      <c r="E454" s="32">
        <v>17.364356999999998</v>
      </c>
      <c r="F454" s="32">
        <v>9.1753780000000003</v>
      </c>
      <c r="G454" s="32">
        <v>17.864865999999999</v>
      </c>
      <c r="H454" s="32">
        <v>37.044463999999998</v>
      </c>
      <c r="I454" s="32"/>
      <c r="J454" s="32">
        <f t="shared" si="33"/>
        <v>1</v>
      </c>
      <c r="K454" s="47">
        <f t="shared" si="34"/>
        <v>1</v>
      </c>
    </row>
    <row r="455" spans="1:11" x14ac:dyDescent="0.25">
      <c r="A455" s="32">
        <v>2015</v>
      </c>
      <c r="B455" s="32">
        <v>18.216522000000001</v>
      </c>
      <c r="C455" s="32">
        <v>30.690058000000001</v>
      </c>
      <c r="D455" s="32">
        <v>23.152473000000001</v>
      </c>
      <c r="E455" s="32">
        <v>20.733006</v>
      </c>
      <c r="F455" s="32">
        <v>12.395135</v>
      </c>
      <c r="G455" s="32">
        <v>17.802166</v>
      </c>
      <c r="H455" s="32">
        <v>28.228966</v>
      </c>
      <c r="I455" s="32"/>
    </row>
    <row r="456" spans="1:11" x14ac:dyDescent="0.25">
      <c r="A456" s="23" t="s">
        <v>237</v>
      </c>
      <c r="B456" s="23"/>
      <c r="C456" s="23"/>
      <c r="D456" s="23"/>
      <c r="E456" s="23"/>
      <c r="F456" s="23"/>
      <c r="G456" s="23"/>
      <c r="H456" s="23"/>
      <c r="I456" s="30"/>
      <c r="J456" s="30"/>
      <c r="K456" s="30"/>
    </row>
    <row r="457" spans="1:11" x14ac:dyDescent="0.25">
      <c r="A457" s="22" t="s">
        <v>102</v>
      </c>
      <c r="I457" s="29"/>
      <c r="J457" s="29"/>
      <c r="K457" s="29"/>
    </row>
    <row r="458" spans="1:11" ht="30" x14ac:dyDescent="0.25">
      <c r="A458" s="32" t="s">
        <v>110</v>
      </c>
      <c r="B458" s="32" t="s">
        <v>116</v>
      </c>
      <c r="C458" s="32" t="s">
        <v>117</v>
      </c>
      <c r="D458" s="32" t="s">
        <v>118</v>
      </c>
      <c r="E458" s="32" t="s">
        <v>119</v>
      </c>
      <c r="F458" s="32" t="s">
        <v>120</v>
      </c>
      <c r="G458" s="32" t="s">
        <v>121</v>
      </c>
      <c r="H458" s="32" t="s">
        <v>122</v>
      </c>
      <c r="I458" s="31"/>
      <c r="J458" s="208" t="s">
        <v>456</v>
      </c>
      <c r="K458" s="208" t="s">
        <v>457</v>
      </c>
    </row>
    <row r="459" spans="1:11" x14ac:dyDescent="0.25">
      <c r="A459" s="32">
        <v>2050</v>
      </c>
      <c r="B459" s="32">
        <v>22.978895000000001</v>
      </c>
      <c r="C459" s="32">
        <v>31.382031999999999</v>
      </c>
      <c r="D459" s="32">
        <v>28.876747000000002</v>
      </c>
      <c r="E459" s="32">
        <v>30.913461999999999</v>
      </c>
      <c r="F459" s="32">
        <v>15.836593000000001</v>
      </c>
      <c r="G459" s="32">
        <v>13.838399000000001</v>
      </c>
      <c r="H459" s="32">
        <v>32.915112000000001</v>
      </c>
      <c r="I459" s="32"/>
      <c r="J459" s="32">
        <f>D459/$D$493</f>
        <v>1.5688264600435791</v>
      </c>
      <c r="K459" s="47">
        <f>E459/$E$493</f>
        <v>1.8034785561185973</v>
      </c>
    </row>
    <row r="460" spans="1:11" x14ac:dyDescent="0.25">
      <c r="A460" s="32">
        <v>2049</v>
      </c>
      <c r="B460" s="32">
        <v>22.779492999999999</v>
      </c>
      <c r="C460" s="32">
        <v>31.582933000000001</v>
      </c>
      <c r="D460" s="32">
        <v>28.564425</v>
      </c>
      <c r="E460" s="32">
        <v>30.679307999999999</v>
      </c>
      <c r="F460" s="32">
        <v>15.581469999999999</v>
      </c>
      <c r="G460" s="32">
        <v>13.715642000000001</v>
      </c>
      <c r="H460" s="32">
        <v>32.906081999999998</v>
      </c>
      <c r="I460" s="32"/>
      <c r="J460" s="32">
        <f t="shared" ref="J460:J493" si="35">D460/$D$493</f>
        <v>1.5518585163325465</v>
      </c>
      <c r="K460" s="47">
        <f t="shared" ref="K460:K493" si="36">E460/$E$493</f>
        <v>1.7898181088406639</v>
      </c>
    </row>
    <row r="461" spans="1:11" x14ac:dyDescent="0.25">
      <c r="A461" s="32">
        <v>2048</v>
      </c>
      <c r="B461" s="32">
        <v>22.6693</v>
      </c>
      <c r="C461" s="32">
        <v>31.746538000000001</v>
      </c>
      <c r="D461" s="32">
        <v>28.376301000000002</v>
      </c>
      <c r="E461" s="32">
        <v>30.419432</v>
      </c>
      <c r="F461" s="32">
        <v>15.452787000000001</v>
      </c>
      <c r="G461" s="32">
        <v>13.577481000000001</v>
      </c>
      <c r="H461" s="32">
        <v>32.825279000000002</v>
      </c>
      <c r="I461" s="32"/>
      <c r="J461" s="32">
        <f t="shared" si="35"/>
        <v>1.5416380469365567</v>
      </c>
      <c r="K461" s="47">
        <f t="shared" si="36"/>
        <v>1.7746570507472716</v>
      </c>
    </row>
    <row r="462" spans="1:11" x14ac:dyDescent="0.25">
      <c r="A462" s="32">
        <v>2047</v>
      </c>
      <c r="B462" s="32">
        <v>22.463175</v>
      </c>
      <c r="C462" s="32">
        <v>32.411712999999999</v>
      </c>
      <c r="D462" s="32">
        <v>28.470956999999999</v>
      </c>
      <c r="E462" s="32">
        <v>30.399664000000001</v>
      </c>
      <c r="F462" s="32">
        <v>15.332281</v>
      </c>
      <c r="G462" s="32">
        <v>13.378261999999999</v>
      </c>
      <c r="H462" s="32">
        <v>32.696182</v>
      </c>
      <c r="I462" s="32"/>
      <c r="J462" s="32">
        <f t="shared" si="35"/>
        <v>1.546780552683547</v>
      </c>
      <c r="K462" s="47">
        <f t="shared" si="36"/>
        <v>1.7735037938232381</v>
      </c>
    </row>
    <row r="463" spans="1:11" x14ac:dyDescent="0.25">
      <c r="A463" s="32">
        <v>2046</v>
      </c>
      <c r="B463" s="32">
        <v>22.286515999999999</v>
      </c>
      <c r="C463" s="32">
        <v>33.087307000000003</v>
      </c>
      <c r="D463" s="32">
        <v>28.357621999999999</v>
      </c>
      <c r="E463" s="32">
        <v>30.121587999999999</v>
      </c>
      <c r="F463" s="32">
        <v>15.160102</v>
      </c>
      <c r="G463" s="32">
        <v>13.285011000000001</v>
      </c>
      <c r="H463" s="32">
        <v>32.658099999999997</v>
      </c>
      <c r="I463" s="32"/>
      <c r="J463" s="32">
        <f t="shared" si="35"/>
        <v>1.5406232474008903</v>
      </c>
      <c r="K463" s="47">
        <f t="shared" si="36"/>
        <v>1.7572809552757069</v>
      </c>
    </row>
    <row r="464" spans="1:11" x14ac:dyDescent="0.25">
      <c r="A464" s="32">
        <v>2045</v>
      </c>
      <c r="B464" s="32">
        <v>22.120263999999999</v>
      </c>
      <c r="C464" s="32">
        <v>32.854111000000003</v>
      </c>
      <c r="D464" s="32">
        <v>28.263497999999998</v>
      </c>
      <c r="E464" s="32">
        <v>29.968405000000001</v>
      </c>
      <c r="F464" s="32">
        <v>15.057979</v>
      </c>
      <c r="G464" s="32">
        <v>13.202012</v>
      </c>
      <c r="H464" s="32">
        <v>32.646155999999998</v>
      </c>
      <c r="I464" s="32"/>
      <c r="J464" s="32">
        <f t="shared" si="35"/>
        <v>1.535509644344246</v>
      </c>
      <c r="K464" s="47">
        <f t="shared" si="36"/>
        <v>1.7483443225665682</v>
      </c>
    </row>
    <row r="465" spans="1:11" x14ac:dyDescent="0.25">
      <c r="A465" s="32">
        <v>2044</v>
      </c>
      <c r="B465" s="32">
        <v>22.043709</v>
      </c>
      <c r="C465" s="32">
        <v>32.566696</v>
      </c>
      <c r="D465" s="32">
        <v>28.142852999999999</v>
      </c>
      <c r="E465" s="32">
        <v>29.846916</v>
      </c>
      <c r="F465" s="32">
        <v>14.966437000000001</v>
      </c>
      <c r="G465" s="32">
        <v>13.107669</v>
      </c>
      <c r="H465" s="32">
        <v>32.659694999999999</v>
      </c>
      <c r="I465" s="32"/>
      <c r="J465" s="32">
        <f t="shared" si="35"/>
        <v>1.5289551987111574</v>
      </c>
      <c r="K465" s="47">
        <f t="shared" si="36"/>
        <v>1.741256704676851</v>
      </c>
    </row>
    <row r="466" spans="1:11" x14ac:dyDescent="0.25">
      <c r="A466" s="32">
        <v>2043</v>
      </c>
      <c r="B466" s="32">
        <v>21.891590000000001</v>
      </c>
      <c r="C466" s="32">
        <v>32.289417</v>
      </c>
      <c r="D466" s="32">
        <v>28.023257999999998</v>
      </c>
      <c r="E466" s="32">
        <v>29.802586000000002</v>
      </c>
      <c r="F466" s="32">
        <v>14.885985</v>
      </c>
      <c r="G466" s="32">
        <v>12.99189</v>
      </c>
      <c r="H466" s="32">
        <v>32.779091000000001</v>
      </c>
      <c r="I466" s="32"/>
      <c r="J466" s="32">
        <f t="shared" si="35"/>
        <v>1.5224577978616465</v>
      </c>
      <c r="K466" s="47">
        <f t="shared" si="36"/>
        <v>1.7386705108564133</v>
      </c>
    </row>
    <row r="467" spans="1:11" x14ac:dyDescent="0.25">
      <c r="A467" s="32">
        <v>2042</v>
      </c>
      <c r="B467" s="32">
        <v>21.71611</v>
      </c>
      <c r="C467" s="32">
        <v>31.024916000000001</v>
      </c>
      <c r="D467" s="32">
        <v>27.894542999999999</v>
      </c>
      <c r="E467" s="32">
        <v>29.775618000000001</v>
      </c>
      <c r="F467" s="32">
        <v>14.816922</v>
      </c>
      <c r="G467" s="32">
        <v>12.941084</v>
      </c>
      <c r="H467" s="32">
        <v>32.878895</v>
      </c>
      <c r="I467" s="32"/>
      <c r="J467" s="32">
        <f t="shared" si="35"/>
        <v>1.5154649223204884</v>
      </c>
      <c r="K467" s="47">
        <f t="shared" si="36"/>
        <v>1.7370972089175556</v>
      </c>
    </row>
    <row r="468" spans="1:11" x14ac:dyDescent="0.25">
      <c r="A468" s="32">
        <v>2041</v>
      </c>
      <c r="B468" s="32">
        <v>21.592359999999999</v>
      </c>
      <c r="C468" s="32">
        <v>29.611435</v>
      </c>
      <c r="D468" s="32">
        <v>27.843993999999999</v>
      </c>
      <c r="E468" s="32">
        <v>29.830271</v>
      </c>
      <c r="F468" s="32">
        <v>14.775852</v>
      </c>
      <c r="G468" s="32">
        <v>12.895041000000001</v>
      </c>
      <c r="H468" s="32">
        <v>32.969009</v>
      </c>
      <c r="I468" s="32"/>
      <c r="J468" s="32">
        <f t="shared" si="35"/>
        <v>1.5127186777823227</v>
      </c>
      <c r="K468" s="47">
        <f t="shared" si="36"/>
        <v>1.7402856422779973</v>
      </c>
    </row>
    <row r="469" spans="1:11" x14ac:dyDescent="0.25">
      <c r="A469" s="32">
        <v>2040</v>
      </c>
      <c r="B469" s="32">
        <v>21.36318</v>
      </c>
      <c r="C469" s="32">
        <v>28.897590999999998</v>
      </c>
      <c r="D469" s="32">
        <v>27.703420999999999</v>
      </c>
      <c r="E469" s="32">
        <v>29.770861</v>
      </c>
      <c r="F469" s="32">
        <v>14.700742</v>
      </c>
      <c r="G469" s="32">
        <v>12.917916</v>
      </c>
      <c r="H469" s="32">
        <v>33.082413000000003</v>
      </c>
      <c r="I469" s="32"/>
      <c r="J469" s="32">
        <f t="shared" si="35"/>
        <v>1.5050815764852927</v>
      </c>
      <c r="K469" s="47">
        <f t="shared" si="36"/>
        <v>1.7368196875098447</v>
      </c>
    </row>
    <row r="470" spans="1:11" x14ac:dyDescent="0.25">
      <c r="A470" s="32">
        <v>2039</v>
      </c>
      <c r="B470" s="32">
        <v>21.219034000000001</v>
      </c>
      <c r="C470" s="32">
        <v>27.984864999999999</v>
      </c>
      <c r="D470" s="32">
        <v>27.499727</v>
      </c>
      <c r="E470" s="32">
        <v>29.614521</v>
      </c>
      <c r="F470" s="32">
        <v>14.538254</v>
      </c>
      <c r="G470" s="32">
        <v>12.899345</v>
      </c>
      <c r="H470" s="32">
        <v>33.197783999999999</v>
      </c>
      <c r="I470" s="32"/>
      <c r="J470" s="32">
        <f t="shared" si="35"/>
        <v>1.4940152144413923</v>
      </c>
      <c r="K470" s="47">
        <f t="shared" si="36"/>
        <v>1.7276988767296229</v>
      </c>
    </row>
    <row r="471" spans="1:11" x14ac:dyDescent="0.25">
      <c r="A471" s="32">
        <v>2038</v>
      </c>
      <c r="B471" s="32">
        <v>20.84384</v>
      </c>
      <c r="C471" s="32">
        <v>27.248000999999999</v>
      </c>
      <c r="D471" s="32">
        <v>27.144355999999998</v>
      </c>
      <c r="E471" s="32">
        <v>29.333127999999999</v>
      </c>
      <c r="F471" s="32">
        <v>14.327947</v>
      </c>
      <c r="G471" s="32">
        <v>12.899445</v>
      </c>
      <c r="H471" s="32">
        <v>33.305965</v>
      </c>
      <c r="I471" s="32"/>
      <c r="J471" s="32">
        <f t="shared" si="35"/>
        <v>1.4747084889320352</v>
      </c>
      <c r="K471" s="47">
        <f t="shared" si="36"/>
        <v>1.7112825257773456</v>
      </c>
    </row>
    <row r="472" spans="1:11" x14ac:dyDescent="0.25">
      <c r="A472" s="32">
        <v>2037</v>
      </c>
      <c r="B472" s="32">
        <v>20.577549000000001</v>
      </c>
      <c r="C472" s="32">
        <v>26.682938</v>
      </c>
      <c r="D472" s="32">
        <v>27.012149999999998</v>
      </c>
      <c r="E472" s="32">
        <v>29.21208</v>
      </c>
      <c r="F472" s="32">
        <v>14.159706</v>
      </c>
      <c r="G472" s="32">
        <v>12.91686</v>
      </c>
      <c r="H472" s="32">
        <v>33.443752000000003</v>
      </c>
      <c r="I472" s="32"/>
      <c r="J472" s="32">
        <f t="shared" si="35"/>
        <v>1.4675259530675724</v>
      </c>
      <c r="K472" s="47">
        <f t="shared" si="36"/>
        <v>1.7042206356447864</v>
      </c>
    </row>
    <row r="473" spans="1:11" x14ac:dyDescent="0.25">
      <c r="A473" s="32">
        <v>2036</v>
      </c>
      <c r="B473" s="32">
        <v>20.441132</v>
      </c>
      <c r="C473" s="32">
        <v>26.467108</v>
      </c>
      <c r="D473" s="32">
        <v>26.972448</v>
      </c>
      <c r="E473" s="32">
        <v>29.186834000000001</v>
      </c>
      <c r="F473" s="32">
        <v>14.085792</v>
      </c>
      <c r="G473" s="32">
        <v>12.939169</v>
      </c>
      <c r="H473" s="32">
        <v>33.501572000000003</v>
      </c>
      <c r="I473" s="32"/>
      <c r="J473" s="32">
        <f t="shared" si="35"/>
        <v>1.465369008307948</v>
      </c>
      <c r="K473" s="47">
        <f t="shared" si="36"/>
        <v>1.7027477944719742</v>
      </c>
    </row>
    <row r="474" spans="1:11" x14ac:dyDescent="0.25">
      <c r="A474" s="32">
        <v>2035</v>
      </c>
      <c r="B474" s="32">
        <v>20.150552999999999</v>
      </c>
      <c r="C474" s="32">
        <v>25.824176999999999</v>
      </c>
      <c r="D474" s="32">
        <v>26.454537999999999</v>
      </c>
      <c r="E474" s="32">
        <v>28.707325000000001</v>
      </c>
      <c r="F474" s="32">
        <v>13.698608</v>
      </c>
      <c r="G474" s="32">
        <v>12.966471</v>
      </c>
      <c r="H474" s="32">
        <v>33.663165999999997</v>
      </c>
      <c r="I474" s="32"/>
      <c r="J474" s="32">
        <f t="shared" si="35"/>
        <v>1.4372318046291137</v>
      </c>
      <c r="K474" s="47">
        <f t="shared" si="36"/>
        <v>1.6747734382201291</v>
      </c>
    </row>
    <row r="475" spans="1:11" x14ac:dyDescent="0.25">
      <c r="A475" s="32">
        <v>2034</v>
      </c>
      <c r="B475" s="32">
        <v>20.054061999999998</v>
      </c>
      <c r="C475" s="32">
        <v>25.802681</v>
      </c>
      <c r="D475" s="32">
        <v>26.312403</v>
      </c>
      <c r="E475" s="32">
        <v>28.546901999999999</v>
      </c>
      <c r="F475" s="32">
        <v>13.587415999999999</v>
      </c>
      <c r="G475" s="32">
        <v>13.001188000000001</v>
      </c>
      <c r="H475" s="32">
        <v>33.845768</v>
      </c>
      <c r="I475" s="32"/>
      <c r="J475" s="32">
        <f t="shared" si="35"/>
        <v>1.429509842425466</v>
      </c>
      <c r="K475" s="47">
        <f t="shared" si="36"/>
        <v>1.6654144269127507</v>
      </c>
    </row>
    <row r="476" spans="1:11" x14ac:dyDescent="0.25">
      <c r="A476" s="32">
        <v>2033</v>
      </c>
      <c r="B476" s="32">
        <v>19.848655999999998</v>
      </c>
      <c r="C476" s="32">
        <v>25.776129000000001</v>
      </c>
      <c r="D476" s="32">
        <v>26.050979999999999</v>
      </c>
      <c r="E476" s="32">
        <v>28.245356000000001</v>
      </c>
      <c r="F476" s="32">
        <v>13.356515</v>
      </c>
      <c r="G476" s="32">
        <v>13.047708</v>
      </c>
      <c r="H476" s="32">
        <v>34.073771999999998</v>
      </c>
      <c r="I476" s="32"/>
      <c r="J476" s="32">
        <f t="shared" si="35"/>
        <v>1.4153071581804584</v>
      </c>
      <c r="K476" s="47">
        <f t="shared" si="36"/>
        <v>1.647822358296064</v>
      </c>
    </row>
    <row r="477" spans="1:11" x14ac:dyDescent="0.25">
      <c r="A477" s="32">
        <v>2032</v>
      </c>
      <c r="B477" s="32">
        <v>19.791291999999999</v>
      </c>
      <c r="C477" s="32">
        <v>26.092725999999999</v>
      </c>
      <c r="D477" s="32">
        <v>26.088014999999999</v>
      </c>
      <c r="E477" s="32">
        <v>28.228043</v>
      </c>
      <c r="F477" s="32">
        <v>13.381587</v>
      </c>
      <c r="G477" s="32">
        <v>13.165511</v>
      </c>
      <c r="H477" s="32">
        <v>34.146866000000003</v>
      </c>
      <c r="I477" s="32"/>
      <c r="J477" s="32">
        <f t="shared" si="35"/>
        <v>1.417319209189795</v>
      </c>
      <c r="K477" s="47">
        <f t="shared" si="36"/>
        <v>1.6468123250541682</v>
      </c>
    </row>
    <row r="478" spans="1:11" x14ac:dyDescent="0.25">
      <c r="A478" s="32">
        <v>2031</v>
      </c>
      <c r="B478" s="32">
        <v>19.515101999999999</v>
      </c>
      <c r="C478" s="32">
        <v>26.035166</v>
      </c>
      <c r="D478" s="32">
        <v>25.730993000000002</v>
      </c>
      <c r="E478" s="32">
        <v>27.789653999999999</v>
      </c>
      <c r="F478" s="32">
        <v>13.084481</v>
      </c>
      <c r="G478" s="32">
        <v>13.270042999999999</v>
      </c>
      <c r="H478" s="32">
        <v>34.093662000000002</v>
      </c>
      <c r="I478" s="32"/>
      <c r="J478" s="32">
        <f t="shared" si="35"/>
        <v>1.3979227875493079</v>
      </c>
      <c r="K478" s="47">
        <f t="shared" si="36"/>
        <v>1.6212368925536518</v>
      </c>
    </row>
    <row r="479" spans="1:11" x14ac:dyDescent="0.25">
      <c r="A479" s="32">
        <v>2030</v>
      </c>
      <c r="B479" s="32">
        <v>19.149125999999999</v>
      </c>
      <c r="C479" s="32">
        <v>25.447289999999999</v>
      </c>
      <c r="D479" s="32">
        <v>25.387291000000001</v>
      </c>
      <c r="E479" s="32">
        <v>27.407080000000001</v>
      </c>
      <c r="F479" s="32">
        <v>12.711812999999999</v>
      </c>
      <c r="G479" s="32">
        <v>13.436057999999999</v>
      </c>
      <c r="H479" s="32">
        <v>34.245144000000003</v>
      </c>
      <c r="I479" s="32"/>
      <c r="J479" s="32">
        <f t="shared" si="35"/>
        <v>1.3792500197347788</v>
      </c>
      <c r="K479" s="47">
        <f t="shared" si="36"/>
        <v>1.5989176840118031</v>
      </c>
    </row>
    <row r="480" spans="1:11" x14ac:dyDescent="0.25">
      <c r="A480" s="32">
        <v>2029</v>
      </c>
      <c r="B480" s="32">
        <v>19.004235999999999</v>
      </c>
      <c r="C480" s="32">
        <v>25.614235000000001</v>
      </c>
      <c r="D480" s="32">
        <v>25.080539999999999</v>
      </c>
      <c r="E480" s="32">
        <v>26.921524000000002</v>
      </c>
      <c r="F480" s="32">
        <v>12.455507000000001</v>
      </c>
      <c r="G480" s="32">
        <v>13.658288000000001</v>
      </c>
      <c r="H480" s="32">
        <v>34.478870000000001</v>
      </c>
      <c r="I480" s="32"/>
      <c r="J480" s="32">
        <f t="shared" si="35"/>
        <v>1.3625847393469004</v>
      </c>
      <c r="K480" s="47">
        <f t="shared" si="36"/>
        <v>1.5705905482870914</v>
      </c>
    </row>
    <row r="481" spans="1:11" x14ac:dyDescent="0.25">
      <c r="A481" s="32">
        <v>2028</v>
      </c>
      <c r="B481" s="32">
        <v>18.978314999999998</v>
      </c>
      <c r="C481" s="32">
        <v>26.129812000000001</v>
      </c>
      <c r="D481" s="32">
        <v>24.876512999999999</v>
      </c>
      <c r="E481" s="32">
        <v>26.633410999999999</v>
      </c>
      <c r="F481" s="32">
        <v>12.231195</v>
      </c>
      <c r="G481" s="32">
        <v>13.854929</v>
      </c>
      <c r="H481" s="32">
        <v>34.723019000000001</v>
      </c>
      <c r="I481" s="32"/>
      <c r="J481" s="32">
        <f t="shared" si="35"/>
        <v>1.3515002859573508</v>
      </c>
      <c r="K481" s="47">
        <f t="shared" si="36"/>
        <v>1.5537821553209783</v>
      </c>
    </row>
    <row r="482" spans="1:11" x14ac:dyDescent="0.25">
      <c r="A482" s="32">
        <v>2027</v>
      </c>
      <c r="B482" s="32">
        <v>18.92333</v>
      </c>
      <c r="C482" s="32">
        <v>27.389851</v>
      </c>
      <c r="D482" s="32">
        <v>24.919665999999999</v>
      </c>
      <c r="E482" s="32">
        <v>26.577708999999999</v>
      </c>
      <c r="F482" s="32">
        <v>12.162438</v>
      </c>
      <c r="G482" s="32">
        <v>14.120975</v>
      </c>
      <c r="H482" s="32">
        <v>35.034934999999997</v>
      </c>
      <c r="I482" s="32"/>
      <c r="J482" s="32">
        <f t="shared" si="35"/>
        <v>1.3538447179056676</v>
      </c>
      <c r="K482" s="47">
        <f t="shared" si="36"/>
        <v>1.5505325237354601</v>
      </c>
    </row>
    <row r="483" spans="1:11" x14ac:dyDescent="0.25">
      <c r="A483" s="32">
        <v>2026</v>
      </c>
      <c r="B483" s="32">
        <v>18.749220000000001</v>
      </c>
      <c r="C483" s="32">
        <v>29.286804</v>
      </c>
      <c r="D483" s="32">
        <v>24.791218000000001</v>
      </c>
      <c r="E483" s="32">
        <v>26.266565</v>
      </c>
      <c r="F483" s="32">
        <v>11.9857</v>
      </c>
      <c r="G483" s="32">
        <v>14.468154</v>
      </c>
      <c r="H483" s="32">
        <v>35.289467000000002</v>
      </c>
      <c r="I483" s="32"/>
      <c r="J483" s="32">
        <f t="shared" si="35"/>
        <v>1.3468663480380481</v>
      </c>
      <c r="K483" s="47">
        <f t="shared" si="36"/>
        <v>1.5323805117781788</v>
      </c>
    </row>
    <row r="484" spans="1:11" x14ac:dyDescent="0.25">
      <c r="A484" s="32">
        <v>2025</v>
      </c>
      <c r="B484" s="32">
        <v>18.709902</v>
      </c>
      <c r="C484" s="32">
        <v>28.784246</v>
      </c>
      <c r="D484" s="32">
        <v>24.516791999999999</v>
      </c>
      <c r="E484" s="32">
        <v>25.902863</v>
      </c>
      <c r="F484" s="32">
        <v>11.676406999999999</v>
      </c>
      <c r="G484" s="32">
        <v>14.639554</v>
      </c>
      <c r="H484" s="32">
        <v>35.335419000000002</v>
      </c>
      <c r="I484" s="32"/>
      <c r="J484" s="32">
        <f t="shared" si="35"/>
        <v>1.3319572320588859</v>
      </c>
      <c r="K484" s="47">
        <f t="shared" si="36"/>
        <v>1.5111622878918523</v>
      </c>
    </row>
    <row r="485" spans="1:11" x14ac:dyDescent="0.25">
      <c r="A485" s="32">
        <v>2024</v>
      </c>
      <c r="B485" s="32">
        <v>18.739397</v>
      </c>
      <c r="C485" s="32">
        <v>28.145067000000001</v>
      </c>
      <c r="D485" s="32">
        <v>24.151972000000001</v>
      </c>
      <c r="E485" s="32">
        <v>25.297889999999999</v>
      </c>
      <c r="F485" s="32">
        <v>11.304047000000001</v>
      </c>
      <c r="G485" s="32">
        <v>14.750306</v>
      </c>
      <c r="H485" s="32">
        <v>35.296936000000002</v>
      </c>
      <c r="I485" s="32"/>
      <c r="J485" s="32">
        <f t="shared" si="35"/>
        <v>1.3121371578256942</v>
      </c>
      <c r="K485" s="47">
        <f t="shared" si="36"/>
        <v>1.475868413898356</v>
      </c>
    </row>
    <row r="486" spans="1:11" x14ac:dyDescent="0.25">
      <c r="A486" s="32">
        <v>2023</v>
      </c>
      <c r="B486" s="32">
        <v>18.653883</v>
      </c>
      <c r="C486" s="32">
        <v>32.407978</v>
      </c>
      <c r="D486" s="32">
        <v>23.952027999999999</v>
      </c>
      <c r="E486" s="32">
        <v>25.036864999999999</v>
      </c>
      <c r="F486" s="32">
        <v>11.074320999999999</v>
      </c>
      <c r="G486" s="32">
        <v>15.024403</v>
      </c>
      <c r="H486" s="32">
        <v>35.553051000000004</v>
      </c>
      <c r="I486" s="32"/>
      <c r="J486" s="32">
        <f t="shared" si="35"/>
        <v>1.3012745271517143</v>
      </c>
      <c r="K486" s="47">
        <f t="shared" si="36"/>
        <v>1.4606403236213479</v>
      </c>
    </row>
    <row r="487" spans="1:11" x14ac:dyDescent="0.25">
      <c r="A487" s="32">
        <v>2022</v>
      </c>
      <c r="B487" s="32">
        <v>18.411370999999999</v>
      </c>
      <c r="C487" s="32">
        <v>31.900694000000001</v>
      </c>
      <c r="D487" s="32">
        <v>23.704563</v>
      </c>
      <c r="E487" s="32">
        <v>24.715475000000001</v>
      </c>
      <c r="F487" s="32">
        <v>10.831986000000001</v>
      </c>
      <c r="G487" s="32">
        <v>15.351383999999999</v>
      </c>
      <c r="H487" s="32">
        <v>34.972301000000002</v>
      </c>
      <c r="I487" s="32"/>
      <c r="J487" s="32">
        <f t="shared" si="35"/>
        <v>1.2878301582297342</v>
      </c>
      <c r="K487" s="47">
        <f t="shared" si="36"/>
        <v>1.4418905642721378</v>
      </c>
    </row>
    <row r="488" spans="1:11" x14ac:dyDescent="0.25">
      <c r="A488" s="32">
        <v>2021</v>
      </c>
      <c r="B488" s="32">
        <v>18.04027</v>
      </c>
      <c r="C488" s="32">
        <v>31.466742</v>
      </c>
      <c r="D488" s="32">
        <v>22.777184999999999</v>
      </c>
      <c r="E488" s="32">
        <v>24.045210000000001</v>
      </c>
      <c r="F488" s="32">
        <v>10.47214</v>
      </c>
      <c r="G488" s="32">
        <v>15.759774</v>
      </c>
      <c r="H488" s="32">
        <v>33.933993999999998</v>
      </c>
      <c r="I488" s="32"/>
      <c r="J488" s="32">
        <f t="shared" si="35"/>
        <v>1.2374472274632495</v>
      </c>
      <c r="K488" s="47">
        <f t="shared" si="36"/>
        <v>1.4027875820692117</v>
      </c>
    </row>
    <row r="489" spans="1:11" x14ac:dyDescent="0.25">
      <c r="A489" s="32">
        <v>2020</v>
      </c>
      <c r="B489" s="32">
        <v>18.021478999999999</v>
      </c>
      <c r="C489" s="32">
        <v>30.712665999999999</v>
      </c>
      <c r="D489" s="32">
        <v>21.770202999999999</v>
      </c>
      <c r="E489" s="32">
        <v>23.481998000000001</v>
      </c>
      <c r="F489" s="32">
        <v>9.8878389999999996</v>
      </c>
      <c r="G489" s="32">
        <v>16.013779</v>
      </c>
      <c r="H489" s="32">
        <v>33.224716000000001</v>
      </c>
      <c r="I489" s="32"/>
      <c r="J489" s="32">
        <f t="shared" si="35"/>
        <v>1.1827395415044535</v>
      </c>
      <c r="K489" s="47">
        <f t="shared" si="36"/>
        <v>1.3699300275012805</v>
      </c>
    </row>
    <row r="490" spans="1:11" x14ac:dyDescent="0.25">
      <c r="A490" s="32">
        <v>2019</v>
      </c>
      <c r="B490" s="32">
        <v>18.067409999999999</v>
      </c>
      <c r="C490" s="32">
        <v>29.664363999999999</v>
      </c>
      <c r="D490" s="32">
        <v>20.72241</v>
      </c>
      <c r="E490" s="32">
        <v>22.697191</v>
      </c>
      <c r="F490" s="32">
        <v>9.2851859999999995</v>
      </c>
      <c r="G490" s="32">
        <v>16.165120999999999</v>
      </c>
      <c r="H490" s="32">
        <v>32.557403999999998</v>
      </c>
      <c r="I490" s="32"/>
      <c r="J490" s="32">
        <f t="shared" si="35"/>
        <v>1.1258146606289019</v>
      </c>
      <c r="K490" s="47">
        <f t="shared" si="36"/>
        <v>1.324144712508357</v>
      </c>
    </row>
    <row r="491" spans="1:11" x14ac:dyDescent="0.25">
      <c r="A491" s="32">
        <v>2018</v>
      </c>
      <c r="B491" s="32">
        <v>18.036083000000001</v>
      </c>
      <c r="C491" s="32">
        <v>27.867842</v>
      </c>
      <c r="D491" s="32">
        <v>18.871618000000002</v>
      </c>
      <c r="E491" s="32">
        <v>21.415524999999999</v>
      </c>
      <c r="F491" s="32">
        <v>8.149381</v>
      </c>
      <c r="G491" s="32">
        <v>16.058206999999999</v>
      </c>
      <c r="H491" s="32">
        <v>31.869724000000001</v>
      </c>
      <c r="I491" s="32"/>
      <c r="J491" s="32">
        <f t="shared" si="35"/>
        <v>1.0252641567360301</v>
      </c>
      <c r="K491" s="47">
        <f t="shared" si="36"/>
        <v>1.2493728494570333</v>
      </c>
    </row>
    <row r="492" spans="1:11" x14ac:dyDescent="0.25">
      <c r="A492" s="32">
        <v>2017</v>
      </c>
      <c r="B492" s="32">
        <v>17.017852999999999</v>
      </c>
      <c r="C492" s="32">
        <v>28.624200999999999</v>
      </c>
      <c r="D492" s="32">
        <v>19.169654999999999</v>
      </c>
      <c r="E492" s="32">
        <v>19.504656000000001</v>
      </c>
      <c r="F492" s="32">
        <v>2.0379390000000002</v>
      </c>
      <c r="G492" s="32">
        <v>15.812154</v>
      </c>
      <c r="H492" s="32">
        <v>32.753323000000002</v>
      </c>
      <c r="I492" s="32"/>
      <c r="J492" s="32">
        <f t="shared" si="35"/>
        <v>1.041456019748578</v>
      </c>
      <c r="K492" s="47">
        <f t="shared" si="36"/>
        <v>1.1378935442581597</v>
      </c>
    </row>
    <row r="493" spans="1:11" x14ac:dyDescent="0.25">
      <c r="A493" s="32">
        <v>2016</v>
      </c>
      <c r="B493" s="32">
        <v>16.888801999999998</v>
      </c>
      <c r="C493" s="32">
        <v>26.483899999999998</v>
      </c>
      <c r="D493" s="32">
        <v>18.406590999999999</v>
      </c>
      <c r="E493" s="32">
        <v>17.141020000000001</v>
      </c>
      <c r="F493" s="32">
        <v>1.442377</v>
      </c>
      <c r="G493" s="32">
        <v>15.30917</v>
      </c>
      <c r="H493" s="32">
        <v>31.464672</v>
      </c>
      <c r="I493" s="32"/>
      <c r="J493" s="32">
        <f t="shared" si="35"/>
        <v>1</v>
      </c>
      <c r="K493" s="47">
        <f t="shared" si="36"/>
        <v>1</v>
      </c>
    </row>
    <row r="494" spans="1:11" x14ac:dyDescent="0.25">
      <c r="A494" s="32">
        <v>2015</v>
      </c>
      <c r="B494" s="32">
        <v>17.783949</v>
      </c>
      <c r="C494" s="32">
        <v>29.443097999999999</v>
      </c>
      <c r="D494" s="32">
        <v>21.235510000000001</v>
      </c>
      <c r="E494" s="32">
        <v>20.472446000000001</v>
      </c>
      <c r="F494" s="32">
        <v>2.0844670000000001</v>
      </c>
      <c r="G494" s="32">
        <v>15.311825000000001</v>
      </c>
      <c r="H494" s="32">
        <v>31.309643000000001</v>
      </c>
      <c r="I494" s="32"/>
    </row>
    <row r="495" spans="1:11" x14ac:dyDescent="0.25">
      <c r="A495" s="23" t="s">
        <v>138</v>
      </c>
      <c r="B495" s="23"/>
      <c r="C495" s="23"/>
      <c r="D495" s="23"/>
      <c r="E495" s="23"/>
      <c r="F495" s="23"/>
      <c r="G495" s="23"/>
      <c r="H495" s="23"/>
      <c r="I495" s="30"/>
      <c r="J495" s="30"/>
      <c r="K495" s="30"/>
    </row>
    <row r="496" spans="1:11" x14ac:dyDescent="0.25">
      <c r="A496" s="22" t="s">
        <v>102</v>
      </c>
      <c r="I496" s="29"/>
      <c r="J496" s="29"/>
      <c r="K496" s="29"/>
    </row>
    <row r="497" spans="1:11" ht="30" x14ac:dyDescent="0.25">
      <c r="A497" s="32" t="s">
        <v>110</v>
      </c>
      <c r="B497" s="32" t="s">
        <v>116</v>
      </c>
      <c r="C497" s="32" t="s">
        <v>117</v>
      </c>
      <c r="D497" s="32" t="s">
        <v>118</v>
      </c>
      <c r="E497" s="32" t="s">
        <v>119</v>
      </c>
      <c r="F497" s="32" t="s">
        <v>120</v>
      </c>
      <c r="G497" s="32" t="s">
        <v>121</v>
      </c>
      <c r="H497" s="32" t="s">
        <v>122</v>
      </c>
      <c r="I497" s="31"/>
      <c r="J497" s="208" t="s">
        <v>456</v>
      </c>
      <c r="K497" s="208" t="s">
        <v>457</v>
      </c>
    </row>
    <row r="498" spans="1:11" x14ac:dyDescent="0.25">
      <c r="A498" s="32">
        <v>2050</v>
      </c>
      <c r="B498" s="32">
        <v>23.422934000000001</v>
      </c>
      <c r="C498" s="32">
        <v>29.696259000000001</v>
      </c>
      <c r="D498" s="32">
        <v>27.819082000000002</v>
      </c>
      <c r="E498" s="32">
        <v>30.468589999999999</v>
      </c>
      <c r="F498" s="32">
        <v>11.760266</v>
      </c>
      <c r="G498" s="32">
        <v>14.778275000000001</v>
      </c>
      <c r="H498" s="32">
        <v>29.952978000000002</v>
      </c>
      <c r="I498" s="32"/>
      <c r="J498" s="32">
        <f>D498/$D$532</f>
        <v>1.5800637089987768</v>
      </c>
      <c r="K498" s="47">
        <f>E498/$E$532</f>
        <v>1.8353143839648141</v>
      </c>
    </row>
    <row r="499" spans="1:11" x14ac:dyDescent="0.25">
      <c r="A499" s="32">
        <v>2049</v>
      </c>
      <c r="B499" s="32">
        <v>23.219677000000001</v>
      </c>
      <c r="C499" s="32">
        <v>29.933154999999999</v>
      </c>
      <c r="D499" s="32">
        <v>27.482638999999999</v>
      </c>
      <c r="E499" s="32">
        <v>30.203900999999998</v>
      </c>
      <c r="F499" s="32">
        <v>11.557345</v>
      </c>
      <c r="G499" s="32">
        <v>14.686552000000001</v>
      </c>
      <c r="H499" s="32">
        <v>29.961528999999999</v>
      </c>
      <c r="I499" s="32"/>
      <c r="J499" s="32">
        <f t="shared" ref="J499:J532" si="37">D499/$D$532</f>
        <v>1.5609544740338459</v>
      </c>
      <c r="K499" s="47">
        <f t="shared" ref="K499:K532" si="38">E499/$E$532</f>
        <v>1.8193705044161621</v>
      </c>
    </row>
    <row r="500" spans="1:11" x14ac:dyDescent="0.25">
      <c r="A500" s="32">
        <v>2048</v>
      </c>
      <c r="B500" s="32">
        <v>23.107353</v>
      </c>
      <c r="C500" s="32">
        <v>30.244122999999998</v>
      </c>
      <c r="D500" s="32">
        <v>27.372751000000001</v>
      </c>
      <c r="E500" s="32">
        <v>30.007940000000001</v>
      </c>
      <c r="F500" s="32">
        <v>11.417979000000001</v>
      </c>
      <c r="G500" s="32">
        <v>14.648833</v>
      </c>
      <c r="H500" s="32">
        <v>29.783985000000001</v>
      </c>
      <c r="I500" s="32"/>
      <c r="J500" s="32">
        <f t="shared" si="37"/>
        <v>1.5547130732264989</v>
      </c>
      <c r="K500" s="47">
        <f t="shared" si="38"/>
        <v>1.8075665436160029</v>
      </c>
    </row>
    <row r="501" spans="1:11" x14ac:dyDescent="0.25">
      <c r="A501" s="32">
        <v>2047</v>
      </c>
      <c r="B501" s="32">
        <v>22.897247</v>
      </c>
      <c r="C501" s="32">
        <v>30.685601999999999</v>
      </c>
      <c r="D501" s="32">
        <v>27.478294000000002</v>
      </c>
      <c r="E501" s="32">
        <v>29.997812</v>
      </c>
      <c r="F501" s="32">
        <v>11.36998</v>
      </c>
      <c r="G501" s="32">
        <v>14.515362</v>
      </c>
      <c r="H501" s="32">
        <v>29.60117</v>
      </c>
      <c r="I501" s="32"/>
      <c r="J501" s="32">
        <f t="shared" si="37"/>
        <v>1.560707687428321</v>
      </c>
      <c r="K501" s="47">
        <f t="shared" si="38"/>
        <v>1.806956470616865</v>
      </c>
    </row>
    <row r="502" spans="1:11" x14ac:dyDescent="0.25">
      <c r="A502" s="32">
        <v>2046</v>
      </c>
      <c r="B502" s="32">
        <v>22.717172999999999</v>
      </c>
      <c r="C502" s="32">
        <v>31.049921000000001</v>
      </c>
      <c r="D502" s="32">
        <v>27.309643000000001</v>
      </c>
      <c r="E502" s="32">
        <v>29.670259000000001</v>
      </c>
      <c r="F502" s="32">
        <v>11.142348999999999</v>
      </c>
      <c r="G502" s="32">
        <v>14.431049</v>
      </c>
      <c r="H502" s="32">
        <v>29.433344000000002</v>
      </c>
      <c r="I502" s="32"/>
      <c r="J502" s="32">
        <f t="shared" si="37"/>
        <v>1.5511286752744926</v>
      </c>
      <c r="K502" s="47">
        <f t="shared" si="38"/>
        <v>1.7872258978397586</v>
      </c>
    </row>
    <row r="503" spans="1:11" x14ac:dyDescent="0.25">
      <c r="A503" s="32">
        <v>2045</v>
      </c>
      <c r="B503" s="32">
        <v>22.547709999999999</v>
      </c>
      <c r="C503" s="32">
        <v>31.428004999999999</v>
      </c>
      <c r="D503" s="32">
        <v>27.189817000000001</v>
      </c>
      <c r="E503" s="32">
        <v>29.520346</v>
      </c>
      <c r="F503" s="32">
        <v>11.006478</v>
      </c>
      <c r="G503" s="32">
        <v>14.363071</v>
      </c>
      <c r="H503" s="32">
        <v>29.297073000000001</v>
      </c>
      <c r="I503" s="32"/>
      <c r="J503" s="32">
        <f t="shared" si="37"/>
        <v>1.5443228175544395</v>
      </c>
      <c r="K503" s="47">
        <f t="shared" si="38"/>
        <v>1.7781956970577952</v>
      </c>
    </row>
    <row r="504" spans="1:11" x14ac:dyDescent="0.25">
      <c r="A504" s="32">
        <v>2044</v>
      </c>
      <c r="B504" s="32">
        <v>22.469674999999999</v>
      </c>
      <c r="C504" s="32">
        <v>31.152356999999999</v>
      </c>
      <c r="D504" s="32">
        <v>27.079713999999999</v>
      </c>
      <c r="E504" s="32">
        <v>29.397255000000001</v>
      </c>
      <c r="F504" s="32">
        <v>10.913033</v>
      </c>
      <c r="G504" s="32">
        <v>14.283412</v>
      </c>
      <c r="H504" s="32">
        <v>29.170999999999999</v>
      </c>
      <c r="I504" s="32"/>
      <c r="J504" s="32">
        <f t="shared" si="37"/>
        <v>1.5380692052119511</v>
      </c>
      <c r="K504" s="47">
        <f t="shared" si="38"/>
        <v>1.7707811536596068</v>
      </c>
    </row>
    <row r="505" spans="1:11" x14ac:dyDescent="0.25">
      <c r="A505" s="32">
        <v>2043</v>
      </c>
      <c r="B505" s="32">
        <v>22.314616999999998</v>
      </c>
      <c r="C505" s="32">
        <v>30.346706000000001</v>
      </c>
      <c r="D505" s="32">
        <v>26.984691999999999</v>
      </c>
      <c r="E505" s="32">
        <v>29.377141999999999</v>
      </c>
      <c r="F505" s="32">
        <v>10.838215</v>
      </c>
      <c r="G505" s="32">
        <v>14.234702</v>
      </c>
      <c r="H505" s="32">
        <v>28.999749999999999</v>
      </c>
      <c r="I505" s="32"/>
      <c r="J505" s="32">
        <f t="shared" si="37"/>
        <v>1.5326721610623102</v>
      </c>
      <c r="K505" s="47">
        <f t="shared" si="38"/>
        <v>1.7695696214487402</v>
      </c>
    </row>
    <row r="506" spans="1:11" x14ac:dyDescent="0.25">
      <c r="A506" s="32">
        <v>2042</v>
      </c>
      <c r="B506" s="32">
        <v>22.135748</v>
      </c>
      <c r="C506" s="32">
        <v>29.289784999999998</v>
      </c>
      <c r="D506" s="32">
        <v>26.905377999999999</v>
      </c>
      <c r="E506" s="32">
        <v>29.39537</v>
      </c>
      <c r="F506" s="32">
        <v>10.776557</v>
      </c>
      <c r="G506" s="32">
        <v>14.145968999999999</v>
      </c>
      <c r="H506" s="32">
        <v>28.909652999999999</v>
      </c>
      <c r="I506" s="32"/>
      <c r="J506" s="32">
        <f t="shared" si="37"/>
        <v>1.5281672973498581</v>
      </c>
      <c r="K506" s="47">
        <f t="shared" si="38"/>
        <v>1.7706676082801265</v>
      </c>
    </row>
    <row r="507" spans="1:11" x14ac:dyDescent="0.25">
      <c r="A507" s="32">
        <v>2041</v>
      </c>
      <c r="B507" s="32">
        <v>22.009605000000001</v>
      </c>
      <c r="C507" s="32">
        <v>28.173452000000001</v>
      </c>
      <c r="D507" s="32">
        <v>26.859338999999999</v>
      </c>
      <c r="E507" s="32">
        <v>29.456130999999999</v>
      </c>
      <c r="F507" s="32">
        <v>10.762273</v>
      </c>
      <c r="G507" s="32">
        <v>14.095947000000001</v>
      </c>
      <c r="H507" s="32">
        <v>28.964445000000001</v>
      </c>
      <c r="I507" s="32"/>
      <c r="J507" s="32">
        <f t="shared" si="37"/>
        <v>1.5255523816923755</v>
      </c>
      <c r="K507" s="47">
        <f t="shared" si="38"/>
        <v>1.7743276246210233</v>
      </c>
    </row>
    <row r="508" spans="1:11" x14ac:dyDescent="0.25">
      <c r="A508" s="32">
        <v>2040</v>
      </c>
      <c r="B508" s="32">
        <v>21.775997</v>
      </c>
      <c r="C508" s="32">
        <v>27.281079999999999</v>
      </c>
      <c r="D508" s="32">
        <v>26.719802999999999</v>
      </c>
      <c r="E508" s="32">
        <v>29.397133</v>
      </c>
      <c r="F508" s="32">
        <v>10.673416</v>
      </c>
      <c r="G508" s="32">
        <v>14.112275</v>
      </c>
      <c r="H508" s="32">
        <v>29.078531000000002</v>
      </c>
      <c r="I508" s="32"/>
      <c r="J508" s="32">
        <f t="shared" si="37"/>
        <v>1.5176270385879964</v>
      </c>
      <c r="K508" s="47">
        <f t="shared" si="38"/>
        <v>1.7707738048339852</v>
      </c>
    </row>
    <row r="509" spans="1:11" x14ac:dyDescent="0.25">
      <c r="A509" s="32">
        <v>2039</v>
      </c>
      <c r="B509" s="32">
        <v>21.629065000000001</v>
      </c>
      <c r="C509" s="32">
        <v>26.37059</v>
      </c>
      <c r="D509" s="32">
        <v>26.515308000000001</v>
      </c>
      <c r="E509" s="32">
        <v>29.256207</v>
      </c>
      <c r="F509" s="32">
        <v>10.511263</v>
      </c>
      <c r="G509" s="32">
        <v>14.164312000000001</v>
      </c>
      <c r="H509" s="32">
        <v>29.252753999999999</v>
      </c>
      <c r="I509" s="32"/>
      <c r="J509" s="32">
        <f t="shared" si="37"/>
        <v>1.5060121647337226</v>
      </c>
      <c r="K509" s="47">
        <f t="shared" si="38"/>
        <v>1.7622849474607156</v>
      </c>
    </row>
    <row r="510" spans="1:11" x14ac:dyDescent="0.25">
      <c r="A510" s="32">
        <v>2038</v>
      </c>
      <c r="B510" s="32">
        <v>21.246621999999999</v>
      </c>
      <c r="C510" s="32">
        <v>25.547882000000001</v>
      </c>
      <c r="D510" s="32">
        <v>26.156872</v>
      </c>
      <c r="E510" s="32">
        <v>28.953737</v>
      </c>
      <c r="F510" s="32">
        <v>10.27947</v>
      </c>
      <c r="G510" s="32">
        <v>14.171430000000001</v>
      </c>
      <c r="H510" s="32">
        <v>29.274435</v>
      </c>
      <c r="I510" s="32"/>
      <c r="J510" s="32">
        <f t="shared" si="37"/>
        <v>1.4856537749206191</v>
      </c>
      <c r="K510" s="47">
        <f t="shared" si="38"/>
        <v>1.7440652811841391</v>
      </c>
    </row>
    <row r="511" spans="1:11" x14ac:dyDescent="0.25">
      <c r="A511" s="32">
        <v>2037</v>
      </c>
      <c r="B511" s="32">
        <v>20.975183000000001</v>
      </c>
      <c r="C511" s="32">
        <v>25.029624999999999</v>
      </c>
      <c r="D511" s="32">
        <v>26.037189000000001</v>
      </c>
      <c r="E511" s="32">
        <v>28.871786</v>
      </c>
      <c r="F511" s="32">
        <v>10.164263</v>
      </c>
      <c r="G511" s="32">
        <v>14.22129</v>
      </c>
      <c r="H511" s="32">
        <v>29.316956999999999</v>
      </c>
      <c r="I511" s="32"/>
      <c r="J511" s="32">
        <f t="shared" si="37"/>
        <v>1.478856039291381</v>
      </c>
      <c r="K511" s="47">
        <f t="shared" si="38"/>
        <v>1.7391288581635693</v>
      </c>
    </row>
    <row r="512" spans="1:11" x14ac:dyDescent="0.25">
      <c r="A512" s="32">
        <v>2036</v>
      </c>
      <c r="B512" s="32">
        <v>20.836127999999999</v>
      </c>
      <c r="C512" s="32">
        <v>24.751787</v>
      </c>
      <c r="D512" s="32">
        <v>25.980433999999999</v>
      </c>
      <c r="E512" s="32">
        <v>28.831396000000002</v>
      </c>
      <c r="F512" s="32">
        <v>10.091474</v>
      </c>
      <c r="G512" s="32">
        <v>14.281973000000001</v>
      </c>
      <c r="H512" s="32">
        <v>29.387022000000002</v>
      </c>
      <c r="I512" s="32"/>
      <c r="J512" s="32">
        <f t="shared" si="37"/>
        <v>1.4756324780033332</v>
      </c>
      <c r="K512" s="47">
        <f t="shared" si="38"/>
        <v>1.7366959149926404</v>
      </c>
    </row>
    <row r="513" spans="1:11" x14ac:dyDescent="0.25">
      <c r="A513" s="32">
        <v>2035</v>
      </c>
      <c r="B513" s="32">
        <v>20.539936000000001</v>
      </c>
      <c r="C513" s="32">
        <v>24.111108999999999</v>
      </c>
      <c r="D513" s="32">
        <v>25.466571999999999</v>
      </c>
      <c r="E513" s="32">
        <v>28.328367</v>
      </c>
      <c r="F513" s="32">
        <v>9.7051759999999998</v>
      </c>
      <c r="G513" s="32">
        <v>14.359121999999999</v>
      </c>
      <c r="H513" s="32">
        <v>29.287732999999999</v>
      </c>
      <c r="I513" s="32"/>
      <c r="J513" s="32">
        <f t="shared" si="37"/>
        <v>1.4464462274421706</v>
      </c>
      <c r="K513" s="47">
        <f t="shared" si="38"/>
        <v>1.7063953215207586</v>
      </c>
    </row>
    <row r="514" spans="1:11" x14ac:dyDescent="0.25">
      <c r="A514" s="32">
        <v>2034</v>
      </c>
      <c r="B514" s="32">
        <v>20.441582</v>
      </c>
      <c r="C514" s="32">
        <v>24.148389999999999</v>
      </c>
      <c r="D514" s="32">
        <v>25.318085</v>
      </c>
      <c r="E514" s="32">
        <v>28.164899999999999</v>
      </c>
      <c r="F514" s="32">
        <v>9.5818320000000003</v>
      </c>
      <c r="G514" s="32">
        <v>14.369516000000001</v>
      </c>
      <c r="H514" s="32">
        <v>29.307881999999999</v>
      </c>
      <c r="I514" s="32"/>
      <c r="J514" s="32">
        <f t="shared" si="37"/>
        <v>1.4380124868910589</v>
      </c>
      <c r="K514" s="47">
        <f t="shared" si="38"/>
        <v>1.6965486782594992</v>
      </c>
    </row>
    <row r="515" spans="1:11" x14ac:dyDescent="0.25">
      <c r="A515" s="32">
        <v>2033</v>
      </c>
      <c r="B515" s="32">
        <v>20.232208</v>
      </c>
      <c r="C515" s="32">
        <v>24.018903999999999</v>
      </c>
      <c r="D515" s="32">
        <v>25.053329000000002</v>
      </c>
      <c r="E515" s="32">
        <v>27.860375999999999</v>
      </c>
      <c r="F515" s="32">
        <v>9.3390090000000008</v>
      </c>
      <c r="G515" s="32">
        <v>14.477880000000001</v>
      </c>
      <c r="H515" s="32">
        <v>29.527833999999999</v>
      </c>
      <c r="I515" s="32"/>
      <c r="J515" s="32">
        <f t="shared" si="37"/>
        <v>1.4229749185291813</v>
      </c>
      <c r="K515" s="47">
        <f t="shared" si="38"/>
        <v>1.6782052866728685</v>
      </c>
    </row>
    <row r="516" spans="1:11" x14ac:dyDescent="0.25">
      <c r="A516" s="32">
        <v>2032</v>
      </c>
      <c r="B516" s="32">
        <v>20.173735000000001</v>
      </c>
      <c r="C516" s="32">
        <v>24.475328000000001</v>
      </c>
      <c r="D516" s="32">
        <v>25.091464999999999</v>
      </c>
      <c r="E516" s="32">
        <v>27.844007000000001</v>
      </c>
      <c r="F516" s="32">
        <v>9.3512339999999998</v>
      </c>
      <c r="G516" s="32">
        <v>14.667254</v>
      </c>
      <c r="H516" s="32">
        <v>29.725489</v>
      </c>
      <c r="I516" s="32"/>
      <c r="J516" s="32">
        <f t="shared" si="37"/>
        <v>1.425140960874014</v>
      </c>
      <c r="K516" s="47">
        <f t="shared" si="38"/>
        <v>1.6772192790777971</v>
      </c>
    </row>
    <row r="517" spans="1:11" x14ac:dyDescent="0.25">
      <c r="A517" s="32">
        <v>2031</v>
      </c>
      <c r="B517" s="32">
        <v>19.892206000000002</v>
      </c>
      <c r="C517" s="32">
        <v>24.472078</v>
      </c>
      <c r="D517" s="32">
        <v>24.721665999999999</v>
      </c>
      <c r="E517" s="32">
        <v>27.399906000000001</v>
      </c>
      <c r="F517" s="32">
        <v>9.0095360000000007</v>
      </c>
      <c r="G517" s="32">
        <v>14.810874999999999</v>
      </c>
      <c r="H517" s="32">
        <v>29.808509999999998</v>
      </c>
      <c r="I517" s="32"/>
      <c r="J517" s="32">
        <f t="shared" si="37"/>
        <v>1.4041371772292468</v>
      </c>
      <c r="K517" s="47">
        <f t="shared" si="38"/>
        <v>1.6504682888536628</v>
      </c>
    </row>
    <row r="518" spans="1:11" x14ac:dyDescent="0.25">
      <c r="A518" s="32">
        <v>2030</v>
      </c>
      <c r="B518" s="32">
        <v>19.519158999999998</v>
      </c>
      <c r="C518" s="32">
        <v>24.129477000000001</v>
      </c>
      <c r="D518" s="32">
        <v>24.373328999999998</v>
      </c>
      <c r="E518" s="32">
        <v>27.014498</v>
      </c>
      <c r="F518" s="32">
        <v>8.7067359999999994</v>
      </c>
      <c r="G518" s="32">
        <v>14.927194999999999</v>
      </c>
      <c r="H518" s="32">
        <v>29.690595999999999</v>
      </c>
      <c r="I518" s="32"/>
      <c r="J518" s="32">
        <f t="shared" si="37"/>
        <v>1.3843523887807456</v>
      </c>
      <c r="K518" s="47">
        <f t="shared" si="38"/>
        <v>1.6272527463525126</v>
      </c>
    </row>
    <row r="519" spans="1:11" x14ac:dyDescent="0.25">
      <c r="A519" s="32">
        <v>2029</v>
      </c>
      <c r="B519" s="32">
        <v>19.371469000000001</v>
      </c>
      <c r="C519" s="32">
        <v>24.693501999999999</v>
      </c>
      <c r="D519" s="32">
        <v>24.016455000000001</v>
      </c>
      <c r="E519" s="32">
        <v>26.542971000000001</v>
      </c>
      <c r="F519" s="32">
        <v>8.3749870000000008</v>
      </c>
      <c r="G519" s="32">
        <v>15.096978999999999</v>
      </c>
      <c r="H519" s="32">
        <v>29.602208999999998</v>
      </c>
      <c r="I519" s="32"/>
      <c r="J519" s="32">
        <f t="shared" si="37"/>
        <v>1.364082717190388</v>
      </c>
      <c r="K519" s="47">
        <f t="shared" si="38"/>
        <v>1.5988497160341497</v>
      </c>
    </row>
    <row r="520" spans="1:11" x14ac:dyDescent="0.25">
      <c r="A520" s="32">
        <v>2028</v>
      </c>
      <c r="B520" s="32">
        <v>19.345047000000001</v>
      </c>
      <c r="C520" s="32">
        <v>25.235258000000002</v>
      </c>
      <c r="D520" s="32">
        <v>23.806380999999998</v>
      </c>
      <c r="E520" s="32">
        <v>26.246988000000002</v>
      </c>
      <c r="F520" s="32">
        <v>8.1741679999999999</v>
      </c>
      <c r="G520" s="32">
        <v>15.248564</v>
      </c>
      <c r="H520" s="32">
        <v>29.399304999999998</v>
      </c>
      <c r="I520" s="32"/>
      <c r="J520" s="32">
        <f t="shared" si="37"/>
        <v>1.3521509681986632</v>
      </c>
      <c r="K520" s="47">
        <f t="shared" si="38"/>
        <v>1.5810208024773011</v>
      </c>
    </row>
    <row r="521" spans="1:11" x14ac:dyDescent="0.25">
      <c r="A521" s="32">
        <v>2027</v>
      </c>
      <c r="B521" s="32">
        <v>19.289000999999999</v>
      </c>
      <c r="C521" s="32">
        <v>26.386002999999999</v>
      </c>
      <c r="D521" s="32">
        <v>23.864183000000001</v>
      </c>
      <c r="E521" s="32">
        <v>26.126650000000001</v>
      </c>
      <c r="F521" s="32">
        <v>8.1236420000000003</v>
      </c>
      <c r="G521" s="32">
        <v>15.440331</v>
      </c>
      <c r="H521" s="32">
        <v>29.205805000000002</v>
      </c>
      <c r="I521" s="32"/>
      <c r="J521" s="32">
        <f t="shared" si="37"/>
        <v>1.3554339968229561</v>
      </c>
      <c r="K521" s="47">
        <f t="shared" si="38"/>
        <v>1.5737720895458016</v>
      </c>
    </row>
    <row r="522" spans="1:11" x14ac:dyDescent="0.25">
      <c r="A522" s="32">
        <v>2026</v>
      </c>
      <c r="B522" s="32">
        <v>19.111526000000001</v>
      </c>
      <c r="C522" s="32">
        <v>27.106069999999999</v>
      </c>
      <c r="D522" s="32">
        <v>23.825626</v>
      </c>
      <c r="E522" s="32">
        <v>25.897836999999999</v>
      </c>
      <c r="F522" s="32">
        <v>7.9685779999999999</v>
      </c>
      <c r="G522" s="32">
        <v>15.641870000000001</v>
      </c>
      <c r="H522" s="32">
        <v>28.914141000000001</v>
      </c>
      <c r="I522" s="32"/>
      <c r="J522" s="32">
        <f t="shared" si="37"/>
        <v>1.3532440425883818</v>
      </c>
      <c r="K522" s="47">
        <f t="shared" si="38"/>
        <v>1.5599892466200822</v>
      </c>
    </row>
    <row r="523" spans="1:11" x14ac:dyDescent="0.25">
      <c r="A523" s="32">
        <v>2025</v>
      </c>
      <c r="B523" s="32">
        <v>19.071445000000001</v>
      </c>
      <c r="C523" s="32">
        <v>27.975483000000001</v>
      </c>
      <c r="D523" s="32">
        <v>23.536234</v>
      </c>
      <c r="E523" s="32">
        <v>25.529591</v>
      </c>
      <c r="F523" s="32">
        <v>7.6705810000000003</v>
      </c>
      <c r="G523" s="32">
        <v>15.812901999999999</v>
      </c>
      <c r="H523" s="32">
        <v>28.516047</v>
      </c>
      <c r="I523" s="32"/>
      <c r="J523" s="32">
        <f t="shared" si="37"/>
        <v>1.3368072026928535</v>
      </c>
      <c r="K523" s="47">
        <f t="shared" si="38"/>
        <v>1.5378074790805438</v>
      </c>
    </row>
    <row r="524" spans="1:11" x14ac:dyDescent="0.25">
      <c r="A524" s="32">
        <v>2024</v>
      </c>
      <c r="B524" s="32">
        <v>19.101510999999999</v>
      </c>
      <c r="C524" s="32">
        <v>29.583168000000001</v>
      </c>
      <c r="D524" s="32">
        <v>23.159379999999999</v>
      </c>
      <c r="E524" s="32">
        <v>24.924696000000001</v>
      </c>
      <c r="F524" s="32">
        <v>7.31379</v>
      </c>
      <c r="G524" s="32">
        <v>16.03558</v>
      </c>
      <c r="H524" s="32">
        <v>27.971084999999999</v>
      </c>
      <c r="I524" s="32"/>
      <c r="J524" s="32">
        <f t="shared" si="37"/>
        <v>1.3154027103019461</v>
      </c>
      <c r="K524" s="47">
        <f t="shared" si="38"/>
        <v>1.5013708571597921</v>
      </c>
    </row>
    <row r="525" spans="1:11" x14ac:dyDescent="0.25">
      <c r="A525" s="32">
        <v>2023</v>
      </c>
      <c r="B525" s="32">
        <v>19.014347000000001</v>
      </c>
      <c r="C525" s="32">
        <v>29.129984</v>
      </c>
      <c r="D525" s="32">
        <v>22.935231999999999</v>
      </c>
      <c r="E525" s="32">
        <v>24.644591999999999</v>
      </c>
      <c r="F525" s="32">
        <v>7.0708669999999998</v>
      </c>
      <c r="G525" s="32">
        <v>16.205175000000001</v>
      </c>
      <c r="H525" s="32">
        <v>28.116382999999999</v>
      </c>
      <c r="I525" s="32"/>
      <c r="J525" s="32">
        <f t="shared" si="37"/>
        <v>1.3026715885401046</v>
      </c>
      <c r="K525" s="47">
        <f t="shared" si="38"/>
        <v>1.4844984354229778</v>
      </c>
    </row>
    <row r="526" spans="1:11" x14ac:dyDescent="0.25">
      <c r="A526" s="32">
        <v>2022</v>
      </c>
      <c r="B526" s="32">
        <v>18.767149</v>
      </c>
      <c r="C526" s="32">
        <v>28.597683</v>
      </c>
      <c r="D526" s="32">
        <v>22.671973999999999</v>
      </c>
      <c r="E526" s="32">
        <v>24.320007</v>
      </c>
      <c r="F526" s="32">
        <v>6.7800390000000004</v>
      </c>
      <c r="G526" s="32">
        <v>16.423228999999999</v>
      </c>
      <c r="H526" s="32">
        <v>28.266984999999998</v>
      </c>
      <c r="I526" s="32"/>
      <c r="J526" s="32">
        <f t="shared" si="37"/>
        <v>1.2877191033393491</v>
      </c>
      <c r="K526" s="47">
        <f t="shared" si="38"/>
        <v>1.4649466439118111</v>
      </c>
    </row>
    <row r="527" spans="1:11" x14ac:dyDescent="0.25">
      <c r="A527" s="32">
        <v>2021</v>
      </c>
      <c r="B527" s="32">
        <v>18.388876</v>
      </c>
      <c r="C527" s="32">
        <v>32.556193999999998</v>
      </c>
      <c r="D527" s="32">
        <v>21.778898000000002</v>
      </c>
      <c r="E527" s="32">
        <v>23.597771000000002</v>
      </c>
      <c r="F527" s="32">
        <v>6.4156529999999998</v>
      </c>
      <c r="G527" s="32">
        <v>16.758099000000001</v>
      </c>
      <c r="H527" s="32">
        <v>27.700327000000001</v>
      </c>
      <c r="I527" s="32"/>
      <c r="J527" s="32">
        <f t="shared" si="37"/>
        <v>1.2369943174899172</v>
      </c>
      <c r="K527" s="47">
        <f t="shared" si="38"/>
        <v>1.421441837177492</v>
      </c>
    </row>
    <row r="528" spans="1:11" x14ac:dyDescent="0.25">
      <c r="A528" s="32">
        <v>2020</v>
      </c>
      <c r="B528" s="32">
        <v>18.369720000000001</v>
      </c>
      <c r="C528" s="32">
        <v>32.017265000000002</v>
      </c>
      <c r="D528" s="32">
        <v>20.839020000000001</v>
      </c>
      <c r="E528" s="32">
        <v>23.010290000000001</v>
      </c>
      <c r="F528" s="32">
        <v>5.9593379999999998</v>
      </c>
      <c r="G528" s="32">
        <v>17.019898999999999</v>
      </c>
      <c r="H528" s="32">
        <v>27.249642999999999</v>
      </c>
      <c r="I528" s="32"/>
      <c r="J528" s="32">
        <f t="shared" si="37"/>
        <v>1.1836112792327111</v>
      </c>
      <c r="K528" s="47">
        <f t="shared" si="38"/>
        <v>1.3860541697597994</v>
      </c>
    </row>
    <row r="529" spans="1:11" x14ac:dyDescent="0.25">
      <c r="A529" s="32">
        <v>2019</v>
      </c>
      <c r="B529" s="32">
        <v>18.416537999999999</v>
      </c>
      <c r="C529" s="32">
        <v>31.436921999999999</v>
      </c>
      <c r="D529" s="32">
        <v>19.877065999999999</v>
      </c>
      <c r="E529" s="32">
        <v>22.241849999999999</v>
      </c>
      <c r="F529" s="32">
        <v>5.3698709999999998</v>
      </c>
      <c r="G529" s="32">
        <v>16.731531</v>
      </c>
      <c r="H529" s="32">
        <v>26.146431</v>
      </c>
      <c r="I529" s="32"/>
      <c r="J529" s="32">
        <f t="shared" si="37"/>
        <v>1.1289743719067895</v>
      </c>
      <c r="K529" s="47">
        <f t="shared" si="38"/>
        <v>1.3397662061482924</v>
      </c>
    </row>
    <row r="530" spans="1:11" x14ac:dyDescent="0.25">
      <c r="A530" s="32">
        <v>2018</v>
      </c>
      <c r="B530" s="32">
        <v>18.384606999999999</v>
      </c>
      <c r="C530" s="32">
        <v>29.801167</v>
      </c>
      <c r="D530" s="32">
        <v>18.097149000000002</v>
      </c>
      <c r="E530" s="32">
        <v>20.919456</v>
      </c>
      <c r="F530" s="32">
        <v>4.4323680000000003</v>
      </c>
      <c r="G530" s="32">
        <v>16.367429999999999</v>
      </c>
      <c r="H530" s="32">
        <v>24.832424</v>
      </c>
      <c r="I530" s="32"/>
      <c r="J530" s="32">
        <f t="shared" si="37"/>
        <v>1.0278789347270159</v>
      </c>
      <c r="K530" s="47">
        <f t="shared" si="38"/>
        <v>1.2601101167306736</v>
      </c>
    </row>
    <row r="531" spans="1:11" x14ac:dyDescent="0.25">
      <c r="A531" s="32">
        <v>2017</v>
      </c>
      <c r="B531" s="32">
        <v>17.346700999999999</v>
      </c>
      <c r="C531" s="32">
        <v>26.688624999999998</v>
      </c>
      <c r="D531" s="32">
        <v>18.350756000000001</v>
      </c>
      <c r="E531" s="32">
        <v>18.909096000000002</v>
      </c>
      <c r="F531" s="32">
        <v>5.7322850000000001</v>
      </c>
      <c r="G531" s="32">
        <v>16.084900000000001</v>
      </c>
      <c r="H531" s="32">
        <v>26.602243000000001</v>
      </c>
      <c r="I531" s="32"/>
      <c r="J531" s="32">
        <f t="shared" si="37"/>
        <v>1.0422832639945327</v>
      </c>
      <c r="K531" s="47">
        <f t="shared" si="38"/>
        <v>1.1390135177430769</v>
      </c>
    </row>
    <row r="532" spans="1:11" x14ac:dyDescent="0.25">
      <c r="A532" s="32">
        <v>2016</v>
      </c>
      <c r="B532" s="32">
        <v>17.215154999999999</v>
      </c>
      <c r="C532" s="32">
        <v>24.455266999999999</v>
      </c>
      <c r="D532" s="32">
        <v>17.606304000000002</v>
      </c>
      <c r="E532" s="32">
        <v>16.601292000000001</v>
      </c>
      <c r="F532" s="32">
        <v>4.4294929999999999</v>
      </c>
      <c r="G532" s="32">
        <v>15.66329</v>
      </c>
      <c r="H532" s="32">
        <v>25.267043999999999</v>
      </c>
      <c r="I532" s="32"/>
      <c r="J532" s="32">
        <f t="shared" si="37"/>
        <v>1</v>
      </c>
      <c r="K532" s="47">
        <f t="shared" si="38"/>
        <v>1</v>
      </c>
    </row>
    <row r="533" spans="1:11" x14ac:dyDescent="0.25">
      <c r="A533" s="32">
        <v>2015</v>
      </c>
      <c r="B533" s="32">
        <v>18.127602</v>
      </c>
      <c r="C533" s="32">
        <v>27.414465</v>
      </c>
      <c r="D533" s="32">
        <v>20.304943000000002</v>
      </c>
      <c r="E533" s="32">
        <v>19.839661</v>
      </c>
      <c r="F533" s="32">
        <v>5.9928429999999997</v>
      </c>
      <c r="G533" s="32">
        <v>15.832031000000001</v>
      </c>
      <c r="H533" s="32">
        <v>17.362158000000001</v>
      </c>
      <c r="I533" s="32"/>
    </row>
    <row r="534" spans="1:11" x14ac:dyDescent="0.25">
      <c r="A534" s="23" t="s">
        <v>139</v>
      </c>
      <c r="B534" s="23"/>
      <c r="C534" s="23"/>
      <c r="D534" s="23"/>
      <c r="E534" s="23"/>
      <c r="F534" s="23"/>
      <c r="G534" s="23"/>
      <c r="H534" s="23"/>
      <c r="I534" s="30"/>
      <c r="J534" s="30"/>
      <c r="K534" s="30"/>
    </row>
    <row r="535" spans="1:11" x14ac:dyDescent="0.25">
      <c r="A535" s="22" t="s">
        <v>102</v>
      </c>
      <c r="I535" s="29"/>
      <c r="J535" s="29"/>
      <c r="K535" s="29"/>
    </row>
    <row r="536" spans="1:11" ht="30" x14ac:dyDescent="0.25">
      <c r="A536" s="32" t="s">
        <v>110</v>
      </c>
      <c r="B536" s="32" t="s">
        <v>116</v>
      </c>
      <c r="C536" s="32" t="s">
        <v>117</v>
      </c>
      <c r="D536" s="32" t="s">
        <v>118</v>
      </c>
      <c r="E536" s="32" t="s">
        <v>119</v>
      </c>
      <c r="F536" s="32" t="s">
        <v>120</v>
      </c>
      <c r="G536" s="32" t="s">
        <v>121</v>
      </c>
      <c r="H536" s="32" t="s">
        <v>122</v>
      </c>
      <c r="I536" s="31"/>
      <c r="J536" s="208" t="s">
        <v>456</v>
      </c>
      <c r="K536" s="208" t="s">
        <v>457</v>
      </c>
    </row>
    <row r="537" spans="1:11" x14ac:dyDescent="0.25">
      <c r="A537" s="32">
        <v>2050</v>
      </c>
      <c r="B537" s="32">
        <v>24.014825999999999</v>
      </c>
      <c r="C537" s="32">
        <v>30.08473</v>
      </c>
      <c r="D537" s="32">
        <v>27.849641999999999</v>
      </c>
      <c r="E537" s="32">
        <v>30.758295</v>
      </c>
      <c r="F537" s="32">
        <v>12.839722999999999</v>
      </c>
      <c r="G537" s="32">
        <v>15.7431</v>
      </c>
      <c r="H537" s="32">
        <v>33.854855000000001</v>
      </c>
      <c r="I537" s="32"/>
      <c r="J537" s="32">
        <f>D537/$D$571</f>
        <v>1.5701808837802007</v>
      </c>
      <c r="K537" s="47">
        <f>E537/$E$571</f>
        <v>1.8527651341835321</v>
      </c>
    </row>
    <row r="538" spans="1:11" x14ac:dyDescent="0.25">
      <c r="A538" s="32">
        <v>2049</v>
      </c>
      <c r="B538" s="32">
        <v>23.806436999999999</v>
      </c>
      <c r="C538" s="32">
        <v>30.312445</v>
      </c>
      <c r="D538" s="32">
        <v>27.503616000000001</v>
      </c>
      <c r="E538" s="32">
        <v>30.493607000000001</v>
      </c>
      <c r="F538" s="32">
        <v>12.636801999999999</v>
      </c>
      <c r="G538" s="32">
        <v>15.642257000000001</v>
      </c>
      <c r="H538" s="32">
        <v>33.897979999999997</v>
      </c>
      <c r="I538" s="32"/>
      <c r="J538" s="32">
        <f t="shared" ref="J538:J571" si="39">D538/$D$571</f>
        <v>1.5506717134112988</v>
      </c>
      <c r="K538" s="47">
        <f t="shared" ref="K538:K571" si="40">E538/$E$571</f>
        <v>1.8368213148711559</v>
      </c>
    </row>
    <row r="539" spans="1:11" x14ac:dyDescent="0.25">
      <c r="A539" s="32">
        <v>2048</v>
      </c>
      <c r="B539" s="32">
        <v>23.691276999999999</v>
      </c>
      <c r="C539" s="32">
        <v>30.646114000000001</v>
      </c>
      <c r="D539" s="32">
        <v>27.392757</v>
      </c>
      <c r="E539" s="32">
        <v>30.297620999999999</v>
      </c>
      <c r="F539" s="32">
        <v>12.497436</v>
      </c>
      <c r="G539" s="32">
        <v>15.614416</v>
      </c>
      <c r="H539" s="32">
        <v>33.955531999999998</v>
      </c>
      <c r="I539" s="32"/>
      <c r="J539" s="32">
        <f t="shared" si="39"/>
        <v>1.5444214110700698</v>
      </c>
      <c r="K539" s="47">
        <f t="shared" si="40"/>
        <v>1.8250158481641066</v>
      </c>
    </row>
    <row r="540" spans="1:11" x14ac:dyDescent="0.25">
      <c r="A540" s="32">
        <v>2047</v>
      </c>
      <c r="B540" s="32">
        <v>23.475857000000001</v>
      </c>
      <c r="C540" s="32">
        <v>31.058489000000002</v>
      </c>
      <c r="D540" s="32">
        <v>27.500900000000001</v>
      </c>
      <c r="E540" s="32">
        <v>30.287468000000001</v>
      </c>
      <c r="F540" s="32">
        <v>12.449436</v>
      </c>
      <c r="G540" s="32">
        <v>15.530419999999999</v>
      </c>
      <c r="H540" s="32">
        <v>34.047905</v>
      </c>
      <c r="I540" s="32"/>
      <c r="J540" s="32">
        <f t="shared" si="39"/>
        <v>1.5505185835692583</v>
      </c>
      <c r="K540" s="47">
        <f t="shared" si="40"/>
        <v>1.8244042692580793</v>
      </c>
    </row>
    <row r="541" spans="1:11" x14ac:dyDescent="0.25">
      <c r="A541" s="32">
        <v>2046</v>
      </c>
      <c r="B541" s="32">
        <v>23.291235</v>
      </c>
      <c r="C541" s="32">
        <v>31.381205000000001</v>
      </c>
      <c r="D541" s="32">
        <v>27.338612000000001</v>
      </c>
      <c r="E541" s="32">
        <v>29.959892</v>
      </c>
      <c r="F541" s="32">
        <v>12.221806000000001</v>
      </c>
      <c r="G541" s="32">
        <v>15.485465</v>
      </c>
      <c r="H541" s="32">
        <v>34.161583</v>
      </c>
      <c r="I541" s="32"/>
      <c r="J541" s="32">
        <f t="shared" si="39"/>
        <v>1.5413686808427918</v>
      </c>
      <c r="K541" s="47">
        <f t="shared" si="40"/>
        <v>1.8046723110466341</v>
      </c>
    </row>
    <row r="542" spans="1:11" x14ac:dyDescent="0.25">
      <c r="A542" s="32">
        <v>2045</v>
      </c>
      <c r="B542" s="32">
        <v>23.117487000000001</v>
      </c>
      <c r="C542" s="32">
        <v>31.609954999999999</v>
      </c>
      <c r="D542" s="32">
        <v>27.227267999999999</v>
      </c>
      <c r="E542" s="32">
        <v>29.809963</v>
      </c>
      <c r="F542" s="32">
        <v>12.085934999999999</v>
      </c>
      <c r="G542" s="32">
        <v>15.438909000000001</v>
      </c>
      <c r="H542" s="32">
        <v>34.195286000000003</v>
      </c>
      <c r="I542" s="32"/>
      <c r="J542" s="32">
        <f t="shared" si="39"/>
        <v>1.5350910338869124</v>
      </c>
      <c r="K542" s="47">
        <f t="shared" si="40"/>
        <v>1.7956411464842614</v>
      </c>
    </row>
    <row r="543" spans="1:11" x14ac:dyDescent="0.25">
      <c r="A543" s="32">
        <v>2044</v>
      </c>
      <c r="B543" s="32">
        <v>23.037481</v>
      </c>
      <c r="C543" s="32">
        <v>31.700405</v>
      </c>
      <c r="D543" s="32">
        <v>27.118238000000002</v>
      </c>
      <c r="E543" s="32">
        <v>29.686851999999998</v>
      </c>
      <c r="F543" s="32">
        <v>11.992489000000001</v>
      </c>
      <c r="G543" s="32">
        <v>15.358374</v>
      </c>
      <c r="H543" s="32">
        <v>34.390746999999998</v>
      </c>
      <c r="I543" s="32"/>
      <c r="J543" s="32">
        <f t="shared" si="39"/>
        <v>1.5289438517522713</v>
      </c>
      <c r="K543" s="47">
        <f t="shared" si="40"/>
        <v>1.7882253983605612</v>
      </c>
    </row>
    <row r="544" spans="1:11" x14ac:dyDescent="0.25">
      <c r="A544" s="32">
        <v>2043</v>
      </c>
      <c r="B544" s="32">
        <v>22.878506000000002</v>
      </c>
      <c r="C544" s="32">
        <v>30.737337</v>
      </c>
      <c r="D544" s="32">
        <v>27.027691000000001</v>
      </c>
      <c r="E544" s="32">
        <v>29.666720999999999</v>
      </c>
      <c r="F544" s="32">
        <v>11.917671</v>
      </c>
      <c r="G544" s="32">
        <v>15.315829000000001</v>
      </c>
      <c r="H544" s="32">
        <v>34.681910999999999</v>
      </c>
      <c r="I544" s="32"/>
      <c r="J544" s="32">
        <f t="shared" si="39"/>
        <v>1.5238387531487185</v>
      </c>
      <c r="K544" s="47">
        <f t="shared" si="40"/>
        <v>1.7870127818967341</v>
      </c>
    </row>
    <row r="545" spans="1:11" x14ac:dyDescent="0.25">
      <c r="A545" s="32">
        <v>2042</v>
      </c>
      <c r="B545" s="32">
        <v>22.695118000000001</v>
      </c>
      <c r="C545" s="32">
        <v>29.660036000000002</v>
      </c>
      <c r="D545" s="32">
        <v>26.949434</v>
      </c>
      <c r="E545" s="32">
        <v>29.684937000000001</v>
      </c>
      <c r="F545" s="32">
        <v>11.856014</v>
      </c>
      <c r="G545" s="32">
        <v>15.247804</v>
      </c>
      <c r="H545" s="32">
        <v>34.823090000000001</v>
      </c>
      <c r="I545" s="32"/>
      <c r="J545" s="32">
        <f t="shared" si="39"/>
        <v>1.5194265727184642</v>
      </c>
      <c r="K545" s="47">
        <f t="shared" si="40"/>
        <v>1.7881100458928136</v>
      </c>
    </row>
    <row r="546" spans="1:11" x14ac:dyDescent="0.25">
      <c r="A546" s="32">
        <v>2041</v>
      </c>
      <c r="B546" s="32">
        <v>22.565784000000001</v>
      </c>
      <c r="C546" s="32">
        <v>28.542649999999998</v>
      </c>
      <c r="D546" s="32">
        <v>26.905149000000002</v>
      </c>
      <c r="E546" s="32">
        <v>29.745684000000001</v>
      </c>
      <c r="F546" s="32">
        <v>11.841729000000001</v>
      </c>
      <c r="G546" s="32">
        <v>15.226093000000001</v>
      </c>
      <c r="H546" s="32">
        <v>34.977736999999998</v>
      </c>
      <c r="I546" s="32"/>
      <c r="J546" s="32">
        <f t="shared" si="39"/>
        <v>1.5169297556879902</v>
      </c>
      <c r="K546" s="47">
        <f t="shared" si="40"/>
        <v>1.7917692189258523</v>
      </c>
    </row>
    <row r="547" spans="1:11" x14ac:dyDescent="0.25">
      <c r="A547" s="32">
        <v>2040</v>
      </c>
      <c r="B547" s="32">
        <v>22.326273</v>
      </c>
      <c r="C547" s="32">
        <v>27.638418000000001</v>
      </c>
      <c r="D547" s="32">
        <v>26.766987</v>
      </c>
      <c r="E547" s="32">
        <v>29.686674</v>
      </c>
      <c r="F547" s="32">
        <v>11.752872</v>
      </c>
      <c r="G547" s="32">
        <v>15.272104000000001</v>
      </c>
      <c r="H547" s="32">
        <v>35.130637999999998</v>
      </c>
      <c r="I547" s="32"/>
      <c r="J547" s="32">
        <f t="shared" si="39"/>
        <v>1.5091400924935821</v>
      </c>
      <c r="K547" s="47">
        <f t="shared" si="40"/>
        <v>1.7882146763035069</v>
      </c>
    </row>
    <row r="548" spans="1:11" x14ac:dyDescent="0.25">
      <c r="A548" s="32">
        <v>2039</v>
      </c>
      <c r="B548" s="32">
        <v>22.175626999999999</v>
      </c>
      <c r="C548" s="32">
        <v>26.780821</v>
      </c>
      <c r="D548" s="32">
        <v>26.563438000000001</v>
      </c>
      <c r="E548" s="32">
        <v>29.545736000000002</v>
      </c>
      <c r="F548" s="32">
        <v>11.590718000000001</v>
      </c>
      <c r="G548" s="32">
        <v>15.363427</v>
      </c>
      <c r="H548" s="32">
        <v>35.214618999999999</v>
      </c>
      <c r="I548" s="32"/>
      <c r="J548" s="32">
        <f t="shared" si="39"/>
        <v>1.497663867818501</v>
      </c>
      <c r="K548" s="47">
        <f t="shared" si="40"/>
        <v>1.7797250960949305</v>
      </c>
    </row>
    <row r="549" spans="1:11" x14ac:dyDescent="0.25">
      <c r="A549" s="32">
        <v>2038</v>
      </c>
      <c r="B549" s="32">
        <v>21.783522000000001</v>
      </c>
      <c r="C549" s="32">
        <v>25.948519000000001</v>
      </c>
      <c r="D549" s="32">
        <v>26.203533</v>
      </c>
      <c r="E549" s="32">
        <v>29.243258000000001</v>
      </c>
      <c r="F549" s="32">
        <v>11.358927</v>
      </c>
      <c r="G549" s="32">
        <v>15.425373</v>
      </c>
      <c r="H549" s="32">
        <v>35.298969</v>
      </c>
      <c r="I549" s="32"/>
      <c r="J549" s="32">
        <f t="shared" si="39"/>
        <v>1.4773721904254158</v>
      </c>
      <c r="K549" s="47">
        <f t="shared" si="40"/>
        <v>1.7615049479281493</v>
      </c>
    </row>
    <row r="550" spans="1:11" x14ac:dyDescent="0.25">
      <c r="A550" s="32">
        <v>2037</v>
      </c>
      <c r="B550" s="32">
        <v>21.505223999999998</v>
      </c>
      <c r="C550" s="32">
        <v>25.417757000000002</v>
      </c>
      <c r="D550" s="32">
        <v>26.078285000000001</v>
      </c>
      <c r="E550" s="32">
        <v>29.161299</v>
      </c>
      <c r="F550" s="32">
        <v>11.243719</v>
      </c>
      <c r="G550" s="32">
        <v>15.513961</v>
      </c>
      <c r="H550" s="32">
        <v>35.416106999999997</v>
      </c>
      <c r="I550" s="32"/>
      <c r="J550" s="32">
        <f t="shared" si="39"/>
        <v>1.4703106269291346</v>
      </c>
      <c r="K550" s="47">
        <f t="shared" si="40"/>
        <v>1.7565680430173747</v>
      </c>
    </row>
    <row r="551" spans="1:11" x14ac:dyDescent="0.25">
      <c r="A551" s="32">
        <v>2036</v>
      </c>
      <c r="B551" s="32">
        <v>21.362656000000001</v>
      </c>
      <c r="C551" s="32">
        <v>25.147766000000001</v>
      </c>
      <c r="D551" s="32">
        <v>26.019777000000001</v>
      </c>
      <c r="E551" s="32">
        <v>29.120902999999998</v>
      </c>
      <c r="F551" s="32">
        <v>11.17093</v>
      </c>
      <c r="G551" s="32">
        <v>15.610007</v>
      </c>
      <c r="H551" s="32">
        <v>35.576900000000002</v>
      </c>
      <c r="I551" s="32"/>
      <c r="J551" s="32">
        <f t="shared" si="39"/>
        <v>1.4670119079313029</v>
      </c>
      <c r="K551" s="47">
        <f t="shared" si="40"/>
        <v>1.754134738428792</v>
      </c>
    </row>
    <row r="552" spans="1:11" x14ac:dyDescent="0.25">
      <c r="A552" s="32">
        <v>2035</v>
      </c>
      <c r="B552" s="32">
        <v>21.058979000000001</v>
      </c>
      <c r="C552" s="32">
        <v>24.472532000000001</v>
      </c>
      <c r="D552" s="32">
        <v>25.507141000000001</v>
      </c>
      <c r="E552" s="32">
        <v>28.617867</v>
      </c>
      <c r="F552" s="32">
        <v>10.784632</v>
      </c>
      <c r="G552" s="32">
        <v>15.730421</v>
      </c>
      <c r="H552" s="32">
        <v>35.820079999999997</v>
      </c>
      <c r="I552" s="32"/>
      <c r="J552" s="32">
        <f t="shared" si="39"/>
        <v>1.43810915767198</v>
      </c>
      <c r="K552" s="47">
        <f t="shared" si="40"/>
        <v>1.7238337233029815</v>
      </c>
    </row>
    <row r="553" spans="1:11" x14ac:dyDescent="0.25">
      <c r="A553" s="32">
        <v>2034</v>
      </c>
      <c r="B553" s="32">
        <v>20.958136</v>
      </c>
      <c r="C553" s="32">
        <v>24.516850999999999</v>
      </c>
      <c r="D553" s="32">
        <v>25.361018999999999</v>
      </c>
      <c r="E553" s="32">
        <v>28.454391000000001</v>
      </c>
      <c r="F553" s="32">
        <v>10.661288000000001</v>
      </c>
      <c r="G553" s="32">
        <v>15.785161</v>
      </c>
      <c r="H553" s="32">
        <v>36.167876999999997</v>
      </c>
      <c r="I553" s="32"/>
      <c r="J553" s="32">
        <f t="shared" si="39"/>
        <v>1.4298707045134176</v>
      </c>
      <c r="K553" s="47">
        <f t="shared" si="40"/>
        <v>1.7139865379152417</v>
      </c>
    </row>
    <row r="554" spans="1:11" x14ac:dyDescent="0.25">
      <c r="A554" s="32">
        <v>2033</v>
      </c>
      <c r="B554" s="32">
        <v>20.743471</v>
      </c>
      <c r="C554" s="32">
        <v>24.393946</v>
      </c>
      <c r="D554" s="32">
        <v>25.096947</v>
      </c>
      <c r="E554" s="32">
        <v>28.149861999999999</v>
      </c>
      <c r="F554" s="32">
        <v>10.418466</v>
      </c>
      <c r="G554" s="32">
        <v>15.947198</v>
      </c>
      <c r="H554" s="32">
        <v>36.460850000000001</v>
      </c>
      <c r="I554" s="32"/>
      <c r="J554" s="32">
        <f t="shared" si="39"/>
        <v>1.4149821538332472</v>
      </c>
      <c r="K554" s="47">
        <f t="shared" si="40"/>
        <v>1.695642845147233</v>
      </c>
    </row>
    <row r="555" spans="1:11" x14ac:dyDescent="0.25">
      <c r="A555" s="32">
        <v>2032</v>
      </c>
      <c r="B555" s="32">
        <v>20.683520999999999</v>
      </c>
      <c r="C555" s="32">
        <v>24.850227</v>
      </c>
      <c r="D555" s="32">
        <v>25.133683999999999</v>
      </c>
      <c r="E555" s="32">
        <v>28.133495</v>
      </c>
      <c r="F555" s="32">
        <v>10.430690999999999</v>
      </c>
      <c r="G555" s="32">
        <v>16.199003000000001</v>
      </c>
      <c r="H555" s="32">
        <v>36.732025</v>
      </c>
      <c r="I555" s="32"/>
      <c r="J555" s="32">
        <f t="shared" si="39"/>
        <v>1.4170534097268572</v>
      </c>
      <c r="K555" s="47">
        <f t="shared" si="40"/>
        <v>1.6946569580247126</v>
      </c>
    </row>
    <row r="556" spans="1:11" x14ac:dyDescent="0.25">
      <c r="A556" s="32">
        <v>2031</v>
      </c>
      <c r="B556" s="32">
        <v>20.394881999999999</v>
      </c>
      <c r="C556" s="32">
        <v>24.855302999999999</v>
      </c>
      <c r="D556" s="32">
        <v>24.760757000000002</v>
      </c>
      <c r="E556" s="32">
        <v>27.68939</v>
      </c>
      <c r="F556" s="32">
        <v>10.088991999999999</v>
      </c>
      <c r="G556" s="32">
        <v>16.401724000000002</v>
      </c>
      <c r="H556" s="32">
        <v>37.017085999999999</v>
      </c>
      <c r="I556" s="32"/>
      <c r="J556" s="32">
        <f t="shared" si="39"/>
        <v>1.3960275435255791</v>
      </c>
      <c r="K556" s="47">
        <f t="shared" si="40"/>
        <v>1.667905726855476</v>
      </c>
    </row>
    <row r="557" spans="1:11" x14ac:dyDescent="0.25">
      <c r="A557" s="32">
        <v>2030</v>
      </c>
      <c r="B557" s="32">
        <v>20.012405000000001</v>
      </c>
      <c r="C557" s="32">
        <v>24.518864000000001</v>
      </c>
      <c r="D557" s="32">
        <v>24.407907000000002</v>
      </c>
      <c r="E557" s="32">
        <v>27.303975999999999</v>
      </c>
      <c r="F557" s="32">
        <v>9.7861919999999998</v>
      </c>
      <c r="G557" s="32">
        <v>16.569006000000002</v>
      </c>
      <c r="H557" s="32">
        <v>37.373814000000003</v>
      </c>
      <c r="I557" s="32"/>
      <c r="J557" s="32">
        <f t="shared" si="39"/>
        <v>1.3761336316095178</v>
      </c>
      <c r="K557" s="47">
        <f t="shared" si="40"/>
        <v>1.6446898229366724</v>
      </c>
    </row>
    <row r="558" spans="1:11" x14ac:dyDescent="0.25">
      <c r="A558" s="32">
        <v>2029</v>
      </c>
      <c r="B558" s="32">
        <v>19.860983000000001</v>
      </c>
      <c r="C558" s="32">
        <v>25.225010000000001</v>
      </c>
      <c r="D558" s="32">
        <v>24.048424000000001</v>
      </c>
      <c r="E558" s="32">
        <v>26.832449</v>
      </c>
      <c r="F558" s="32">
        <v>9.4544429999999995</v>
      </c>
      <c r="G558" s="32">
        <v>16.818974000000001</v>
      </c>
      <c r="H558" s="32">
        <v>37.608730000000001</v>
      </c>
      <c r="I558" s="32"/>
      <c r="J558" s="32">
        <f t="shared" si="39"/>
        <v>1.3558657468502107</v>
      </c>
      <c r="K558" s="47">
        <f t="shared" si="40"/>
        <v>1.6162867926183093</v>
      </c>
    </row>
    <row r="559" spans="1:11" x14ac:dyDescent="0.25">
      <c r="A559" s="32">
        <v>2028</v>
      </c>
      <c r="B559" s="32">
        <v>19.833894999999998</v>
      </c>
      <c r="C559" s="32">
        <v>25.270147000000001</v>
      </c>
      <c r="D559" s="32">
        <v>23.843385999999999</v>
      </c>
      <c r="E559" s="32">
        <v>26.536463000000001</v>
      </c>
      <c r="F559" s="32">
        <v>9.2536249999999995</v>
      </c>
      <c r="G559" s="32">
        <v>17.045034000000001</v>
      </c>
      <c r="H559" s="32">
        <v>37.639111</v>
      </c>
      <c r="I559" s="32"/>
      <c r="J559" s="32">
        <f t="shared" si="39"/>
        <v>1.3443055713891212</v>
      </c>
      <c r="K559" s="47">
        <f t="shared" si="40"/>
        <v>1.5984576983526342</v>
      </c>
    </row>
    <row r="560" spans="1:11" x14ac:dyDescent="0.25">
      <c r="A560" s="32">
        <v>2027</v>
      </c>
      <c r="B560" s="32">
        <v>19.776433999999998</v>
      </c>
      <c r="C560" s="32">
        <v>26.732101</v>
      </c>
      <c r="D560" s="32">
        <v>23.894196999999998</v>
      </c>
      <c r="E560" s="32">
        <v>26.416122000000001</v>
      </c>
      <c r="F560" s="32">
        <v>9.2030980000000007</v>
      </c>
      <c r="G560" s="32">
        <v>17.314871</v>
      </c>
      <c r="H560" s="32">
        <v>37.762672000000002</v>
      </c>
      <c r="I560" s="32"/>
      <c r="J560" s="32">
        <f t="shared" si="39"/>
        <v>1.3471703285334231</v>
      </c>
      <c r="K560" s="47">
        <f t="shared" si="40"/>
        <v>1.5912088047123079</v>
      </c>
    </row>
    <row r="561" spans="1:11" x14ac:dyDescent="0.25">
      <c r="A561" s="32">
        <v>2026</v>
      </c>
      <c r="B561" s="32">
        <v>19.594473000000001</v>
      </c>
      <c r="C561" s="32">
        <v>27.875525</v>
      </c>
      <c r="D561" s="32">
        <v>23.861086</v>
      </c>
      <c r="E561" s="32">
        <v>26.187304000000001</v>
      </c>
      <c r="F561" s="32">
        <v>9.0480339999999995</v>
      </c>
      <c r="G561" s="32">
        <v>17.576281000000002</v>
      </c>
      <c r="H561" s="32">
        <v>37.824772000000003</v>
      </c>
      <c r="I561" s="32"/>
      <c r="J561" s="32">
        <f t="shared" si="39"/>
        <v>1.345303508872228</v>
      </c>
      <c r="K561" s="47">
        <f t="shared" si="40"/>
        <v>1.5774256606052106</v>
      </c>
    </row>
    <row r="562" spans="1:11" x14ac:dyDescent="0.25">
      <c r="A562" s="32">
        <v>2025</v>
      </c>
      <c r="B562" s="32">
        <v>19.553379</v>
      </c>
      <c r="C562" s="32">
        <v>27.307310000000001</v>
      </c>
      <c r="D562" s="32">
        <v>23.580290000000002</v>
      </c>
      <c r="E562" s="32">
        <v>25.819056</v>
      </c>
      <c r="F562" s="32">
        <v>8.7500370000000007</v>
      </c>
      <c r="G562" s="32">
        <v>17.834833</v>
      </c>
      <c r="H562" s="32">
        <v>37.899417999999997</v>
      </c>
      <c r="I562" s="32"/>
      <c r="J562" s="32">
        <f t="shared" si="39"/>
        <v>1.3294720482221436</v>
      </c>
      <c r="K562" s="47">
        <f t="shared" si="40"/>
        <v>1.555243772593121</v>
      </c>
    </row>
    <row r="563" spans="1:11" x14ac:dyDescent="0.25">
      <c r="A563" s="32">
        <v>2024</v>
      </c>
      <c r="B563" s="32">
        <v>19.584204</v>
      </c>
      <c r="C563" s="32">
        <v>28.912233000000001</v>
      </c>
      <c r="D563" s="32">
        <v>23.21594</v>
      </c>
      <c r="E563" s="32">
        <v>25.214131999999999</v>
      </c>
      <c r="F563" s="32">
        <v>8.3932459999999995</v>
      </c>
      <c r="G563" s="32">
        <v>18.095209000000001</v>
      </c>
      <c r="H563" s="32">
        <v>37.413474999999998</v>
      </c>
      <c r="I563" s="32"/>
      <c r="J563" s="32">
        <f t="shared" si="39"/>
        <v>1.3089297588453064</v>
      </c>
      <c r="K563" s="47">
        <f t="shared" si="40"/>
        <v>1.5188054038203773</v>
      </c>
    </row>
    <row r="564" spans="1:11" x14ac:dyDescent="0.25">
      <c r="A564" s="32">
        <v>2023</v>
      </c>
      <c r="B564" s="32">
        <v>19.494837</v>
      </c>
      <c r="C564" s="32">
        <v>28.408607</v>
      </c>
      <c r="D564" s="32">
        <v>22.999649000000002</v>
      </c>
      <c r="E564" s="32">
        <v>24.934014999999999</v>
      </c>
      <c r="F564" s="32">
        <v>8.1503219999999992</v>
      </c>
      <c r="G564" s="32">
        <v>18.311582999999999</v>
      </c>
      <c r="H564" s="32">
        <v>37.652081000000003</v>
      </c>
      <c r="I564" s="32"/>
      <c r="J564" s="32">
        <f t="shared" si="39"/>
        <v>1.2967351319436859</v>
      </c>
      <c r="K564" s="47">
        <f t="shared" si="40"/>
        <v>1.5019321990119803</v>
      </c>
    </row>
    <row r="565" spans="1:11" x14ac:dyDescent="0.25">
      <c r="A565" s="32">
        <v>2022</v>
      </c>
      <c r="B565" s="32">
        <v>19.241392000000001</v>
      </c>
      <c r="C565" s="32">
        <v>30.532360000000001</v>
      </c>
      <c r="D565" s="32">
        <v>22.743116000000001</v>
      </c>
      <c r="E565" s="32">
        <v>24.609408999999999</v>
      </c>
      <c r="F565" s="32">
        <v>7.8594949999999999</v>
      </c>
      <c r="G565" s="32">
        <v>18.529136999999999</v>
      </c>
      <c r="H565" s="32">
        <v>37.858485999999999</v>
      </c>
      <c r="I565" s="32"/>
      <c r="J565" s="32">
        <f t="shared" si="39"/>
        <v>1.2822716349745402</v>
      </c>
      <c r="K565" s="47">
        <f t="shared" si="40"/>
        <v>1.4823791425390265</v>
      </c>
    </row>
    <row r="566" spans="1:11" x14ac:dyDescent="0.25">
      <c r="A566" s="32">
        <v>2021</v>
      </c>
      <c r="B566" s="32">
        <v>18.853559000000001</v>
      </c>
      <c r="C566" s="32">
        <v>31.753215999999998</v>
      </c>
      <c r="D566" s="32">
        <v>21.876557999999999</v>
      </c>
      <c r="E566" s="32">
        <v>23.82929</v>
      </c>
      <c r="F566" s="32">
        <v>7.4951090000000002</v>
      </c>
      <c r="G566" s="32">
        <v>18.836659999999998</v>
      </c>
      <c r="H566" s="32">
        <v>37.510483000000001</v>
      </c>
      <c r="I566" s="32"/>
      <c r="J566" s="32">
        <f t="shared" si="39"/>
        <v>1.2334145327436821</v>
      </c>
      <c r="K566" s="47">
        <f t="shared" si="40"/>
        <v>1.4353876794649476</v>
      </c>
    </row>
    <row r="567" spans="1:11" x14ac:dyDescent="0.25">
      <c r="A567" s="32">
        <v>2020</v>
      </c>
      <c r="B567" s="32">
        <v>18.833921</v>
      </c>
      <c r="C567" s="32">
        <v>31.237019</v>
      </c>
      <c r="D567" s="32">
        <v>20.963744999999999</v>
      </c>
      <c r="E567" s="32">
        <v>23.183928000000002</v>
      </c>
      <c r="F567" s="32">
        <v>7.0387940000000002</v>
      </c>
      <c r="G567" s="32">
        <v>19.068211000000002</v>
      </c>
      <c r="H567" s="32">
        <v>37.385418000000001</v>
      </c>
      <c r="I567" s="32"/>
      <c r="J567" s="32">
        <f t="shared" si="39"/>
        <v>1.1819495436042864</v>
      </c>
      <c r="K567" s="47">
        <f t="shared" si="40"/>
        <v>1.3965134761800468</v>
      </c>
    </row>
    <row r="568" spans="1:11" x14ac:dyDescent="0.25">
      <c r="A568" s="32">
        <v>2019</v>
      </c>
      <c r="B568" s="32">
        <v>18.881924000000001</v>
      </c>
      <c r="C568" s="32">
        <v>30.690104000000002</v>
      </c>
      <c r="D568" s="32">
        <v>20.035639</v>
      </c>
      <c r="E568" s="32">
        <v>22.357609</v>
      </c>
      <c r="F568" s="32">
        <v>6.4493270000000003</v>
      </c>
      <c r="G568" s="32">
        <v>18.816279999999999</v>
      </c>
      <c r="H568" s="32">
        <v>36.802943999999997</v>
      </c>
      <c r="I568" s="32"/>
      <c r="J568" s="32">
        <f t="shared" si="39"/>
        <v>1.1296223252033566</v>
      </c>
      <c r="K568" s="47">
        <f t="shared" si="40"/>
        <v>1.3467390971738826</v>
      </c>
    </row>
    <row r="569" spans="1:11" x14ac:dyDescent="0.25">
      <c r="A569" s="32">
        <v>2018</v>
      </c>
      <c r="B569" s="32">
        <v>18.849184000000001</v>
      </c>
      <c r="C569" s="32">
        <v>29.166530999999999</v>
      </c>
      <c r="D569" s="32">
        <v>18.280293</v>
      </c>
      <c r="E569" s="32">
        <v>20.977335</v>
      </c>
      <c r="F569" s="32">
        <v>5.511825</v>
      </c>
      <c r="G569" s="32">
        <v>18.525110000000002</v>
      </c>
      <c r="H569" s="32">
        <v>36.405124999999998</v>
      </c>
      <c r="I569" s="32"/>
      <c r="J569" s="32">
        <f t="shared" si="39"/>
        <v>1.0306547789196363</v>
      </c>
      <c r="K569" s="47">
        <f t="shared" si="40"/>
        <v>1.2635965321253309</v>
      </c>
    </row>
    <row r="570" spans="1:11" x14ac:dyDescent="0.25">
      <c r="A570" s="32">
        <v>2017</v>
      </c>
      <c r="B570" s="32">
        <v>17.785049000000001</v>
      </c>
      <c r="C570" s="32">
        <v>26.818902999999999</v>
      </c>
      <c r="D570" s="32">
        <v>18.499645000000001</v>
      </c>
      <c r="E570" s="32">
        <v>18.909096000000002</v>
      </c>
      <c r="F570" s="32">
        <v>6.8675750000000004</v>
      </c>
      <c r="G570" s="32">
        <v>18.234283000000001</v>
      </c>
      <c r="H570" s="32">
        <v>36.597233000000003</v>
      </c>
      <c r="I570" s="32"/>
      <c r="J570" s="32">
        <f t="shared" si="39"/>
        <v>1.0430219869871209</v>
      </c>
      <c r="K570" s="47">
        <f t="shared" si="40"/>
        <v>1.1390135177430769</v>
      </c>
    </row>
    <row r="571" spans="1:11" x14ac:dyDescent="0.25">
      <c r="A571" s="32">
        <v>2016</v>
      </c>
      <c r="B571" s="32">
        <v>17.650181</v>
      </c>
      <c r="C571" s="32">
        <v>24.566935000000001</v>
      </c>
      <c r="D571" s="32">
        <v>17.736581999999999</v>
      </c>
      <c r="E571" s="32">
        <v>16.601292000000001</v>
      </c>
      <c r="F571" s="32">
        <v>5.2856129999999997</v>
      </c>
      <c r="G571" s="32">
        <v>17.921683999999999</v>
      </c>
      <c r="H571" s="32">
        <v>34.143734000000002</v>
      </c>
      <c r="I571" s="32"/>
      <c r="J571" s="32">
        <f t="shared" si="39"/>
        <v>1</v>
      </c>
      <c r="K571" s="47">
        <f t="shared" si="40"/>
        <v>1</v>
      </c>
    </row>
    <row r="572" spans="1:11" x14ac:dyDescent="0.25">
      <c r="A572" s="32">
        <v>2015</v>
      </c>
      <c r="B572" s="32">
        <v>18.585684000000001</v>
      </c>
      <c r="C572" s="32">
        <v>27.507522999999999</v>
      </c>
      <c r="D572" s="32">
        <v>20.472446000000001</v>
      </c>
      <c r="E572" s="32">
        <v>19.839661</v>
      </c>
      <c r="F572" s="32">
        <v>7.1467450000000001</v>
      </c>
      <c r="G572" s="32">
        <v>17.715053999999999</v>
      </c>
      <c r="H572" s="32">
        <v>33.737606</v>
      </c>
      <c r="I572" s="32"/>
    </row>
    <row r="573" spans="1:11" x14ac:dyDescent="0.25">
      <c r="A573" s="23" t="s">
        <v>140</v>
      </c>
      <c r="B573" s="23"/>
      <c r="C573" s="23"/>
      <c r="D573" s="23"/>
      <c r="E573" s="23"/>
      <c r="F573" s="23"/>
      <c r="G573" s="23"/>
      <c r="H573" s="23"/>
      <c r="I573" s="30"/>
      <c r="J573" s="30"/>
      <c r="K573" s="30"/>
    </row>
    <row r="574" spans="1:11" x14ac:dyDescent="0.25">
      <c r="A574" s="22" t="s">
        <v>102</v>
      </c>
      <c r="I574" s="29"/>
      <c r="J574" s="29"/>
      <c r="K574" s="29"/>
    </row>
    <row r="575" spans="1:11" ht="30" x14ac:dyDescent="0.25">
      <c r="A575" s="32" t="s">
        <v>110</v>
      </c>
      <c r="B575" s="32" t="s">
        <v>116</v>
      </c>
      <c r="C575" s="32" t="s">
        <v>117</v>
      </c>
      <c r="D575" s="32" t="s">
        <v>118</v>
      </c>
      <c r="E575" s="32" t="s">
        <v>119</v>
      </c>
      <c r="F575" s="32" t="s">
        <v>120</v>
      </c>
      <c r="G575" s="32" t="s">
        <v>121</v>
      </c>
      <c r="H575" s="32" t="s">
        <v>122</v>
      </c>
      <c r="I575" s="31"/>
      <c r="J575" s="208" t="s">
        <v>456</v>
      </c>
      <c r="K575" s="208" t="s">
        <v>457</v>
      </c>
    </row>
    <row r="576" spans="1:11" x14ac:dyDescent="0.25">
      <c r="A576" s="32">
        <v>2050</v>
      </c>
      <c r="B576" s="32">
        <v>24.141966</v>
      </c>
      <c r="C576" s="32">
        <v>31.399301999999999</v>
      </c>
      <c r="D576" s="32">
        <v>28.499131999999999</v>
      </c>
      <c r="E576" s="32">
        <v>29.668837</v>
      </c>
      <c r="F576" s="32">
        <v>15.743086999999999</v>
      </c>
      <c r="G576" s="32">
        <v>14.886649999999999</v>
      </c>
      <c r="H576" s="32">
        <v>38.679073000000002</v>
      </c>
      <c r="I576" s="32"/>
      <c r="J576" s="32">
        <f>D576/$D$610</f>
        <v>1.6067995513453495</v>
      </c>
      <c r="K576" s="47">
        <f>E576/$E$610</f>
        <v>1.7811499283339711</v>
      </c>
    </row>
    <row r="577" spans="1:11" x14ac:dyDescent="0.25">
      <c r="A577" s="32">
        <v>2049</v>
      </c>
      <c r="B577" s="32">
        <v>23.932472000000001</v>
      </c>
      <c r="C577" s="32">
        <v>31.604244000000001</v>
      </c>
      <c r="D577" s="32">
        <v>28.157589000000002</v>
      </c>
      <c r="E577" s="32">
        <v>29.401197</v>
      </c>
      <c r="F577" s="32">
        <v>15.540168</v>
      </c>
      <c r="G577" s="32">
        <v>14.741771</v>
      </c>
      <c r="H577" s="32">
        <v>38.731738999999997</v>
      </c>
      <c r="I577" s="32"/>
      <c r="J577" s="32">
        <f t="shared" ref="J577:J610" si="41">D577/$D$610</f>
        <v>1.5875431354248526</v>
      </c>
      <c r="K577" s="47">
        <f t="shared" ref="K577:K610" si="42">E577/$E$610</f>
        <v>1.7650823296337153</v>
      </c>
    </row>
    <row r="578" spans="1:11" x14ac:dyDescent="0.25">
      <c r="A578" s="32">
        <v>2048</v>
      </c>
      <c r="B578" s="32">
        <v>23.816701999999999</v>
      </c>
      <c r="C578" s="32">
        <v>31.928796999999999</v>
      </c>
      <c r="D578" s="32">
        <v>28.046793000000001</v>
      </c>
      <c r="E578" s="32">
        <v>29.182117000000002</v>
      </c>
      <c r="F578" s="32">
        <v>15.400802000000001</v>
      </c>
      <c r="G578" s="32">
        <v>14.737311999999999</v>
      </c>
      <c r="H578" s="32">
        <v>38.828335000000003</v>
      </c>
      <c r="I578" s="32"/>
      <c r="J578" s="32">
        <f t="shared" si="41"/>
        <v>1.5812963850644957</v>
      </c>
      <c r="K578" s="47">
        <f t="shared" si="42"/>
        <v>1.7519299999249571</v>
      </c>
    </row>
    <row r="579" spans="1:11" x14ac:dyDescent="0.25">
      <c r="A579" s="32">
        <v>2047</v>
      </c>
      <c r="B579" s="32">
        <v>23.600142000000002</v>
      </c>
      <c r="C579" s="32">
        <v>32.344521</v>
      </c>
      <c r="D579" s="32">
        <v>28.153373999999999</v>
      </c>
      <c r="E579" s="32">
        <v>29.198046000000001</v>
      </c>
      <c r="F579" s="32">
        <v>15.3528</v>
      </c>
      <c r="G579" s="32">
        <v>14.702012</v>
      </c>
      <c r="H579" s="32">
        <v>38.924847</v>
      </c>
      <c r="I579" s="32"/>
      <c r="J579" s="32">
        <f t="shared" si="41"/>
        <v>1.5873054909903161</v>
      </c>
      <c r="K579" s="47">
        <f t="shared" si="42"/>
        <v>1.7528862873995363</v>
      </c>
    </row>
    <row r="580" spans="1:11" x14ac:dyDescent="0.25">
      <c r="A580" s="32">
        <v>2046</v>
      </c>
      <c r="B580" s="32">
        <v>23.414541</v>
      </c>
      <c r="C580" s="32">
        <v>32.716267000000002</v>
      </c>
      <c r="D580" s="32">
        <v>27.987265000000001</v>
      </c>
      <c r="E580" s="32">
        <v>28.828555999999999</v>
      </c>
      <c r="F580" s="32">
        <v>15.125170000000001</v>
      </c>
      <c r="G580" s="32">
        <v>14.709866999999999</v>
      </c>
      <c r="H580" s="32">
        <v>39.037571</v>
      </c>
      <c r="I580" s="32"/>
      <c r="J580" s="32">
        <f t="shared" si="41"/>
        <v>1.5779401578049257</v>
      </c>
      <c r="K580" s="47">
        <f t="shared" si="42"/>
        <v>1.7307041881477145</v>
      </c>
    </row>
    <row r="581" spans="1:11" x14ac:dyDescent="0.25">
      <c r="A581" s="32">
        <v>2045</v>
      </c>
      <c r="B581" s="32">
        <v>23.239874</v>
      </c>
      <c r="C581" s="32">
        <v>33.108719000000001</v>
      </c>
      <c r="D581" s="32">
        <v>27.871970999999998</v>
      </c>
      <c r="E581" s="32">
        <v>28.673676</v>
      </c>
      <c r="F581" s="32">
        <v>14.989299000000001</v>
      </c>
      <c r="G581" s="32">
        <v>14.689253000000001</v>
      </c>
      <c r="H581" s="32">
        <v>39.098464999999997</v>
      </c>
      <c r="I581" s="32"/>
      <c r="J581" s="32">
        <f t="shared" si="41"/>
        <v>1.5714398072864322</v>
      </c>
      <c r="K581" s="47">
        <f t="shared" si="42"/>
        <v>1.7214060649721965</v>
      </c>
    </row>
    <row r="582" spans="1:11" x14ac:dyDescent="0.25">
      <c r="A582" s="32">
        <v>2044</v>
      </c>
      <c r="B582" s="32">
        <v>23.159447</v>
      </c>
      <c r="C582" s="32">
        <v>32.817763999999997</v>
      </c>
      <c r="D582" s="32">
        <v>27.763069000000002</v>
      </c>
      <c r="E582" s="32">
        <v>28.549688</v>
      </c>
      <c r="F582" s="32">
        <v>14.895854999999999</v>
      </c>
      <c r="G582" s="32">
        <v>14.68792</v>
      </c>
      <c r="H582" s="32">
        <v>39.086815000000001</v>
      </c>
      <c r="I582" s="32"/>
      <c r="J582" s="32">
        <f t="shared" si="41"/>
        <v>1.5652998418748327</v>
      </c>
      <c r="K582" s="47">
        <f t="shared" si="42"/>
        <v>1.7139625235447293</v>
      </c>
    </row>
    <row r="583" spans="1:11" x14ac:dyDescent="0.25">
      <c r="A583" s="32">
        <v>2043</v>
      </c>
      <c r="B583" s="32">
        <v>22.99963</v>
      </c>
      <c r="C583" s="32">
        <v>31.862390999999999</v>
      </c>
      <c r="D583" s="32">
        <v>27.670121999999999</v>
      </c>
      <c r="E583" s="32">
        <v>28.521103</v>
      </c>
      <c r="F583" s="32">
        <v>14.821035999999999</v>
      </c>
      <c r="G583" s="32">
        <v>14.666751</v>
      </c>
      <c r="H583" s="32">
        <v>39.107909999999997</v>
      </c>
      <c r="I583" s="32"/>
      <c r="J583" s="32">
        <f t="shared" si="41"/>
        <v>1.5600594297142483</v>
      </c>
      <c r="K583" s="47">
        <f t="shared" si="42"/>
        <v>1.7122464410875224</v>
      </c>
    </row>
    <row r="584" spans="1:11" x14ac:dyDescent="0.25">
      <c r="A584" s="32">
        <v>2042</v>
      </c>
      <c r="B584" s="32">
        <v>22.815269000000001</v>
      </c>
      <c r="C584" s="32">
        <v>30.948544999999999</v>
      </c>
      <c r="D584" s="32">
        <v>27.591249000000001</v>
      </c>
      <c r="E584" s="32">
        <v>28.535639</v>
      </c>
      <c r="F584" s="32">
        <v>14.759378999999999</v>
      </c>
      <c r="G584" s="32">
        <v>14.650662000000001</v>
      </c>
      <c r="H584" s="32">
        <v>39.191654</v>
      </c>
      <c r="I584" s="32"/>
      <c r="J584" s="32">
        <f t="shared" si="41"/>
        <v>1.5556125188043561</v>
      </c>
      <c r="K584" s="47">
        <f t="shared" si="42"/>
        <v>1.7131191006851421</v>
      </c>
    </row>
    <row r="585" spans="1:11" x14ac:dyDescent="0.25">
      <c r="A585" s="32">
        <v>2041</v>
      </c>
      <c r="B585" s="32">
        <v>22.685251000000001</v>
      </c>
      <c r="C585" s="32">
        <v>29.842278</v>
      </c>
      <c r="D585" s="32">
        <v>27.54579</v>
      </c>
      <c r="E585" s="32">
        <v>28.612166999999999</v>
      </c>
      <c r="F585" s="32">
        <v>14.745094999999999</v>
      </c>
      <c r="G585" s="32">
        <v>14.650656</v>
      </c>
      <c r="H585" s="32">
        <v>39.345272000000001</v>
      </c>
      <c r="I585" s="32"/>
      <c r="J585" s="32">
        <f t="shared" si="41"/>
        <v>1.553049510892234</v>
      </c>
      <c r="K585" s="47">
        <f t="shared" si="42"/>
        <v>1.7177134109277561</v>
      </c>
    </row>
    <row r="586" spans="1:11" x14ac:dyDescent="0.25">
      <c r="A586" s="32">
        <v>2040</v>
      </c>
      <c r="B586" s="32">
        <v>22.444471</v>
      </c>
      <c r="C586" s="32">
        <v>28.949494999999999</v>
      </c>
      <c r="D586" s="32">
        <v>27.406706</v>
      </c>
      <c r="E586" s="32">
        <v>28.548361</v>
      </c>
      <c r="F586" s="32">
        <v>14.656235000000001</v>
      </c>
      <c r="G586" s="32">
        <v>14.651648</v>
      </c>
      <c r="H586" s="32">
        <v>39.553646000000001</v>
      </c>
      <c r="I586" s="32"/>
      <c r="J586" s="32">
        <f t="shared" si="41"/>
        <v>1.5452078647396663</v>
      </c>
      <c r="K586" s="47">
        <f t="shared" si="42"/>
        <v>1.7138828579361685</v>
      </c>
    </row>
    <row r="587" spans="1:11" x14ac:dyDescent="0.25">
      <c r="A587" s="32">
        <v>2039</v>
      </c>
      <c r="B587" s="32">
        <v>22.293032</v>
      </c>
      <c r="C587" s="32">
        <v>28.088144</v>
      </c>
      <c r="D587" s="32">
        <v>27.202538000000001</v>
      </c>
      <c r="E587" s="32">
        <v>28.412579999999998</v>
      </c>
      <c r="F587" s="32">
        <v>14.494083</v>
      </c>
      <c r="G587" s="32">
        <v>14.749358000000001</v>
      </c>
      <c r="H587" s="32">
        <v>39.637923999999998</v>
      </c>
      <c r="I587" s="32"/>
      <c r="J587" s="32">
        <f t="shared" si="41"/>
        <v>1.5336967404430009</v>
      </c>
      <c r="K587" s="47">
        <f t="shared" si="42"/>
        <v>1.7057313311871045</v>
      </c>
    </row>
    <row r="588" spans="1:11" x14ac:dyDescent="0.25">
      <c r="A588" s="32">
        <v>2038</v>
      </c>
      <c r="B588" s="32">
        <v>21.898845999999999</v>
      </c>
      <c r="C588" s="32">
        <v>27.255849999999999</v>
      </c>
      <c r="D588" s="32">
        <v>26.843319000000001</v>
      </c>
      <c r="E588" s="32">
        <v>28.080704000000001</v>
      </c>
      <c r="F588" s="32">
        <v>14.262290999999999</v>
      </c>
      <c r="G588" s="32">
        <v>14.783308999999999</v>
      </c>
      <c r="H588" s="32">
        <v>39.699596</v>
      </c>
      <c r="I588" s="32"/>
      <c r="J588" s="32">
        <f t="shared" si="41"/>
        <v>1.5134437401749674</v>
      </c>
      <c r="K588" s="47">
        <f t="shared" si="42"/>
        <v>1.6858073647163001</v>
      </c>
    </row>
    <row r="589" spans="1:11" x14ac:dyDescent="0.25">
      <c r="A589" s="32">
        <v>2037</v>
      </c>
      <c r="B589" s="32">
        <v>21.619076</v>
      </c>
      <c r="C589" s="32">
        <v>26.724471999999999</v>
      </c>
      <c r="D589" s="32">
        <v>26.720858</v>
      </c>
      <c r="E589" s="32">
        <v>28.002171000000001</v>
      </c>
      <c r="F589" s="32">
        <v>14.147081999999999</v>
      </c>
      <c r="G589" s="32">
        <v>14.82366</v>
      </c>
      <c r="H589" s="32">
        <v>39.755507999999999</v>
      </c>
      <c r="I589" s="32"/>
      <c r="J589" s="32">
        <f t="shared" si="41"/>
        <v>1.5065393095467887</v>
      </c>
      <c r="K589" s="47">
        <f t="shared" si="42"/>
        <v>1.6810926855624846</v>
      </c>
    </row>
    <row r="590" spans="1:11" x14ac:dyDescent="0.25">
      <c r="A590" s="32">
        <v>2036</v>
      </c>
      <c r="B590" s="32">
        <v>21.475753999999998</v>
      </c>
      <c r="C590" s="32">
        <v>26.433001000000001</v>
      </c>
      <c r="D590" s="32">
        <v>26.662168999999999</v>
      </c>
      <c r="E590" s="32">
        <v>27.962049</v>
      </c>
      <c r="F590" s="32">
        <v>14.074294</v>
      </c>
      <c r="G590" s="32">
        <v>14.754928</v>
      </c>
      <c r="H590" s="32">
        <v>39.873531</v>
      </c>
      <c r="I590" s="32"/>
      <c r="J590" s="32">
        <f t="shared" si="41"/>
        <v>1.5032303856515308</v>
      </c>
      <c r="K590" s="47">
        <f t="shared" si="42"/>
        <v>1.6786839865823184</v>
      </c>
    </row>
    <row r="591" spans="1:11" x14ac:dyDescent="0.25">
      <c r="A591" s="32">
        <v>2035</v>
      </c>
      <c r="B591" s="32">
        <v>21.170469000000001</v>
      </c>
      <c r="C591" s="32">
        <v>25.782935999999999</v>
      </c>
      <c r="D591" s="32">
        <v>26.149794</v>
      </c>
      <c r="E591" s="32">
        <v>27.463882000000002</v>
      </c>
      <c r="F591" s="32">
        <v>13.687996999999999</v>
      </c>
      <c r="G591" s="32">
        <v>14.815391</v>
      </c>
      <c r="H591" s="32">
        <v>39.878872000000001</v>
      </c>
      <c r="I591" s="32"/>
      <c r="J591" s="32">
        <f t="shared" si="41"/>
        <v>1.4743423507415354</v>
      </c>
      <c r="K591" s="47">
        <f t="shared" si="42"/>
        <v>1.6487768447436157</v>
      </c>
    </row>
    <row r="592" spans="1:11" x14ac:dyDescent="0.25">
      <c r="A592" s="32">
        <v>2034</v>
      </c>
      <c r="B592" s="32">
        <v>21.069094</v>
      </c>
      <c r="C592" s="32">
        <v>25.829886999999999</v>
      </c>
      <c r="D592" s="32">
        <v>26.002541999999998</v>
      </c>
      <c r="E592" s="32">
        <v>27.292603</v>
      </c>
      <c r="F592" s="32">
        <v>13.564653</v>
      </c>
      <c r="G592" s="32">
        <v>14.820053</v>
      </c>
      <c r="H592" s="32">
        <v>39.903911999999998</v>
      </c>
      <c r="I592" s="32"/>
      <c r="J592" s="32">
        <f t="shared" si="41"/>
        <v>1.4660401874498705</v>
      </c>
      <c r="K592" s="47">
        <f t="shared" si="42"/>
        <v>1.6384942179397703</v>
      </c>
    </row>
    <row r="593" spans="1:11" x14ac:dyDescent="0.25">
      <c r="A593" s="32">
        <v>2033</v>
      </c>
      <c r="B593" s="32">
        <v>20.853290999999999</v>
      </c>
      <c r="C593" s="32">
        <v>25.731075000000001</v>
      </c>
      <c r="D593" s="32">
        <v>25.738129000000001</v>
      </c>
      <c r="E593" s="32">
        <v>26.987618999999999</v>
      </c>
      <c r="F593" s="32">
        <v>13.321831</v>
      </c>
      <c r="G593" s="32">
        <v>14.900892000000001</v>
      </c>
      <c r="H593" s="32">
        <v>40.07732</v>
      </c>
      <c r="I593" s="32"/>
      <c r="J593" s="32">
        <f t="shared" si="41"/>
        <v>1.451132410968472</v>
      </c>
      <c r="K593" s="47">
        <f t="shared" si="42"/>
        <v>1.6201846957383101</v>
      </c>
    </row>
    <row r="594" spans="1:11" x14ac:dyDescent="0.25">
      <c r="A594" s="32">
        <v>2032</v>
      </c>
      <c r="B594" s="32">
        <v>20.793026000000001</v>
      </c>
      <c r="C594" s="32">
        <v>26.162109000000001</v>
      </c>
      <c r="D594" s="32">
        <v>25.775368</v>
      </c>
      <c r="E594" s="32">
        <v>26.970963000000001</v>
      </c>
      <c r="F594" s="32">
        <v>13.334054999999999</v>
      </c>
      <c r="G594" s="32">
        <v>15.064069</v>
      </c>
      <c r="H594" s="32">
        <v>40.293194</v>
      </c>
      <c r="I594" s="32"/>
      <c r="J594" s="32">
        <f t="shared" si="41"/>
        <v>1.4532319699477612</v>
      </c>
      <c r="K594" s="47">
        <f t="shared" si="42"/>
        <v>1.619184763276976</v>
      </c>
    </row>
    <row r="595" spans="1:11" x14ac:dyDescent="0.25">
      <c r="A595" s="32">
        <v>2031</v>
      </c>
      <c r="B595" s="32">
        <v>20.502855</v>
      </c>
      <c r="C595" s="32">
        <v>26.166262</v>
      </c>
      <c r="D595" s="32">
        <v>25.403893</v>
      </c>
      <c r="E595" s="32">
        <v>26.526859000000002</v>
      </c>
      <c r="F595" s="32">
        <v>12.992357999999999</v>
      </c>
      <c r="G595" s="32">
        <v>15.20664</v>
      </c>
      <c r="H595" s="32">
        <v>40.453361999999998</v>
      </c>
      <c r="I595" s="32"/>
      <c r="J595" s="32">
        <f t="shared" si="41"/>
        <v>1.432287968448487</v>
      </c>
      <c r="K595" s="47">
        <f t="shared" si="42"/>
        <v>1.5925232595661016</v>
      </c>
    </row>
    <row r="596" spans="1:11" x14ac:dyDescent="0.25">
      <c r="A596" s="32">
        <v>2030</v>
      </c>
      <c r="B596" s="32">
        <v>20.118355000000001</v>
      </c>
      <c r="C596" s="32">
        <v>25.84066</v>
      </c>
      <c r="D596" s="32">
        <v>25.052391</v>
      </c>
      <c r="E596" s="32">
        <v>26.141451</v>
      </c>
      <c r="F596" s="32">
        <v>12.689558</v>
      </c>
      <c r="G596" s="32">
        <v>15.355513</v>
      </c>
      <c r="H596" s="32">
        <v>40.538677</v>
      </c>
      <c r="I596" s="32"/>
      <c r="J596" s="32">
        <f t="shared" si="41"/>
        <v>1.4124700576469582</v>
      </c>
      <c r="K596" s="47">
        <f t="shared" si="42"/>
        <v>1.5693855332177671</v>
      </c>
    </row>
    <row r="597" spans="1:11" x14ac:dyDescent="0.25">
      <c r="A597" s="32">
        <v>2029</v>
      </c>
      <c r="B597" s="32">
        <v>19.966131000000001</v>
      </c>
      <c r="C597" s="32">
        <v>26.496002000000001</v>
      </c>
      <c r="D597" s="32">
        <v>24.694893</v>
      </c>
      <c r="E597" s="32">
        <v>25.669922</v>
      </c>
      <c r="F597" s="32">
        <v>12.357809</v>
      </c>
      <c r="G597" s="32">
        <v>15.454181999999999</v>
      </c>
      <c r="H597" s="32">
        <v>40.525848000000003</v>
      </c>
      <c r="I597" s="32"/>
      <c r="J597" s="32">
        <f t="shared" si="41"/>
        <v>1.3923140884754459</v>
      </c>
      <c r="K597" s="47">
        <f t="shared" si="42"/>
        <v>1.5410775869185107</v>
      </c>
    </row>
    <row r="598" spans="1:11" x14ac:dyDescent="0.25">
      <c r="A598" s="32">
        <v>2028</v>
      </c>
      <c r="B598" s="32">
        <v>19.9389</v>
      </c>
      <c r="C598" s="32">
        <v>26.558807000000002</v>
      </c>
      <c r="D598" s="32">
        <v>24.487750999999999</v>
      </c>
      <c r="E598" s="32">
        <v>25.373940000000001</v>
      </c>
      <c r="F598" s="32">
        <v>12.15699</v>
      </c>
      <c r="G598" s="32">
        <v>15.592729</v>
      </c>
      <c r="H598" s="32">
        <v>40.462563000000003</v>
      </c>
      <c r="I598" s="32"/>
      <c r="J598" s="32">
        <f t="shared" si="41"/>
        <v>1.3806352881293589</v>
      </c>
      <c r="K598" s="47">
        <f t="shared" si="42"/>
        <v>1.5233084941128796</v>
      </c>
    </row>
    <row r="599" spans="1:11" x14ac:dyDescent="0.25">
      <c r="A599" s="32">
        <v>2027</v>
      </c>
      <c r="B599" s="32">
        <v>19.881133999999999</v>
      </c>
      <c r="C599" s="32">
        <v>28.028846999999999</v>
      </c>
      <c r="D599" s="32">
        <v>24.542559000000001</v>
      </c>
      <c r="E599" s="32">
        <v>25.296254999999999</v>
      </c>
      <c r="F599" s="32">
        <v>12.106463</v>
      </c>
      <c r="G599" s="32">
        <v>15.763043</v>
      </c>
      <c r="H599" s="32">
        <v>40.436324999999997</v>
      </c>
      <c r="I599" s="32"/>
      <c r="J599" s="32">
        <f t="shared" si="41"/>
        <v>1.3837253987267673</v>
      </c>
      <c r="K599" s="47">
        <f t="shared" si="42"/>
        <v>1.5186447241045498</v>
      </c>
    </row>
    <row r="600" spans="1:11" x14ac:dyDescent="0.25">
      <c r="A600" s="32">
        <v>2026</v>
      </c>
      <c r="B600" s="32">
        <v>19.698208000000001</v>
      </c>
      <c r="C600" s="32">
        <v>29.164293000000001</v>
      </c>
      <c r="D600" s="32">
        <v>24.506401</v>
      </c>
      <c r="E600" s="32">
        <v>25.025780000000001</v>
      </c>
      <c r="F600" s="32">
        <v>11.951397999999999</v>
      </c>
      <c r="G600" s="32">
        <v>15.675653000000001</v>
      </c>
      <c r="H600" s="32">
        <v>40.382522999999999</v>
      </c>
      <c r="I600" s="32"/>
      <c r="J600" s="32">
        <f t="shared" si="41"/>
        <v>1.3816867872287908</v>
      </c>
      <c r="K600" s="47">
        <f t="shared" si="42"/>
        <v>1.5024069279662606</v>
      </c>
    </row>
    <row r="601" spans="1:11" x14ac:dyDescent="0.25">
      <c r="A601" s="32">
        <v>2025</v>
      </c>
      <c r="B601" s="32">
        <v>19.6569</v>
      </c>
      <c r="C601" s="32">
        <v>30.869167000000001</v>
      </c>
      <c r="D601" s="32">
        <v>24.221315000000001</v>
      </c>
      <c r="E601" s="32">
        <v>24.672871000000001</v>
      </c>
      <c r="F601" s="32">
        <v>11.653402</v>
      </c>
      <c r="G601" s="32">
        <v>15.753273</v>
      </c>
      <c r="H601" s="32">
        <v>40.022739000000001</v>
      </c>
      <c r="I601" s="32"/>
      <c r="J601" s="32">
        <f t="shared" si="41"/>
        <v>1.3656134535955124</v>
      </c>
      <c r="K601" s="47">
        <f t="shared" si="42"/>
        <v>1.4812202585980474</v>
      </c>
    </row>
    <row r="602" spans="1:11" x14ac:dyDescent="0.25">
      <c r="A602" s="32">
        <v>2024</v>
      </c>
      <c r="B602" s="32">
        <v>19.687885000000001</v>
      </c>
      <c r="C602" s="32">
        <v>30.222615999999999</v>
      </c>
      <c r="D602" s="32">
        <v>23.850152999999999</v>
      </c>
      <c r="E602" s="32">
        <v>24.075586000000001</v>
      </c>
      <c r="F602" s="32">
        <v>11.296611</v>
      </c>
      <c r="G602" s="32">
        <v>15.838737</v>
      </c>
      <c r="H602" s="32">
        <v>39.294125000000001</v>
      </c>
      <c r="I602" s="32"/>
      <c r="J602" s="32">
        <f t="shared" si="41"/>
        <v>1.344687099239301</v>
      </c>
      <c r="K602" s="47">
        <f t="shared" si="42"/>
        <v>1.4453626301057356</v>
      </c>
    </row>
    <row r="603" spans="1:11" x14ac:dyDescent="0.25">
      <c r="A603" s="32">
        <v>2023</v>
      </c>
      <c r="B603" s="32">
        <v>19.598044999999999</v>
      </c>
      <c r="C603" s="32">
        <v>29.737321999999999</v>
      </c>
      <c r="D603" s="32">
        <v>23.629984</v>
      </c>
      <c r="E603" s="32">
        <v>23.782444000000002</v>
      </c>
      <c r="F603" s="32">
        <v>11.053687</v>
      </c>
      <c r="G603" s="32">
        <v>15.857500999999999</v>
      </c>
      <c r="H603" s="32">
        <v>39.049438000000002</v>
      </c>
      <c r="I603" s="32"/>
      <c r="J603" s="32">
        <f t="shared" si="41"/>
        <v>1.3322738281817772</v>
      </c>
      <c r="K603" s="47">
        <f t="shared" si="42"/>
        <v>1.427764034909986</v>
      </c>
    </row>
    <row r="604" spans="1:11" x14ac:dyDescent="0.25">
      <c r="A604" s="32">
        <v>2022</v>
      </c>
      <c r="B604" s="32">
        <v>19.343260000000001</v>
      </c>
      <c r="C604" s="32">
        <v>33.898814999999999</v>
      </c>
      <c r="D604" s="32">
        <v>23.369994999999999</v>
      </c>
      <c r="E604" s="32">
        <v>23.446936000000001</v>
      </c>
      <c r="F604" s="32">
        <v>10.76286</v>
      </c>
      <c r="G604" s="32">
        <v>16.003895</v>
      </c>
      <c r="H604" s="32">
        <v>38.263064999999997</v>
      </c>
      <c r="I604" s="32"/>
      <c r="J604" s="32">
        <f t="shared" si="41"/>
        <v>1.3176154796905064</v>
      </c>
      <c r="K604" s="47">
        <f t="shared" si="42"/>
        <v>1.407622023608516</v>
      </c>
    </row>
    <row r="605" spans="1:11" x14ac:dyDescent="0.25">
      <c r="A605" s="32">
        <v>2021</v>
      </c>
      <c r="B605" s="32">
        <v>18.953372999999999</v>
      </c>
      <c r="C605" s="32">
        <v>33.379116000000003</v>
      </c>
      <c r="D605" s="32">
        <v>22.371016000000001</v>
      </c>
      <c r="E605" s="32">
        <v>22.916665999999999</v>
      </c>
      <c r="F605" s="32">
        <v>10.398474</v>
      </c>
      <c r="G605" s="32">
        <v>16.065892999999999</v>
      </c>
      <c r="H605" s="32">
        <v>36.471328999999997</v>
      </c>
      <c r="I605" s="32"/>
      <c r="J605" s="32">
        <f t="shared" si="41"/>
        <v>1.2612923955697892</v>
      </c>
      <c r="K605" s="47">
        <f t="shared" si="42"/>
        <v>1.375787598400084</v>
      </c>
    </row>
    <row r="606" spans="1:11" x14ac:dyDescent="0.25">
      <c r="A606" s="32">
        <v>2020</v>
      </c>
      <c r="B606" s="32">
        <v>18.933630000000001</v>
      </c>
      <c r="C606" s="32">
        <v>32.850185000000003</v>
      </c>
      <c r="D606" s="32">
        <v>21.324680000000001</v>
      </c>
      <c r="E606" s="32">
        <v>22.508778</v>
      </c>
      <c r="F606" s="32">
        <v>9.9421590000000002</v>
      </c>
      <c r="G606" s="32">
        <v>16.128325</v>
      </c>
      <c r="H606" s="32">
        <v>35.156230999999998</v>
      </c>
      <c r="I606" s="32"/>
      <c r="J606" s="32">
        <f t="shared" si="41"/>
        <v>1.2022992930655976</v>
      </c>
      <c r="K606" s="47">
        <f t="shared" si="42"/>
        <v>1.3513002994214187</v>
      </c>
    </row>
    <row r="607" spans="1:11" x14ac:dyDescent="0.25">
      <c r="A607" s="32">
        <v>2019</v>
      </c>
      <c r="B607" s="32">
        <v>18.981885999999999</v>
      </c>
      <c r="C607" s="32">
        <v>32.260567000000002</v>
      </c>
      <c r="D607" s="32">
        <v>20.259293</v>
      </c>
      <c r="E607" s="32">
        <v>21.926120999999998</v>
      </c>
      <c r="F607" s="32">
        <v>9.3526919999999993</v>
      </c>
      <c r="G607" s="32">
        <v>16.100014000000002</v>
      </c>
      <c r="H607" s="32">
        <v>33.229590999999999</v>
      </c>
      <c r="I607" s="32"/>
      <c r="J607" s="32">
        <f t="shared" si="41"/>
        <v>1.14223208282182</v>
      </c>
      <c r="K607" s="47">
        <f t="shared" si="42"/>
        <v>1.3163208536887367</v>
      </c>
    </row>
    <row r="608" spans="1:11" x14ac:dyDescent="0.25">
      <c r="A608" s="32">
        <v>2018</v>
      </c>
      <c r="B608" s="32">
        <v>18.948975000000001</v>
      </c>
      <c r="C608" s="32">
        <v>30.789612000000002</v>
      </c>
      <c r="D608" s="32">
        <v>18.371390999999999</v>
      </c>
      <c r="E608" s="32">
        <v>20.794868000000001</v>
      </c>
      <c r="F608" s="32">
        <v>8.4151889999999998</v>
      </c>
      <c r="G608" s="32">
        <v>16.086433</v>
      </c>
      <c r="H608" s="32">
        <v>31.354438999999999</v>
      </c>
      <c r="I608" s="32"/>
      <c r="J608" s="32">
        <f t="shared" si="41"/>
        <v>1.0357909432606576</v>
      </c>
      <c r="K608" s="47">
        <f t="shared" si="42"/>
        <v>1.2484067928889289</v>
      </c>
    </row>
    <row r="609" spans="1:11" x14ac:dyDescent="0.25">
      <c r="A609" s="32">
        <v>2017</v>
      </c>
      <c r="B609" s="32">
        <v>17.879207999999998</v>
      </c>
      <c r="C609" s="32">
        <v>27.749469999999999</v>
      </c>
      <c r="D609" s="32">
        <v>18.481034999999999</v>
      </c>
      <c r="E609" s="32">
        <v>18.964928</v>
      </c>
      <c r="F609" s="32">
        <v>6.7372959999999997</v>
      </c>
      <c r="G609" s="32">
        <v>16.060742999999999</v>
      </c>
      <c r="H609" s="32">
        <v>28.947149</v>
      </c>
      <c r="I609" s="32"/>
      <c r="J609" s="32">
        <f t="shared" si="41"/>
        <v>1.0419727431136394</v>
      </c>
      <c r="K609" s="47">
        <f t="shared" si="42"/>
        <v>1.1385474984428585</v>
      </c>
    </row>
    <row r="610" spans="1:11" x14ac:dyDescent="0.25">
      <c r="A610" s="32">
        <v>2016</v>
      </c>
      <c r="B610" s="32">
        <v>17.743625999999999</v>
      </c>
      <c r="C610" s="32">
        <v>25.497499000000001</v>
      </c>
      <c r="D610" s="32">
        <v>17.736581999999999</v>
      </c>
      <c r="E610" s="32">
        <v>16.657125000000001</v>
      </c>
      <c r="F610" s="32">
        <v>5.1925569999999999</v>
      </c>
      <c r="G610" s="32">
        <v>15.908601000000001</v>
      </c>
      <c r="H610" s="32">
        <v>26.373574999999999</v>
      </c>
      <c r="I610" s="32"/>
      <c r="J610" s="32">
        <f t="shared" si="41"/>
        <v>1</v>
      </c>
      <c r="K610" s="47">
        <f t="shared" si="42"/>
        <v>1</v>
      </c>
    </row>
    <row r="611" spans="1:11" x14ac:dyDescent="0.25">
      <c r="A611" s="32">
        <v>2015</v>
      </c>
      <c r="B611" s="32">
        <v>18.684080000000002</v>
      </c>
      <c r="C611" s="32">
        <v>28.438086999999999</v>
      </c>
      <c r="D611" s="32">
        <v>20.453835000000002</v>
      </c>
      <c r="E611" s="32">
        <v>19.895493999999999</v>
      </c>
      <c r="F611" s="32">
        <v>7.0350770000000002</v>
      </c>
      <c r="G611" s="32">
        <v>15.471690000000001</v>
      </c>
      <c r="H611" s="32">
        <v>25.483854000000001</v>
      </c>
      <c r="I611" s="32"/>
    </row>
    <row r="612" spans="1:11" x14ac:dyDescent="0.25">
      <c r="A612" s="23" t="s">
        <v>238</v>
      </c>
      <c r="B612" s="23"/>
      <c r="C612" s="23"/>
      <c r="D612" s="23"/>
      <c r="E612" s="23"/>
      <c r="F612" s="23"/>
      <c r="G612" s="23"/>
      <c r="H612" s="23"/>
      <c r="I612" s="30"/>
      <c r="J612" s="30"/>
      <c r="K612" s="30"/>
    </row>
    <row r="613" spans="1:11" x14ac:dyDescent="0.25">
      <c r="A613" s="22" t="s">
        <v>102</v>
      </c>
      <c r="I613" s="29"/>
      <c r="J613" s="29"/>
      <c r="K613" s="29"/>
    </row>
    <row r="614" spans="1:11" ht="30" x14ac:dyDescent="0.25">
      <c r="A614" s="32" t="s">
        <v>110</v>
      </c>
      <c r="B614" s="32" t="s">
        <v>116</v>
      </c>
      <c r="C614" s="32" t="s">
        <v>117</v>
      </c>
      <c r="D614" s="32" t="s">
        <v>118</v>
      </c>
      <c r="E614" s="32" t="s">
        <v>119</v>
      </c>
      <c r="F614" s="32" t="s">
        <v>120</v>
      </c>
      <c r="G614" s="32" t="s">
        <v>121</v>
      </c>
      <c r="H614" s="32" t="s">
        <v>122</v>
      </c>
      <c r="I614" s="31"/>
      <c r="J614" s="208" t="s">
        <v>456</v>
      </c>
      <c r="K614" s="208" t="s">
        <v>457</v>
      </c>
    </row>
    <row r="615" spans="1:11" x14ac:dyDescent="0.25">
      <c r="A615" s="32">
        <v>2050</v>
      </c>
      <c r="B615" s="32">
        <v>23.294384000000001</v>
      </c>
      <c r="C615" s="32">
        <v>29.748283000000001</v>
      </c>
      <c r="D615" s="32">
        <v>27.972674999999999</v>
      </c>
      <c r="E615" s="32">
        <v>30.834672999999999</v>
      </c>
      <c r="F615" s="32">
        <v>12.058047</v>
      </c>
      <c r="G615" s="32">
        <v>15.670812</v>
      </c>
      <c r="H615" s="32">
        <v>33.679188000000003</v>
      </c>
      <c r="I615" s="32"/>
      <c r="J615" s="32">
        <f>D615/$D$649</f>
        <v>1.5526786474037471</v>
      </c>
      <c r="K615" s="47">
        <f>E615/$E$649</f>
        <v>1.8511401577403062</v>
      </c>
    </row>
    <row r="616" spans="1:11" x14ac:dyDescent="0.25">
      <c r="A616" s="32">
        <v>2049</v>
      </c>
      <c r="B616" s="32">
        <v>23.092247</v>
      </c>
      <c r="C616" s="32">
        <v>30.246155000000002</v>
      </c>
      <c r="D616" s="32">
        <v>27.628094000000001</v>
      </c>
      <c r="E616" s="32">
        <v>30.567034</v>
      </c>
      <c r="F616" s="32">
        <v>11.855127</v>
      </c>
      <c r="G616" s="32">
        <v>15.529261</v>
      </c>
      <c r="H616" s="32">
        <v>33.850563000000001</v>
      </c>
      <c r="I616" s="32"/>
      <c r="J616" s="32">
        <f t="shared" ref="J616:J649" si="43">D616/$D$649</f>
        <v>1.5335519975212804</v>
      </c>
      <c r="K616" s="47">
        <f t="shared" ref="K616:K649" si="44">E616/$E$649</f>
        <v>1.83507261907442</v>
      </c>
    </row>
    <row r="617" spans="1:11" x14ac:dyDescent="0.25">
      <c r="A617" s="32">
        <v>2048</v>
      </c>
      <c r="B617" s="32">
        <v>22.980539</v>
      </c>
      <c r="C617" s="32">
        <v>30.025023000000001</v>
      </c>
      <c r="D617" s="32">
        <v>27.517541999999999</v>
      </c>
      <c r="E617" s="32">
        <v>30.347950000000001</v>
      </c>
      <c r="F617" s="32">
        <v>11.71576</v>
      </c>
      <c r="G617" s="32">
        <v>15.503871</v>
      </c>
      <c r="H617" s="32">
        <v>33.862740000000002</v>
      </c>
      <c r="I617" s="32"/>
      <c r="J617" s="32">
        <f t="shared" si="43"/>
        <v>1.5274155901227109</v>
      </c>
      <c r="K617" s="47">
        <f t="shared" si="44"/>
        <v>1.8219200492281831</v>
      </c>
    </row>
    <row r="618" spans="1:11" x14ac:dyDescent="0.25">
      <c r="A618" s="32">
        <v>2047</v>
      </c>
      <c r="B618" s="32">
        <v>22.771584000000001</v>
      </c>
      <c r="C618" s="32">
        <v>31.458469000000001</v>
      </c>
      <c r="D618" s="32">
        <v>27.624844</v>
      </c>
      <c r="E618" s="32">
        <v>30.363878</v>
      </c>
      <c r="F618" s="32">
        <v>11.667762</v>
      </c>
      <c r="G618" s="32">
        <v>15.333869999999999</v>
      </c>
      <c r="H618" s="32">
        <v>33.896725000000004</v>
      </c>
      <c r="I618" s="32"/>
      <c r="J618" s="32">
        <f t="shared" si="43"/>
        <v>1.5333715998437589</v>
      </c>
      <c r="K618" s="47">
        <f t="shared" si="44"/>
        <v>1.8228762766683926</v>
      </c>
    </row>
    <row r="619" spans="1:11" x14ac:dyDescent="0.25">
      <c r="A619" s="32">
        <v>2046</v>
      </c>
      <c r="B619" s="32">
        <v>22.592497000000002</v>
      </c>
      <c r="C619" s="32">
        <v>31.268795000000001</v>
      </c>
      <c r="D619" s="32">
        <v>27.461514999999999</v>
      </c>
      <c r="E619" s="32">
        <v>29.994387</v>
      </c>
      <c r="F619" s="32">
        <v>11.44013</v>
      </c>
      <c r="G619" s="32">
        <v>15.222966</v>
      </c>
      <c r="H619" s="32">
        <v>33.903336000000003</v>
      </c>
      <c r="I619" s="32"/>
      <c r="J619" s="32">
        <f t="shared" si="43"/>
        <v>1.5243057006831742</v>
      </c>
      <c r="K619" s="47">
        <f t="shared" si="44"/>
        <v>1.8006941173822013</v>
      </c>
    </row>
    <row r="620" spans="1:11" x14ac:dyDescent="0.25">
      <c r="A620" s="32">
        <v>2045</v>
      </c>
      <c r="B620" s="32">
        <v>22.423964000000002</v>
      </c>
      <c r="C620" s="32">
        <v>31.130870999999999</v>
      </c>
      <c r="D620" s="32">
        <v>27.345846000000002</v>
      </c>
      <c r="E620" s="32">
        <v>29.839504000000002</v>
      </c>
      <c r="F620" s="32">
        <v>11.304259</v>
      </c>
      <c r="G620" s="32">
        <v>15.133965999999999</v>
      </c>
      <c r="H620" s="32">
        <v>33.949416999999997</v>
      </c>
      <c r="I620" s="32"/>
      <c r="J620" s="32">
        <f t="shared" si="43"/>
        <v>1.5178852640797196</v>
      </c>
      <c r="K620" s="47">
        <f t="shared" si="44"/>
        <v>1.7913958141035744</v>
      </c>
    </row>
    <row r="621" spans="1:11" x14ac:dyDescent="0.25">
      <c r="A621" s="32">
        <v>2044</v>
      </c>
      <c r="B621" s="32">
        <v>22.346359</v>
      </c>
      <c r="C621" s="32">
        <v>31.016012</v>
      </c>
      <c r="D621" s="32">
        <v>27.23517</v>
      </c>
      <c r="E621" s="32">
        <v>29.715515</v>
      </c>
      <c r="F621" s="32">
        <v>11.210813999999999</v>
      </c>
      <c r="G621" s="32">
        <v>15.032187</v>
      </c>
      <c r="H621" s="32">
        <v>33.975673999999998</v>
      </c>
      <c r="I621" s="32"/>
      <c r="J621" s="32">
        <f t="shared" si="43"/>
        <v>1.5117419738159155</v>
      </c>
      <c r="K621" s="47">
        <f t="shared" si="44"/>
        <v>1.7839522126417373</v>
      </c>
    </row>
    <row r="622" spans="1:11" x14ac:dyDescent="0.25">
      <c r="A622" s="32">
        <v>2043</v>
      </c>
      <c r="B622" s="32">
        <v>22.192150000000002</v>
      </c>
      <c r="C622" s="32">
        <v>30.914797</v>
      </c>
      <c r="D622" s="32">
        <v>27.1387</v>
      </c>
      <c r="E622" s="32">
        <v>29.68693</v>
      </c>
      <c r="F622" s="32">
        <v>11.135996</v>
      </c>
      <c r="G622" s="32">
        <v>14.973311000000001</v>
      </c>
      <c r="H622" s="32">
        <v>34.091338999999998</v>
      </c>
      <c r="I622" s="32"/>
      <c r="J622" s="32">
        <f t="shared" si="43"/>
        <v>1.5063872156773019</v>
      </c>
      <c r="K622" s="47">
        <f t="shared" si="44"/>
        <v>1.7822361301845306</v>
      </c>
    </row>
    <row r="623" spans="1:11" x14ac:dyDescent="0.25">
      <c r="A623" s="32">
        <v>2042</v>
      </c>
      <c r="B623" s="32">
        <v>22.014263</v>
      </c>
      <c r="C623" s="32">
        <v>29.298511999999999</v>
      </c>
      <c r="D623" s="32">
        <v>27.050101999999999</v>
      </c>
      <c r="E623" s="32">
        <v>29.701464000000001</v>
      </c>
      <c r="F623" s="32">
        <v>11.074339</v>
      </c>
      <c r="G623" s="32">
        <v>14.868766000000001</v>
      </c>
      <c r="H623" s="32">
        <v>34.330249999999999</v>
      </c>
      <c r="I623" s="32"/>
      <c r="J623" s="32">
        <f t="shared" si="43"/>
        <v>1.5014694084671343</v>
      </c>
      <c r="K623" s="47">
        <f t="shared" si="44"/>
        <v>1.7831086697134109</v>
      </c>
    </row>
    <row r="624" spans="1:11" x14ac:dyDescent="0.25">
      <c r="A624" s="32">
        <v>2041</v>
      </c>
      <c r="B624" s="32">
        <v>21.888812999999999</v>
      </c>
      <c r="C624" s="32">
        <v>28.171641999999999</v>
      </c>
      <c r="D624" s="32">
        <v>27.007474999999999</v>
      </c>
      <c r="E624" s="32">
        <v>29.777989999999999</v>
      </c>
      <c r="F624" s="32">
        <v>11.060053999999999</v>
      </c>
      <c r="G624" s="32">
        <v>14.81846</v>
      </c>
      <c r="H624" s="32">
        <v>34.523814999999999</v>
      </c>
      <c r="I624" s="32"/>
      <c r="J624" s="32">
        <f t="shared" si="43"/>
        <v>1.4991033125287629</v>
      </c>
      <c r="K624" s="47">
        <f t="shared" si="44"/>
        <v>1.7877028598872853</v>
      </c>
    </row>
    <row r="625" spans="1:11" x14ac:dyDescent="0.25">
      <c r="A625" s="32">
        <v>2040</v>
      </c>
      <c r="B625" s="32">
        <v>21.656485</v>
      </c>
      <c r="C625" s="32">
        <v>27.847065000000001</v>
      </c>
      <c r="D625" s="32">
        <v>26.860192999999999</v>
      </c>
      <c r="E625" s="32">
        <v>29.714183999999999</v>
      </c>
      <c r="F625" s="32">
        <v>10.971197</v>
      </c>
      <c r="G625" s="32">
        <v>14.826513</v>
      </c>
      <c r="H625" s="32">
        <v>34.796821999999999</v>
      </c>
      <c r="I625" s="32"/>
      <c r="J625" s="32">
        <f t="shared" si="43"/>
        <v>1.4909281338393128</v>
      </c>
      <c r="K625" s="47">
        <f t="shared" si="44"/>
        <v>1.7838723068956976</v>
      </c>
    </row>
    <row r="626" spans="1:11" x14ac:dyDescent="0.25">
      <c r="A626" s="32">
        <v>2039</v>
      </c>
      <c r="B626" s="32">
        <v>21.510361</v>
      </c>
      <c r="C626" s="32">
        <v>26.893833000000001</v>
      </c>
      <c r="D626" s="32">
        <v>26.656296000000001</v>
      </c>
      <c r="E626" s="32">
        <v>29.578402000000001</v>
      </c>
      <c r="F626" s="32">
        <v>10.809043000000001</v>
      </c>
      <c r="G626" s="32">
        <v>14.881258000000001</v>
      </c>
      <c r="H626" s="32">
        <v>34.929316999999998</v>
      </c>
      <c r="I626" s="32"/>
      <c r="J626" s="32">
        <f t="shared" si="43"/>
        <v>1.4796104276074389</v>
      </c>
      <c r="K626" s="47">
        <f t="shared" si="44"/>
        <v>1.7757207201122642</v>
      </c>
    </row>
    <row r="627" spans="1:11" x14ac:dyDescent="0.25">
      <c r="A627" s="32">
        <v>2038</v>
      </c>
      <c r="B627" s="32">
        <v>21.130018</v>
      </c>
      <c r="C627" s="32">
        <v>25.861324</v>
      </c>
      <c r="D627" s="32">
        <v>26.296606000000001</v>
      </c>
      <c r="E627" s="32">
        <v>29.246524999999998</v>
      </c>
      <c r="F627" s="32">
        <v>10.577251</v>
      </c>
      <c r="G627" s="32">
        <v>14.890686000000001</v>
      </c>
      <c r="H627" s="32">
        <v>35.110576999999999</v>
      </c>
      <c r="I627" s="32"/>
      <c r="J627" s="32">
        <f t="shared" si="43"/>
        <v>1.4596451227989193</v>
      </c>
      <c r="K627" s="47">
        <f t="shared" si="44"/>
        <v>1.7557966936070899</v>
      </c>
    </row>
    <row r="628" spans="1:11" x14ac:dyDescent="0.25">
      <c r="A628" s="32">
        <v>2037</v>
      </c>
      <c r="B628" s="32">
        <v>20.860067000000001</v>
      </c>
      <c r="C628" s="32">
        <v>25.227329000000001</v>
      </c>
      <c r="D628" s="32">
        <v>26.174759000000002</v>
      </c>
      <c r="E628" s="32">
        <v>29.16799</v>
      </c>
      <c r="F628" s="32">
        <v>10.462044000000001</v>
      </c>
      <c r="G628" s="32">
        <v>14.942767</v>
      </c>
      <c r="H628" s="32">
        <v>35.264465000000001</v>
      </c>
      <c r="I628" s="32"/>
      <c r="J628" s="32">
        <f t="shared" si="43"/>
        <v>1.4528817640872409</v>
      </c>
      <c r="K628" s="47">
        <f t="shared" si="44"/>
        <v>1.751081894384535</v>
      </c>
    </row>
    <row r="629" spans="1:11" x14ac:dyDescent="0.25">
      <c r="A629" s="32">
        <v>2036</v>
      </c>
      <c r="B629" s="32">
        <v>20.721779000000002</v>
      </c>
      <c r="C629" s="32">
        <v>25.054770999999999</v>
      </c>
      <c r="D629" s="32">
        <v>26.113994999999999</v>
      </c>
      <c r="E629" s="32">
        <v>29.127869</v>
      </c>
      <c r="F629" s="32">
        <v>10.389255</v>
      </c>
      <c r="G629" s="32">
        <v>15.000296000000001</v>
      </c>
      <c r="H629" s="32">
        <v>35.503506000000002</v>
      </c>
      <c r="I629" s="32"/>
      <c r="J629" s="32">
        <f t="shared" si="43"/>
        <v>1.4495089380943444</v>
      </c>
      <c r="K629" s="47">
        <f t="shared" si="44"/>
        <v>1.7486732554387387</v>
      </c>
    </row>
    <row r="630" spans="1:11" x14ac:dyDescent="0.25">
      <c r="A630" s="32">
        <v>2035</v>
      </c>
      <c r="B630" s="32">
        <v>20.427209999999999</v>
      </c>
      <c r="C630" s="32">
        <v>24.357323000000001</v>
      </c>
      <c r="D630" s="32">
        <v>25.600601000000001</v>
      </c>
      <c r="E630" s="32">
        <v>28.629702000000002</v>
      </c>
      <c r="F630" s="32">
        <v>10.002955999999999</v>
      </c>
      <c r="G630" s="32">
        <v>15.071878</v>
      </c>
      <c r="H630" s="32">
        <v>35.582832000000003</v>
      </c>
      <c r="I630" s="32"/>
      <c r="J630" s="32">
        <f t="shared" si="43"/>
        <v>1.4210119887855923</v>
      </c>
      <c r="K630" s="47">
        <f t="shared" si="44"/>
        <v>1.7187661136000361</v>
      </c>
    </row>
    <row r="631" spans="1:11" x14ac:dyDescent="0.25">
      <c r="A631" s="32">
        <v>2034</v>
      </c>
      <c r="B631" s="32">
        <v>20.329395000000002</v>
      </c>
      <c r="C631" s="32">
        <v>24.476696</v>
      </c>
      <c r="D631" s="32">
        <v>25.453576999999999</v>
      </c>
      <c r="E631" s="32">
        <v>28.458424000000001</v>
      </c>
      <c r="F631" s="32">
        <v>9.8796130000000009</v>
      </c>
      <c r="G631" s="32">
        <v>15.056931000000001</v>
      </c>
      <c r="H631" s="32">
        <v>36.008335000000002</v>
      </c>
      <c r="I631" s="32"/>
      <c r="J631" s="32">
        <f t="shared" si="43"/>
        <v>1.4128511308963883</v>
      </c>
      <c r="K631" s="47">
        <f t="shared" si="44"/>
        <v>1.7084835468305606</v>
      </c>
    </row>
    <row r="632" spans="1:11" x14ac:dyDescent="0.25">
      <c r="A632" s="32">
        <v>2033</v>
      </c>
      <c r="B632" s="32">
        <v>20.121169999999999</v>
      </c>
      <c r="C632" s="32">
        <v>24.515701</v>
      </c>
      <c r="D632" s="32">
        <v>25.189216999999999</v>
      </c>
      <c r="E632" s="32">
        <v>28.15344</v>
      </c>
      <c r="F632" s="32">
        <v>9.6367899999999995</v>
      </c>
      <c r="G632" s="32">
        <v>15.198658</v>
      </c>
      <c r="H632" s="32">
        <v>36.268420999999996</v>
      </c>
      <c r="I632" s="32"/>
      <c r="J632" s="32">
        <f t="shared" si="43"/>
        <v>1.3981773062719054</v>
      </c>
      <c r="K632" s="47">
        <f t="shared" si="44"/>
        <v>1.6901740246291002</v>
      </c>
    </row>
    <row r="633" spans="1:11" x14ac:dyDescent="0.25">
      <c r="A633" s="32">
        <v>2032</v>
      </c>
      <c r="B633" s="32">
        <v>20.063015</v>
      </c>
      <c r="C633" s="32">
        <v>24.478552000000001</v>
      </c>
      <c r="D633" s="32">
        <v>25.226479999999999</v>
      </c>
      <c r="E633" s="32">
        <v>28.136782</v>
      </c>
      <c r="F633" s="32">
        <v>9.6490150000000003</v>
      </c>
      <c r="G633" s="32">
        <v>15.412843000000001</v>
      </c>
      <c r="H633" s="32">
        <v>36.422984999999997</v>
      </c>
      <c r="I633" s="32"/>
      <c r="J633" s="32">
        <f t="shared" si="43"/>
        <v>1.4002456627818998</v>
      </c>
      <c r="K633" s="47">
        <f t="shared" si="44"/>
        <v>1.6891739720990266</v>
      </c>
    </row>
    <row r="634" spans="1:11" x14ac:dyDescent="0.25">
      <c r="A634" s="32">
        <v>2031</v>
      </c>
      <c r="B634" s="32">
        <v>19.783035000000002</v>
      </c>
      <c r="C634" s="32">
        <v>24.642158999999999</v>
      </c>
      <c r="D634" s="32">
        <v>24.854659999999999</v>
      </c>
      <c r="E634" s="32">
        <v>27.692678000000001</v>
      </c>
      <c r="F634" s="32">
        <v>9.3073180000000004</v>
      </c>
      <c r="G634" s="32">
        <v>15.590992</v>
      </c>
      <c r="H634" s="32">
        <v>36.524811</v>
      </c>
      <c r="I634" s="32"/>
      <c r="J634" s="32">
        <f t="shared" si="43"/>
        <v>1.3796070583338924</v>
      </c>
      <c r="K634" s="47">
        <f t="shared" si="44"/>
        <v>1.6625124683881523</v>
      </c>
    </row>
    <row r="635" spans="1:11" x14ac:dyDescent="0.25">
      <c r="A635" s="32">
        <v>2030</v>
      </c>
      <c r="B635" s="32">
        <v>19.412034999999999</v>
      </c>
      <c r="C635" s="32">
        <v>24.153549000000002</v>
      </c>
      <c r="D635" s="32">
        <v>24.523797999999999</v>
      </c>
      <c r="E635" s="32">
        <v>27.307269999999999</v>
      </c>
      <c r="F635" s="32">
        <v>9.0045169999999999</v>
      </c>
      <c r="G635" s="32">
        <v>15.769482999999999</v>
      </c>
      <c r="H635" s="32">
        <v>36.564846000000003</v>
      </c>
      <c r="I635" s="32"/>
      <c r="J635" s="32">
        <f t="shared" si="43"/>
        <v>1.3612419086784771</v>
      </c>
      <c r="K635" s="47">
        <f t="shared" si="44"/>
        <v>1.6393747420398177</v>
      </c>
    </row>
    <row r="636" spans="1:11" x14ac:dyDescent="0.25">
      <c r="A636" s="32">
        <v>2029</v>
      </c>
      <c r="B636" s="32">
        <v>19.265156000000001</v>
      </c>
      <c r="C636" s="32">
        <v>24.574245000000001</v>
      </c>
      <c r="D636" s="32">
        <v>24.165510000000001</v>
      </c>
      <c r="E636" s="32">
        <v>26.835740999999999</v>
      </c>
      <c r="F636" s="32">
        <v>8.6727679999999996</v>
      </c>
      <c r="G636" s="32">
        <v>15.994675000000001</v>
      </c>
      <c r="H636" s="32">
        <v>36.830993999999997</v>
      </c>
      <c r="I636" s="32"/>
      <c r="J636" s="32">
        <f t="shared" si="43"/>
        <v>1.3413544246526916</v>
      </c>
      <c r="K636" s="47">
        <f t="shared" si="44"/>
        <v>1.6110667957405613</v>
      </c>
    </row>
    <row r="637" spans="1:11" x14ac:dyDescent="0.25">
      <c r="A637" s="32">
        <v>2028</v>
      </c>
      <c r="B637" s="32">
        <v>19.238880000000002</v>
      </c>
      <c r="C637" s="32">
        <v>25.621068999999999</v>
      </c>
      <c r="D637" s="32">
        <v>23.96067</v>
      </c>
      <c r="E637" s="32">
        <v>26.539757000000002</v>
      </c>
      <c r="F637" s="32">
        <v>8.4719499999999996</v>
      </c>
      <c r="G637" s="32">
        <v>16.199368</v>
      </c>
      <c r="H637" s="32">
        <v>37.030819000000001</v>
      </c>
      <c r="I637" s="32"/>
      <c r="J637" s="32">
        <f t="shared" si="43"/>
        <v>1.3299843753408476</v>
      </c>
      <c r="K637" s="47">
        <f t="shared" si="44"/>
        <v>1.5932975828661908</v>
      </c>
    </row>
    <row r="638" spans="1:11" x14ac:dyDescent="0.25">
      <c r="A638" s="32">
        <v>2027</v>
      </c>
      <c r="B638" s="32">
        <v>19.183142</v>
      </c>
      <c r="C638" s="32">
        <v>27.825464</v>
      </c>
      <c r="D638" s="32">
        <v>24.012640000000001</v>
      </c>
      <c r="E638" s="32">
        <v>26.462071999999999</v>
      </c>
      <c r="F638" s="32">
        <v>8.421424</v>
      </c>
      <c r="G638" s="32">
        <v>16.422605999999998</v>
      </c>
      <c r="H638" s="32">
        <v>37.218304000000003</v>
      </c>
      <c r="I638" s="32"/>
      <c r="J638" s="32">
        <f t="shared" si="43"/>
        <v>1.3328690729718597</v>
      </c>
      <c r="K638" s="47">
        <f t="shared" si="44"/>
        <v>1.588633812857861</v>
      </c>
    </row>
    <row r="639" spans="1:11" x14ac:dyDescent="0.25">
      <c r="A639" s="32">
        <v>2026</v>
      </c>
      <c r="B639" s="32">
        <v>19.006639</v>
      </c>
      <c r="C639" s="32">
        <v>27.775680999999999</v>
      </c>
      <c r="D639" s="32">
        <v>23.984734</v>
      </c>
      <c r="E639" s="32">
        <v>26.191595</v>
      </c>
      <c r="F639" s="32">
        <v>8.2663580000000003</v>
      </c>
      <c r="G639" s="32">
        <v>16.724205000000001</v>
      </c>
      <c r="H639" s="32">
        <v>37.592784999999999</v>
      </c>
      <c r="I639" s="32"/>
      <c r="J639" s="32">
        <f t="shared" si="43"/>
        <v>1.331320095252194</v>
      </c>
      <c r="K639" s="47">
        <f t="shared" si="44"/>
        <v>1.5723958966508325</v>
      </c>
    </row>
    <row r="640" spans="1:11" x14ac:dyDescent="0.25">
      <c r="A640" s="32">
        <v>2025</v>
      </c>
      <c r="B640" s="32">
        <v>18.96678</v>
      </c>
      <c r="C640" s="32">
        <v>27.473595</v>
      </c>
      <c r="D640" s="32">
        <v>23.694105</v>
      </c>
      <c r="E640" s="32">
        <v>25.838688000000001</v>
      </c>
      <c r="F640" s="32">
        <v>7.9683619999999999</v>
      </c>
      <c r="G640" s="32">
        <v>17.002147999999998</v>
      </c>
      <c r="H640" s="32">
        <v>37.764964999999997</v>
      </c>
      <c r="I640" s="32"/>
      <c r="J640" s="32">
        <f t="shared" si="43"/>
        <v>1.3151881578305387</v>
      </c>
      <c r="K640" s="47">
        <f t="shared" si="44"/>
        <v>1.5512093473513586</v>
      </c>
    </row>
    <row r="641" spans="1:11" x14ac:dyDescent="0.25">
      <c r="A641" s="32">
        <v>2024</v>
      </c>
      <c r="B641" s="32">
        <v>18.996676999999998</v>
      </c>
      <c r="C641" s="32">
        <v>31.736637000000002</v>
      </c>
      <c r="D641" s="32">
        <v>23.330404000000001</v>
      </c>
      <c r="E641" s="32">
        <v>25.241402000000001</v>
      </c>
      <c r="F641" s="32">
        <v>7.6115709999999996</v>
      </c>
      <c r="G641" s="32">
        <v>17.294806999999999</v>
      </c>
      <c r="H641" s="32">
        <v>37.998362999999998</v>
      </c>
      <c r="I641" s="32"/>
      <c r="J641" s="32">
        <f t="shared" si="43"/>
        <v>1.2950002145344688</v>
      </c>
      <c r="K641" s="47">
        <f t="shared" si="44"/>
        <v>1.5153516588246772</v>
      </c>
    </row>
    <row r="642" spans="1:11" x14ac:dyDescent="0.25">
      <c r="A642" s="32">
        <v>2023</v>
      </c>
      <c r="B642" s="32">
        <v>18.909991999999999</v>
      </c>
      <c r="C642" s="32">
        <v>31.562069000000001</v>
      </c>
      <c r="D642" s="32">
        <v>23.152539999999998</v>
      </c>
      <c r="E642" s="32">
        <v>24.948259</v>
      </c>
      <c r="F642" s="32">
        <v>7.3686470000000002</v>
      </c>
      <c r="G642" s="32">
        <v>17.545158000000001</v>
      </c>
      <c r="H642" s="32">
        <v>38.44585</v>
      </c>
      <c r="I642" s="32"/>
      <c r="J642" s="32">
        <f t="shared" si="43"/>
        <v>1.2851275214530304</v>
      </c>
      <c r="K642" s="47">
        <f t="shared" si="44"/>
        <v>1.4977530035945579</v>
      </c>
    </row>
    <row r="643" spans="1:11" x14ac:dyDescent="0.25">
      <c r="A643" s="32">
        <v>2022</v>
      </c>
      <c r="B643" s="32">
        <v>18.664152000000001</v>
      </c>
      <c r="C643" s="32">
        <v>31.215931000000001</v>
      </c>
      <c r="D643" s="32">
        <v>22.84985</v>
      </c>
      <c r="E643" s="32">
        <v>24.612746999999999</v>
      </c>
      <c r="F643" s="32">
        <v>7.07782</v>
      </c>
      <c r="G643" s="32">
        <v>17.835653000000001</v>
      </c>
      <c r="H643" s="32">
        <v>37.834105999999998</v>
      </c>
      <c r="I643" s="32"/>
      <c r="J643" s="32">
        <f t="shared" si="43"/>
        <v>1.2683261143733486</v>
      </c>
      <c r="K643" s="47">
        <f t="shared" si="44"/>
        <v>1.477610752155609</v>
      </c>
    </row>
    <row r="644" spans="1:11" x14ac:dyDescent="0.25">
      <c r="A644" s="32">
        <v>2021</v>
      </c>
      <c r="B644" s="32">
        <v>18.287953999999999</v>
      </c>
      <c r="C644" s="32">
        <v>30.708995999999999</v>
      </c>
      <c r="D644" s="32">
        <v>22.001698999999999</v>
      </c>
      <c r="E644" s="32">
        <v>23.845593999999998</v>
      </c>
      <c r="F644" s="32">
        <v>6.7134349999999996</v>
      </c>
      <c r="G644" s="32">
        <v>18.180078999999999</v>
      </c>
      <c r="H644" s="32">
        <v>37.298552999999998</v>
      </c>
      <c r="I644" s="32"/>
      <c r="J644" s="32">
        <f t="shared" si="43"/>
        <v>1.2212478157310438</v>
      </c>
      <c r="K644" s="47">
        <f t="shared" si="44"/>
        <v>1.4315552053550655</v>
      </c>
    </row>
    <row r="645" spans="1:11" x14ac:dyDescent="0.25">
      <c r="A645" s="32">
        <v>2020</v>
      </c>
      <c r="B645" s="32">
        <v>18.268903999999999</v>
      </c>
      <c r="C645" s="32">
        <v>30.168455000000002</v>
      </c>
      <c r="D645" s="32">
        <v>21.133103999999999</v>
      </c>
      <c r="E645" s="32">
        <v>23.200821000000001</v>
      </c>
      <c r="F645" s="32">
        <v>6.2571190000000003</v>
      </c>
      <c r="G645" s="32">
        <v>18.393221</v>
      </c>
      <c r="H645" s="32">
        <v>36.851486000000001</v>
      </c>
      <c r="I645" s="32"/>
      <c r="J645" s="32">
        <f t="shared" si="43"/>
        <v>1.1730347324366626</v>
      </c>
      <c r="K645" s="47">
        <f t="shared" si="44"/>
        <v>1.3928466647155497</v>
      </c>
    </row>
    <row r="646" spans="1:11" x14ac:dyDescent="0.25">
      <c r="A646" s="32">
        <v>2019</v>
      </c>
      <c r="B646" s="32">
        <v>18.315466000000001</v>
      </c>
      <c r="C646" s="32">
        <v>29.549391</v>
      </c>
      <c r="D646" s="32">
        <v>20.211845</v>
      </c>
      <c r="E646" s="32">
        <v>22.381277000000001</v>
      </c>
      <c r="F646" s="32">
        <v>5.6676510000000002</v>
      </c>
      <c r="G646" s="32">
        <v>18.245525000000001</v>
      </c>
      <c r="H646" s="32">
        <v>36.605988000000004</v>
      </c>
      <c r="I646" s="32"/>
      <c r="J646" s="32">
        <f t="shared" si="43"/>
        <v>1.121898429668746</v>
      </c>
      <c r="K646" s="47">
        <f t="shared" si="44"/>
        <v>1.3436458572532775</v>
      </c>
    </row>
    <row r="647" spans="1:11" x14ac:dyDescent="0.25">
      <c r="A647" s="32">
        <v>2018</v>
      </c>
      <c r="B647" s="32">
        <v>18.283709000000002</v>
      </c>
      <c r="C647" s="32">
        <v>28.170300999999998</v>
      </c>
      <c r="D647" s="32">
        <v>18.579643000000001</v>
      </c>
      <c r="E647" s="32">
        <v>21.013144</v>
      </c>
      <c r="F647" s="32">
        <v>4.7301489999999999</v>
      </c>
      <c r="G647" s="32">
        <v>17.969898000000001</v>
      </c>
      <c r="H647" s="32">
        <v>36.138016</v>
      </c>
      <c r="I647" s="32"/>
      <c r="J647" s="32">
        <f t="shared" si="43"/>
        <v>1.0312998296546361</v>
      </c>
      <c r="K647" s="47">
        <f t="shared" si="44"/>
        <v>1.2615108549644671</v>
      </c>
    </row>
    <row r="648" spans="1:11" x14ac:dyDescent="0.25">
      <c r="A648" s="32">
        <v>2017</v>
      </c>
      <c r="B648" s="32">
        <v>17.251498999999999</v>
      </c>
      <c r="C648" s="32">
        <v>26.930572999999999</v>
      </c>
      <c r="D648" s="32">
        <v>18.778815999999999</v>
      </c>
      <c r="E648" s="32">
        <v>18.946318000000002</v>
      </c>
      <c r="F648" s="32">
        <v>4.2247680000000001</v>
      </c>
      <c r="G648" s="32">
        <v>17.688556999999999</v>
      </c>
      <c r="H648" s="32">
        <v>36.591723999999999</v>
      </c>
      <c r="I648" s="32"/>
      <c r="J648" s="32">
        <f t="shared" si="43"/>
        <v>1.0423553209238603</v>
      </c>
      <c r="K648" s="47">
        <f t="shared" si="44"/>
        <v>1.1374302588231764</v>
      </c>
    </row>
    <row r="649" spans="1:11" x14ac:dyDescent="0.25">
      <c r="A649" s="32">
        <v>2016</v>
      </c>
      <c r="B649" s="32">
        <v>17.120678000000002</v>
      </c>
      <c r="C649" s="32">
        <v>24.678604</v>
      </c>
      <c r="D649" s="32">
        <v>18.015753</v>
      </c>
      <c r="E649" s="32">
        <v>16.657125000000001</v>
      </c>
      <c r="F649" s="32">
        <v>3.25698</v>
      </c>
      <c r="G649" s="32">
        <v>17.177606999999998</v>
      </c>
      <c r="H649" s="32">
        <v>34.428455</v>
      </c>
      <c r="I649" s="32"/>
      <c r="J649" s="32">
        <f t="shared" si="43"/>
        <v>1</v>
      </c>
      <c r="K649" s="47">
        <f t="shared" si="44"/>
        <v>1</v>
      </c>
    </row>
    <row r="650" spans="1:11" x14ac:dyDescent="0.25">
      <c r="A650" s="32">
        <v>2015</v>
      </c>
      <c r="B650" s="32">
        <v>18.028113999999999</v>
      </c>
      <c r="C650" s="32">
        <v>27.656412</v>
      </c>
      <c r="D650" s="32">
        <v>20.788837000000001</v>
      </c>
      <c r="E650" s="32">
        <v>19.876884</v>
      </c>
      <c r="F650" s="32">
        <v>4.4108809999999998</v>
      </c>
      <c r="G650" s="32">
        <v>17.243106999999998</v>
      </c>
      <c r="H650" s="32">
        <v>28.174032</v>
      </c>
      <c r="I650" s="32"/>
    </row>
    <row r="651" spans="1:11" x14ac:dyDescent="0.25">
      <c r="A651" s="23" t="s">
        <v>141</v>
      </c>
      <c r="B651" s="23"/>
      <c r="C651" s="23"/>
      <c r="D651" s="23"/>
      <c r="E651" s="23"/>
      <c r="F651" s="23"/>
      <c r="G651" s="23"/>
      <c r="H651" s="23"/>
      <c r="I651" s="30"/>
      <c r="J651" s="30"/>
      <c r="K651" s="30"/>
    </row>
    <row r="652" spans="1:11" x14ac:dyDescent="0.25">
      <c r="A652" s="22" t="s">
        <v>102</v>
      </c>
      <c r="I652" s="29"/>
      <c r="J652" s="29"/>
      <c r="K652" s="29"/>
    </row>
    <row r="653" spans="1:11" ht="30" x14ac:dyDescent="0.25">
      <c r="A653" s="32" t="s">
        <v>110</v>
      </c>
      <c r="B653" s="32" t="s">
        <v>116</v>
      </c>
      <c r="C653" s="32" t="s">
        <v>117</v>
      </c>
      <c r="D653" s="32" t="s">
        <v>118</v>
      </c>
      <c r="E653" s="32" t="s">
        <v>119</v>
      </c>
      <c r="F653" s="32" t="s">
        <v>120</v>
      </c>
      <c r="G653" s="32" t="s">
        <v>121</v>
      </c>
      <c r="H653" s="32" t="s">
        <v>122</v>
      </c>
      <c r="I653" s="31"/>
      <c r="J653" s="208" t="s">
        <v>456</v>
      </c>
      <c r="K653" s="208" t="s">
        <v>457</v>
      </c>
    </row>
    <row r="654" spans="1:11" x14ac:dyDescent="0.25">
      <c r="A654" s="32">
        <v>2050</v>
      </c>
      <c r="B654" s="32">
        <v>23.637184000000001</v>
      </c>
      <c r="C654" s="32">
        <v>30.157093</v>
      </c>
      <c r="D654" s="32">
        <v>28.164406</v>
      </c>
      <c r="E654" s="32">
        <v>30.765142000000001</v>
      </c>
      <c r="F654" s="32">
        <v>15.073079999999999</v>
      </c>
      <c r="G654" s="32">
        <v>14.703924000000001</v>
      </c>
      <c r="H654" s="32">
        <v>36.963619000000001</v>
      </c>
      <c r="I654" s="32"/>
      <c r="J654" s="32">
        <f>D654/$D$688</f>
        <v>1.5394657599524064</v>
      </c>
      <c r="K654" s="47">
        <f>E654/$E$688</f>
        <v>1.8552573100057037</v>
      </c>
    </row>
    <row r="655" spans="1:11" x14ac:dyDescent="0.25">
      <c r="A655" s="32">
        <v>2049</v>
      </c>
      <c r="B655" s="32">
        <v>23.43207</v>
      </c>
      <c r="C655" s="32">
        <v>31.084758999999998</v>
      </c>
      <c r="D655" s="32">
        <v>27.820955000000001</v>
      </c>
      <c r="E655" s="32">
        <v>30.497499000000001</v>
      </c>
      <c r="F655" s="32">
        <v>14.870162000000001</v>
      </c>
      <c r="G655" s="32">
        <v>14.590209</v>
      </c>
      <c r="H655" s="32">
        <v>37.006317000000003</v>
      </c>
      <c r="I655" s="32"/>
      <c r="J655" s="32">
        <f t="shared" ref="J655:J688" si="45">D655/$D$688</f>
        <v>1.5206927364872067</v>
      </c>
      <c r="K655" s="47">
        <f t="shared" ref="K655:K688" si="46">E655/$E$688</f>
        <v>1.8391173997065133</v>
      </c>
    </row>
    <row r="656" spans="1:11" x14ac:dyDescent="0.25">
      <c r="A656" s="32">
        <v>2048</v>
      </c>
      <c r="B656" s="32">
        <v>23.318719999999999</v>
      </c>
      <c r="C656" s="32">
        <v>30.860610999999999</v>
      </c>
      <c r="D656" s="32">
        <v>27.710567000000001</v>
      </c>
      <c r="E656" s="32">
        <v>30.278428999999999</v>
      </c>
      <c r="F656" s="32">
        <v>14.730793</v>
      </c>
      <c r="G656" s="32">
        <v>14.569728</v>
      </c>
      <c r="H656" s="32">
        <v>36.980159999999998</v>
      </c>
      <c r="I656" s="32"/>
      <c r="J656" s="32">
        <f t="shared" si="45"/>
        <v>1.5146589310410834</v>
      </c>
      <c r="K656" s="47">
        <f t="shared" si="46"/>
        <v>1.825906629578979</v>
      </c>
    </row>
    <row r="657" spans="1:11" x14ac:dyDescent="0.25">
      <c r="A657" s="32">
        <v>2047</v>
      </c>
      <c r="B657" s="32">
        <v>23.106687999999998</v>
      </c>
      <c r="C657" s="32">
        <v>30.878428</v>
      </c>
      <c r="D657" s="32">
        <v>27.817423000000002</v>
      </c>
      <c r="E657" s="32">
        <v>30.294364999999999</v>
      </c>
      <c r="F657" s="32">
        <v>14.682793999999999</v>
      </c>
      <c r="G657" s="32">
        <v>14.447895000000001</v>
      </c>
      <c r="H657" s="32">
        <v>36.936207000000003</v>
      </c>
      <c r="I657" s="32"/>
      <c r="J657" s="32">
        <f t="shared" si="45"/>
        <v>1.520499677451481</v>
      </c>
      <c r="K657" s="47">
        <f t="shared" si="46"/>
        <v>1.8268676321478035</v>
      </c>
    </row>
    <row r="658" spans="1:11" x14ac:dyDescent="0.25">
      <c r="A658" s="32">
        <v>2046</v>
      </c>
      <c r="B658" s="32">
        <v>22.924969000000001</v>
      </c>
      <c r="C658" s="32">
        <v>32.869216999999999</v>
      </c>
      <c r="D658" s="32">
        <v>27.653417999999999</v>
      </c>
      <c r="E658" s="32">
        <v>29.924885</v>
      </c>
      <c r="F658" s="32">
        <v>14.455163000000001</v>
      </c>
      <c r="G658" s="32">
        <v>14.386392000000001</v>
      </c>
      <c r="H658" s="32">
        <v>36.923870000000001</v>
      </c>
      <c r="I658" s="32"/>
      <c r="J658" s="32">
        <f t="shared" si="45"/>
        <v>1.5115351680646685</v>
      </c>
      <c r="K658" s="47">
        <f t="shared" si="46"/>
        <v>1.8045865560227232</v>
      </c>
    </row>
    <row r="659" spans="1:11" x14ac:dyDescent="0.25">
      <c r="A659" s="32">
        <v>2045</v>
      </c>
      <c r="B659" s="32">
        <v>22.753952000000002</v>
      </c>
      <c r="C659" s="32">
        <v>32.609352000000001</v>
      </c>
      <c r="D659" s="32">
        <v>27.535914999999999</v>
      </c>
      <c r="E659" s="32">
        <v>29.770009999999999</v>
      </c>
      <c r="F659" s="32">
        <v>14.319291</v>
      </c>
      <c r="G659" s="32">
        <v>14.348248999999999</v>
      </c>
      <c r="H659" s="32">
        <v>36.881881999999997</v>
      </c>
      <c r="I659" s="32"/>
      <c r="J659" s="32">
        <f t="shared" si="45"/>
        <v>1.5051124568883103</v>
      </c>
      <c r="K659" s="47">
        <f t="shared" si="46"/>
        <v>1.7952469932185882</v>
      </c>
    </row>
    <row r="660" spans="1:11" x14ac:dyDescent="0.25">
      <c r="A660" s="32">
        <v>2044</v>
      </c>
      <c r="B660" s="32">
        <v>22.675204999999998</v>
      </c>
      <c r="C660" s="32">
        <v>32.397826999999999</v>
      </c>
      <c r="D660" s="32">
        <v>27.424692</v>
      </c>
      <c r="E660" s="32">
        <v>29.64603</v>
      </c>
      <c r="F660" s="32">
        <v>14.225847999999999</v>
      </c>
      <c r="G660" s="32">
        <v>14.289369000000001</v>
      </c>
      <c r="H660" s="32">
        <v>36.830562999999998</v>
      </c>
      <c r="I660" s="32"/>
      <c r="J660" s="32">
        <f t="shared" si="45"/>
        <v>1.4990330103621103</v>
      </c>
      <c r="K660" s="47">
        <f t="shared" si="46"/>
        <v>1.7877705186651955</v>
      </c>
    </row>
    <row r="661" spans="1:11" x14ac:dyDescent="0.25">
      <c r="A661" s="32">
        <v>2043</v>
      </c>
      <c r="B661" s="32">
        <v>22.518727999999999</v>
      </c>
      <c r="C661" s="32">
        <v>30.227816000000001</v>
      </c>
      <c r="D661" s="32">
        <v>27.327572</v>
      </c>
      <c r="E661" s="32">
        <v>29.617449000000001</v>
      </c>
      <c r="F661" s="32">
        <v>14.151031</v>
      </c>
      <c r="G661" s="32">
        <v>14.248843000000001</v>
      </c>
      <c r="H661" s="32">
        <v>36.830551</v>
      </c>
      <c r="I661" s="32"/>
      <c r="J661" s="32">
        <f t="shared" si="45"/>
        <v>1.4937244334794104</v>
      </c>
      <c r="K661" s="47">
        <f t="shared" si="46"/>
        <v>1.7860469735836462</v>
      </c>
    </row>
    <row r="662" spans="1:11" x14ac:dyDescent="0.25">
      <c r="A662" s="32">
        <v>2042</v>
      </c>
      <c r="B662" s="32">
        <v>22.338224</v>
      </c>
      <c r="C662" s="32">
        <v>29.701632</v>
      </c>
      <c r="D662" s="32">
        <v>27.239318999999998</v>
      </c>
      <c r="E662" s="32">
        <v>29.631989999999998</v>
      </c>
      <c r="F662" s="32">
        <v>14.089371999999999</v>
      </c>
      <c r="G662" s="32">
        <v>14.188549999999999</v>
      </c>
      <c r="H662" s="32">
        <v>36.872864</v>
      </c>
      <c r="I662" s="32"/>
      <c r="J662" s="32">
        <f t="shared" si="45"/>
        <v>1.488900526605142</v>
      </c>
      <c r="K662" s="47">
        <f t="shared" si="46"/>
        <v>1.7869238522453728</v>
      </c>
    </row>
    <row r="663" spans="1:11" x14ac:dyDescent="0.25">
      <c r="A663" s="32">
        <v>2041</v>
      </c>
      <c r="B663" s="32">
        <v>22.210927999999999</v>
      </c>
      <c r="C663" s="32">
        <v>29.160056999999998</v>
      </c>
      <c r="D663" s="32">
        <v>27.196259999999999</v>
      </c>
      <c r="E663" s="32">
        <v>29.708523</v>
      </c>
      <c r="F663" s="32">
        <v>14.075087</v>
      </c>
      <c r="G663" s="32">
        <v>14.150544</v>
      </c>
      <c r="H663" s="32">
        <v>36.930053999999998</v>
      </c>
      <c r="I663" s="32"/>
      <c r="J663" s="32">
        <f t="shared" si="45"/>
        <v>1.4865469226925372</v>
      </c>
      <c r="K663" s="47">
        <f t="shared" si="46"/>
        <v>1.7915390887915479</v>
      </c>
    </row>
    <row r="664" spans="1:11" x14ac:dyDescent="0.25">
      <c r="A664" s="32">
        <v>2040</v>
      </c>
      <c r="B664" s="32">
        <v>21.975182</v>
      </c>
      <c r="C664" s="32">
        <v>27.860916</v>
      </c>
      <c r="D664" s="32">
        <v>27.049175000000002</v>
      </c>
      <c r="E664" s="32">
        <v>29.644722000000002</v>
      </c>
      <c r="F664" s="32">
        <v>13.986229</v>
      </c>
      <c r="G664" s="32">
        <v>14.180683999999999</v>
      </c>
      <c r="H664" s="32">
        <v>37.106762000000003</v>
      </c>
      <c r="I664" s="32"/>
      <c r="J664" s="32">
        <f t="shared" si="45"/>
        <v>1.4785072601020108</v>
      </c>
      <c r="K664" s="47">
        <f t="shared" si="46"/>
        <v>1.7876916411953148</v>
      </c>
    </row>
    <row r="665" spans="1:11" x14ac:dyDescent="0.25">
      <c r="A665" s="32">
        <v>2039</v>
      </c>
      <c r="B665" s="32">
        <v>21.826906000000001</v>
      </c>
      <c r="C665" s="32">
        <v>27.396832</v>
      </c>
      <c r="D665" s="32">
        <v>26.845117999999999</v>
      </c>
      <c r="E665" s="32">
        <v>29.508944</v>
      </c>
      <c r="F665" s="32">
        <v>13.824078</v>
      </c>
      <c r="G665" s="32">
        <v>14.285728000000001</v>
      </c>
      <c r="H665" s="32">
        <v>37.227055</v>
      </c>
      <c r="I665" s="32"/>
      <c r="J665" s="32">
        <f t="shared" si="45"/>
        <v>1.4673535093508461</v>
      </c>
      <c r="K665" s="47">
        <f t="shared" si="46"/>
        <v>1.7795037015122164</v>
      </c>
    </row>
    <row r="666" spans="1:11" x14ac:dyDescent="0.25">
      <c r="A666" s="32">
        <v>2038</v>
      </c>
      <c r="B666" s="32">
        <v>21.440964000000001</v>
      </c>
      <c r="C666" s="32">
        <v>26.028466999999999</v>
      </c>
      <c r="D666" s="32">
        <v>26.486156000000001</v>
      </c>
      <c r="E666" s="32">
        <v>29.177071000000002</v>
      </c>
      <c r="F666" s="32">
        <v>13.592283</v>
      </c>
      <c r="G666" s="32">
        <v>14.300826000000001</v>
      </c>
      <c r="H666" s="32">
        <v>37.249358999999998</v>
      </c>
      <c r="I666" s="32"/>
      <c r="J666" s="32">
        <f t="shared" si="45"/>
        <v>1.4477326549957414</v>
      </c>
      <c r="K666" s="47">
        <f t="shared" si="46"/>
        <v>1.7594904732539649</v>
      </c>
    </row>
    <row r="667" spans="1:11" x14ac:dyDescent="0.25">
      <c r="A667" s="32">
        <v>2037</v>
      </c>
      <c r="B667" s="32">
        <v>21.167045999999999</v>
      </c>
      <c r="C667" s="32">
        <v>25.777010000000001</v>
      </c>
      <c r="D667" s="32">
        <v>26.366918999999999</v>
      </c>
      <c r="E667" s="32">
        <v>29.098538999999999</v>
      </c>
      <c r="F667" s="32">
        <v>13.477076</v>
      </c>
      <c r="G667" s="32">
        <v>14.349416</v>
      </c>
      <c r="H667" s="32">
        <v>37.309544000000002</v>
      </c>
      <c r="I667" s="32"/>
      <c r="J667" s="32">
        <f t="shared" si="45"/>
        <v>1.4412151634207568</v>
      </c>
      <c r="K667" s="47">
        <f t="shared" si="46"/>
        <v>1.7547546892595542</v>
      </c>
    </row>
    <row r="668" spans="1:11" x14ac:dyDescent="0.25">
      <c r="A668" s="32">
        <v>2036</v>
      </c>
      <c r="B668" s="32">
        <v>21.026720000000001</v>
      </c>
      <c r="C668" s="32">
        <v>25.584081999999999</v>
      </c>
      <c r="D668" s="32">
        <v>26.306616000000002</v>
      </c>
      <c r="E668" s="32">
        <v>29.058422</v>
      </c>
      <c r="F668" s="32">
        <v>13.404286000000001</v>
      </c>
      <c r="G668" s="32">
        <v>14.381128</v>
      </c>
      <c r="H668" s="32">
        <v>37.424500000000002</v>
      </c>
      <c r="I668" s="32"/>
      <c r="J668" s="32">
        <f t="shared" si="45"/>
        <v>1.437919002879597</v>
      </c>
      <c r="K668" s="47">
        <f t="shared" si="46"/>
        <v>1.7523354786638254</v>
      </c>
    </row>
    <row r="669" spans="1:11" x14ac:dyDescent="0.25">
      <c r="A669" s="32">
        <v>2035</v>
      </c>
      <c r="B669" s="32">
        <v>20.727817999999999</v>
      </c>
      <c r="C669" s="32">
        <v>24.878124</v>
      </c>
      <c r="D669" s="32">
        <v>25.792968999999999</v>
      </c>
      <c r="E669" s="32">
        <v>28.560258999999999</v>
      </c>
      <c r="F669" s="32">
        <v>13.017988000000001</v>
      </c>
      <c r="G669" s="32">
        <v>14.437034000000001</v>
      </c>
      <c r="H669" s="32">
        <v>37.261051000000002</v>
      </c>
      <c r="I669" s="32"/>
      <c r="J669" s="32">
        <f t="shared" si="45"/>
        <v>1.4098430701153031</v>
      </c>
      <c r="K669" s="47">
        <f t="shared" si="46"/>
        <v>1.7222943188562623</v>
      </c>
    </row>
    <row r="670" spans="1:11" x14ac:dyDescent="0.25">
      <c r="A670" s="32">
        <v>2034</v>
      </c>
      <c r="B670" s="32">
        <v>20.628561000000001</v>
      </c>
      <c r="C670" s="32">
        <v>24.586672</v>
      </c>
      <c r="D670" s="32">
        <v>25.645551999999999</v>
      </c>
      <c r="E670" s="32">
        <v>28.388981000000001</v>
      </c>
      <c r="F670" s="32">
        <v>12.894647000000001</v>
      </c>
      <c r="G670" s="32">
        <v>14.328897</v>
      </c>
      <c r="H670" s="32">
        <v>37.296562000000002</v>
      </c>
      <c r="I670" s="32"/>
      <c r="J670" s="32">
        <f t="shared" si="45"/>
        <v>1.4017852604126981</v>
      </c>
      <c r="K670" s="47">
        <f t="shared" si="46"/>
        <v>1.7119655915731848</v>
      </c>
    </row>
    <row r="671" spans="1:11" x14ac:dyDescent="0.25">
      <c r="A671" s="32">
        <v>2033</v>
      </c>
      <c r="B671" s="32">
        <v>20.417271</v>
      </c>
      <c r="C671" s="32">
        <v>25.127174</v>
      </c>
      <c r="D671" s="32">
        <v>25.381111000000001</v>
      </c>
      <c r="E671" s="32">
        <v>28.084</v>
      </c>
      <c r="F671" s="32">
        <v>12.651823</v>
      </c>
      <c r="G671" s="32">
        <v>14.372028</v>
      </c>
      <c r="H671" s="32">
        <v>37.473644</v>
      </c>
      <c r="I671" s="32"/>
      <c r="J671" s="32">
        <f t="shared" si="45"/>
        <v>1.3873309216623062</v>
      </c>
      <c r="K671" s="47">
        <f t="shared" si="46"/>
        <v>1.6935740551498246</v>
      </c>
    </row>
    <row r="672" spans="1:11" x14ac:dyDescent="0.25">
      <c r="A672" s="32">
        <v>2032</v>
      </c>
      <c r="B672" s="32">
        <v>20.358264999999999</v>
      </c>
      <c r="C672" s="32">
        <v>25.034846999999999</v>
      </c>
      <c r="D672" s="32">
        <v>25.418612</v>
      </c>
      <c r="E672" s="32">
        <v>28.067343000000001</v>
      </c>
      <c r="F672" s="32">
        <v>12.664047999999999</v>
      </c>
      <c r="G672" s="32">
        <v>14.554278</v>
      </c>
      <c r="H672" s="32">
        <v>37.618191000000003</v>
      </c>
      <c r="I672" s="32"/>
      <c r="J672" s="32">
        <f t="shared" si="45"/>
        <v>1.3893807254275257</v>
      </c>
      <c r="K672" s="47">
        <f t="shared" si="46"/>
        <v>1.6925695734863639</v>
      </c>
    </row>
    <row r="673" spans="1:11" x14ac:dyDescent="0.25">
      <c r="A673" s="32">
        <v>2031</v>
      </c>
      <c r="B673" s="32">
        <v>20.074162000000001</v>
      </c>
      <c r="C673" s="32">
        <v>24.486958999999999</v>
      </c>
      <c r="D673" s="32">
        <v>25.047342</v>
      </c>
      <c r="E673" s="32">
        <v>27.623239999999999</v>
      </c>
      <c r="F673" s="32">
        <v>12.322350999999999</v>
      </c>
      <c r="G673" s="32">
        <v>14.692221</v>
      </c>
      <c r="H673" s="32">
        <v>37.805843000000003</v>
      </c>
      <c r="I673" s="32"/>
      <c r="J673" s="32">
        <f t="shared" si="45"/>
        <v>1.3690871160860922</v>
      </c>
      <c r="K673" s="47">
        <f t="shared" si="46"/>
        <v>1.6657884412183748</v>
      </c>
    </row>
    <row r="674" spans="1:11" x14ac:dyDescent="0.25">
      <c r="A674" s="32">
        <v>2030</v>
      </c>
      <c r="B674" s="32">
        <v>19.697700999999999</v>
      </c>
      <c r="C674" s="32">
        <v>25.386030000000002</v>
      </c>
      <c r="D674" s="32">
        <v>24.716229999999999</v>
      </c>
      <c r="E674" s="32">
        <v>27.237832999999998</v>
      </c>
      <c r="F674" s="32">
        <v>12.019549</v>
      </c>
      <c r="G674" s="32">
        <v>14.842171</v>
      </c>
      <c r="H674" s="32">
        <v>37.732661999999998</v>
      </c>
      <c r="I674" s="32"/>
      <c r="J674" s="32">
        <f t="shared" si="45"/>
        <v>1.3509885420664816</v>
      </c>
      <c r="K674" s="47">
        <f t="shared" si="46"/>
        <v>1.6425469052593544</v>
      </c>
    </row>
    <row r="675" spans="1:11" x14ac:dyDescent="0.25">
      <c r="A675" s="32">
        <v>2029</v>
      </c>
      <c r="B675" s="32">
        <v>19.548660000000002</v>
      </c>
      <c r="C675" s="32">
        <v>24.841013</v>
      </c>
      <c r="D675" s="32">
        <v>24.358131</v>
      </c>
      <c r="E675" s="32">
        <v>26.766304000000002</v>
      </c>
      <c r="F675" s="32">
        <v>11.687801</v>
      </c>
      <c r="G675" s="32">
        <v>15.004599000000001</v>
      </c>
      <c r="H675" s="32">
        <v>37.599818999999997</v>
      </c>
      <c r="I675" s="32"/>
      <c r="J675" s="32">
        <f t="shared" si="45"/>
        <v>1.3314148592707857</v>
      </c>
      <c r="K675" s="47">
        <f t="shared" si="46"/>
        <v>1.6141118788866604</v>
      </c>
    </row>
    <row r="676" spans="1:11" x14ac:dyDescent="0.25">
      <c r="A676" s="32">
        <v>2028</v>
      </c>
      <c r="B676" s="32">
        <v>19.521996999999999</v>
      </c>
      <c r="C676" s="32">
        <v>26.742252000000001</v>
      </c>
      <c r="D676" s="32">
        <v>24.154598</v>
      </c>
      <c r="E676" s="32">
        <v>26.470321999999999</v>
      </c>
      <c r="F676" s="32">
        <v>11.486983</v>
      </c>
      <c r="G676" s="32">
        <v>15.123134</v>
      </c>
      <c r="H676" s="32">
        <v>37.349845999999999</v>
      </c>
      <c r="I676" s="32"/>
      <c r="J676" s="32">
        <f t="shared" si="45"/>
        <v>1.3202897503471183</v>
      </c>
      <c r="K676" s="47">
        <f t="shared" si="46"/>
        <v>1.5962630170439258</v>
      </c>
    </row>
    <row r="677" spans="1:11" x14ac:dyDescent="0.25">
      <c r="A677" s="32">
        <v>2027</v>
      </c>
      <c r="B677" s="32">
        <v>19.465439</v>
      </c>
      <c r="C677" s="32">
        <v>26.757252000000001</v>
      </c>
      <c r="D677" s="32">
        <v>24.295871999999999</v>
      </c>
      <c r="E677" s="32">
        <v>26.392638999999999</v>
      </c>
      <c r="F677" s="32">
        <v>11.436457000000001</v>
      </c>
      <c r="G677" s="32">
        <v>15.217222</v>
      </c>
      <c r="H677" s="32">
        <v>37.051746000000001</v>
      </c>
      <c r="I677" s="32"/>
      <c r="J677" s="32">
        <f t="shared" si="45"/>
        <v>1.3280117838162961</v>
      </c>
      <c r="K677" s="47">
        <f t="shared" si="46"/>
        <v>1.5915784310402865</v>
      </c>
    </row>
    <row r="678" spans="1:11" x14ac:dyDescent="0.25">
      <c r="A678" s="32">
        <v>2026</v>
      </c>
      <c r="B678" s="32">
        <v>19.286339000000002</v>
      </c>
      <c r="C678" s="32">
        <v>26.545044000000001</v>
      </c>
      <c r="D678" s="32">
        <v>24.231242999999999</v>
      </c>
      <c r="E678" s="32">
        <v>26.122166</v>
      </c>
      <c r="F678" s="32">
        <v>11.281390999999999</v>
      </c>
      <c r="G678" s="32">
        <v>15.337512</v>
      </c>
      <c r="H678" s="32">
        <v>36.817410000000002</v>
      </c>
      <c r="I678" s="32"/>
      <c r="J678" s="32">
        <f t="shared" si="45"/>
        <v>1.3244791642183553</v>
      </c>
      <c r="K678" s="47">
        <f t="shared" si="46"/>
        <v>1.5752678607718584</v>
      </c>
    </row>
    <row r="679" spans="1:11" x14ac:dyDescent="0.25">
      <c r="A679" s="32">
        <v>2025</v>
      </c>
      <c r="B679" s="32">
        <v>19.245895000000001</v>
      </c>
      <c r="C679" s="32">
        <v>30.795297999999999</v>
      </c>
      <c r="D679" s="32">
        <v>23.971771</v>
      </c>
      <c r="E679" s="32">
        <v>25.769257</v>
      </c>
      <c r="F679" s="32">
        <v>10.983396000000001</v>
      </c>
      <c r="G679" s="32">
        <v>15.55218</v>
      </c>
      <c r="H679" s="32">
        <v>36.210625</v>
      </c>
      <c r="I679" s="32"/>
      <c r="J679" s="32">
        <f t="shared" si="45"/>
        <v>1.3102964308894021</v>
      </c>
      <c r="K679" s="47">
        <f t="shared" si="46"/>
        <v>1.5539860801768979</v>
      </c>
    </row>
    <row r="680" spans="1:11" x14ac:dyDescent="0.25">
      <c r="A680" s="32">
        <v>2024</v>
      </c>
      <c r="B680" s="32">
        <v>19.276236000000001</v>
      </c>
      <c r="C680" s="32">
        <v>30.393930000000001</v>
      </c>
      <c r="D680" s="32">
        <v>23.605861999999998</v>
      </c>
      <c r="E680" s="32">
        <v>25.171982</v>
      </c>
      <c r="F680" s="32">
        <v>10.626602999999999</v>
      </c>
      <c r="G680" s="32">
        <v>15.767776</v>
      </c>
      <c r="H680" s="32">
        <v>35.630347999999998</v>
      </c>
      <c r="I680" s="32"/>
      <c r="J680" s="32">
        <f t="shared" si="45"/>
        <v>1.290295853680054</v>
      </c>
      <c r="K680" s="47">
        <f t="shared" si="46"/>
        <v>1.5179680826056969</v>
      </c>
    </row>
    <row r="681" spans="1:11" x14ac:dyDescent="0.25">
      <c r="A681" s="32">
        <v>2023</v>
      </c>
      <c r="B681" s="32">
        <v>19.188268999999998</v>
      </c>
      <c r="C681" s="32">
        <v>30.096062</v>
      </c>
      <c r="D681" s="32">
        <v>23.374516</v>
      </c>
      <c r="E681" s="32">
        <v>24.878847</v>
      </c>
      <c r="F681" s="32">
        <v>10.38368</v>
      </c>
      <c r="G681" s="32">
        <v>15.950386</v>
      </c>
      <c r="H681" s="32">
        <v>35.192439999999998</v>
      </c>
      <c r="I681" s="32"/>
      <c r="J681" s="32">
        <f t="shared" si="45"/>
        <v>1.2776504868400096</v>
      </c>
      <c r="K681" s="47">
        <f t="shared" si="46"/>
        <v>1.5002909058980931</v>
      </c>
    </row>
    <row r="682" spans="1:11" x14ac:dyDescent="0.25">
      <c r="A682" s="32">
        <v>2022</v>
      </c>
      <c r="B682" s="32">
        <v>18.938811999999999</v>
      </c>
      <c r="C682" s="32">
        <v>29.786573000000001</v>
      </c>
      <c r="D682" s="32">
        <v>23.081980000000001</v>
      </c>
      <c r="E682" s="32">
        <v>24.543344000000001</v>
      </c>
      <c r="F682" s="32">
        <v>10.092853</v>
      </c>
      <c r="G682" s="32">
        <v>16.151924000000001</v>
      </c>
      <c r="H682" s="32">
        <v>34.116028</v>
      </c>
      <c r="I682" s="32"/>
      <c r="J682" s="32">
        <f t="shared" si="45"/>
        <v>1.261660476059969</v>
      </c>
      <c r="K682" s="47">
        <f t="shared" si="46"/>
        <v>1.4800587745697591</v>
      </c>
    </row>
    <row r="683" spans="1:11" x14ac:dyDescent="0.25">
      <c r="A683" s="32">
        <v>2021</v>
      </c>
      <c r="B683" s="32">
        <v>18.557079000000002</v>
      </c>
      <c r="C683" s="32">
        <v>29.282382999999999</v>
      </c>
      <c r="D683" s="32">
        <v>22.20055</v>
      </c>
      <c r="E683" s="32">
        <v>23.775181</v>
      </c>
      <c r="F683" s="32">
        <v>9.7284670000000002</v>
      </c>
      <c r="G683" s="32">
        <v>16.381187000000001</v>
      </c>
      <c r="H683" s="32">
        <v>33.252842000000001</v>
      </c>
      <c r="I683" s="32"/>
      <c r="J683" s="32">
        <f t="shared" si="45"/>
        <v>1.2134815332910411</v>
      </c>
      <c r="K683" s="47">
        <f t="shared" si="46"/>
        <v>1.4337355682271422</v>
      </c>
    </row>
    <row r="684" spans="1:11" x14ac:dyDescent="0.25">
      <c r="A684" s="32">
        <v>2020</v>
      </c>
      <c r="B684" s="32">
        <v>18.537748000000001</v>
      </c>
      <c r="C684" s="32">
        <v>28.707664000000001</v>
      </c>
      <c r="D684" s="32">
        <v>21.318743000000001</v>
      </c>
      <c r="E684" s="32">
        <v>23.129401999999999</v>
      </c>
      <c r="F684" s="32">
        <v>9.2721520000000002</v>
      </c>
      <c r="G684" s="32">
        <v>16.504801</v>
      </c>
      <c r="H684" s="32">
        <v>32.115147</v>
      </c>
      <c r="I684" s="32"/>
      <c r="J684" s="32">
        <f t="shared" si="45"/>
        <v>1.1652819837111086</v>
      </c>
      <c r="K684" s="47">
        <f t="shared" si="46"/>
        <v>1.3947925914517327</v>
      </c>
    </row>
    <row r="685" spans="1:11" x14ac:dyDescent="0.25">
      <c r="A685" s="32">
        <v>2019</v>
      </c>
      <c r="B685" s="32">
        <v>18.584994999999999</v>
      </c>
      <c r="C685" s="32">
        <v>28.148882</v>
      </c>
      <c r="D685" s="32">
        <v>20.451374000000001</v>
      </c>
      <c r="E685" s="32">
        <v>22.308851000000001</v>
      </c>
      <c r="F685" s="32">
        <v>8.6826840000000001</v>
      </c>
      <c r="G685" s="32">
        <v>16.374963999999999</v>
      </c>
      <c r="H685" s="32">
        <v>30.873909000000001</v>
      </c>
      <c r="I685" s="32"/>
      <c r="J685" s="32">
        <f t="shared" si="45"/>
        <v>1.1178716148666827</v>
      </c>
      <c r="K685" s="47">
        <f t="shared" si="46"/>
        <v>1.3453101856503069</v>
      </c>
    </row>
    <row r="686" spans="1:11" x14ac:dyDescent="0.25">
      <c r="A686" s="32">
        <v>2018</v>
      </c>
      <c r="B686" s="32">
        <v>18.552772999999998</v>
      </c>
      <c r="C686" s="32">
        <v>27.024729000000001</v>
      </c>
      <c r="D686" s="32">
        <v>19.015301000000001</v>
      </c>
      <c r="E686" s="32">
        <v>20.939706999999999</v>
      </c>
      <c r="F686" s="32">
        <v>7.7451819999999998</v>
      </c>
      <c r="G686" s="32">
        <v>16.270206000000002</v>
      </c>
      <c r="H686" s="32">
        <v>29.406932999999999</v>
      </c>
      <c r="I686" s="32"/>
      <c r="J686" s="32">
        <f t="shared" si="45"/>
        <v>1.0393758989516326</v>
      </c>
      <c r="K686" s="47">
        <f t="shared" si="46"/>
        <v>1.262745495571826</v>
      </c>
    </row>
    <row r="687" spans="1:11" x14ac:dyDescent="0.25">
      <c r="A687" s="32">
        <v>2017</v>
      </c>
      <c r="B687" s="32">
        <v>17.505371</v>
      </c>
      <c r="C687" s="32">
        <v>27.526133999999999</v>
      </c>
      <c r="D687" s="32">
        <v>19.057984999999999</v>
      </c>
      <c r="E687" s="32">
        <v>18.871873999999998</v>
      </c>
      <c r="F687" s="32">
        <v>5.3972810000000004</v>
      </c>
      <c r="G687" s="32">
        <v>16.133219</v>
      </c>
      <c r="H687" s="32">
        <v>28.491890000000001</v>
      </c>
      <c r="I687" s="32"/>
      <c r="J687" s="32">
        <f t="shared" si="45"/>
        <v>1.041709005373185</v>
      </c>
      <c r="K687" s="47">
        <f t="shared" si="46"/>
        <v>1.1380471506358261</v>
      </c>
    </row>
    <row r="688" spans="1:11" x14ac:dyDescent="0.25">
      <c r="A688" s="32">
        <v>2016</v>
      </c>
      <c r="B688" s="32">
        <v>17.372624999999999</v>
      </c>
      <c r="C688" s="32">
        <v>25.143886999999999</v>
      </c>
      <c r="D688" s="32">
        <v>18.294922</v>
      </c>
      <c r="E688" s="32">
        <v>16.582681999999998</v>
      </c>
      <c r="F688" s="32">
        <v>4.1689340000000001</v>
      </c>
      <c r="G688" s="32">
        <v>15.770350000000001</v>
      </c>
      <c r="H688" s="32">
        <v>26.388107000000002</v>
      </c>
      <c r="I688" s="32"/>
      <c r="J688" s="32">
        <f t="shared" si="45"/>
        <v>1</v>
      </c>
      <c r="K688" s="47">
        <f t="shared" si="46"/>
        <v>1</v>
      </c>
    </row>
    <row r="689" spans="1:11" x14ac:dyDescent="0.25">
      <c r="A689" s="32">
        <v>2015</v>
      </c>
      <c r="B689" s="32">
        <v>18.293417000000002</v>
      </c>
      <c r="C689" s="32">
        <v>28.475311000000001</v>
      </c>
      <c r="D689" s="32">
        <v>21.105229999999999</v>
      </c>
      <c r="E689" s="32">
        <v>19.802439</v>
      </c>
      <c r="F689" s="32">
        <v>5.6206170000000002</v>
      </c>
      <c r="G689" s="32">
        <v>15.577078999999999</v>
      </c>
      <c r="H689" s="32">
        <v>22.01268</v>
      </c>
      <c r="I689" s="32"/>
    </row>
    <row r="690" spans="1:11" x14ac:dyDescent="0.25">
      <c r="A690" s="23" t="s">
        <v>239</v>
      </c>
      <c r="B690" s="23"/>
      <c r="C690" s="23"/>
      <c r="D690" s="23"/>
      <c r="E690" s="23"/>
      <c r="F690" s="23"/>
      <c r="G690" s="23"/>
      <c r="H690" s="23"/>
      <c r="I690" s="30"/>
      <c r="J690" s="30"/>
      <c r="K690" s="30"/>
    </row>
    <row r="691" spans="1:11" x14ac:dyDescent="0.25">
      <c r="A691" s="22" t="s">
        <v>102</v>
      </c>
      <c r="I691" s="29"/>
      <c r="J691" s="29"/>
      <c r="K691" s="29"/>
    </row>
    <row r="692" spans="1:11" ht="30" x14ac:dyDescent="0.25">
      <c r="A692" s="32" t="s">
        <v>110</v>
      </c>
      <c r="B692" s="32" t="s">
        <v>116</v>
      </c>
      <c r="C692" s="32" t="s">
        <v>117</v>
      </c>
      <c r="D692" s="32" t="s">
        <v>118</v>
      </c>
      <c r="E692" s="32" t="s">
        <v>119</v>
      </c>
      <c r="F692" s="32" t="s">
        <v>120</v>
      </c>
      <c r="G692" s="32" t="s">
        <v>121</v>
      </c>
      <c r="H692" s="32" t="s">
        <v>122</v>
      </c>
      <c r="I692" s="31"/>
      <c r="J692" s="208" t="s">
        <v>456</v>
      </c>
      <c r="K692" s="208" t="s">
        <v>457</v>
      </c>
    </row>
    <row r="693" spans="1:11" x14ac:dyDescent="0.25">
      <c r="A693" s="32">
        <v>2050</v>
      </c>
      <c r="B693" s="32">
        <v>23.169598000000001</v>
      </c>
      <c r="C693" s="32">
        <v>32.443629999999999</v>
      </c>
      <c r="D693" s="32">
        <v>29.420292</v>
      </c>
      <c r="E693" s="32">
        <v>31.464348000000001</v>
      </c>
      <c r="F693" s="32">
        <v>15.631418999999999</v>
      </c>
      <c r="G693" s="32">
        <v>16.632459999999998</v>
      </c>
      <c r="H693" s="32">
        <v>43.823600999999996</v>
      </c>
      <c r="I693" s="32"/>
      <c r="J693" s="32">
        <f>D693/$D$727</f>
        <v>1.5871230465080159</v>
      </c>
      <c r="K693" s="47">
        <f>E693/$E$727</f>
        <v>1.8496752228679971</v>
      </c>
    </row>
    <row r="694" spans="1:11" x14ac:dyDescent="0.25">
      <c r="A694" s="32">
        <v>2049</v>
      </c>
      <c r="B694" s="32">
        <v>22.968544000000001</v>
      </c>
      <c r="C694" s="32">
        <v>33.338321999999998</v>
      </c>
      <c r="D694" s="32">
        <v>29.096643</v>
      </c>
      <c r="E694" s="32">
        <v>31.196707</v>
      </c>
      <c r="F694" s="32">
        <v>15.428501000000001</v>
      </c>
      <c r="G694" s="32">
        <v>16.523001000000001</v>
      </c>
      <c r="H694" s="32">
        <v>43.669764999999998</v>
      </c>
      <c r="I694" s="32"/>
      <c r="J694" s="32">
        <f t="shared" ref="J694:J727" si="47">D694/$D$727</f>
        <v>1.5696633018229778</v>
      </c>
      <c r="K694" s="47">
        <f t="shared" ref="K694:K727" si="48">E694/$E$727</f>
        <v>1.8339415764462244</v>
      </c>
    </row>
    <row r="695" spans="1:11" x14ac:dyDescent="0.25">
      <c r="A695" s="32">
        <v>2048</v>
      </c>
      <c r="B695" s="32">
        <v>22.857434999999999</v>
      </c>
      <c r="C695" s="32">
        <v>33.063282000000001</v>
      </c>
      <c r="D695" s="32">
        <v>28.987732000000001</v>
      </c>
      <c r="E695" s="32">
        <v>30.977599999999999</v>
      </c>
      <c r="F695" s="32">
        <v>15.289133</v>
      </c>
      <c r="G695" s="32">
        <v>16.512830999999998</v>
      </c>
      <c r="H695" s="32">
        <v>43.805633999999998</v>
      </c>
      <c r="I695" s="32"/>
      <c r="J695" s="32">
        <f t="shared" si="47"/>
        <v>1.563787929881794</v>
      </c>
      <c r="K695" s="47">
        <f t="shared" si="48"/>
        <v>1.8210610683531616</v>
      </c>
    </row>
    <row r="696" spans="1:11" x14ac:dyDescent="0.25">
      <c r="A696" s="32">
        <v>2047</v>
      </c>
      <c r="B696" s="32">
        <v>22.649597</v>
      </c>
      <c r="C696" s="32">
        <v>33.052418000000003</v>
      </c>
      <c r="D696" s="32">
        <v>29.089538999999998</v>
      </c>
      <c r="E696" s="32">
        <v>30.993504000000001</v>
      </c>
      <c r="F696" s="32">
        <v>15.241134000000001</v>
      </c>
      <c r="G696" s="32">
        <v>16.484169000000001</v>
      </c>
      <c r="H696" s="32">
        <v>43.736716999999999</v>
      </c>
      <c r="I696" s="32"/>
      <c r="J696" s="32">
        <f t="shared" si="47"/>
        <v>1.5692800655817334</v>
      </c>
      <c r="K696" s="47">
        <f t="shared" si="48"/>
        <v>1.8219960069936985</v>
      </c>
    </row>
    <row r="697" spans="1:11" x14ac:dyDescent="0.25">
      <c r="A697" s="32">
        <v>2046</v>
      </c>
      <c r="B697" s="32">
        <v>22.471475999999999</v>
      </c>
      <c r="C697" s="32">
        <v>34.953690000000002</v>
      </c>
      <c r="D697" s="32">
        <v>28.911612999999999</v>
      </c>
      <c r="E697" s="32">
        <v>30.623995000000001</v>
      </c>
      <c r="F697" s="32">
        <v>15.013501</v>
      </c>
      <c r="G697" s="32">
        <v>16.472988000000001</v>
      </c>
      <c r="H697" s="32">
        <v>43.703270000000003</v>
      </c>
      <c r="I697" s="32"/>
      <c r="J697" s="32">
        <f t="shared" si="47"/>
        <v>1.5596815729776157</v>
      </c>
      <c r="K697" s="47">
        <f t="shared" si="48"/>
        <v>1.8002739092745044</v>
      </c>
    </row>
    <row r="698" spans="1:11" x14ac:dyDescent="0.25">
      <c r="A698" s="32">
        <v>2045</v>
      </c>
      <c r="B698" s="32">
        <v>22.303840999999998</v>
      </c>
      <c r="C698" s="32">
        <v>34.669593999999996</v>
      </c>
      <c r="D698" s="32">
        <v>28.780543999999999</v>
      </c>
      <c r="E698" s="32">
        <v>30.469097000000001</v>
      </c>
      <c r="F698" s="32">
        <v>14.877630999999999</v>
      </c>
      <c r="G698" s="32">
        <v>16.394976</v>
      </c>
      <c r="H698" s="32">
        <v>43.692059</v>
      </c>
      <c r="I698" s="32"/>
      <c r="J698" s="32">
        <f t="shared" si="47"/>
        <v>1.5526108535373477</v>
      </c>
      <c r="K698" s="47">
        <f t="shared" si="48"/>
        <v>1.7911680160689052</v>
      </c>
    </row>
    <row r="699" spans="1:11" x14ac:dyDescent="0.25">
      <c r="A699" s="32">
        <v>2044</v>
      </c>
      <c r="B699" s="32">
        <v>22.226654</v>
      </c>
      <c r="C699" s="32">
        <v>34.369185999999999</v>
      </c>
      <c r="D699" s="32">
        <v>28.669682999999999</v>
      </c>
      <c r="E699" s="32">
        <v>30.345091</v>
      </c>
      <c r="F699" s="32">
        <v>14.784185000000001</v>
      </c>
      <c r="G699" s="32">
        <v>16.303913000000001</v>
      </c>
      <c r="H699" s="32">
        <v>43.562454000000002</v>
      </c>
      <c r="I699" s="32"/>
      <c r="J699" s="32">
        <f t="shared" si="47"/>
        <v>1.5466302858373764</v>
      </c>
      <c r="K699" s="47">
        <f t="shared" si="48"/>
        <v>1.7838781518172457</v>
      </c>
    </row>
    <row r="700" spans="1:11" x14ac:dyDescent="0.25">
      <c r="A700" s="32">
        <v>2043</v>
      </c>
      <c r="B700" s="32">
        <v>22.073273</v>
      </c>
      <c r="C700" s="32">
        <v>34.123103999999998</v>
      </c>
      <c r="D700" s="32">
        <v>28.568441</v>
      </c>
      <c r="E700" s="32">
        <v>30.316490000000002</v>
      </c>
      <c r="F700" s="32">
        <v>14.709368</v>
      </c>
      <c r="G700" s="32">
        <v>16.220741</v>
      </c>
      <c r="H700" s="32">
        <v>43.398949000000002</v>
      </c>
      <c r="I700" s="32"/>
      <c r="J700" s="32">
        <f t="shared" si="47"/>
        <v>1.5411686299342138</v>
      </c>
      <c r="K700" s="47">
        <f t="shared" si="48"/>
        <v>1.7821968024675232</v>
      </c>
    </row>
    <row r="701" spans="1:11" x14ac:dyDescent="0.25">
      <c r="A701" s="32">
        <v>2042</v>
      </c>
      <c r="B701" s="32">
        <v>21.896336000000002</v>
      </c>
      <c r="C701" s="32">
        <v>31.601664</v>
      </c>
      <c r="D701" s="32">
        <v>28.487636999999999</v>
      </c>
      <c r="E701" s="32">
        <v>30.331009000000002</v>
      </c>
      <c r="F701" s="32">
        <v>14.64771</v>
      </c>
      <c r="G701" s="32">
        <v>16.177788</v>
      </c>
      <c r="H701" s="32">
        <v>43.265926</v>
      </c>
      <c r="I701" s="32"/>
      <c r="J701" s="32">
        <f t="shared" si="47"/>
        <v>1.5368095334762306</v>
      </c>
      <c r="K701" s="47">
        <f t="shared" si="48"/>
        <v>1.783050321967143</v>
      </c>
    </row>
    <row r="702" spans="1:11" x14ac:dyDescent="0.25">
      <c r="A702" s="32">
        <v>2041</v>
      </c>
      <c r="B702" s="32">
        <v>21.771557000000001</v>
      </c>
      <c r="C702" s="32">
        <v>31.382113</v>
      </c>
      <c r="D702" s="32">
        <v>28.438934</v>
      </c>
      <c r="E702" s="32">
        <v>30.407530000000001</v>
      </c>
      <c r="F702" s="32">
        <v>14.633426999999999</v>
      </c>
      <c r="G702" s="32">
        <v>16.139517000000001</v>
      </c>
      <c r="H702" s="32">
        <v>43.179749000000001</v>
      </c>
      <c r="I702" s="32"/>
      <c r="J702" s="32">
        <f t="shared" si="47"/>
        <v>1.5341821749940618</v>
      </c>
      <c r="K702" s="47">
        <f t="shared" si="48"/>
        <v>1.787548714806209</v>
      </c>
    </row>
    <row r="703" spans="1:11" x14ac:dyDescent="0.25">
      <c r="A703" s="32">
        <v>2040</v>
      </c>
      <c r="B703" s="32">
        <v>21.540476000000002</v>
      </c>
      <c r="C703" s="32">
        <v>29.640615</v>
      </c>
      <c r="D703" s="32">
        <v>28.297322999999999</v>
      </c>
      <c r="E703" s="32">
        <v>30.343712</v>
      </c>
      <c r="F703" s="32">
        <v>14.544568999999999</v>
      </c>
      <c r="G703" s="32">
        <v>16.148209000000001</v>
      </c>
      <c r="H703" s="32">
        <v>43.229773999999999</v>
      </c>
      <c r="I703" s="32"/>
      <c r="J703" s="32">
        <f t="shared" si="47"/>
        <v>1.5265427510978256</v>
      </c>
      <c r="K703" s="47">
        <f t="shared" si="48"/>
        <v>1.7837970853946288</v>
      </c>
    </row>
    <row r="704" spans="1:11" x14ac:dyDescent="0.25">
      <c r="A704" s="32">
        <v>2039</v>
      </c>
      <c r="B704" s="32">
        <v>21.395133999999999</v>
      </c>
      <c r="C704" s="32">
        <v>29.241002999999999</v>
      </c>
      <c r="D704" s="32">
        <v>28.091425000000001</v>
      </c>
      <c r="E704" s="32">
        <v>30.207920000000001</v>
      </c>
      <c r="F704" s="32">
        <v>14.382417</v>
      </c>
      <c r="G704" s="32">
        <v>16.236259</v>
      </c>
      <c r="H704" s="32">
        <v>43.492558000000002</v>
      </c>
      <c r="I704" s="32"/>
      <c r="J704" s="32">
        <f t="shared" si="47"/>
        <v>1.5154352657938082</v>
      </c>
      <c r="K704" s="47">
        <f t="shared" si="48"/>
        <v>1.7758143648290003</v>
      </c>
    </row>
    <row r="705" spans="1:11" x14ac:dyDescent="0.25">
      <c r="A705" s="32">
        <v>2038</v>
      </c>
      <c r="B705" s="32">
        <v>21.016829000000001</v>
      </c>
      <c r="C705" s="32">
        <v>28.688369999999999</v>
      </c>
      <c r="D705" s="32">
        <v>27.734981999999999</v>
      </c>
      <c r="E705" s="32">
        <v>29.876031999999999</v>
      </c>
      <c r="F705" s="32">
        <v>14.150623</v>
      </c>
      <c r="G705" s="32">
        <v>16.228096000000001</v>
      </c>
      <c r="H705" s="32">
        <v>43.375847</v>
      </c>
      <c r="I705" s="32"/>
      <c r="J705" s="32">
        <f t="shared" si="47"/>
        <v>1.4962063981786784</v>
      </c>
      <c r="K705" s="47">
        <f t="shared" si="48"/>
        <v>1.7563038696371973</v>
      </c>
    </row>
    <row r="706" spans="1:11" x14ac:dyDescent="0.25">
      <c r="A706" s="32">
        <v>2037</v>
      </c>
      <c r="B706" s="32">
        <v>20.748325000000001</v>
      </c>
      <c r="C706" s="32">
        <v>28.371497999999999</v>
      </c>
      <c r="D706" s="32">
        <v>27.622928999999999</v>
      </c>
      <c r="E706" s="32">
        <v>29.797491000000001</v>
      </c>
      <c r="F706" s="32">
        <v>14.035416</v>
      </c>
      <c r="G706" s="32">
        <v>16.18976</v>
      </c>
      <c r="H706" s="32">
        <v>43.310310000000001</v>
      </c>
      <c r="I706" s="32"/>
      <c r="J706" s="32">
        <f t="shared" si="47"/>
        <v>1.4901615261994892</v>
      </c>
      <c r="K706" s="47">
        <f t="shared" si="48"/>
        <v>1.7516867283037978</v>
      </c>
    </row>
    <row r="707" spans="1:11" x14ac:dyDescent="0.25">
      <c r="A707" s="32">
        <v>2036</v>
      </c>
      <c r="B707" s="32">
        <v>20.610775</v>
      </c>
      <c r="C707" s="32">
        <v>27.650227000000001</v>
      </c>
      <c r="D707" s="32">
        <v>27.567530000000001</v>
      </c>
      <c r="E707" s="32">
        <v>29.757362000000001</v>
      </c>
      <c r="F707" s="32">
        <v>13.962626</v>
      </c>
      <c r="G707" s="32">
        <v>16.165614999999999</v>
      </c>
      <c r="H707" s="32">
        <v>43.207790000000003</v>
      </c>
      <c r="I707" s="32"/>
      <c r="J707" s="32">
        <f t="shared" si="47"/>
        <v>1.4871729416656072</v>
      </c>
      <c r="K707" s="47">
        <f t="shared" si="48"/>
        <v>1.749327689527006</v>
      </c>
    </row>
    <row r="708" spans="1:11" x14ac:dyDescent="0.25">
      <c r="A708" s="32">
        <v>2035</v>
      </c>
      <c r="B708" s="32">
        <v>20.317785000000001</v>
      </c>
      <c r="C708" s="32">
        <v>27.392372000000002</v>
      </c>
      <c r="D708" s="32">
        <v>27.052890999999999</v>
      </c>
      <c r="E708" s="32">
        <v>29.259191999999999</v>
      </c>
      <c r="F708" s="32">
        <v>13.576328999999999</v>
      </c>
      <c r="G708" s="32">
        <v>16.114788000000001</v>
      </c>
      <c r="H708" s="32">
        <v>43.000748000000002</v>
      </c>
      <c r="I708" s="32"/>
      <c r="J708" s="32">
        <f t="shared" si="47"/>
        <v>1.4594099467391175</v>
      </c>
      <c r="K708" s="47">
        <f t="shared" si="48"/>
        <v>1.7200420769417346</v>
      </c>
    </row>
    <row r="709" spans="1:11" x14ac:dyDescent="0.25">
      <c r="A709" s="32">
        <v>2034</v>
      </c>
      <c r="B709" s="32">
        <v>20.220493000000001</v>
      </c>
      <c r="C709" s="32">
        <v>27.028424999999999</v>
      </c>
      <c r="D709" s="32">
        <v>26.901240999999999</v>
      </c>
      <c r="E709" s="32">
        <v>29.087904000000002</v>
      </c>
      <c r="F709" s="32">
        <v>13.452985</v>
      </c>
      <c r="G709" s="32">
        <v>15.942307</v>
      </c>
      <c r="H709" s="32">
        <v>42.498401999999999</v>
      </c>
      <c r="I709" s="32"/>
      <c r="J709" s="32">
        <f t="shared" si="47"/>
        <v>1.4512289534980261</v>
      </c>
      <c r="K709" s="47">
        <f t="shared" si="48"/>
        <v>1.7099726749132989</v>
      </c>
    </row>
    <row r="710" spans="1:11" x14ac:dyDescent="0.25">
      <c r="A710" s="32">
        <v>2033</v>
      </c>
      <c r="B710" s="32">
        <v>20.013383999999999</v>
      </c>
      <c r="C710" s="32">
        <v>26.543489000000001</v>
      </c>
      <c r="D710" s="32">
        <v>26.635569</v>
      </c>
      <c r="E710" s="32">
        <v>28.782917000000001</v>
      </c>
      <c r="F710" s="32">
        <v>13.210163</v>
      </c>
      <c r="G710" s="32">
        <v>15.882012</v>
      </c>
      <c r="H710" s="32">
        <v>42.335991</v>
      </c>
      <c r="I710" s="32"/>
      <c r="J710" s="32">
        <f t="shared" si="47"/>
        <v>1.4368968675346414</v>
      </c>
      <c r="K710" s="47">
        <f t="shared" si="48"/>
        <v>1.6920435922195516</v>
      </c>
    </row>
    <row r="711" spans="1:11" x14ac:dyDescent="0.25">
      <c r="A711" s="32">
        <v>2032</v>
      </c>
      <c r="B711" s="32">
        <v>19.955544</v>
      </c>
      <c r="C711" s="32">
        <v>27.805868</v>
      </c>
      <c r="D711" s="32">
        <v>26.675416999999999</v>
      </c>
      <c r="E711" s="32">
        <v>28.766259999999999</v>
      </c>
      <c r="F711" s="32">
        <v>13.222386999999999</v>
      </c>
      <c r="G711" s="32">
        <v>15.940116</v>
      </c>
      <c r="H711" s="32">
        <v>42.375038000000004</v>
      </c>
      <c r="I711" s="32"/>
      <c r="J711" s="32">
        <f t="shared" si="47"/>
        <v>1.4390465293788288</v>
      </c>
      <c r="K711" s="47">
        <f t="shared" si="48"/>
        <v>1.6910643874323648</v>
      </c>
    </row>
    <row r="712" spans="1:11" x14ac:dyDescent="0.25">
      <c r="A712" s="32">
        <v>2031</v>
      </c>
      <c r="B712" s="32">
        <v>19.677060999999998</v>
      </c>
      <c r="C712" s="32">
        <v>27.214188</v>
      </c>
      <c r="D712" s="32">
        <v>26.309788000000001</v>
      </c>
      <c r="E712" s="32">
        <v>28.322154999999999</v>
      </c>
      <c r="F712" s="32">
        <v>12.88069</v>
      </c>
      <c r="G712" s="32">
        <v>15.981761000000001</v>
      </c>
      <c r="H712" s="32">
        <v>42.294006000000003</v>
      </c>
      <c r="I712" s="32"/>
      <c r="J712" s="32">
        <f t="shared" si="47"/>
        <v>1.4193221088199954</v>
      </c>
      <c r="K712" s="47">
        <f t="shared" si="48"/>
        <v>1.6649570606620216</v>
      </c>
    </row>
    <row r="713" spans="1:11" x14ac:dyDescent="0.25">
      <c r="A713" s="32">
        <v>2030</v>
      </c>
      <c r="B713" s="32">
        <v>19.308047999999999</v>
      </c>
      <c r="C713" s="32">
        <v>26.632632999999998</v>
      </c>
      <c r="D713" s="32">
        <v>25.966728</v>
      </c>
      <c r="E713" s="32">
        <v>27.936741000000001</v>
      </c>
      <c r="F713" s="32">
        <v>12.577889000000001</v>
      </c>
      <c r="G713" s="32">
        <v>16.060860000000002</v>
      </c>
      <c r="H713" s="32">
        <v>42.242621999999997</v>
      </c>
      <c r="I713" s="32"/>
      <c r="J713" s="32">
        <f t="shared" si="47"/>
        <v>1.400815207789406</v>
      </c>
      <c r="K713" s="47">
        <f t="shared" si="48"/>
        <v>1.6422999655159076</v>
      </c>
    </row>
    <row r="714" spans="1:11" x14ac:dyDescent="0.25">
      <c r="A714" s="32">
        <v>2029</v>
      </c>
      <c r="B714" s="32">
        <v>19.161953</v>
      </c>
      <c r="C714" s="32">
        <v>28.283569</v>
      </c>
      <c r="D714" s="32">
        <v>25.614100000000001</v>
      </c>
      <c r="E714" s="32">
        <v>27.465214</v>
      </c>
      <c r="F714" s="32">
        <v>12.24614</v>
      </c>
      <c r="G714" s="32">
        <v>16.111025000000001</v>
      </c>
      <c r="H714" s="32">
        <v>41.709674999999997</v>
      </c>
      <c r="I714" s="32"/>
      <c r="J714" s="32">
        <f t="shared" si="47"/>
        <v>1.3817921462356992</v>
      </c>
      <c r="K714" s="47">
        <f t="shared" si="48"/>
        <v>1.614580598541792</v>
      </c>
    </row>
    <row r="715" spans="1:11" x14ac:dyDescent="0.25">
      <c r="A715" s="32">
        <v>2028</v>
      </c>
      <c r="B715" s="32">
        <v>19.135818</v>
      </c>
      <c r="C715" s="32">
        <v>27.822738999999999</v>
      </c>
      <c r="D715" s="32">
        <v>25.397568</v>
      </c>
      <c r="E715" s="32">
        <v>27.169225999999998</v>
      </c>
      <c r="F715" s="32">
        <v>12.045321</v>
      </c>
      <c r="G715" s="32">
        <v>16.140353999999999</v>
      </c>
      <c r="H715" s="32">
        <v>41.077846999999998</v>
      </c>
      <c r="I715" s="32"/>
      <c r="J715" s="32">
        <f t="shared" si="47"/>
        <v>1.3701109933937603</v>
      </c>
      <c r="K715" s="47">
        <f t="shared" si="48"/>
        <v>1.5971805345116632</v>
      </c>
    </row>
    <row r="716" spans="1:11" x14ac:dyDescent="0.25">
      <c r="A716" s="32">
        <v>2027</v>
      </c>
      <c r="B716" s="32">
        <v>19.080379000000001</v>
      </c>
      <c r="C716" s="32">
        <v>27.711815000000001</v>
      </c>
      <c r="D716" s="32">
        <v>25.465437000000001</v>
      </c>
      <c r="E716" s="32">
        <v>27.091536999999999</v>
      </c>
      <c r="F716" s="32">
        <v>11.994795999999999</v>
      </c>
      <c r="G716" s="32">
        <v>16.194144999999999</v>
      </c>
      <c r="H716" s="32">
        <v>40.363613000000001</v>
      </c>
      <c r="I716" s="32"/>
      <c r="J716" s="32">
        <f t="shared" si="47"/>
        <v>1.3737722913184531</v>
      </c>
      <c r="K716" s="47">
        <f t="shared" si="48"/>
        <v>1.5926134791768636</v>
      </c>
    </row>
    <row r="717" spans="1:11" x14ac:dyDescent="0.25">
      <c r="A717" s="32">
        <v>2026</v>
      </c>
      <c r="B717" s="32">
        <v>18.904823</v>
      </c>
      <c r="C717" s="32">
        <v>32.136828999999999</v>
      </c>
      <c r="D717" s="32">
        <v>25.419128000000001</v>
      </c>
      <c r="E717" s="32">
        <v>26.821058000000001</v>
      </c>
      <c r="F717" s="32">
        <v>11.839731</v>
      </c>
      <c r="G717" s="32">
        <v>16.282254999999999</v>
      </c>
      <c r="H717" s="32">
        <v>39.473239999999997</v>
      </c>
      <c r="I717" s="32"/>
      <c r="J717" s="32">
        <f t="shared" si="47"/>
        <v>1.3712740808601496</v>
      </c>
      <c r="K717" s="47">
        <f t="shared" si="48"/>
        <v>1.5767129969991902</v>
      </c>
    </row>
    <row r="718" spans="1:11" x14ac:dyDescent="0.25">
      <c r="A718" s="32">
        <v>2025</v>
      </c>
      <c r="B718" s="32">
        <v>18.865179000000001</v>
      </c>
      <c r="C718" s="32">
        <v>31.829226999999999</v>
      </c>
      <c r="D718" s="32">
        <v>25.118010999999999</v>
      </c>
      <c r="E718" s="32">
        <v>26.468146999999998</v>
      </c>
      <c r="F718" s="32">
        <v>11.541734999999999</v>
      </c>
      <c r="G718" s="32">
        <v>16.476168000000001</v>
      </c>
      <c r="H718" s="32">
        <v>38.447006000000002</v>
      </c>
      <c r="I718" s="32"/>
      <c r="J718" s="32">
        <f t="shared" si="47"/>
        <v>1.3550298596812655</v>
      </c>
      <c r="K718" s="47">
        <f t="shared" si="48"/>
        <v>1.5559666356705661</v>
      </c>
    </row>
    <row r="719" spans="1:11" x14ac:dyDescent="0.25">
      <c r="A719" s="32">
        <v>2024</v>
      </c>
      <c r="B719" s="32">
        <v>18.894917</v>
      </c>
      <c r="C719" s="32">
        <v>31.329491000000001</v>
      </c>
      <c r="D719" s="32">
        <v>24.723644</v>
      </c>
      <c r="E719" s="32">
        <v>25.870863</v>
      </c>
      <c r="F719" s="32">
        <v>11.184943000000001</v>
      </c>
      <c r="G719" s="32">
        <v>16.631008000000001</v>
      </c>
      <c r="H719" s="32">
        <v>36.838123000000003</v>
      </c>
      <c r="I719" s="32"/>
      <c r="J719" s="32">
        <f t="shared" si="47"/>
        <v>1.3337551233706189</v>
      </c>
      <c r="K719" s="47">
        <f t="shared" si="48"/>
        <v>1.5208544694875743</v>
      </c>
    </row>
    <row r="720" spans="1:11" x14ac:dyDescent="0.25">
      <c r="A720" s="32">
        <v>2023</v>
      </c>
      <c r="B720" s="32">
        <v>18.808695</v>
      </c>
      <c r="C720" s="32">
        <v>31.183294</v>
      </c>
      <c r="D720" s="32">
        <v>24.488771</v>
      </c>
      <c r="E720" s="32">
        <v>25.577662</v>
      </c>
      <c r="F720" s="32">
        <v>10.942019</v>
      </c>
      <c r="G720" s="32">
        <v>16.702272000000001</v>
      </c>
      <c r="H720" s="32">
        <v>35.645659999999999</v>
      </c>
      <c r="I720" s="32"/>
      <c r="J720" s="32">
        <f t="shared" si="47"/>
        <v>1.3210845369841044</v>
      </c>
      <c r="K720" s="47">
        <f t="shared" si="48"/>
        <v>1.5036182431077962</v>
      </c>
    </row>
    <row r="721" spans="1:11" x14ac:dyDescent="0.25">
      <c r="A721" s="32">
        <v>2022</v>
      </c>
      <c r="B721" s="32">
        <v>18.564171000000002</v>
      </c>
      <c r="C721" s="32">
        <v>30.827545000000001</v>
      </c>
      <c r="D721" s="32">
        <v>24.216303</v>
      </c>
      <c r="E721" s="32">
        <v>25.242146000000002</v>
      </c>
      <c r="F721" s="32">
        <v>10.651192999999999</v>
      </c>
      <c r="G721" s="32">
        <v>16.738818999999999</v>
      </c>
      <c r="H721" s="32">
        <v>34.238200999999997</v>
      </c>
      <c r="I721" s="32"/>
      <c r="J721" s="32">
        <f t="shared" si="47"/>
        <v>1.3063858303147096</v>
      </c>
      <c r="K721" s="47">
        <f t="shared" si="48"/>
        <v>1.4838944709172592</v>
      </c>
    </row>
    <row r="722" spans="1:11" x14ac:dyDescent="0.25">
      <c r="A722" s="32">
        <v>2021</v>
      </c>
      <c r="B722" s="32">
        <v>18.189986999999999</v>
      </c>
      <c r="C722" s="32">
        <v>35.647472</v>
      </c>
      <c r="D722" s="32">
        <v>23.195114</v>
      </c>
      <c r="E722" s="32">
        <v>24.431001999999999</v>
      </c>
      <c r="F722" s="32">
        <v>10.286806</v>
      </c>
      <c r="G722" s="32">
        <v>16.713190000000001</v>
      </c>
      <c r="H722" s="32">
        <v>31.931950000000001</v>
      </c>
      <c r="I722" s="32"/>
      <c r="J722" s="32">
        <f t="shared" si="47"/>
        <v>1.2512962140477986</v>
      </c>
      <c r="K722" s="47">
        <f t="shared" si="48"/>
        <v>1.4362102487945558</v>
      </c>
    </row>
    <row r="723" spans="1:11" x14ac:dyDescent="0.25">
      <c r="A723" s="32">
        <v>2020</v>
      </c>
      <c r="B723" s="32">
        <v>18.171040999999999</v>
      </c>
      <c r="C723" s="32">
        <v>34.897883999999998</v>
      </c>
      <c r="D723" s="32">
        <v>22.125519000000001</v>
      </c>
      <c r="E723" s="32">
        <v>23.742239000000001</v>
      </c>
      <c r="F723" s="32">
        <v>9.8304910000000003</v>
      </c>
      <c r="G723" s="32">
        <v>16.650687999999999</v>
      </c>
      <c r="H723" s="32">
        <v>31.394725999999999</v>
      </c>
      <c r="I723" s="32"/>
      <c r="J723" s="32">
        <f t="shared" si="47"/>
        <v>1.1935952614219802</v>
      </c>
      <c r="K723" s="47">
        <f t="shared" si="48"/>
        <v>1.3957203630505948</v>
      </c>
    </row>
    <row r="724" spans="1:11" x14ac:dyDescent="0.25">
      <c r="A724" s="32">
        <v>2019</v>
      </c>
      <c r="B724" s="32">
        <v>18.217352000000002</v>
      </c>
      <c r="C724" s="32">
        <v>34.100726999999999</v>
      </c>
      <c r="D724" s="32">
        <v>21.024215999999999</v>
      </c>
      <c r="E724" s="32">
        <v>22.878708</v>
      </c>
      <c r="F724" s="32">
        <v>9.2410239999999995</v>
      </c>
      <c r="G724" s="32">
        <v>16.329049999999999</v>
      </c>
      <c r="H724" s="32">
        <v>30.714966</v>
      </c>
      <c r="I724" s="32"/>
      <c r="J724" s="32">
        <f t="shared" si="47"/>
        <v>1.1341837718117336</v>
      </c>
      <c r="K724" s="47">
        <f t="shared" si="48"/>
        <v>1.3449564986641969</v>
      </c>
    </row>
    <row r="725" spans="1:11" x14ac:dyDescent="0.25">
      <c r="A725" s="32">
        <v>2018</v>
      </c>
      <c r="B725" s="32">
        <v>18.185766000000001</v>
      </c>
      <c r="C725" s="32">
        <v>32.095771999999997</v>
      </c>
      <c r="D725" s="32">
        <v>19.117709999999999</v>
      </c>
      <c r="E725" s="32">
        <v>21.466581000000001</v>
      </c>
      <c r="F725" s="32">
        <v>8.3035209999999999</v>
      </c>
      <c r="G725" s="32">
        <v>16.079436999999999</v>
      </c>
      <c r="H725" s="32">
        <v>29.818698999999999</v>
      </c>
      <c r="I725" s="32"/>
      <c r="J725" s="32">
        <f t="shared" si="47"/>
        <v>1.0313343639640544</v>
      </c>
      <c r="K725" s="47">
        <f t="shared" si="48"/>
        <v>1.261942659526551</v>
      </c>
    </row>
    <row r="726" spans="1:11" x14ac:dyDescent="0.25">
      <c r="A726" s="32">
        <v>2017</v>
      </c>
      <c r="B726" s="32">
        <v>17.159088000000001</v>
      </c>
      <c r="C726" s="32">
        <v>28.977816000000001</v>
      </c>
      <c r="D726" s="32">
        <v>19.318543999999999</v>
      </c>
      <c r="E726" s="32">
        <v>19.355765999999999</v>
      </c>
      <c r="F726" s="32">
        <v>5.750896</v>
      </c>
      <c r="G726" s="32">
        <v>15.943415999999999</v>
      </c>
      <c r="H726" s="32">
        <v>28.561119000000001</v>
      </c>
      <c r="I726" s="32"/>
      <c r="J726" s="32">
        <f t="shared" si="47"/>
        <v>1.0421686639744825</v>
      </c>
      <c r="K726" s="47">
        <f t="shared" si="48"/>
        <v>1.1378554797903582</v>
      </c>
    </row>
    <row r="727" spans="1:11" x14ac:dyDescent="0.25">
      <c r="A727" s="32">
        <v>2016</v>
      </c>
      <c r="B727" s="32">
        <v>17.028964999999999</v>
      </c>
      <c r="C727" s="32">
        <v>26.763071</v>
      </c>
      <c r="D727" s="32">
        <v>18.536868999999999</v>
      </c>
      <c r="E727" s="32">
        <v>17.010742</v>
      </c>
      <c r="F727" s="32">
        <v>4.4294929999999999</v>
      </c>
      <c r="G727" s="32">
        <v>16.049761</v>
      </c>
      <c r="H727" s="32">
        <v>27.854637</v>
      </c>
      <c r="I727" s="32"/>
      <c r="J727" s="32">
        <f t="shared" si="47"/>
        <v>1</v>
      </c>
      <c r="K727" s="47">
        <f t="shared" si="48"/>
        <v>1</v>
      </c>
    </row>
    <row r="728" spans="1:11" x14ac:dyDescent="0.25">
      <c r="A728" s="32">
        <v>2015</v>
      </c>
      <c r="B728" s="32">
        <v>17.931540999999999</v>
      </c>
      <c r="C728" s="32">
        <v>29.740879</v>
      </c>
      <c r="D728" s="32">
        <v>21.384398999999998</v>
      </c>
      <c r="E728" s="32">
        <v>20.304943000000002</v>
      </c>
      <c r="F728" s="32">
        <v>5.9928429999999997</v>
      </c>
      <c r="G728" s="32">
        <v>16.540130999999999</v>
      </c>
      <c r="H728" s="32">
        <v>36.793587000000002</v>
      </c>
      <c r="I728" s="32"/>
    </row>
    <row r="729" spans="1:11" x14ac:dyDescent="0.25">
      <c r="A729" s="23" t="s">
        <v>142</v>
      </c>
      <c r="B729" s="23"/>
      <c r="C729" s="23"/>
      <c r="D729" s="23"/>
      <c r="E729" s="23"/>
      <c r="F729" s="23"/>
      <c r="G729" s="23"/>
      <c r="H729" s="23"/>
      <c r="I729" s="30"/>
      <c r="J729" s="30"/>
      <c r="K729" s="30"/>
    </row>
    <row r="730" spans="1:11" x14ac:dyDescent="0.25">
      <c r="A730" s="22" t="s">
        <v>102</v>
      </c>
      <c r="I730" s="29"/>
      <c r="J730" s="29"/>
      <c r="K730" s="29"/>
    </row>
    <row r="731" spans="1:11" ht="30" x14ac:dyDescent="0.25">
      <c r="A731" s="32" t="s">
        <v>110</v>
      </c>
      <c r="B731" s="32" t="s">
        <v>116</v>
      </c>
      <c r="C731" s="32" t="s">
        <v>117</v>
      </c>
      <c r="D731" s="32" t="s">
        <v>118</v>
      </c>
      <c r="E731" s="32" t="s">
        <v>119</v>
      </c>
      <c r="F731" s="32" t="s">
        <v>120</v>
      </c>
      <c r="G731" s="32" t="s">
        <v>121</v>
      </c>
      <c r="H731" s="32" t="s">
        <v>122</v>
      </c>
      <c r="I731" s="31"/>
      <c r="J731" s="208" t="s">
        <v>456</v>
      </c>
      <c r="K731" s="208" t="s">
        <v>457</v>
      </c>
    </row>
    <row r="732" spans="1:11" x14ac:dyDescent="0.25">
      <c r="A732" s="32">
        <v>2050</v>
      </c>
      <c r="B732" s="32">
        <v>22.995374999999999</v>
      </c>
      <c r="C732" s="32">
        <v>32.523426000000001</v>
      </c>
      <c r="D732" s="32">
        <v>29.897000999999999</v>
      </c>
      <c r="E732" s="32">
        <v>29.611654000000001</v>
      </c>
      <c r="F732" s="32">
        <v>15.798921999999999</v>
      </c>
      <c r="G732" s="32">
        <v>18.32159</v>
      </c>
      <c r="H732" s="32">
        <v>52.538845000000002</v>
      </c>
      <c r="I732" s="32"/>
      <c r="J732" s="32">
        <f>D732/$D$766</f>
        <v>1.5764363038973837</v>
      </c>
      <c r="K732" s="47">
        <f>E732/$E$766</f>
        <v>1.7145006869489088</v>
      </c>
    </row>
    <row r="733" spans="1:11" x14ac:dyDescent="0.25">
      <c r="A733" s="32">
        <v>2049</v>
      </c>
      <c r="B733" s="32">
        <v>22.795829999999999</v>
      </c>
      <c r="C733" s="32">
        <v>32.911259000000001</v>
      </c>
      <c r="D733" s="32">
        <v>29.580881000000002</v>
      </c>
      <c r="E733" s="32">
        <v>29.344013</v>
      </c>
      <c r="F733" s="32">
        <v>15.596003</v>
      </c>
      <c r="G733" s="32">
        <v>18.335999999999999</v>
      </c>
      <c r="H733" s="32">
        <v>51.948577999999998</v>
      </c>
      <c r="I733" s="32"/>
      <c r="J733" s="32">
        <f t="shared" ref="J733:J766" si="49">D733/$D$766</f>
        <v>1.5597676405626217</v>
      </c>
      <c r="K733" s="47">
        <f t="shared" ref="K733:K766" si="50">E733/$E$766</f>
        <v>1.6990044003059643</v>
      </c>
    </row>
    <row r="734" spans="1:11" x14ac:dyDescent="0.25">
      <c r="A734" s="32">
        <v>2048</v>
      </c>
      <c r="B734" s="32">
        <v>22.685558</v>
      </c>
      <c r="C734" s="32">
        <v>33.316322</v>
      </c>
      <c r="D734" s="32">
        <v>29.472769</v>
      </c>
      <c r="E734" s="32">
        <v>29.124908000000001</v>
      </c>
      <c r="F734" s="32">
        <v>15.456635</v>
      </c>
      <c r="G734" s="32">
        <v>18.340613999999999</v>
      </c>
      <c r="H734" s="32">
        <v>52.151665000000001</v>
      </c>
      <c r="I734" s="32"/>
      <c r="J734" s="32">
        <f t="shared" si="49"/>
        <v>1.5540670125402005</v>
      </c>
      <c r="K734" s="47">
        <f t="shared" si="50"/>
        <v>1.6863183249852836</v>
      </c>
    </row>
    <row r="735" spans="1:11" x14ac:dyDescent="0.25">
      <c r="A735" s="32">
        <v>2047</v>
      </c>
      <c r="B735" s="32">
        <v>22.479284</v>
      </c>
      <c r="C735" s="32">
        <v>33.258347000000001</v>
      </c>
      <c r="D735" s="32">
        <v>29.572566999999999</v>
      </c>
      <c r="E735" s="32">
        <v>29.140816000000001</v>
      </c>
      <c r="F735" s="32">
        <v>15.408636</v>
      </c>
      <c r="G735" s="32">
        <v>18.338535</v>
      </c>
      <c r="H735" s="32">
        <v>52.366813999999998</v>
      </c>
      <c r="I735" s="32"/>
      <c r="J735" s="32">
        <f t="shared" si="49"/>
        <v>1.5593292523968454</v>
      </c>
      <c r="K735" s="47">
        <f t="shared" si="50"/>
        <v>1.6872393906214005</v>
      </c>
    </row>
    <row r="736" spans="1:11" x14ac:dyDescent="0.25">
      <c r="A736" s="32">
        <v>2046</v>
      </c>
      <c r="B736" s="32">
        <v>22.302499999999998</v>
      </c>
      <c r="C736" s="32">
        <v>33.863852999999999</v>
      </c>
      <c r="D736" s="32">
        <v>29.389676999999999</v>
      </c>
      <c r="E736" s="32">
        <v>28.771307</v>
      </c>
      <c r="F736" s="32">
        <v>15.181004</v>
      </c>
      <c r="G736" s="32">
        <v>18.337385000000001</v>
      </c>
      <c r="H736" s="32">
        <v>52.288302999999999</v>
      </c>
      <c r="I736" s="32"/>
      <c r="J736" s="32">
        <f t="shared" si="49"/>
        <v>1.5496856618701635</v>
      </c>
      <c r="K736" s="47">
        <f t="shared" si="50"/>
        <v>1.6658449952143148</v>
      </c>
    </row>
    <row r="737" spans="1:11" x14ac:dyDescent="0.25">
      <c r="A737" s="32">
        <v>2045</v>
      </c>
      <c r="B737" s="32">
        <v>22.136129</v>
      </c>
      <c r="C737" s="32">
        <v>34.939537000000001</v>
      </c>
      <c r="D737" s="32">
        <v>29.25197</v>
      </c>
      <c r="E737" s="32">
        <v>28.616406999999999</v>
      </c>
      <c r="F737" s="32">
        <v>15.045133999999999</v>
      </c>
      <c r="G737" s="32">
        <v>18.306674999999998</v>
      </c>
      <c r="H737" s="32">
        <v>52.475208000000002</v>
      </c>
      <c r="I737" s="32"/>
      <c r="J737" s="32">
        <f t="shared" si="49"/>
        <v>1.542424521727686</v>
      </c>
      <c r="K737" s="47">
        <f t="shared" si="50"/>
        <v>1.6568763588656534</v>
      </c>
    </row>
    <row r="738" spans="1:11" x14ac:dyDescent="0.25">
      <c r="A738" s="32">
        <v>2044</v>
      </c>
      <c r="B738" s="32">
        <v>22.059521</v>
      </c>
      <c r="C738" s="32">
        <v>34.636536</v>
      </c>
      <c r="D738" s="32">
        <v>29.140288999999999</v>
      </c>
      <c r="E738" s="32">
        <v>28.492405000000002</v>
      </c>
      <c r="F738" s="32">
        <v>14.951688000000001</v>
      </c>
      <c r="G738" s="32">
        <v>18.276705</v>
      </c>
      <c r="H738" s="32">
        <v>52.550102000000003</v>
      </c>
      <c r="I738" s="32"/>
      <c r="J738" s="32">
        <f t="shared" si="49"/>
        <v>1.5365357042220249</v>
      </c>
      <c r="K738" s="47">
        <f t="shared" si="50"/>
        <v>1.6496967020257134</v>
      </c>
    </row>
    <row r="739" spans="1:11" x14ac:dyDescent="0.25">
      <c r="A739" s="32">
        <v>2043</v>
      </c>
      <c r="B739" s="32">
        <v>21.907291000000001</v>
      </c>
      <c r="C739" s="32">
        <v>32.948836999999997</v>
      </c>
      <c r="D739" s="32">
        <v>29.035557000000001</v>
      </c>
      <c r="E739" s="32">
        <v>28.463802000000001</v>
      </c>
      <c r="F739" s="32">
        <v>14.87687</v>
      </c>
      <c r="G739" s="32">
        <v>18.260345000000001</v>
      </c>
      <c r="H739" s="32">
        <v>52.492030999999997</v>
      </c>
      <c r="I739" s="32"/>
      <c r="J739" s="32">
        <f t="shared" si="49"/>
        <v>1.531013299918671</v>
      </c>
      <c r="K739" s="47">
        <f t="shared" si="50"/>
        <v>1.6480406019257732</v>
      </c>
    </row>
    <row r="740" spans="1:11" x14ac:dyDescent="0.25">
      <c r="A740" s="32">
        <v>2042</v>
      </c>
      <c r="B740" s="32">
        <v>21.731687999999998</v>
      </c>
      <c r="C740" s="32">
        <v>31.718707999999999</v>
      </c>
      <c r="D740" s="32">
        <v>28.953945000000001</v>
      </c>
      <c r="E740" s="32">
        <v>28.478325000000002</v>
      </c>
      <c r="F740" s="32">
        <v>14.815212000000001</v>
      </c>
      <c r="G740" s="32">
        <v>18.263210000000001</v>
      </c>
      <c r="H740" s="32">
        <v>52.341774000000001</v>
      </c>
      <c r="I740" s="32"/>
      <c r="J740" s="32">
        <f t="shared" si="49"/>
        <v>1.5267099880368646</v>
      </c>
      <c r="K740" s="47">
        <f t="shared" si="50"/>
        <v>1.6488814767204252</v>
      </c>
    </row>
    <row r="741" spans="1:11" x14ac:dyDescent="0.25">
      <c r="A741" s="32">
        <v>2041</v>
      </c>
      <c r="B741" s="32">
        <v>21.607845000000001</v>
      </c>
      <c r="C741" s="32">
        <v>30.780654999999999</v>
      </c>
      <c r="D741" s="32">
        <v>28.903879</v>
      </c>
      <c r="E741" s="32">
        <v>28.554843999999999</v>
      </c>
      <c r="F741" s="32">
        <v>14.800929</v>
      </c>
      <c r="G741" s="32">
        <v>18.310507000000001</v>
      </c>
      <c r="H741" s="32">
        <v>52.350676999999997</v>
      </c>
      <c r="I741" s="32"/>
      <c r="J741" s="32">
        <f t="shared" si="49"/>
        <v>1.5240700623804109</v>
      </c>
      <c r="K741" s="47">
        <f t="shared" si="50"/>
        <v>1.6533118904374247</v>
      </c>
    </row>
    <row r="742" spans="1:11" x14ac:dyDescent="0.25">
      <c r="A742" s="32">
        <v>2040</v>
      </c>
      <c r="B742" s="32">
        <v>21.378502000000001</v>
      </c>
      <c r="C742" s="32">
        <v>29.935583000000001</v>
      </c>
      <c r="D742" s="32">
        <v>28.761206000000001</v>
      </c>
      <c r="E742" s="32">
        <v>28.491023999999999</v>
      </c>
      <c r="F742" s="32">
        <v>14.712071999999999</v>
      </c>
      <c r="G742" s="32">
        <v>18.361612000000001</v>
      </c>
      <c r="H742" s="32">
        <v>52.394404999999999</v>
      </c>
      <c r="I742" s="32"/>
      <c r="J742" s="32">
        <f t="shared" si="49"/>
        <v>1.5165470704660731</v>
      </c>
      <c r="K742" s="47">
        <f t="shared" si="50"/>
        <v>1.6496167427823467</v>
      </c>
    </row>
    <row r="743" spans="1:11" x14ac:dyDescent="0.25">
      <c r="A743" s="32">
        <v>2039</v>
      </c>
      <c r="B743" s="32">
        <v>21.234252999999999</v>
      </c>
      <c r="C743" s="32">
        <v>29.120653000000001</v>
      </c>
      <c r="D743" s="32">
        <v>28.554580999999999</v>
      </c>
      <c r="E743" s="32">
        <v>28.355233999999999</v>
      </c>
      <c r="F743" s="32">
        <v>14.549918</v>
      </c>
      <c r="G743" s="32">
        <v>18.484262000000001</v>
      </c>
      <c r="H743" s="32">
        <v>52.646267000000002</v>
      </c>
      <c r="I743" s="32"/>
      <c r="J743" s="32">
        <f t="shared" si="49"/>
        <v>1.505651959237599</v>
      </c>
      <c r="K743" s="47">
        <f t="shared" si="50"/>
        <v>1.6417545663473259</v>
      </c>
    </row>
    <row r="744" spans="1:11" x14ac:dyDescent="0.25">
      <c r="A744" s="32">
        <v>2038</v>
      </c>
      <c r="B744" s="32">
        <v>20.858791</v>
      </c>
      <c r="C744" s="32">
        <v>28.53266</v>
      </c>
      <c r="D744" s="32">
        <v>28.199306</v>
      </c>
      <c r="E744" s="32">
        <v>28.023350000000001</v>
      </c>
      <c r="F744" s="32">
        <v>14.318125</v>
      </c>
      <c r="G744" s="32">
        <v>18.544343999999999</v>
      </c>
      <c r="H744" s="32">
        <v>52.662930000000003</v>
      </c>
      <c r="I744" s="32"/>
      <c r="J744" s="32">
        <f t="shared" si="49"/>
        <v>1.4869186953939397</v>
      </c>
      <c r="K744" s="47">
        <f t="shared" si="50"/>
        <v>1.6225386405504301</v>
      </c>
    </row>
    <row r="745" spans="1:11" x14ac:dyDescent="0.25">
      <c r="A745" s="32">
        <v>2037</v>
      </c>
      <c r="B745" s="32">
        <v>20.592306000000001</v>
      </c>
      <c r="C745" s="32">
        <v>27.933208</v>
      </c>
      <c r="D745" s="32">
        <v>28.091633000000002</v>
      </c>
      <c r="E745" s="32">
        <v>27.944808999999999</v>
      </c>
      <c r="F745" s="32">
        <v>14.202916999999999</v>
      </c>
      <c r="G745" s="32">
        <v>18.611118000000001</v>
      </c>
      <c r="H745" s="32">
        <v>52.756435000000003</v>
      </c>
      <c r="I745" s="32"/>
      <c r="J745" s="32">
        <f t="shared" si="49"/>
        <v>1.4812412153634331</v>
      </c>
      <c r="K745" s="47">
        <f t="shared" si="50"/>
        <v>1.6179911539948444</v>
      </c>
    </row>
    <row r="746" spans="1:11" x14ac:dyDescent="0.25">
      <c r="A746" s="32">
        <v>2036</v>
      </c>
      <c r="B746" s="32">
        <v>20.455791000000001</v>
      </c>
      <c r="C746" s="32">
        <v>27.665319</v>
      </c>
      <c r="D746" s="32">
        <v>28.037624000000001</v>
      </c>
      <c r="E746" s="32">
        <v>27.904679999999999</v>
      </c>
      <c r="F746" s="32">
        <v>14.130129</v>
      </c>
      <c r="G746" s="32">
        <v>18.646882999999999</v>
      </c>
      <c r="H746" s="32">
        <v>52.719326000000002</v>
      </c>
      <c r="I746" s="32"/>
      <c r="J746" s="32">
        <f t="shared" si="49"/>
        <v>1.4783933796110378</v>
      </c>
      <c r="K746" s="47">
        <f t="shared" si="50"/>
        <v>1.6156677039752483</v>
      </c>
    </row>
    <row r="747" spans="1:11" x14ac:dyDescent="0.25">
      <c r="A747" s="32">
        <v>2035</v>
      </c>
      <c r="B747" s="32">
        <v>20.165005000000001</v>
      </c>
      <c r="C747" s="32">
        <v>26.886258999999999</v>
      </c>
      <c r="D747" s="32">
        <v>27.522036</v>
      </c>
      <c r="E747" s="32">
        <v>27.406507000000001</v>
      </c>
      <c r="F747" s="32">
        <v>13.743831999999999</v>
      </c>
      <c r="G747" s="32">
        <v>18.691407999999999</v>
      </c>
      <c r="H747" s="32">
        <v>52.622233999999999</v>
      </c>
      <c r="I747" s="32"/>
      <c r="J747" s="32">
        <f t="shared" si="49"/>
        <v>1.4512069858635899</v>
      </c>
      <c r="K747" s="47">
        <f t="shared" si="50"/>
        <v>1.586823724144895</v>
      </c>
    </row>
    <row r="748" spans="1:11" x14ac:dyDescent="0.25">
      <c r="A748" s="32">
        <v>2034</v>
      </c>
      <c r="B748" s="32">
        <v>20.068445000000001</v>
      </c>
      <c r="C748" s="32">
        <v>27.005113999999999</v>
      </c>
      <c r="D748" s="32">
        <v>27.368534</v>
      </c>
      <c r="E748" s="32">
        <v>27.235223999999999</v>
      </c>
      <c r="F748" s="32">
        <v>13.620487000000001</v>
      </c>
      <c r="G748" s="32">
        <v>18.647278</v>
      </c>
      <c r="H748" s="32">
        <v>52.195343000000001</v>
      </c>
      <c r="I748" s="32"/>
      <c r="J748" s="32">
        <f t="shared" si="49"/>
        <v>1.4431129925723947</v>
      </c>
      <c r="K748" s="47">
        <f t="shared" si="50"/>
        <v>1.576906519885968</v>
      </c>
    </row>
    <row r="749" spans="1:11" x14ac:dyDescent="0.25">
      <c r="A749" s="32">
        <v>2033</v>
      </c>
      <c r="B749" s="32">
        <v>19.86289</v>
      </c>
      <c r="C749" s="32">
        <v>26.693152999999999</v>
      </c>
      <c r="D749" s="32">
        <v>27.102333000000002</v>
      </c>
      <c r="E749" s="32">
        <v>26.930235</v>
      </c>
      <c r="F749" s="32">
        <v>13.377665</v>
      </c>
      <c r="G749" s="32">
        <v>18.679523</v>
      </c>
      <c r="H749" s="32">
        <v>52.157527999999999</v>
      </c>
      <c r="I749" s="32"/>
      <c r="J749" s="32">
        <f t="shared" si="49"/>
        <v>1.4290765037441746</v>
      </c>
      <c r="K749" s="47">
        <f t="shared" si="50"/>
        <v>1.5592478018011269</v>
      </c>
    </row>
    <row r="750" spans="1:11" x14ac:dyDescent="0.25">
      <c r="A750" s="32">
        <v>2032</v>
      </c>
      <c r="B750" s="32">
        <v>19.805486999999999</v>
      </c>
      <c r="C750" s="32">
        <v>27.029696999999999</v>
      </c>
      <c r="D750" s="32">
        <v>27.143280000000001</v>
      </c>
      <c r="E750" s="32">
        <v>26.913578000000001</v>
      </c>
      <c r="F750" s="32">
        <v>13.389887999999999</v>
      </c>
      <c r="G750" s="32">
        <v>18.816324000000002</v>
      </c>
      <c r="H750" s="32">
        <v>52.389502999999998</v>
      </c>
      <c r="I750" s="32"/>
      <c r="J750" s="32">
        <f t="shared" si="49"/>
        <v>1.4312355944615238</v>
      </c>
      <c r="K750" s="47">
        <f t="shared" si="50"/>
        <v>1.5582833694211422</v>
      </c>
    </row>
    <row r="751" spans="1:11" x14ac:dyDescent="0.25">
      <c r="A751" s="32">
        <v>2031</v>
      </c>
      <c r="B751" s="32">
        <v>19.529097</v>
      </c>
      <c r="C751" s="32">
        <v>27.096685000000001</v>
      </c>
      <c r="D751" s="32">
        <v>26.780111000000002</v>
      </c>
      <c r="E751" s="32">
        <v>26.469473000000001</v>
      </c>
      <c r="F751" s="32">
        <v>13.048190999999999</v>
      </c>
      <c r="G751" s="32">
        <v>18.923279000000001</v>
      </c>
      <c r="H751" s="32">
        <v>52.305186999999997</v>
      </c>
      <c r="I751" s="32"/>
      <c r="J751" s="32">
        <f t="shared" si="49"/>
        <v>1.4120860885946944</v>
      </c>
      <c r="K751" s="47">
        <f t="shared" si="50"/>
        <v>1.5325699010827154</v>
      </c>
    </row>
    <row r="752" spans="1:11" x14ac:dyDescent="0.25">
      <c r="A752" s="32">
        <v>2030</v>
      </c>
      <c r="B752" s="32">
        <v>19.162859000000001</v>
      </c>
      <c r="C752" s="32">
        <v>27.464919999999999</v>
      </c>
      <c r="D752" s="32">
        <v>26.440602999999999</v>
      </c>
      <c r="E752" s="32">
        <v>26.084057000000001</v>
      </c>
      <c r="F752" s="32">
        <v>12.74539</v>
      </c>
      <c r="G752" s="32">
        <v>19.068197000000001</v>
      </c>
      <c r="H752" s="32">
        <v>52.475586</v>
      </c>
      <c r="I752" s="32"/>
      <c r="J752" s="32">
        <f t="shared" si="49"/>
        <v>1.3941842014902455</v>
      </c>
      <c r="K752" s="47">
        <f t="shared" si="50"/>
        <v>1.5102544979390375</v>
      </c>
    </row>
    <row r="753" spans="1:11" x14ac:dyDescent="0.25">
      <c r="A753" s="32">
        <v>2029</v>
      </c>
      <c r="B753" s="32">
        <v>19.017866000000001</v>
      </c>
      <c r="C753" s="32">
        <v>28.239650999999999</v>
      </c>
      <c r="D753" s="32">
        <v>26.090025000000001</v>
      </c>
      <c r="E753" s="32">
        <v>25.61253</v>
      </c>
      <c r="F753" s="32">
        <v>12.413641999999999</v>
      </c>
      <c r="G753" s="32">
        <v>19.146812000000001</v>
      </c>
      <c r="H753" s="32">
        <v>52.290291000000003</v>
      </c>
      <c r="I753" s="32"/>
      <c r="J753" s="32">
        <f t="shared" si="49"/>
        <v>1.3756986053413964</v>
      </c>
      <c r="K753" s="47">
        <f t="shared" si="50"/>
        <v>1.4829533088391325</v>
      </c>
    </row>
    <row r="754" spans="1:11" x14ac:dyDescent="0.25">
      <c r="A754" s="32">
        <v>2028</v>
      </c>
      <c r="B754" s="32">
        <v>18.991925999999999</v>
      </c>
      <c r="C754" s="32">
        <v>27.775148000000002</v>
      </c>
      <c r="D754" s="32">
        <v>25.869543</v>
      </c>
      <c r="E754" s="32">
        <v>25.316544</v>
      </c>
      <c r="F754" s="32">
        <v>12.212823999999999</v>
      </c>
      <c r="G754" s="32">
        <v>19.186126999999999</v>
      </c>
      <c r="H754" s="32">
        <v>51.491652999999999</v>
      </c>
      <c r="I754" s="32"/>
      <c r="J754" s="32">
        <f t="shared" si="49"/>
        <v>1.3640728295936584</v>
      </c>
      <c r="K754" s="47">
        <f t="shared" si="50"/>
        <v>1.4658158601735747</v>
      </c>
    </row>
    <row r="755" spans="1:11" x14ac:dyDescent="0.25">
      <c r="A755" s="32">
        <v>2027</v>
      </c>
      <c r="B755" s="32">
        <v>18.936904999999999</v>
      </c>
      <c r="C755" s="32">
        <v>29.854611999999999</v>
      </c>
      <c r="D755" s="32">
        <v>25.942905</v>
      </c>
      <c r="E755" s="32">
        <v>25.238856999999999</v>
      </c>
      <c r="F755" s="32">
        <v>12.162298</v>
      </c>
      <c r="G755" s="32">
        <v>19.243307000000001</v>
      </c>
      <c r="H755" s="32">
        <v>51.216763</v>
      </c>
      <c r="I755" s="32"/>
      <c r="J755" s="32">
        <f t="shared" si="49"/>
        <v>1.36794112795999</v>
      </c>
      <c r="K755" s="47">
        <f t="shared" si="50"/>
        <v>1.4613178198119319</v>
      </c>
    </row>
    <row r="756" spans="1:11" x14ac:dyDescent="0.25">
      <c r="A756" s="32">
        <v>2026</v>
      </c>
      <c r="B756" s="32">
        <v>18.762667</v>
      </c>
      <c r="C756" s="32">
        <v>29.570356</v>
      </c>
      <c r="D756" s="32">
        <v>25.892332</v>
      </c>
      <c r="E756" s="32">
        <v>24.968378000000001</v>
      </c>
      <c r="F756" s="32">
        <v>12.007232999999999</v>
      </c>
      <c r="G756" s="32">
        <v>19.335353999999999</v>
      </c>
      <c r="H756" s="32">
        <v>50.779625000000003</v>
      </c>
      <c r="I756" s="32"/>
      <c r="J756" s="32">
        <f t="shared" si="49"/>
        <v>1.3652744687456762</v>
      </c>
      <c r="K756" s="47">
        <f t="shared" si="50"/>
        <v>1.4456572143183903</v>
      </c>
    </row>
    <row r="757" spans="1:11" x14ac:dyDescent="0.25">
      <c r="A757" s="32">
        <v>2025</v>
      </c>
      <c r="B757" s="32">
        <v>18.723320000000001</v>
      </c>
      <c r="C757" s="32">
        <v>28.995398000000002</v>
      </c>
      <c r="D757" s="32">
        <v>25.584467</v>
      </c>
      <c r="E757" s="32">
        <v>24.615465</v>
      </c>
      <c r="F757" s="32">
        <v>11.709236000000001</v>
      </c>
      <c r="G757" s="32">
        <v>19.486712000000001</v>
      </c>
      <c r="H757" s="32">
        <v>49.679065999999999</v>
      </c>
      <c r="I757" s="32"/>
      <c r="J757" s="32">
        <f t="shared" si="49"/>
        <v>1.3490410825709436</v>
      </c>
      <c r="K757" s="47">
        <f t="shared" si="50"/>
        <v>1.4252237194202939</v>
      </c>
    </row>
    <row r="758" spans="1:11" x14ac:dyDescent="0.25">
      <c r="A758" s="32">
        <v>2024</v>
      </c>
      <c r="B758" s="32">
        <v>18.752834</v>
      </c>
      <c r="C758" s="32">
        <v>33.021132999999999</v>
      </c>
      <c r="D758" s="32">
        <v>25.180344000000002</v>
      </c>
      <c r="E758" s="32">
        <v>24.018190000000001</v>
      </c>
      <c r="F758" s="32">
        <v>11.352444999999999</v>
      </c>
      <c r="G758" s="32">
        <v>19.577883</v>
      </c>
      <c r="H758" s="32">
        <v>48.205429000000002</v>
      </c>
      <c r="I758" s="32"/>
      <c r="J758" s="32">
        <f t="shared" si="49"/>
        <v>1.3277321168843879</v>
      </c>
      <c r="K758" s="47">
        <f t="shared" si="50"/>
        <v>1.3906417809106311</v>
      </c>
    </row>
    <row r="759" spans="1:11" x14ac:dyDescent="0.25">
      <c r="A759" s="32">
        <v>2023</v>
      </c>
      <c r="B759" s="32">
        <v>18.667261</v>
      </c>
      <c r="C759" s="32">
        <v>32.691401999999997</v>
      </c>
      <c r="D759" s="32">
        <v>24.939283</v>
      </c>
      <c r="E759" s="32">
        <v>23.724979000000001</v>
      </c>
      <c r="F759" s="32">
        <v>11.109521000000001</v>
      </c>
      <c r="G759" s="32">
        <v>19.616447000000001</v>
      </c>
      <c r="H759" s="32">
        <v>46.675021999999998</v>
      </c>
      <c r="I759" s="32"/>
      <c r="J759" s="32">
        <f t="shared" si="49"/>
        <v>1.3150212328778679</v>
      </c>
      <c r="K759" s="47">
        <f t="shared" si="50"/>
        <v>1.3736650034256255</v>
      </c>
    </row>
    <row r="760" spans="1:11" x14ac:dyDescent="0.25">
      <c r="A760" s="32">
        <v>2022</v>
      </c>
      <c r="B760" s="32">
        <v>18.424575999999998</v>
      </c>
      <c r="C760" s="32">
        <v>32.112057</v>
      </c>
      <c r="D760" s="32">
        <v>24.661567999999999</v>
      </c>
      <c r="E760" s="32">
        <v>23.389465000000001</v>
      </c>
      <c r="F760" s="32">
        <v>10.818694000000001</v>
      </c>
      <c r="G760" s="32">
        <v>19.625767</v>
      </c>
      <c r="H760" s="32">
        <v>44.447597999999999</v>
      </c>
      <c r="I760" s="32"/>
      <c r="J760" s="32">
        <f t="shared" si="49"/>
        <v>1.3003776233687783</v>
      </c>
      <c r="K760" s="47">
        <f t="shared" si="50"/>
        <v>1.3542389023547101</v>
      </c>
    </row>
    <row r="761" spans="1:11" x14ac:dyDescent="0.25">
      <c r="A761" s="32">
        <v>2021</v>
      </c>
      <c r="B761" s="32">
        <v>18.053207</v>
      </c>
      <c r="C761" s="32">
        <v>31.664726000000002</v>
      </c>
      <c r="D761" s="32">
        <v>23.632057</v>
      </c>
      <c r="E761" s="32">
        <v>23.008417000000001</v>
      </c>
      <c r="F761" s="32">
        <v>10.454309</v>
      </c>
      <c r="G761" s="32">
        <v>19.612171</v>
      </c>
      <c r="H761" s="32">
        <v>41.971744999999999</v>
      </c>
      <c r="I761" s="32"/>
      <c r="J761" s="32">
        <f t="shared" si="49"/>
        <v>1.2460926295106418</v>
      </c>
      <c r="K761" s="47">
        <f t="shared" si="50"/>
        <v>1.3321764043341502</v>
      </c>
    </row>
    <row r="762" spans="1:11" x14ac:dyDescent="0.25">
      <c r="A762" s="32">
        <v>2020</v>
      </c>
      <c r="B762" s="32">
        <v>18.034400999999999</v>
      </c>
      <c r="C762" s="32">
        <v>31.11347</v>
      </c>
      <c r="D762" s="32">
        <v>22.553695999999999</v>
      </c>
      <c r="E762" s="32">
        <v>22.749744</v>
      </c>
      <c r="F762" s="32">
        <v>9.9979929999999992</v>
      </c>
      <c r="G762" s="32">
        <v>19.560244000000001</v>
      </c>
      <c r="H762" s="32">
        <v>40.532204</v>
      </c>
      <c r="I762" s="32"/>
      <c r="J762" s="32">
        <f t="shared" si="49"/>
        <v>1.1892318283517869</v>
      </c>
      <c r="K762" s="47">
        <f t="shared" si="50"/>
        <v>1.3171993606271306</v>
      </c>
    </row>
    <row r="763" spans="1:11" x14ac:dyDescent="0.25">
      <c r="A763" s="32">
        <v>2019</v>
      </c>
      <c r="B763" s="32">
        <v>18.080366000000001</v>
      </c>
      <c r="C763" s="32">
        <v>30.526125</v>
      </c>
      <c r="D763" s="32">
        <v>21.438299000000001</v>
      </c>
      <c r="E763" s="32">
        <v>22.316305</v>
      </c>
      <c r="F763" s="32">
        <v>9.4085249999999991</v>
      </c>
      <c r="G763" s="32">
        <v>19.298469999999998</v>
      </c>
      <c r="H763" s="32">
        <v>39.043903</v>
      </c>
      <c r="I763" s="32"/>
      <c r="J763" s="32">
        <f t="shared" si="49"/>
        <v>1.1304181592463731</v>
      </c>
      <c r="K763" s="47">
        <f t="shared" si="50"/>
        <v>1.2921034486172698</v>
      </c>
    </row>
    <row r="764" spans="1:11" x14ac:dyDescent="0.25">
      <c r="A764" s="32">
        <v>2018</v>
      </c>
      <c r="B764" s="32">
        <v>18.049016999999999</v>
      </c>
      <c r="C764" s="32">
        <v>32.753985999999998</v>
      </c>
      <c r="D764" s="32">
        <v>19.524988</v>
      </c>
      <c r="E764" s="32">
        <v>21.33427</v>
      </c>
      <c r="F764" s="32">
        <v>8.4710239999999999</v>
      </c>
      <c r="G764" s="32">
        <v>19.032364000000001</v>
      </c>
      <c r="H764" s="32">
        <v>36.378422</v>
      </c>
      <c r="I764" s="32"/>
      <c r="J764" s="32">
        <f t="shared" si="49"/>
        <v>1.0295313538759545</v>
      </c>
      <c r="K764" s="47">
        <f t="shared" si="50"/>
        <v>1.2352440890520164</v>
      </c>
    </row>
    <row r="765" spans="1:11" x14ac:dyDescent="0.25">
      <c r="A765" s="32">
        <v>2017</v>
      </c>
      <c r="B765" s="32">
        <v>17.030058</v>
      </c>
      <c r="C765" s="32">
        <v>29.629213</v>
      </c>
      <c r="D765" s="32">
        <v>19.765215000000001</v>
      </c>
      <c r="E765" s="32">
        <v>19.653549000000002</v>
      </c>
      <c r="F765" s="32">
        <v>4.4481039999999998</v>
      </c>
      <c r="G765" s="32">
        <v>18.978828</v>
      </c>
      <c r="H765" s="32">
        <v>43.184680999999998</v>
      </c>
      <c r="I765" s="32"/>
      <c r="J765" s="32">
        <f t="shared" si="49"/>
        <v>1.0421982619707284</v>
      </c>
      <c r="K765" s="47">
        <f t="shared" si="50"/>
        <v>1.1379311422956666</v>
      </c>
    </row>
    <row r="766" spans="1:11" x14ac:dyDescent="0.25">
      <c r="A766" s="32">
        <v>2016</v>
      </c>
      <c r="B766" s="32">
        <v>16.900912999999999</v>
      </c>
      <c r="C766" s="32">
        <v>27.433077000000001</v>
      </c>
      <c r="D766" s="32">
        <v>18.964928</v>
      </c>
      <c r="E766" s="32">
        <v>17.271298999999999</v>
      </c>
      <c r="F766" s="32">
        <v>3.4244819999999998</v>
      </c>
      <c r="G766" s="32">
        <v>18.922733000000001</v>
      </c>
      <c r="H766" s="32">
        <v>40.586609000000003</v>
      </c>
      <c r="I766" s="32"/>
      <c r="J766" s="32">
        <f t="shared" si="49"/>
        <v>1</v>
      </c>
      <c r="K766" s="47">
        <f t="shared" si="50"/>
        <v>1</v>
      </c>
    </row>
    <row r="767" spans="1:11" x14ac:dyDescent="0.25">
      <c r="A767" s="32">
        <v>2015</v>
      </c>
      <c r="B767" s="32">
        <v>17.796704999999999</v>
      </c>
      <c r="C767" s="32">
        <v>30.429499</v>
      </c>
      <c r="D767" s="32">
        <v>21.868293999999999</v>
      </c>
      <c r="E767" s="32">
        <v>20.621335999999999</v>
      </c>
      <c r="F767" s="32">
        <v>4.6342169999999996</v>
      </c>
      <c r="G767" s="32">
        <v>19.387893999999999</v>
      </c>
      <c r="H767" s="32">
        <v>31.622923</v>
      </c>
      <c r="I767" s="32"/>
    </row>
  </sheetData>
  <sortState ref="C45:C80">
    <sortCondition ref="C45:C80"/>
  </sortState>
  <mergeCells count="10">
    <mergeCell ref="A1:K1"/>
    <mergeCell ref="F18:G18"/>
    <mergeCell ref="H18:I18"/>
    <mergeCell ref="J18:K18"/>
    <mergeCell ref="I33:J33"/>
    <mergeCell ref="A32:A34"/>
    <mergeCell ref="B18:C18"/>
    <mergeCell ref="B32:J32"/>
    <mergeCell ref="B33:H33"/>
    <mergeCell ref="D18:E1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46"/>
  <sheetViews>
    <sheetView topLeftCell="A22" zoomScaleNormal="100" workbookViewId="0">
      <selection activeCell="I46" sqref="I46"/>
    </sheetView>
  </sheetViews>
  <sheetFormatPr defaultColWidth="8.85546875" defaultRowHeight="15" x14ac:dyDescent="0.25"/>
  <cols>
    <col min="1" max="1" width="20.5703125" style="22" customWidth="1"/>
    <col min="2" max="2" width="15.7109375" style="22" customWidth="1"/>
    <col min="3" max="4" width="17.5703125" style="22" customWidth="1"/>
    <col min="5" max="11" width="15.7109375" style="22" customWidth="1"/>
    <col min="12" max="16384" width="8.85546875" style="22"/>
  </cols>
  <sheetData>
    <row r="1" spans="1:17" ht="31.5" x14ac:dyDescent="0.25">
      <c r="A1" s="275" t="s">
        <v>400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3" spans="1:17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7" ht="23.25" x14ac:dyDescent="0.25">
      <c r="A4" s="164" t="s">
        <v>396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7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7" ht="15.75" x14ac:dyDescent="0.25">
      <c r="A6" s="117" t="s">
        <v>284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7" ht="15.75" x14ac:dyDescent="0.25">
      <c r="A7" s="117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7" ht="45" x14ac:dyDescent="0.25">
      <c r="A8" s="153" t="s">
        <v>157</v>
      </c>
      <c r="B8" s="151" t="s">
        <v>302</v>
      </c>
      <c r="C8" s="151" t="s">
        <v>303</v>
      </c>
      <c r="D8" s="151" t="s">
        <v>321</v>
      </c>
      <c r="E8" s="113"/>
      <c r="F8" s="113"/>
      <c r="G8" s="113"/>
      <c r="H8" s="113"/>
      <c r="I8" s="113"/>
      <c r="J8" s="113"/>
      <c r="K8" s="113"/>
    </row>
    <row r="9" spans="1:17" x14ac:dyDescent="0.25">
      <c r="A9" s="118" t="s">
        <v>154</v>
      </c>
      <c r="B9" s="108">
        <f>Inputs!G24</f>
        <v>5</v>
      </c>
      <c r="C9" s="108">
        <f>Inputs!H24</f>
        <v>0</v>
      </c>
      <c r="D9" s="108">
        <f>IF(C9=0,B9,C9)</f>
        <v>5</v>
      </c>
      <c r="E9" s="113"/>
      <c r="F9" s="113"/>
      <c r="G9" s="113"/>
      <c r="H9" s="113"/>
      <c r="I9" s="113"/>
      <c r="J9" s="113"/>
      <c r="K9" s="113"/>
    </row>
    <row r="10" spans="1:17" x14ac:dyDescent="0.25">
      <c r="A10" s="115" t="s">
        <v>293</v>
      </c>
      <c r="B10" s="108">
        <f>Inputs!G25</f>
        <v>5</v>
      </c>
      <c r="C10" s="108">
        <f>Inputs!H25</f>
        <v>0</v>
      </c>
      <c r="D10" s="108">
        <f t="shared" ref="D10:D11" si="0">IF(C10=0,B10,C10)</f>
        <v>5</v>
      </c>
      <c r="E10" s="113"/>
      <c r="F10" s="113"/>
      <c r="G10" s="113"/>
      <c r="H10" s="113"/>
      <c r="I10" s="113"/>
      <c r="J10" s="113"/>
      <c r="K10" s="113"/>
    </row>
    <row r="11" spans="1:17" x14ac:dyDescent="0.25">
      <c r="A11" s="115" t="s">
        <v>114</v>
      </c>
      <c r="B11" s="108">
        <f>Inputs!G26</f>
        <v>12</v>
      </c>
      <c r="C11" s="108">
        <f>Inputs!H26</f>
        <v>0</v>
      </c>
      <c r="D11" s="108">
        <f t="shared" si="0"/>
        <v>12</v>
      </c>
      <c r="E11" s="113"/>
      <c r="F11" s="113"/>
      <c r="G11" s="113"/>
      <c r="H11" s="113"/>
      <c r="I11" s="113"/>
      <c r="J11" s="113"/>
      <c r="K11" s="113"/>
    </row>
    <row r="12" spans="1:17" x14ac:dyDescent="0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7" x14ac:dyDescent="0.25">
      <c r="O13"/>
      <c r="P13"/>
      <c r="Q13"/>
    </row>
    <row r="14" spans="1:17" ht="23.25" x14ac:dyDescent="0.25">
      <c r="A14" s="28" t="s">
        <v>309</v>
      </c>
      <c r="O14"/>
      <c r="P14"/>
      <c r="Q14"/>
    </row>
    <row r="15" spans="1:17" x14ac:dyDescent="0.25">
      <c r="O15"/>
      <c r="P15"/>
      <c r="Q15"/>
    </row>
    <row r="16" spans="1:17" ht="15.75" x14ac:dyDescent="0.25">
      <c r="A16" s="77" t="s">
        <v>162</v>
      </c>
      <c r="O16"/>
      <c r="P16"/>
      <c r="Q16"/>
    </row>
    <row r="17" spans="1:17" x14ac:dyDescent="0.25">
      <c r="O17"/>
      <c r="P17"/>
      <c r="Q17"/>
    </row>
    <row r="18" spans="1:17" x14ac:dyDescent="0.25">
      <c r="A18" s="45" t="s">
        <v>157</v>
      </c>
      <c r="B18" s="45">
        <f>Inputs!B46</f>
        <v>2018</v>
      </c>
      <c r="C18" s="45">
        <f>Inputs!C46</f>
        <v>2019</v>
      </c>
      <c r="D18" s="45">
        <f>Inputs!D46</f>
        <v>2020</v>
      </c>
      <c r="E18" s="45">
        <f>Inputs!E46</f>
        <v>2021</v>
      </c>
      <c r="F18" s="45">
        <f>Inputs!F46</f>
        <v>2022</v>
      </c>
      <c r="G18" s="45">
        <f>Inputs!G46</f>
        <v>2023</v>
      </c>
      <c r="H18" s="45">
        <f>Inputs!H46</f>
        <v>2024</v>
      </c>
      <c r="I18" s="45">
        <f>Inputs!I46</f>
        <v>2025</v>
      </c>
      <c r="J18" s="45">
        <f>Inputs!J46</f>
        <v>2026</v>
      </c>
      <c r="K18" s="45">
        <f>Inputs!K46</f>
        <v>2027</v>
      </c>
      <c r="O18"/>
      <c r="P18"/>
      <c r="Q18"/>
    </row>
    <row r="19" spans="1:17" x14ac:dyDescent="0.25">
      <c r="A19" s="78" t="s">
        <v>154</v>
      </c>
      <c r="B19" s="26">
        <f>Inputs!B47</f>
        <v>0</v>
      </c>
      <c r="C19" s="26">
        <f>Inputs!C47+B19</f>
        <v>0</v>
      </c>
      <c r="D19" s="26">
        <f>Inputs!D47+C19</f>
        <v>0</v>
      </c>
      <c r="E19" s="26">
        <f>Inputs!E47+D19</f>
        <v>0</v>
      </c>
      <c r="F19" s="26">
        <f>Inputs!F47+E19</f>
        <v>0</v>
      </c>
      <c r="G19" s="26">
        <f>Inputs!G47+F19</f>
        <v>0</v>
      </c>
      <c r="H19" s="26">
        <f>Inputs!H47+G19</f>
        <v>0</v>
      </c>
      <c r="I19" s="26">
        <f>Inputs!I47+H19</f>
        <v>0</v>
      </c>
      <c r="J19" s="26">
        <f>Inputs!J47+I19</f>
        <v>0</v>
      </c>
      <c r="K19" s="26">
        <f>Inputs!K47+J19</f>
        <v>0</v>
      </c>
      <c r="O19"/>
      <c r="P19"/>
      <c r="Q19"/>
    </row>
    <row r="20" spans="1:17" x14ac:dyDescent="0.25">
      <c r="A20" s="73" t="s">
        <v>293</v>
      </c>
      <c r="B20" s="26">
        <f>Inputs!B48</f>
        <v>0</v>
      </c>
      <c r="C20" s="26">
        <f>Inputs!C48+B20</f>
        <v>0</v>
      </c>
      <c r="D20" s="26">
        <f>Inputs!D48+C20</f>
        <v>0</v>
      </c>
      <c r="E20" s="26">
        <f>Inputs!E48+D20</f>
        <v>0</v>
      </c>
      <c r="F20" s="26">
        <f>Inputs!F48+E20</f>
        <v>0</v>
      </c>
      <c r="G20" s="26">
        <f>Inputs!G48+F20</f>
        <v>0</v>
      </c>
      <c r="H20" s="26">
        <f>Inputs!H48+G20</f>
        <v>0</v>
      </c>
      <c r="I20" s="26">
        <f>Inputs!I48+H20</f>
        <v>0</v>
      </c>
      <c r="J20" s="26">
        <f>Inputs!J48+I20</f>
        <v>0</v>
      </c>
      <c r="K20" s="26">
        <f>Inputs!K48+J20</f>
        <v>0</v>
      </c>
      <c r="O20"/>
      <c r="P20"/>
      <c r="Q20"/>
    </row>
    <row r="21" spans="1:17" x14ac:dyDescent="0.25">
      <c r="A21" s="73" t="s">
        <v>114</v>
      </c>
      <c r="B21" s="26">
        <f>Inputs!B49</f>
        <v>0</v>
      </c>
      <c r="C21" s="26">
        <f>Inputs!C49+B21</f>
        <v>0</v>
      </c>
      <c r="D21" s="26">
        <f>Inputs!D49+C21</f>
        <v>0</v>
      </c>
      <c r="E21" s="26">
        <f>Inputs!E49+D21</f>
        <v>0</v>
      </c>
      <c r="F21" s="26">
        <f>Inputs!F49+E21</f>
        <v>0</v>
      </c>
      <c r="G21" s="26">
        <f>Inputs!G49+F21</f>
        <v>0</v>
      </c>
      <c r="H21" s="26">
        <f>Inputs!H49+G21</f>
        <v>0</v>
      </c>
      <c r="I21" s="26">
        <f>Inputs!I49+H21</f>
        <v>0</v>
      </c>
      <c r="J21" s="26">
        <f>Inputs!J49+I21</f>
        <v>0</v>
      </c>
      <c r="K21" s="26">
        <f>Inputs!K49+J21</f>
        <v>0</v>
      </c>
    </row>
    <row r="23" spans="1:17" ht="15.75" x14ac:dyDescent="0.25">
      <c r="A23" s="77" t="s">
        <v>163</v>
      </c>
    </row>
    <row r="25" spans="1:17" x14ac:dyDescent="0.25">
      <c r="A25" s="45" t="s">
        <v>157</v>
      </c>
      <c r="B25" s="45">
        <f>Inputs!B46</f>
        <v>2018</v>
      </c>
      <c r="C25" s="45">
        <f>Inputs!C46</f>
        <v>2019</v>
      </c>
      <c r="D25" s="45">
        <f>Inputs!D46</f>
        <v>2020</v>
      </c>
      <c r="E25" s="45">
        <f>Inputs!E46</f>
        <v>2021</v>
      </c>
      <c r="F25" s="45">
        <f>Inputs!F46</f>
        <v>2022</v>
      </c>
      <c r="G25" s="45">
        <f>Inputs!G46</f>
        <v>2023</v>
      </c>
      <c r="H25" s="45">
        <f>Inputs!H46</f>
        <v>2024</v>
      </c>
      <c r="I25" s="45">
        <f>Inputs!I46</f>
        <v>2025</v>
      </c>
      <c r="J25" s="45">
        <f>Inputs!J46</f>
        <v>2026</v>
      </c>
      <c r="K25" s="45">
        <f>Inputs!K46</f>
        <v>2027</v>
      </c>
    </row>
    <row r="26" spans="1:17" x14ac:dyDescent="0.25">
      <c r="A26" s="78" t="s">
        <v>154</v>
      </c>
      <c r="B26" s="26">
        <f>Inputs!B47</f>
        <v>0</v>
      </c>
      <c r="C26" s="26">
        <f>Inputs!C47+IF(C34&lt;$B$25,0,HLOOKUP(C34,Inputs!$B$46:$P$49,2))</f>
        <v>0</v>
      </c>
      <c r="D26" s="26">
        <f>Inputs!D47+IF(D34&lt;$B$25,0,HLOOKUP(D34,Inputs!$B$46:$P$49,2))</f>
        <v>0</v>
      </c>
      <c r="E26" s="26">
        <f>Inputs!E47+IF(E34&lt;$B$25,0,HLOOKUP(E34,Inputs!$B$46:$P$49,2))</f>
        <v>0</v>
      </c>
      <c r="F26" s="26">
        <f>Inputs!F47+IF(F34&lt;$B$25,0,HLOOKUP(F34,Inputs!$B$46:$P$49,2))</f>
        <v>0</v>
      </c>
      <c r="G26" s="26">
        <f>Inputs!G47+IF(G34&lt;$B$25,0,HLOOKUP(G34,Inputs!$B$46:$P$49,2))</f>
        <v>0</v>
      </c>
      <c r="H26" s="26">
        <f>Inputs!H47+IF(H34&lt;$B$25,0,HLOOKUP(H34,Inputs!$B$46:$P$49,2))</f>
        <v>0</v>
      </c>
      <c r="I26" s="26">
        <f>Inputs!I47+IF(I34&lt;$B$25,0,HLOOKUP(I34,Inputs!$B$46:$P$49,2))</f>
        <v>0</v>
      </c>
      <c r="J26" s="26">
        <f>Inputs!J47+IF(J34&lt;$B$25,0,HLOOKUP(J34,Inputs!$B$46:$P$49,2))</f>
        <v>0</v>
      </c>
      <c r="K26" s="26">
        <f>Inputs!K47+IF(K34&lt;$B$25,0,HLOOKUP(K34,Inputs!$B$46:$P$49,2))</f>
        <v>0</v>
      </c>
    </row>
    <row r="27" spans="1:17" x14ac:dyDescent="0.25">
      <c r="A27" s="73" t="s">
        <v>293</v>
      </c>
      <c r="B27" s="26">
        <f>Inputs!B48</f>
        <v>0</v>
      </c>
      <c r="C27" s="26">
        <f>Inputs!C48+IF(C35&lt;$B$25,0,HLOOKUP(C35,Inputs!$B$46:$P$49,3))</f>
        <v>0</v>
      </c>
      <c r="D27" s="26">
        <f>Inputs!D48+IF(D35&lt;$B$25,0,HLOOKUP(D35,Inputs!$B$46:$P$49,3))</f>
        <v>0</v>
      </c>
      <c r="E27" s="26">
        <f>Inputs!E48+IF(E35&lt;$B$25,0,HLOOKUP(E35,Inputs!$B$46:$P$49,3))</f>
        <v>0</v>
      </c>
      <c r="F27" s="26">
        <f>Inputs!F48+IF(F35&lt;$B$25,0,HLOOKUP(F35,Inputs!$B$46:$P$49,3))</f>
        <v>0</v>
      </c>
      <c r="G27" s="26">
        <f>Inputs!G48+IF(G35&lt;$B$25,0,HLOOKUP(G35,Inputs!$B$46:$P$49,3))</f>
        <v>0</v>
      </c>
      <c r="H27" s="26">
        <f>Inputs!H48+IF(H35&lt;$B$25,0,HLOOKUP(H35,Inputs!$B$46:$P$49,3))</f>
        <v>0</v>
      </c>
      <c r="I27" s="26">
        <f>Inputs!I48+IF(I35&lt;$B$25,0,HLOOKUP(I35,Inputs!$B$46:$P$49,3))</f>
        <v>0</v>
      </c>
      <c r="J27" s="26">
        <f>Inputs!J48+IF(J35&lt;$B$25,0,HLOOKUP(J35,Inputs!$B$46:$P$49,3))</f>
        <v>0</v>
      </c>
      <c r="K27" s="26">
        <f>Inputs!K48+IF(K35&lt;$B$25,0,HLOOKUP(K35,Inputs!$B$46:$P$49,3))</f>
        <v>0</v>
      </c>
    </row>
    <row r="28" spans="1:17" x14ac:dyDescent="0.25">
      <c r="A28" s="73" t="s">
        <v>114</v>
      </c>
      <c r="B28" s="26">
        <f>Inputs!B49</f>
        <v>0</v>
      </c>
      <c r="C28" s="26">
        <f>Inputs!C49+IF(C36&lt;$B$25,0,HLOOKUP(C36,Inputs!$B$46:$P$49,4))</f>
        <v>0</v>
      </c>
      <c r="D28" s="26">
        <f>Inputs!D49+IF(D36&lt;$B$25,0,HLOOKUP(D36,Inputs!$B$46:$P$49,4))</f>
        <v>0</v>
      </c>
      <c r="E28" s="26">
        <f>Inputs!E49+IF(E36&lt;$B$25,0,HLOOKUP(E36,Inputs!$B$46:$P$49,4))</f>
        <v>0</v>
      </c>
      <c r="F28" s="26">
        <f>Inputs!F49+IF(F36&lt;$B$25,0,HLOOKUP(F36,Inputs!$B$46:$P$49,4))</f>
        <v>0</v>
      </c>
      <c r="G28" s="26">
        <f>Inputs!G49+IF(G36&lt;$B$25,0,HLOOKUP(G36,Inputs!$B$46:$P$49,4))</f>
        <v>0</v>
      </c>
      <c r="H28" s="26">
        <f>Inputs!H49+IF(H36&lt;$B$25,0,HLOOKUP(H36,Inputs!$B$46:$P$49,4))</f>
        <v>0</v>
      </c>
      <c r="I28" s="26">
        <f>Inputs!I49+IF(I36&lt;$B$25,0,HLOOKUP(I36,Inputs!$B$46:$P$49,4))</f>
        <v>0</v>
      </c>
      <c r="J28" s="26">
        <f>Inputs!J49+IF(J36&lt;$B$25,0,HLOOKUP(J36,Inputs!$B$46:$P$49,4))</f>
        <v>0</v>
      </c>
      <c r="K28" s="26">
        <f>Inputs!K49+IF(K36&lt;$B$25,0,HLOOKUP(K36,Inputs!$B$46:$P$49,4))</f>
        <v>0</v>
      </c>
    </row>
    <row r="29" spans="1:17" x14ac:dyDescent="0.25">
      <c r="A29" s="79" t="s">
        <v>272</v>
      </c>
    </row>
    <row r="30" spans="1:17" x14ac:dyDescent="0.25">
      <c r="A30" s="80"/>
    </row>
    <row r="31" spans="1:17" ht="15.75" x14ac:dyDescent="0.25">
      <c r="A31" s="77" t="s">
        <v>271</v>
      </c>
    </row>
    <row r="32" spans="1:17" x14ac:dyDescent="0.25">
      <c r="A32" s="80"/>
    </row>
    <row r="33" spans="1:17" x14ac:dyDescent="0.25">
      <c r="A33" s="45" t="s">
        <v>157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7" x14ac:dyDescent="0.25">
      <c r="A34" s="78" t="s">
        <v>154</v>
      </c>
      <c r="B34" s="26"/>
      <c r="C34" s="26">
        <f t="shared" ref="C34:K34" si="1">C$25-$D9</f>
        <v>2014</v>
      </c>
      <c r="D34" s="26">
        <f t="shared" si="1"/>
        <v>2015</v>
      </c>
      <c r="E34" s="26">
        <f t="shared" si="1"/>
        <v>2016</v>
      </c>
      <c r="F34" s="26">
        <f t="shared" si="1"/>
        <v>2017</v>
      </c>
      <c r="G34" s="26">
        <f t="shared" si="1"/>
        <v>2018</v>
      </c>
      <c r="H34" s="26">
        <f t="shared" si="1"/>
        <v>2019</v>
      </c>
      <c r="I34" s="26">
        <f t="shared" si="1"/>
        <v>2020</v>
      </c>
      <c r="J34" s="26">
        <f t="shared" si="1"/>
        <v>2021</v>
      </c>
      <c r="K34" s="26">
        <f t="shared" si="1"/>
        <v>2022</v>
      </c>
    </row>
    <row r="35" spans="1:17" x14ac:dyDescent="0.25">
      <c r="A35" s="73" t="s">
        <v>293</v>
      </c>
      <c r="B35" s="26"/>
      <c r="C35" s="26">
        <f t="shared" ref="C35:K35" si="2">C$25-$D10</f>
        <v>2014</v>
      </c>
      <c r="D35" s="26">
        <f t="shared" si="2"/>
        <v>2015</v>
      </c>
      <c r="E35" s="26">
        <f t="shared" si="2"/>
        <v>2016</v>
      </c>
      <c r="F35" s="26">
        <f t="shared" si="2"/>
        <v>2017</v>
      </c>
      <c r="G35" s="26">
        <f t="shared" si="2"/>
        <v>2018</v>
      </c>
      <c r="H35" s="26">
        <f t="shared" si="2"/>
        <v>2019</v>
      </c>
      <c r="I35" s="26">
        <f t="shared" si="2"/>
        <v>2020</v>
      </c>
      <c r="J35" s="26">
        <f t="shared" si="2"/>
        <v>2021</v>
      </c>
      <c r="K35" s="26">
        <f t="shared" si="2"/>
        <v>2022</v>
      </c>
    </row>
    <row r="36" spans="1:17" x14ac:dyDescent="0.25">
      <c r="A36" s="73" t="s">
        <v>114</v>
      </c>
      <c r="B36" s="26"/>
      <c r="C36" s="26">
        <f t="shared" ref="C36:K36" si="3">C$25-$D11</f>
        <v>2007</v>
      </c>
      <c r="D36" s="26">
        <f t="shared" si="3"/>
        <v>2008</v>
      </c>
      <c r="E36" s="26">
        <f t="shared" si="3"/>
        <v>2009</v>
      </c>
      <c r="F36" s="26">
        <f t="shared" si="3"/>
        <v>2010</v>
      </c>
      <c r="G36" s="26">
        <f t="shared" si="3"/>
        <v>2011</v>
      </c>
      <c r="H36" s="26">
        <f t="shared" si="3"/>
        <v>2012</v>
      </c>
      <c r="I36" s="26">
        <f t="shared" si="3"/>
        <v>2013</v>
      </c>
      <c r="J36" s="26">
        <f t="shared" si="3"/>
        <v>2014</v>
      </c>
      <c r="K36" s="26">
        <f t="shared" si="3"/>
        <v>2015</v>
      </c>
    </row>
    <row r="39" spans="1:17" ht="23.25" x14ac:dyDescent="0.25">
      <c r="A39" s="28" t="s">
        <v>234</v>
      </c>
    </row>
    <row r="41" spans="1:17" s="24" customFormat="1" ht="15.75" x14ac:dyDescent="0.25">
      <c r="A41" s="162" t="s">
        <v>285</v>
      </c>
    </row>
    <row r="42" spans="1:17" s="24" customFormat="1" x14ac:dyDescent="0.25"/>
    <row r="43" spans="1:17" s="24" customFormat="1" ht="60" x14ac:dyDescent="0.25">
      <c r="A43" s="147" t="s">
        <v>157</v>
      </c>
      <c r="B43" s="148" t="s">
        <v>437</v>
      </c>
      <c r="C43" s="148" t="s">
        <v>428</v>
      </c>
      <c r="D43" s="151" t="s">
        <v>429</v>
      </c>
      <c r="E43" s="148" t="s">
        <v>249</v>
      </c>
      <c r="F43" s="147" t="s">
        <v>150</v>
      </c>
      <c r="G43" s="147" t="s">
        <v>103</v>
      </c>
      <c r="H43" s="147" t="s">
        <v>109</v>
      </c>
      <c r="I43" s="147" t="s">
        <v>108</v>
      </c>
      <c r="O43" s="17"/>
      <c r="P43" s="17"/>
      <c r="Q43" s="17"/>
    </row>
    <row r="44" spans="1:17" s="24" customFormat="1" x14ac:dyDescent="0.25">
      <c r="A44" s="70" t="s">
        <v>154</v>
      </c>
      <c r="B44" s="163">
        <f>H44</f>
        <v>50000</v>
      </c>
      <c r="C44" s="163">
        <f>I44+20000</f>
        <v>60000</v>
      </c>
      <c r="D44" s="163">
        <f>I44+20000</f>
        <v>60000</v>
      </c>
      <c r="E44" s="163">
        <v>40000</v>
      </c>
      <c r="F44" s="163">
        <v>125000</v>
      </c>
      <c r="G44" s="163">
        <f>I44+15000</f>
        <v>55000</v>
      </c>
      <c r="H44" s="163">
        <v>50000</v>
      </c>
      <c r="I44" s="163">
        <v>40000</v>
      </c>
      <c r="O44" s="17"/>
      <c r="P44" s="17"/>
      <c r="Q44" s="17"/>
    </row>
    <row r="45" spans="1:17" s="24" customFormat="1" x14ac:dyDescent="0.25">
      <c r="A45" s="92" t="s">
        <v>293</v>
      </c>
      <c r="B45" s="163">
        <f>H45</f>
        <v>80000</v>
      </c>
      <c r="C45" s="163">
        <f>I45+20000</f>
        <v>90000</v>
      </c>
      <c r="D45" s="163">
        <f>I45+20000</f>
        <v>90000</v>
      </c>
      <c r="E45" s="163">
        <v>70000</v>
      </c>
      <c r="F45" s="163">
        <v>450000</v>
      </c>
      <c r="G45" s="163">
        <f>I45+15000</f>
        <v>85000</v>
      </c>
      <c r="H45" s="163">
        <v>80000</v>
      </c>
      <c r="I45" s="163">
        <v>70000</v>
      </c>
      <c r="O45" s="17"/>
      <c r="P45" s="17"/>
      <c r="Q45" s="17"/>
    </row>
    <row r="46" spans="1:17" s="24" customFormat="1" x14ac:dyDescent="0.25">
      <c r="A46" s="92" t="s">
        <v>114</v>
      </c>
      <c r="B46" s="163">
        <f>H46</f>
        <v>375000</v>
      </c>
      <c r="C46" s="163">
        <f>H46+120000</f>
        <v>495000</v>
      </c>
      <c r="D46" s="163">
        <f>H46+120000</f>
        <v>495000</v>
      </c>
      <c r="E46" s="218">
        <v>0</v>
      </c>
      <c r="F46" s="163">
        <v>750000</v>
      </c>
      <c r="G46" s="218">
        <v>0</v>
      </c>
      <c r="H46" s="163">
        <v>375000</v>
      </c>
      <c r="I46" s="218">
        <v>0</v>
      </c>
      <c r="O46" s="17"/>
      <c r="P46" s="17"/>
      <c r="Q46" s="17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K120"/>
  <sheetViews>
    <sheetView zoomScale="80" zoomScaleNormal="80" workbookViewId="0">
      <selection activeCell="B39" sqref="B39"/>
    </sheetView>
  </sheetViews>
  <sheetFormatPr defaultColWidth="8.85546875" defaultRowHeight="15" x14ac:dyDescent="0.25"/>
  <cols>
    <col min="1" max="1" width="49.7109375" style="22" customWidth="1"/>
    <col min="2" max="2" width="25.85546875" style="22" customWidth="1"/>
    <col min="3" max="3" width="30.42578125" style="22" customWidth="1"/>
    <col min="4" max="4" width="45.28515625" style="22" bestFit="1" customWidth="1"/>
    <col min="5" max="6" width="25.85546875" style="22" customWidth="1"/>
    <col min="7" max="7" width="28.7109375" style="22" customWidth="1"/>
    <col min="8" max="8" width="23.7109375" style="22" customWidth="1"/>
    <col min="9" max="9" width="20.7109375" style="22" customWidth="1"/>
    <col min="10" max="10" width="16" style="22" customWidth="1"/>
    <col min="11" max="11" width="106" style="22" customWidth="1"/>
    <col min="12" max="16384" width="8.85546875" style="22"/>
  </cols>
  <sheetData>
    <row r="1" spans="1:11" ht="31.5" x14ac:dyDescent="0.25">
      <c r="A1" s="275" t="s">
        <v>420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3" spans="1:11" ht="23.25" x14ac:dyDescent="0.25">
      <c r="A3" s="93" t="s">
        <v>278</v>
      </c>
      <c r="D3" s="93" t="s">
        <v>354</v>
      </c>
    </row>
    <row r="5" spans="1:11" x14ac:dyDescent="0.25">
      <c r="A5" s="140" t="s">
        <v>111</v>
      </c>
      <c r="B5" s="144" t="s">
        <v>322</v>
      </c>
      <c r="C5"/>
      <c r="D5" s="140" t="s">
        <v>111</v>
      </c>
      <c r="E5" s="144" t="s">
        <v>351</v>
      </c>
      <c r="F5" s="71"/>
      <c r="G5" s="71"/>
    </row>
    <row r="6" spans="1:11" x14ac:dyDescent="0.25">
      <c r="A6" s="46" t="s">
        <v>437</v>
      </c>
      <c r="B6" s="111">
        <f>C56</f>
        <v>7306.56</v>
      </c>
      <c r="C6"/>
      <c r="D6" s="46" t="s">
        <v>437</v>
      </c>
      <c r="E6" s="111">
        <f>C55</f>
        <v>91332</v>
      </c>
    </row>
    <row r="7" spans="1:11" x14ac:dyDescent="0.25">
      <c r="A7" s="46" t="s">
        <v>428</v>
      </c>
      <c r="B7" s="111">
        <f>C45</f>
        <v>405.98538500000001</v>
      </c>
      <c r="C7"/>
      <c r="D7" s="46" t="s">
        <v>428</v>
      </c>
      <c r="E7" s="111">
        <f>C44</f>
        <v>6245.9290000000001</v>
      </c>
    </row>
    <row r="8" spans="1:11" x14ac:dyDescent="0.25">
      <c r="A8" s="46" t="s">
        <v>429</v>
      </c>
      <c r="B8" s="111">
        <f>C45</f>
        <v>405.98538500000001</v>
      </c>
      <c r="C8"/>
      <c r="D8" s="46" t="s">
        <v>429</v>
      </c>
      <c r="E8" s="111">
        <f>C44</f>
        <v>6245.9290000000001</v>
      </c>
    </row>
    <row r="9" spans="1:11" x14ac:dyDescent="0.25">
      <c r="A9" s="46" t="s">
        <v>249</v>
      </c>
      <c r="B9" s="111">
        <f>C50</f>
        <v>7954.08</v>
      </c>
      <c r="C9"/>
      <c r="D9" s="46" t="s">
        <v>249</v>
      </c>
      <c r="E9" s="111">
        <f>C49</f>
        <v>99426</v>
      </c>
    </row>
    <row r="10" spans="1:11" x14ac:dyDescent="0.25">
      <c r="A10" s="46" t="s">
        <v>403</v>
      </c>
      <c r="B10" s="111">
        <f>C62</f>
        <v>37500</v>
      </c>
      <c r="C10"/>
      <c r="D10" s="46" t="s">
        <v>403</v>
      </c>
      <c r="E10" s="111">
        <f>C61</f>
        <v>375000</v>
      </c>
    </row>
    <row r="11" spans="1:11" x14ac:dyDescent="0.25">
      <c r="A11" s="46" t="s">
        <v>454</v>
      </c>
      <c r="B11" s="111">
        <f>D62</f>
        <v>14800</v>
      </c>
      <c r="C11"/>
      <c r="D11" s="46" t="s">
        <v>454</v>
      </c>
      <c r="E11" s="111">
        <f>D61</f>
        <v>59700</v>
      </c>
    </row>
    <row r="12" spans="1:11" x14ac:dyDescent="0.25">
      <c r="A12" s="90" t="s">
        <v>103</v>
      </c>
      <c r="B12" s="111">
        <f>C85</f>
        <v>692.28237650000005</v>
      </c>
      <c r="C12"/>
      <c r="D12" s="90" t="s">
        <v>103</v>
      </c>
      <c r="E12" s="111">
        <f>C84</f>
        <v>10650.498100000001</v>
      </c>
    </row>
    <row r="13" spans="1:11" x14ac:dyDescent="0.25">
      <c r="A13" s="46" t="s">
        <v>248</v>
      </c>
      <c r="B13" s="111">
        <f>C90</f>
        <v>4566.6000000000004</v>
      </c>
      <c r="C13"/>
      <c r="D13" s="46" t="s">
        <v>248</v>
      </c>
      <c r="E13" s="111">
        <f>C89</f>
        <v>91332</v>
      </c>
    </row>
    <row r="14" spans="1:11" x14ac:dyDescent="0.25">
      <c r="A14" s="90" t="s">
        <v>112</v>
      </c>
      <c r="B14" s="111">
        <f>B13</f>
        <v>4566.6000000000004</v>
      </c>
      <c r="C14"/>
      <c r="D14" s="90" t="s">
        <v>112</v>
      </c>
      <c r="E14" s="111">
        <f>C89</f>
        <v>91332</v>
      </c>
    </row>
    <row r="15" spans="1:11" x14ac:dyDescent="0.25">
      <c r="A15" s="90" t="s">
        <v>108</v>
      </c>
      <c r="B15" s="111">
        <f>B13</f>
        <v>4566.6000000000004</v>
      </c>
      <c r="C15"/>
      <c r="D15" s="90" t="s">
        <v>108</v>
      </c>
      <c r="E15" s="111">
        <f>C55</f>
        <v>91332</v>
      </c>
    </row>
    <row r="17" spans="1:10" ht="23.25" x14ac:dyDescent="0.25">
      <c r="A17" s="93" t="s">
        <v>405</v>
      </c>
    </row>
    <row r="19" spans="1:10" s="24" customFormat="1" x14ac:dyDescent="0.25">
      <c r="A19" s="24" t="s">
        <v>324</v>
      </c>
    </row>
    <row r="21" spans="1:10" ht="60" x14ac:dyDescent="0.25">
      <c r="A21" s="141" t="s">
        <v>323</v>
      </c>
      <c r="B21" s="141" t="s">
        <v>437</v>
      </c>
      <c r="C21" s="141" t="s">
        <v>428</v>
      </c>
      <c r="D21" s="151" t="s">
        <v>429</v>
      </c>
      <c r="E21" s="140" t="s">
        <v>249</v>
      </c>
      <c r="F21" s="141" t="s">
        <v>150</v>
      </c>
      <c r="G21" s="140" t="s">
        <v>103</v>
      </c>
      <c r="H21" s="140" t="s">
        <v>248</v>
      </c>
      <c r="I21" s="140" t="s">
        <v>108</v>
      </c>
      <c r="J21" s="141" t="s">
        <v>123</v>
      </c>
    </row>
    <row r="22" spans="1:10" x14ac:dyDescent="0.25">
      <c r="A22" s="78" t="s">
        <v>154</v>
      </c>
      <c r="B22" s="145">
        <v>0.28356007340677358</v>
      </c>
      <c r="C22" s="145">
        <v>0.21033730349007357</v>
      </c>
      <c r="D22" s="145">
        <v>0.21033730349007357</v>
      </c>
      <c r="E22" s="145">
        <v>0.21033730349007357</v>
      </c>
      <c r="F22" s="145">
        <v>0.19344762154539102</v>
      </c>
      <c r="G22" s="145">
        <v>0.21033730349007357</v>
      </c>
      <c r="H22" s="145">
        <v>0.28356007340677358</v>
      </c>
      <c r="I22" s="145">
        <v>0.21033730349007357</v>
      </c>
      <c r="J22" s="145">
        <v>0.19344762154539102</v>
      </c>
    </row>
    <row r="23" spans="1:10" x14ac:dyDescent="0.25">
      <c r="A23" s="73" t="s">
        <v>293</v>
      </c>
      <c r="B23" s="145">
        <v>1</v>
      </c>
      <c r="C23" s="145">
        <v>1.0150000000000001</v>
      </c>
      <c r="D23" s="145">
        <v>1.0150000000000001</v>
      </c>
      <c r="E23" s="145">
        <v>1</v>
      </c>
      <c r="F23" s="145">
        <v>0.93799999999999994</v>
      </c>
      <c r="G23" s="145">
        <v>1</v>
      </c>
      <c r="H23" s="145">
        <v>1</v>
      </c>
      <c r="I23" s="145">
        <v>1</v>
      </c>
      <c r="J23" s="145">
        <v>0.93799999999999994</v>
      </c>
    </row>
    <row r="24" spans="1:10" s="24" customFormat="1" x14ac:dyDescent="0.25">
      <c r="A24" s="73" t="s">
        <v>114</v>
      </c>
      <c r="B24" s="146">
        <v>1</v>
      </c>
      <c r="C24" s="146">
        <v>1.0149999999999999</v>
      </c>
      <c r="D24" s="146">
        <v>1.0149999999999999</v>
      </c>
      <c r="E24" s="146">
        <v>0</v>
      </c>
      <c r="F24" s="146">
        <v>0.93799999999999994</v>
      </c>
      <c r="G24" s="146">
        <v>0</v>
      </c>
      <c r="H24" s="146">
        <v>1</v>
      </c>
      <c r="I24" s="146">
        <v>0</v>
      </c>
      <c r="J24" s="146">
        <v>1.1599999999999999</v>
      </c>
    </row>
    <row r="25" spans="1:10" s="24" customFormat="1" x14ac:dyDescent="0.25">
      <c r="A25" s="98"/>
      <c r="B25" s="167"/>
      <c r="C25" s="167"/>
      <c r="D25" s="167"/>
      <c r="E25" s="167"/>
      <c r="F25" s="167"/>
      <c r="G25" s="167"/>
      <c r="H25" s="167"/>
      <c r="I25" s="167"/>
      <c r="J25"/>
    </row>
    <row r="27" spans="1:10" ht="23.25" x14ac:dyDescent="0.25">
      <c r="A27" s="93" t="s">
        <v>309</v>
      </c>
    </row>
    <row r="29" spans="1:10" s="24" customFormat="1" ht="18.75" x14ac:dyDescent="0.25">
      <c r="A29" s="168" t="s">
        <v>325</v>
      </c>
    </row>
    <row r="30" spans="1:10" s="24" customFormat="1" x14ac:dyDescent="0.25"/>
    <row r="31" spans="1:10" s="24" customFormat="1" x14ac:dyDescent="0.25">
      <c r="A31" s="140" t="s">
        <v>111</v>
      </c>
      <c r="B31" s="140" t="s">
        <v>353</v>
      </c>
      <c r="C31" s="140" t="s">
        <v>326</v>
      </c>
    </row>
    <row r="32" spans="1:10" s="24" customFormat="1" x14ac:dyDescent="0.25">
      <c r="A32" s="90" t="s">
        <v>437</v>
      </c>
      <c r="B32" s="169">
        <f>$B$38*VLOOKUP(A32, Constants!$A$28:$C$35,3,0)</f>
        <v>0</v>
      </c>
      <c r="C32" s="169">
        <f>$C$38*VLOOKUP(A32, Constants!$A$28:$C$35,3,0)</f>
        <v>0</v>
      </c>
    </row>
    <row r="33" spans="1:11" s="24" customFormat="1" x14ac:dyDescent="0.25">
      <c r="A33" s="46" t="s">
        <v>428</v>
      </c>
      <c r="B33" s="169">
        <f>$B$38*VLOOKUP(A33, Constants!$A$28:$C$35,3,0)</f>
        <v>0</v>
      </c>
      <c r="C33" s="169">
        <f>$C$38*VLOOKUP(A33, Constants!$A$28:$C$35,3,0)</f>
        <v>0</v>
      </c>
    </row>
    <row r="34" spans="1:11" s="24" customFormat="1" x14ac:dyDescent="0.25">
      <c r="A34" s="46" t="s">
        <v>429</v>
      </c>
      <c r="B34" s="169">
        <f>$B$38*VLOOKUP(A34, Constants!$A$28:$C$35,3,0)</f>
        <v>0</v>
      </c>
      <c r="C34" s="169">
        <f>$C$38*VLOOKUP(A34, Constants!$A$28:$C$35,3,0)</f>
        <v>0</v>
      </c>
    </row>
    <row r="35" spans="1:11" s="24" customFormat="1" x14ac:dyDescent="0.25">
      <c r="A35" s="46" t="s">
        <v>249</v>
      </c>
      <c r="B35" s="169">
        <f>$B$38*VLOOKUP(A35, Constants!$A$28:$C$35,3,0)</f>
        <v>0</v>
      </c>
      <c r="C35" s="169">
        <f>$C$38*VLOOKUP(A35, Constants!$A$28:$C$35,3,0)</f>
        <v>0</v>
      </c>
      <c r="D35" s="80"/>
    </row>
    <row r="36" spans="1:11" s="24" customFormat="1" x14ac:dyDescent="0.25">
      <c r="A36" s="139" t="s">
        <v>150</v>
      </c>
      <c r="B36" s="169">
        <f>$B$38*VLOOKUP(A36, Constants!$A$28:$C$35,3,0)</f>
        <v>0</v>
      </c>
      <c r="C36" s="169">
        <f>$C$38*VLOOKUP(A36, Constants!$A$28:$C$35,3,0)</f>
        <v>0</v>
      </c>
    </row>
    <row r="37" spans="1:11" s="24" customFormat="1" x14ac:dyDescent="0.25">
      <c r="A37" s="90" t="s">
        <v>103</v>
      </c>
      <c r="B37" s="169">
        <f>$B$38*VLOOKUP(A37, Constants!$A$28:$C$35,3,0)</f>
        <v>0</v>
      </c>
      <c r="C37" s="169">
        <f>$C$38*VLOOKUP(A37, Constants!$A$28:$C$35,3,0)</f>
        <v>0</v>
      </c>
    </row>
    <row r="38" spans="1:11" s="24" customFormat="1" x14ac:dyDescent="0.25">
      <c r="A38" s="46" t="s">
        <v>248</v>
      </c>
      <c r="B38" s="186">
        <f>MAX('Fuel Consumption'!B43:K43)/365</f>
        <v>0</v>
      </c>
      <c r="C38" s="186">
        <f>MAX('Fuel Consumption'!B43:K43)</f>
        <v>0</v>
      </c>
    </row>
    <row r="39" spans="1:11" s="24" customFormat="1" x14ac:dyDescent="0.25">
      <c r="A39" s="90" t="s">
        <v>108</v>
      </c>
      <c r="B39" s="169">
        <f>$B$38*VLOOKUP(A39, Constants!$A$28:$C$35,3,0)</f>
        <v>0</v>
      </c>
      <c r="C39" s="169">
        <f>$C$38*VLOOKUP(A39, Constants!$A$28:$C$35,3,0)</f>
        <v>0</v>
      </c>
    </row>
    <row r="41" spans="1:11" s="24" customFormat="1" ht="15.75" x14ac:dyDescent="0.25">
      <c r="A41" s="185" t="s">
        <v>115</v>
      </c>
      <c r="B41" s="173"/>
      <c r="C41" s="173"/>
      <c r="D41" s="173"/>
      <c r="E41" s="172" t="s">
        <v>327</v>
      </c>
      <c r="F41" s="173"/>
      <c r="G41" s="173"/>
      <c r="H41" s="173"/>
      <c r="I41" s="173"/>
      <c r="J41" s="173"/>
      <c r="K41" s="173"/>
    </row>
    <row r="42" spans="1:11" s="24" customFormat="1" x14ac:dyDescent="0.25">
      <c r="A42" s="173"/>
      <c r="B42" s="172" t="s">
        <v>331</v>
      </c>
      <c r="C42" s="173"/>
      <c r="D42" s="173"/>
      <c r="E42" s="283" t="s">
        <v>332</v>
      </c>
      <c r="F42" s="283"/>
      <c r="G42" s="283"/>
      <c r="H42" s="173"/>
      <c r="I42" s="173"/>
      <c r="J42" s="173"/>
      <c r="K42" s="173"/>
    </row>
    <row r="43" spans="1:11" s="24" customFormat="1" x14ac:dyDescent="0.25">
      <c r="A43" s="173"/>
      <c r="B43" s="172" t="s">
        <v>328</v>
      </c>
      <c r="C43" s="187">
        <f>C33</f>
        <v>0</v>
      </c>
      <c r="D43" s="173"/>
      <c r="E43" s="283" t="s">
        <v>333</v>
      </c>
      <c r="F43" s="283"/>
      <c r="G43" s="283"/>
      <c r="H43" s="173"/>
      <c r="I43" s="173"/>
      <c r="J43" s="173"/>
      <c r="K43" s="173"/>
    </row>
    <row r="44" spans="1:11" s="24" customFormat="1" x14ac:dyDescent="0.25">
      <c r="A44" s="173"/>
      <c r="B44" s="172" t="s">
        <v>352</v>
      </c>
      <c r="C44" s="181">
        <f>2.915117*C43+6245.929</f>
        <v>6245.9290000000001</v>
      </c>
      <c r="D44" s="173"/>
      <c r="E44" s="174"/>
      <c r="F44" s="174"/>
      <c r="G44" s="174"/>
      <c r="H44" s="173"/>
      <c r="I44" s="173"/>
      <c r="J44" s="173"/>
      <c r="K44" s="173"/>
    </row>
    <row r="45" spans="1:11" s="24" customFormat="1" x14ac:dyDescent="0.25">
      <c r="A45" s="173"/>
      <c r="B45" s="172" t="s">
        <v>330</v>
      </c>
      <c r="C45" s="181">
        <f>AVERAGE(0.05,0.08)*C44</f>
        <v>405.98538500000001</v>
      </c>
      <c r="D45" s="173"/>
      <c r="E45" s="284" t="s">
        <v>107</v>
      </c>
      <c r="F45" s="284"/>
      <c r="G45" s="284"/>
      <c r="H45" s="173"/>
      <c r="I45" s="173"/>
      <c r="J45" s="173"/>
      <c r="K45" s="173"/>
    </row>
    <row r="46" spans="1:11" s="24" customFormat="1" x14ac:dyDescent="0.25">
      <c r="E46" s="171"/>
      <c r="F46" s="171"/>
      <c r="G46" s="171"/>
    </row>
    <row r="47" spans="1:11" s="24" customFormat="1" ht="15.75" x14ac:dyDescent="0.25">
      <c r="A47" s="185" t="s">
        <v>334</v>
      </c>
      <c r="B47" s="173"/>
      <c r="C47" s="173"/>
      <c r="D47" s="173"/>
      <c r="E47" s="172" t="s">
        <v>327</v>
      </c>
      <c r="F47" s="174"/>
      <c r="G47" s="174"/>
      <c r="H47" s="153" t="s">
        <v>398</v>
      </c>
      <c r="I47" s="153" t="s">
        <v>335</v>
      </c>
      <c r="J47" s="153" t="s">
        <v>336</v>
      </c>
      <c r="K47" s="173"/>
    </row>
    <row r="48" spans="1:11" s="24" customFormat="1" x14ac:dyDescent="0.25">
      <c r="A48" s="173"/>
      <c r="B48" s="172" t="s">
        <v>328</v>
      </c>
      <c r="C48" s="187">
        <f>C35</f>
        <v>0</v>
      </c>
      <c r="D48" s="173"/>
      <c r="E48" s="174"/>
      <c r="F48" s="174"/>
      <c r="G48" s="174"/>
      <c r="H48" s="180" t="s">
        <v>337</v>
      </c>
      <c r="I48" s="182">
        <v>1</v>
      </c>
      <c r="J48" s="181">
        <v>75000</v>
      </c>
      <c r="K48" s="173"/>
    </row>
    <row r="49" spans="1:11" s="24" customFormat="1" x14ac:dyDescent="0.25">
      <c r="A49" s="173"/>
      <c r="B49" s="172" t="s">
        <v>352</v>
      </c>
      <c r="C49" s="181">
        <f>SUMPRODUCT(I48:I50,J48:J50)</f>
        <v>99426</v>
      </c>
      <c r="D49" s="173"/>
      <c r="E49" s="283" t="s">
        <v>338</v>
      </c>
      <c r="F49" s="283"/>
      <c r="G49" s="283"/>
      <c r="H49" s="180" t="s">
        <v>339</v>
      </c>
      <c r="I49" s="182">
        <v>1</v>
      </c>
      <c r="J49" s="181">
        <v>23500</v>
      </c>
      <c r="K49" s="173"/>
    </row>
    <row r="50" spans="1:11" s="24" customFormat="1" x14ac:dyDescent="0.25">
      <c r="A50" s="173"/>
      <c r="B50" s="172" t="s">
        <v>330</v>
      </c>
      <c r="C50" s="181">
        <f>C49*8%</f>
        <v>7954.08</v>
      </c>
      <c r="D50" s="173"/>
      <c r="E50" s="284" t="s">
        <v>106</v>
      </c>
      <c r="F50" s="284"/>
      <c r="G50" s="284"/>
      <c r="H50" s="180" t="s">
        <v>340</v>
      </c>
      <c r="I50" s="182">
        <f>I49</f>
        <v>1</v>
      </c>
      <c r="J50" s="181">
        <v>926</v>
      </c>
      <c r="K50" s="173"/>
    </row>
    <row r="51" spans="1:11" s="24" customFormat="1" x14ac:dyDescent="0.25">
      <c r="A51" s="173"/>
      <c r="B51" s="173"/>
      <c r="C51" s="173"/>
      <c r="D51" s="173"/>
      <c r="E51" s="174"/>
      <c r="F51" s="174"/>
      <c r="G51" s="174"/>
      <c r="H51" s="173"/>
      <c r="I51" s="173"/>
      <c r="J51" s="173" t="s">
        <v>338</v>
      </c>
      <c r="K51" s="173"/>
    </row>
    <row r="52" spans="1:11" s="24" customFormat="1" x14ac:dyDescent="0.25">
      <c r="E52" s="171"/>
      <c r="F52" s="171"/>
      <c r="G52" s="171"/>
    </row>
    <row r="53" spans="1:11" s="24" customFormat="1" ht="15.75" x14ac:dyDescent="0.25">
      <c r="A53" s="185" t="s">
        <v>334</v>
      </c>
      <c r="B53" s="173"/>
      <c r="C53" s="173"/>
      <c r="D53" s="173"/>
      <c r="E53" s="172" t="s">
        <v>327</v>
      </c>
      <c r="F53" s="174"/>
      <c r="G53" s="174"/>
      <c r="H53" s="153" t="s">
        <v>398</v>
      </c>
      <c r="I53" s="153" t="s">
        <v>335</v>
      </c>
      <c r="J53" s="153" t="s">
        <v>336</v>
      </c>
      <c r="K53" s="173"/>
    </row>
    <row r="54" spans="1:11" s="24" customFormat="1" x14ac:dyDescent="0.25">
      <c r="A54" s="173"/>
      <c r="B54" s="172" t="s">
        <v>328</v>
      </c>
      <c r="C54" s="187">
        <f>D83</f>
        <v>0</v>
      </c>
      <c r="D54" s="173"/>
      <c r="E54" s="174"/>
      <c r="F54" s="174"/>
      <c r="G54" s="174"/>
      <c r="H54" s="180" t="s">
        <v>337</v>
      </c>
      <c r="I54" s="182">
        <v>1</v>
      </c>
      <c r="J54" s="181">
        <v>75000</v>
      </c>
      <c r="K54" s="173"/>
    </row>
    <row r="55" spans="1:11" s="24" customFormat="1" x14ac:dyDescent="0.25">
      <c r="A55" s="173"/>
      <c r="B55" s="172" t="s">
        <v>352</v>
      </c>
      <c r="C55" s="181">
        <f>SUMPRODUCT(I54:I56,J54:J56)</f>
        <v>91332</v>
      </c>
      <c r="D55" s="173"/>
      <c r="E55" s="283" t="s">
        <v>338</v>
      </c>
      <c r="F55" s="283"/>
      <c r="G55" s="283"/>
      <c r="H55" s="180" t="s">
        <v>339</v>
      </c>
      <c r="I55" s="182">
        <v>1</v>
      </c>
      <c r="J55" s="181">
        <v>16000</v>
      </c>
      <c r="K55" s="173"/>
    </row>
    <row r="56" spans="1:11" s="24" customFormat="1" x14ac:dyDescent="0.25">
      <c r="A56" s="173"/>
      <c r="B56" s="172" t="s">
        <v>330</v>
      </c>
      <c r="C56" s="181">
        <f>C55*8%</f>
        <v>7306.56</v>
      </c>
      <c r="D56" s="173"/>
      <c r="E56" s="284" t="s">
        <v>106</v>
      </c>
      <c r="F56" s="284"/>
      <c r="G56" s="284"/>
      <c r="H56" s="180" t="s">
        <v>340</v>
      </c>
      <c r="I56" s="182">
        <f>I55</f>
        <v>1</v>
      </c>
      <c r="J56" s="181">
        <v>332</v>
      </c>
      <c r="K56" s="173"/>
    </row>
    <row r="57" spans="1:11" s="24" customFormat="1" x14ac:dyDescent="0.25">
      <c r="A57" s="173"/>
      <c r="B57" s="173"/>
      <c r="C57" s="173"/>
      <c r="D57" s="173"/>
      <c r="E57" s="174"/>
      <c r="F57" s="174"/>
      <c r="G57" s="174"/>
      <c r="H57" s="173"/>
      <c r="I57" s="173"/>
      <c r="J57" s="175" t="s">
        <v>341</v>
      </c>
      <c r="K57" s="173"/>
    </row>
    <row r="58" spans="1:11" s="24" customFormat="1" x14ac:dyDescent="0.25">
      <c r="E58" s="171"/>
      <c r="F58" s="171"/>
      <c r="G58" s="171"/>
      <c r="J58" s="80"/>
    </row>
    <row r="59" spans="1:11" s="24" customFormat="1" ht="15.75" x14ac:dyDescent="0.25">
      <c r="A59" s="185" t="s">
        <v>150</v>
      </c>
      <c r="B59" s="173"/>
      <c r="C59" s="173"/>
      <c r="D59" s="173"/>
      <c r="E59" s="173"/>
      <c r="F59" s="173"/>
      <c r="G59" s="173"/>
      <c r="H59" s="173"/>
      <c r="I59" s="175"/>
      <c r="J59" s="173"/>
      <c r="K59" s="173"/>
    </row>
    <row r="60" spans="1:11" s="24" customFormat="1" x14ac:dyDescent="0.25">
      <c r="A60" s="173"/>
      <c r="B60" s="173"/>
      <c r="C60" s="177" t="s">
        <v>397</v>
      </c>
      <c r="D60" s="177" t="s">
        <v>344</v>
      </c>
      <c r="E60" s="173"/>
      <c r="F60" s="273"/>
      <c r="G60" s="184" t="s">
        <v>345</v>
      </c>
      <c r="H60" s="273" t="s">
        <v>347</v>
      </c>
      <c r="I60" s="173"/>
      <c r="J60" s="173"/>
      <c r="K60" s="173"/>
    </row>
    <row r="61" spans="1:11" s="24" customFormat="1" x14ac:dyDescent="0.25">
      <c r="A61" s="173"/>
      <c r="B61" s="172" t="s">
        <v>352</v>
      </c>
      <c r="C61" s="181">
        <f>H72</f>
        <v>375000</v>
      </c>
      <c r="D61" s="181">
        <f>G72</f>
        <v>59700</v>
      </c>
      <c r="E61" s="173"/>
      <c r="F61" s="273"/>
      <c r="G61" s="183" t="s">
        <v>346</v>
      </c>
      <c r="H61" s="273"/>
      <c r="I61" s="173"/>
      <c r="J61" s="173"/>
      <c r="K61" s="173"/>
    </row>
    <row r="62" spans="1:11" s="24" customFormat="1" x14ac:dyDescent="0.25">
      <c r="A62" s="173"/>
      <c r="B62" s="172" t="s">
        <v>330</v>
      </c>
      <c r="C62" s="181">
        <f>H79</f>
        <v>37500</v>
      </c>
      <c r="D62" s="181">
        <f>G79</f>
        <v>14800</v>
      </c>
      <c r="E62" s="173"/>
      <c r="F62" s="180" t="s">
        <v>124</v>
      </c>
      <c r="G62" s="181">
        <v>23000</v>
      </c>
      <c r="H62" s="181"/>
      <c r="I62" s="173"/>
      <c r="J62" s="173"/>
      <c r="K62" s="173"/>
    </row>
    <row r="63" spans="1:11" s="24" customFormat="1" x14ac:dyDescent="0.25">
      <c r="A63" s="173"/>
      <c r="B63" s="173"/>
      <c r="C63" s="173"/>
      <c r="D63" s="173"/>
      <c r="E63" s="173"/>
      <c r="F63" s="180" t="s">
        <v>125</v>
      </c>
      <c r="G63" s="181">
        <v>500</v>
      </c>
      <c r="H63" s="181"/>
      <c r="I63" s="173"/>
      <c r="J63" s="173"/>
      <c r="K63" s="173"/>
    </row>
    <row r="64" spans="1:11" s="24" customFormat="1" x14ac:dyDescent="0.25">
      <c r="A64" s="173"/>
      <c r="B64" s="173"/>
      <c r="C64" s="173"/>
      <c r="D64" s="173"/>
      <c r="E64" s="173"/>
      <c r="F64" s="180" t="s">
        <v>126</v>
      </c>
      <c r="G64" s="181">
        <v>500</v>
      </c>
      <c r="H64" s="181"/>
      <c r="I64" s="173"/>
      <c r="J64" s="173"/>
      <c r="K64" s="173"/>
    </row>
    <row r="65" spans="1:11" s="24" customFormat="1" x14ac:dyDescent="0.25">
      <c r="A65" s="173"/>
      <c r="B65" s="173"/>
      <c r="C65" s="173"/>
      <c r="D65" s="173"/>
      <c r="E65" s="173"/>
      <c r="F65" s="180" t="s">
        <v>127</v>
      </c>
      <c r="G65" s="181">
        <v>2500</v>
      </c>
      <c r="H65" s="181"/>
      <c r="I65" s="173"/>
      <c r="J65" s="173"/>
      <c r="K65" s="173"/>
    </row>
    <row r="66" spans="1:11" s="24" customFormat="1" x14ac:dyDescent="0.25">
      <c r="A66" s="173"/>
      <c r="B66" s="173"/>
      <c r="C66" s="173"/>
      <c r="D66" s="173"/>
      <c r="E66" s="173"/>
      <c r="F66" s="180" t="s">
        <v>128</v>
      </c>
      <c r="G66" s="181">
        <v>14000</v>
      </c>
      <c r="H66" s="181"/>
      <c r="I66" s="173"/>
      <c r="J66" s="173"/>
      <c r="K66" s="173"/>
    </row>
    <row r="67" spans="1:11" s="24" customFormat="1" x14ac:dyDescent="0.25">
      <c r="A67" s="173"/>
      <c r="B67" s="173"/>
      <c r="C67" s="173"/>
      <c r="D67" s="173"/>
      <c r="E67" s="173"/>
      <c r="F67" s="180" t="s">
        <v>129</v>
      </c>
      <c r="G67" s="181">
        <v>1000</v>
      </c>
      <c r="H67" s="181"/>
      <c r="I67" s="173"/>
      <c r="J67" s="173"/>
      <c r="K67" s="173"/>
    </row>
    <row r="68" spans="1:11" s="24" customFormat="1" x14ac:dyDescent="0.25">
      <c r="A68" s="173"/>
      <c r="B68" s="173"/>
      <c r="C68" s="173"/>
      <c r="D68" s="173"/>
      <c r="E68" s="173"/>
      <c r="F68" s="180" t="s">
        <v>130</v>
      </c>
      <c r="G68" s="181">
        <v>200</v>
      </c>
      <c r="H68" s="181"/>
      <c r="I68" s="173"/>
      <c r="J68" s="173"/>
      <c r="K68" s="173"/>
    </row>
    <row r="69" spans="1:11" s="24" customFormat="1" x14ac:dyDescent="0.25">
      <c r="A69" s="173"/>
      <c r="B69" s="173"/>
      <c r="C69" s="173"/>
      <c r="D69" s="173"/>
      <c r="E69" s="173"/>
      <c r="F69" s="180" t="s">
        <v>131</v>
      </c>
      <c r="G69" s="181">
        <v>18000</v>
      </c>
      <c r="H69" s="181"/>
      <c r="I69" s="173"/>
      <c r="J69" s="173"/>
      <c r="K69" s="173"/>
    </row>
    <row r="70" spans="1:11" s="24" customFormat="1" x14ac:dyDescent="0.25">
      <c r="A70" s="173"/>
      <c r="B70" s="173"/>
      <c r="C70" s="173"/>
      <c r="D70" s="173"/>
      <c r="E70" s="173"/>
      <c r="F70" s="180" t="s">
        <v>132</v>
      </c>
      <c r="G70" s="181">
        <f>G62</f>
        <v>23000</v>
      </c>
      <c r="H70" s="181">
        <v>250000</v>
      </c>
      <c r="I70" s="173"/>
      <c r="J70" s="173"/>
      <c r="K70" s="173"/>
    </row>
    <row r="71" spans="1:11" s="24" customFormat="1" x14ac:dyDescent="0.25">
      <c r="A71" s="173"/>
      <c r="B71" s="173"/>
      <c r="C71" s="173"/>
      <c r="D71" s="173"/>
      <c r="E71" s="173"/>
      <c r="F71" s="180" t="s">
        <v>133</v>
      </c>
      <c r="G71" s="181">
        <f>SUM(G63:G69)</f>
        <v>36700</v>
      </c>
      <c r="H71" s="181">
        <v>125000</v>
      </c>
      <c r="I71" s="173"/>
      <c r="J71" s="173"/>
      <c r="K71" s="173"/>
    </row>
    <row r="72" spans="1:11" s="24" customFormat="1" x14ac:dyDescent="0.25">
      <c r="A72" s="173"/>
      <c r="B72" s="173"/>
      <c r="C72" s="173"/>
      <c r="D72" s="173"/>
      <c r="E72" s="173"/>
      <c r="F72" s="180" t="s">
        <v>134</v>
      </c>
      <c r="G72" s="181">
        <f t="shared" ref="G72" si="0">G70+G71</f>
        <v>59700</v>
      </c>
      <c r="H72" s="181">
        <f>H71+H70</f>
        <v>375000</v>
      </c>
      <c r="I72" s="173"/>
      <c r="J72" s="173"/>
      <c r="K72" s="173"/>
    </row>
    <row r="73" spans="1:11" s="24" customFormat="1" x14ac:dyDescent="0.25">
      <c r="A73" s="173"/>
      <c r="B73" s="173"/>
      <c r="C73" s="173"/>
      <c r="D73" s="173"/>
      <c r="E73" s="173"/>
      <c r="F73" s="178" t="s">
        <v>348</v>
      </c>
      <c r="G73" s="173"/>
      <c r="H73" s="173"/>
      <c r="I73" s="173"/>
      <c r="J73" s="173"/>
      <c r="K73" s="173"/>
    </row>
    <row r="74" spans="1:11" s="24" customFormat="1" x14ac:dyDescent="0.25">
      <c r="A74" s="173"/>
      <c r="B74" s="173"/>
      <c r="C74" s="173"/>
      <c r="D74" s="173"/>
      <c r="E74" s="173"/>
      <c r="F74" s="175" t="s">
        <v>333</v>
      </c>
      <c r="G74" s="179"/>
      <c r="H74" s="173"/>
      <c r="I74" s="173"/>
      <c r="J74" s="173"/>
      <c r="K74" s="173"/>
    </row>
    <row r="75" spans="1:11" s="24" customFormat="1" x14ac:dyDescent="0.25">
      <c r="A75" s="173"/>
      <c r="B75" s="173"/>
      <c r="C75" s="173"/>
      <c r="D75" s="173"/>
      <c r="E75" s="173"/>
      <c r="F75" s="173"/>
      <c r="G75" s="173"/>
      <c r="H75" s="175"/>
      <c r="I75" s="179"/>
      <c r="J75" s="173"/>
      <c r="K75" s="173"/>
    </row>
    <row r="76" spans="1:11" s="24" customFormat="1" x14ac:dyDescent="0.25">
      <c r="A76" s="173"/>
      <c r="B76" s="173"/>
      <c r="C76" s="173"/>
      <c r="D76" s="173"/>
      <c r="E76" s="173"/>
      <c r="F76" s="180" t="s">
        <v>135</v>
      </c>
      <c r="G76" s="181">
        <v>12000</v>
      </c>
      <c r="H76" s="181">
        <v>12000</v>
      </c>
      <c r="I76" s="178" t="s">
        <v>348</v>
      </c>
      <c r="J76" s="173"/>
      <c r="K76" s="173"/>
    </row>
    <row r="77" spans="1:11" s="24" customFormat="1" x14ac:dyDescent="0.25">
      <c r="A77" s="173"/>
      <c r="B77" s="173"/>
      <c r="C77" s="173"/>
      <c r="D77" s="173"/>
      <c r="E77" s="173"/>
      <c r="F77" s="180" t="s">
        <v>136</v>
      </c>
      <c r="G77" s="181">
        <v>500</v>
      </c>
      <c r="H77" s="181">
        <v>500</v>
      </c>
      <c r="I77" s="178" t="s">
        <v>349</v>
      </c>
      <c r="J77" s="173"/>
      <c r="K77" s="173"/>
    </row>
    <row r="78" spans="1:11" s="24" customFormat="1" x14ac:dyDescent="0.25">
      <c r="A78" s="173"/>
      <c r="B78" s="173"/>
      <c r="C78" s="173"/>
      <c r="D78" s="173"/>
      <c r="E78" s="173"/>
      <c r="F78" s="180" t="s">
        <v>22</v>
      </c>
      <c r="G78" s="181">
        <f>G70*0.1</f>
        <v>2300</v>
      </c>
      <c r="H78" s="181">
        <f>H70*0.1</f>
        <v>25000</v>
      </c>
      <c r="I78" s="175" t="s">
        <v>350</v>
      </c>
      <c r="J78" s="173"/>
      <c r="K78" s="173"/>
    </row>
    <row r="79" spans="1:11" s="24" customFormat="1" x14ac:dyDescent="0.25">
      <c r="A79" s="173"/>
      <c r="B79" s="173"/>
      <c r="C79" s="173"/>
      <c r="D79" s="173"/>
      <c r="E79" s="173"/>
      <c r="F79" s="180" t="s">
        <v>105</v>
      </c>
      <c r="G79" s="181">
        <f>SUM(G76:G78)</f>
        <v>14800</v>
      </c>
      <c r="H79" s="181">
        <f>SUM(H76:H78)</f>
        <v>37500</v>
      </c>
      <c r="I79" s="179"/>
      <c r="J79" s="173"/>
      <c r="K79" s="173"/>
    </row>
    <row r="80" spans="1:11" s="24" customFormat="1" x14ac:dyDescent="0.25">
      <c r="A80" s="173"/>
      <c r="B80" s="173"/>
      <c r="C80" s="173"/>
      <c r="D80" s="173"/>
      <c r="E80" s="173"/>
      <c r="F80" s="173"/>
      <c r="G80" s="173"/>
      <c r="H80" s="173"/>
      <c r="I80" s="179"/>
      <c r="J80" s="173"/>
      <c r="K80" s="173"/>
    </row>
    <row r="81" spans="1:11" s="24" customFormat="1" x14ac:dyDescent="0.25">
      <c r="I81" s="170"/>
    </row>
    <row r="82" spans="1:11" s="24" customFormat="1" ht="15.75" x14ac:dyDescent="0.25">
      <c r="A82" s="185" t="s">
        <v>103</v>
      </c>
      <c r="B82" s="173"/>
      <c r="C82" s="173"/>
      <c r="D82" s="173"/>
      <c r="E82" s="172" t="s">
        <v>327</v>
      </c>
      <c r="F82" s="173"/>
      <c r="G82" s="173"/>
      <c r="H82" s="173"/>
      <c r="I82" s="173"/>
      <c r="J82" s="173"/>
      <c r="K82" s="173"/>
    </row>
    <row r="83" spans="1:11" s="24" customFormat="1" x14ac:dyDescent="0.25">
      <c r="A83" s="173"/>
      <c r="B83" s="172" t="s">
        <v>328</v>
      </c>
      <c r="C83" s="187">
        <f>C37</f>
        <v>0</v>
      </c>
      <c r="D83" s="173"/>
      <c r="E83" s="173"/>
      <c r="F83" s="173"/>
      <c r="G83" s="173"/>
      <c r="H83" s="173"/>
      <c r="I83" s="173"/>
      <c r="J83" s="173"/>
      <c r="K83" s="173"/>
    </row>
    <row r="84" spans="1:11" s="24" customFormat="1" x14ac:dyDescent="0.25">
      <c r="A84" s="173"/>
      <c r="B84" s="172" t="s">
        <v>352</v>
      </c>
      <c r="C84" s="181">
        <f>0.2441*C83+10650.4981</f>
        <v>10650.498100000001</v>
      </c>
      <c r="D84" s="173"/>
      <c r="E84" s="283" t="s">
        <v>329</v>
      </c>
      <c r="F84" s="283"/>
      <c r="G84" s="283"/>
      <c r="H84" s="173"/>
      <c r="I84" s="173"/>
      <c r="J84" s="173"/>
      <c r="K84" s="173"/>
    </row>
    <row r="85" spans="1:11" s="24" customFormat="1" x14ac:dyDescent="0.25">
      <c r="A85" s="173"/>
      <c r="B85" s="172" t="s">
        <v>330</v>
      </c>
      <c r="C85" s="181">
        <f>AVERAGE(0.05,0.08)*C84</f>
        <v>692.28237650000005</v>
      </c>
      <c r="D85" s="173"/>
      <c r="E85" s="284" t="s">
        <v>107</v>
      </c>
      <c r="F85" s="284"/>
      <c r="G85" s="284"/>
      <c r="H85" s="173"/>
      <c r="I85" s="173"/>
      <c r="J85" s="173"/>
      <c r="K85" s="173"/>
    </row>
    <row r="86" spans="1:11" s="24" customFormat="1" x14ac:dyDescent="0.25"/>
    <row r="87" spans="1:11" s="24" customFormat="1" ht="15.75" x14ac:dyDescent="0.25">
      <c r="A87" s="185" t="s">
        <v>399</v>
      </c>
      <c r="B87" s="173"/>
      <c r="C87" s="173"/>
      <c r="D87" s="173"/>
      <c r="E87" s="172" t="s">
        <v>327</v>
      </c>
      <c r="F87" s="174"/>
      <c r="G87" s="174"/>
      <c r="H87" s="153" t="s">
        <v>398</v>
      </c>
      <c r="I87" s="153" t="s">
        <v>335</v>
      </c>
      <c r="J87" s="153" t="s">
        <v>336</v>
      </c>
      <c r="K87" s="173"/>
    </row>
    <row r="88" spans="1:11" s="24" customFormat="1" x14ac:dyDescent="0.25">
      <c r="A88" s="173"/>
      <c r="B88" s="172" t="s">
        <v>328</v>
      </c>
      <c r="C88" s="187">
        <f>D42</f>
        <v>0</v>
      </c>
      <c r="D88" s="173"/>
      <c r="E88" s="174"/>
      <c r="F88" s="174"/>
      <c r="G88" s="174"/>
      <c r="H88" s="180" t="s">
        <v>337</v>
      </c>
      <c r="I88" s="182">
        <v>1</v>
      </c>
      <c r="J88" s="181">
        <v>75000</v>
      </c>
      <c r="K88" s="173"/>
    </row>
    <row r="89" spans="1:11" s="24" customFormat="1" x14ac:dyDescent="0.25">
      <c r="A89" s="173"/>
      <c r="B89" s="172" t="s">
        <v>352</v>
      </c>
      <c r="C89" s="181">
        <f>SUMPRODUCT(I88:I90,J88:J90)</f>
        <v>91332</v>
      </c>
      <c r="D89" s="173"/>
      <c r="E89" s="283" t="s">
        <v>338</v>
      </c>
      <c r="F89" s="283"/>
      <c r="G89" s="283"/>
      <c r="H89" s="180" t="s">
        <v>339</v>
      </c>
      <c r="I89" s="182">
        <v>1</v>
      </c>
      <c r="J89" s="181">
        <v>16000</v>
      </c>
      <c r="K89" s="173"/>
    </row>
    <row r="90" spans="1:11" s="24" customFormat="1" x14ac:dyDescent="0.25">
      <c r="A90" s="173"/>
      <c r="B90" s="172" t="s">
        <v>330</v>
      </c>
      <c r="C90" s="181">
        <f>C89*5%</f>
        <v>4566.6000000000004</v>
      </c>
      <c r="D90" s="173"/>
      <c r="E90" s="284" t="s">
        <v>342</v>
      </c>
      <c r="F90" s="284"/>
      <c r="G90" s="284"/>
      <c r="H90" s="180" t="s">
        <v>340</v>
      </c>
      <c r="I90" s="182">
        <f>I89</f>
        <v>1</v>
      </c>
      <c r="J90" s="181">
        <v>332</v>
      </c>
      <c r="K90" s="173"/>
    </row>
    <row r="91" spans="1:11" s="24" customFormat="1" x14ac:dyDescent="0.25">
      <c r="A91" s="173"/>
      <c r="B91" s="173"/>
      <c r="C91" s="173"/>
      <c r="D91" s="176"/>
      <c r="E91" s="173"/>
      <c r="F91" s="173"/>
      <c r="G91" s="173"/>
      <c r="H91" s="173"/>
      <c r="I91" s="173"/>
      <c r="J91" s="175" t="s">
        <v>343</v>
      </c>
      <c r="K91" s="173"/>
    </row>
    <row r="92" spans="1:11" s="24" customFormat="1" x14ac:dyDescent="0.25"/>
    <row r="93" spans="1:11" s="24" customFormat="1" x14ac:dyDescent="0.25"/>
    <row r="94" spans="1:11" s="24" customFormat="1" x14ac:dyDescent="0.25"/>
    <row r="95" spans="1:11" s="24" customFormat="1" x14ac:dyDescent="0.25"/>
    <row r="96" spans="1:11" s="24" customFormat="1" x14ac:dyDescent="0.25"/>
    <row r="97" s="24" customFormat="1" x14ac:dyDescent="0.25"/>
    <row r="98" s="24" customFormat="1" x14ac:dyDescent="0.25"/>
    <row r="99" s="24" customFormat="1" x14ac:dyDescent="0.25"/>
    <row r="100" s="24" customFormat="1" x14ac:dyDescent="0.25"/>
    <row r="101" s="24" customFormat="1" x14ac:dyDescent="0.25"/>
    <row r="102" s="24" customFormat="1" x14ac:dyDescent="0.25"/>
    <row r="103" s="24" customFormat="1" x14ac:dyDescent="0.25"/>
    <row r="104" s="24" customFormat="1" x14ac:dyDescent="0.25"/>
    <row r="105" s="24" customFormat="1" x14ac:dyDescent="0.25"/>
    <row r="106" s="24" customFormat="1" x14ac:dyDescent="0.25"/>
    <row r="107" s="24" customFormat="1" x14ac:dyDescent="0.25"/>
    <row r="108" s="24" customFormat="1" x14ac:dyDescent="0.25"/>
    <row r="109" s="24" customFormat="1" x14ac:dyDescent="0.25"/>
    <row r="110" s="24" customFormat="1" x14ac:dyDescent="0.25"/>
    <row r="111" s="24" customFormat="1" x14ac:dyDescent="0.25"/>
    <row r="112" s="24" customFormat="1" x14ac:dyDescent="0.25"/>
    <row r="113" s="24" customFormat="1" x14ac:dyDescent="0.25"/>
    <row r="114" s="24" customFormat="1" x14ac:dyDescent="0.25"/>
    <row r="115" s="24" customFormat="1" x14ac:dyDescent="0.25"/>
    <row r="116" s="24" customFormat="1" x14ac:dyDescent="0.25"/>
    <row r="117" s="24" customFormat="1" x14ac:dyDescent="0.25"/>
    <row r="118" s="24" customFormat="1" x14ac:dyDescent="0.25"/>
    <row r="119" s="24" customFormat="1" x14ac:dyDescent="0.25"/>
    <row r="120" s="24" customFormat="1" x14ac:dyDescent="0.25"/>
  </sheetData>
  <mergeCells count="14">
    <mergeCell ref="A1:K1"/>
    <mergeCell ref="E84:G84"/>
    <mergeCell ref="E85:G85"/>
    <mergeCell ref="E42:G42"/>
    <mergeCell ref="E43:G43"/>
    <mergeCell ref="E89:G89"/>
    <mergeCell ref="E90:G90"/>
    <mergeCell ref="F60:F61"/>
    <mergeCell ref="H60:H61"/>
    <mergeCell ref="E45:G45"/>
    <mergeCell ref="E49:G49"/>
    <mergeCell ref="E50:G50"/>
    <mergeCell ref="E55:G55"/>
    <mergeCell ref="E56:G56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44"/>
  <sheetViews>
    <sheetView topLeftCell="A31" workbookViewId="0">
      <selection activeCell="K41" sqref="K41"/>
    </sheetView>
  </sheetViews>
  <sheetFormatPr defaultColWidth="8.85546875" defaultRowHeight="15" x14ac:dyDescent="0.25"/>
  <cols>
    <col min="1" max="1" width="25.7109375" style="22" bestFit="1" customWidth="1"/>
    <col min="2" max="2" width="14.7109375" style="22" customWidth="1"/>
    <col min="3" max="3" width="15.28515625" style="22" customWidth="1"/>
    <col min="4" max="4" width="15.42578125" style="22" customWidth="1"/>
    <col min="5" max="5" width="13.7109375" style="22" customWidth="1"/>
    <col min="6" max="6" width="12.7109375" style="22" customWidth="1"/>
    <col min="7" max="11" width="13.140625" style="22" customWidth="1"/>
    <col min="12" max="16" width="11.5703125" style="22" bestFit="1" customWidth="1"/>
    <col min="17" max="16384" width="8.85546875" style="22"/>
  </cols>
  <sheetData>
    <row r="1" spans="1:11" ht="31.5" x14ac:dyDescent="0.25">
      <c r="A1" s="285" t="s">
        <v>263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3" spans="1:1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3.25" x14ac:dyDescent="0.25">
      <c r="A4" s="164" t="s">
        <v>396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x14ac:dyDescent="0.25">
      <c r="A6" s="112" t="s">
        <v>159</v>
      </c>
      <c r="B6" s="113" t="str">
        <f>IF(Inputs!G32=0, " ", Inputs!G32)</f>
        <v xml:space="preserve"> </v>
      </c>
      <c r="C6" s="113"/>
      <c r="D6" s="113"/>
      <c r="E6" s="113"/>
      <c r="F6" s="113"/>
      <c r="G6" s="113"/>
      <c r="H6" s="113"/>
      <c r="I6" s="113"/>
      <c r="J6" s="113"/>
      <c r="K6" s="113"/>
    </row>
    <row r="7" spans="1:11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30" x14ac:dyDescent="0.25">
      <c r="A8" s="153" t="s">
        <v>157</v>
      </c>
      <c r="B8" s="153" t="s">
        <v>158</v>
      </c>
      <c r="C8" s="151" t="s">
        <v>294</v>
      </c>
      <c r="D8" s="151" t="s">
        <v>282</v>
      </c>
      <c r="E8" s="113"/>
      <c r="F8" s="113"/>
      <c r="G8" s="113"/>
      <c r="H8" s="113"/>
      <c r="I8" s="113"/>
      <c r="J8" s="113"/>
      <c r="K8" s="113"/>
    </row>
    <row r="9" spans="1:11" x14ac:dyDescent="0.25">
      <c r="A9" s="115" t="s">
        <v>154</v>
      </c>
      <c r="B9" s="120">
        <f>Inputs!B24</f>
        <v>0</v>
      </c>
      <c r="C9" s="120">
        <f>IF(Inputs!F24=0,Inputs!E24,Inputs!F24)</f>
        <v>15</v>
      </c>
      <c r="D9" s="120">
        <f>IF(Inputs!D24=0,Inputs!C24,Inputs!D24)</f>
        <v>23576</v>
      </c>
      <c r="E9" s="113"/>
      <c r="F9" s="113"/>
      <c r="G9" s="113"/>
      <c r="H9" s="113"/>
      <c r="I9" s="113"/>
      <c r="J9" s="113"/>
      <c r="K9" s="113"/>
    </row>
    <row r="10" spans="1:11" x14ac:dyDescent="0.25">
      <c r="A10" s="115" t="s">
        <v>293</v>
      </c>
      <c r="B10" s="120">
        <f>Inputs!B25</f>
        <v>0</v>
      </c>
      <c r="C10" s="120">
        <f>IF(Inputs!F25=0,Inputs!E25,Inputs!F25)</f>
        <v>11</v>
      </c>
      <c r="D10" s="120">
        <f>IF(Inputs!D25=0,Inputs!C25,Inputs!D25)</f>
        <v>34053</v>
      </c>
      <c r="E10" s="113"/>
      <c r="F10" s="113"/>
      <c r="G10" s="113"/>
      <c r="H10" s="113"/>
      <c r="I10" s="113"/>
      <c r="J10" s="113"/>
      <c r="K10" s="113"/>
    </row>
    <row r="11" spans="1:11" x14ac:dyDescent="0.25">
      <c r="A11" s="115" t="s">
        <v>114</v>
      </c>
      <c r="B11" s="120">
        <f>Inputs!B26</f>
        <v>0</v>
      </c>
      <c r="C11" s="120">
        <f>IF(Inputs!F26=0,Inputs!E26,Inputs!F26)</f>
        <v>5</v>
      </c>
      <c r="D11" s="120">
        <f>IF(Inputs!D26=0,Inputs!C26,Inputs!D26)</f>
        <v>34053</v>
      </c>
      <c r="E11" s="113"/>
      <c r="F11" s="113"/>
      <c r="G11" s="113"/>
      <c r="H11" s="113"/>
      <c r="I11" s="113"/>
      <c r="J11" s="113"/>
      <c r="K11" s="113"/>
    </row>
    <row r="12" spans="1:11" x14ac:dyDescent="0.25">
      <c r="A12" s="214"/>
      <c r="B12" s="215"/>
      <c r="C12" s="215"/>
      <c r="D12" s="215"/>
      <c r="E12" s="113"/>
      <c r="F12" s="113"/>
      <c r="G12" s="113"/>
      <c r="H12" s="113"/>
      <c r="I12" s="113"/>
      <c r="J12" s="113"/>
      <c r="K12" s="113"/>
    </row>
    <row r="13" spans="1:11" ht="15.75" x14ac:dyDescent="0.25">
      <c r="A13" s="121" t="s">
        <v>443</v>
      </c>
      <c r="B13" s="113"/>
      <c r="C13" s="215"/>
      <c r="D13" s="215"/>
      <c r="E13" s="113"/>
      <c r="F13" s="113"/>
      <c r="G13" s="113"/>
      <c r="H13" s="113"/>
      <c r="I13" s="113"/>
      <c r="J13" s="113"/>
      <c r="K13" s="113"/>
    </row>
    <row r="14" spans="1:11" x14ac:dyDescent="0.25">
      <c r="A14" s="112"/>
      <c r="B14" s="113"/>
      <c r="C14" s="215"/>
      <c r="D14" s="215"/>
      <c r="E14" s="113"/>
      <c r="F14" s="113"/>
      <c r="G14" s="113"/>
      <c r="H14" s="113"/>
      <c r="I14" s="113"/>
      <c r="J14" s="113"/>
      <c r="K14" s="113"/>
    </row>
    <row r="15" spans="1:11" x14ac:dyDescent="0.25">
      <c r="A15" s="206" t="s">
        <v>157</v>
      </c>
      <c r="B15" s="206" t="s">
        <v>441</v>
      </c>
      <c r="C15" s="215"/>
      <c r="D15" s="215"/>
      <c r="E15" s="113"/>
      <c r="F15" s="113"/>
      <c r="G15" s="113"/>
      <c r="H15" s="113"/>
      <c r="I15" s="113"/>
      <c r="J15" s="113"/>
      <c r="K15" s="113"/>
    </row>
    <row r="16" spans="1:11" x14ac:dyDescent="0.25">
      <c r="A16" s="212" t="s">
        <v>154</v>
      </c>
      <c r="B16" s="118" t="str">
        <f>IF(ISBLANK(Inputs!B33)," ",Inputs!B33)</f>
        <v xml:space="preserve"> </v>
      </c>
      <c r="C16" s="215"/>
      <c r="D16" s="215"/>
      <c r="E16" s="113"/>
      <c r="F16" s="113"/>
      <c r="G16" s="113"/>
      <c r="H16" s="113"/>
      <c r="I16" s="113"/>
      <c r="J16" s="113"/>
      <c r="K16" s="113"/>
    </row>
    <row r="17" spans="1:11" x14ac:dyDescent="0.25">
      <c r="A17" s="212" t="s">
        <v>293</v>
      </c>
      <c r="B17" s="118" t="str">
        <f>IF(ISBLANK(Inputs!B34)," ",Inputs!B34)</f>
        <v xml:space="preserve"> </v>
      </c>
      <c r="C17" s="215"/>
      <c r="D17" s="215"/>
      <c r="E17" s="113"/>
      <c r="F17" s="113"/>
      <c r="G17" s="113"/>
      <c r="H17" s="113"/>
      <c r="I17" s="113"/>
      <c r="J17" s="113"/>
      <c r="K17" s="113"/>
    </row>
    <row r="18" spans="1:11" x14ac:dyDescent="0.25">
      <c r="A18" s="212" t="s">
        <v>114</v>
      </c>
      <c r="B18" s="118" t="str">
        <f>IF(ISBLANK(Inputs!B35)," ",Inputs!B35)</f>
        <v xml:space="preserve"> </v>
      </c>
      <c r="C18" s="215"/>
      <c r="D18" s="215"/>
      <c r="E18" s="113"/>
      <c r="F18" s="113"/>
      <c r="G18" s="113"/>
      <c r="H18" s="113"/>
      <c r="I18" s="113"/>
      <c r="J18" s="113"/>
      <c r="K18" s="113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1" spans="1:11" ht="23.25" x14ac:dyDescent="0.25">
      <c r="A21" s="28" t="s">
        <v>309</v>
      </c>
    </row>
    <row r="22" spans="1:11" x14ac:dyDescent="0.25">
      <c r="A22" s="71" t="s">
        <v>273</v>
      </c>
    </row>
    <row r="23" spans="1:11" x14ac:dyDescent="0.25">
      <c r="A23" s="71"/>
    </row>
    <row r="24" spans="1:11" ht="45.6" customHeight="1" x14ac:dyDescent="0.25">
      <c r="A24" s="45" t="s">
        <v>157</v>
      </c>
      <c r="B24" s="151" t="s">
        <v>436</v>
      </c>
      <c r="C24" s="72" t="s">
        <v>269</v>
      </c>
      <c r="D24" s="72" t="s">
        <v>283</v>
      </c>
    </row>
    <row r="25" spans="1:11" x14ac:dyDescent="0.25">
      <c r="A25" s="73" t="s">
        <v>154</v>
      </c>
      <c r="B25" s="75">
        <f>Constants!$C$35*'Fuel Consumption'!C25</f>
        <v>2008.1169361836971</v>
      </c>
      <c r="C25" s="75">
        <f>D9/C9</f>
        <v>1571.7333333333333</v>
      </c>
      <c r="D25" s="75">
        <f>IF(B6=" ", 0, VLOOKUP($B$6,Constants!A$28:$C$35,3)*C25)</f>
        <v>0</v>
      </c>
    </row>
    <row r="26" spans="1:11" x14ac:dyDescent="0.25">
      <c r="A26" s="73" t="s">
        <v>293</v>
      </c>
      <c r="B26" s="75">
        <f>Constants!$C$35*'Fuel Consumption'!C26</f>
        <v>3955.2398834637365</v>
      </c>
      <c r="C26" s="75">
        <f>D10/C10</f>
        <v>3095.7272727272725</v>
      </c>
      <c r="D26" s="75">
        <f>IF(B6=" ",0,VLOOKUP($B$6,Constants!A$28:$C$35,3)*C26)</f>
        <v>0</v>
      </c>
    </row>
    <row r="27" spans="1:11" x14ac:dyDescent="0.25">
      <c r="A27" s="73" t="s">
        <v>114</v>
      </c>
      <c r="B27" s="75">
        <f>Constants!$C$35*'Fuel Consumption'!C27</f>
        <v>8701.5277436202214</v>
      </c>
      <c r="C27" s="75">
        <f>D11/C11</f>
        <v>6810.6</v>
      </c>
      <c r="D27" s="75">
        <f>IF(B6=" ",0,VLOOKUP($B$6,Constants!A$28:$C$35,3)*C27)</f>
        <v>0</v>
      </c>
    </row>
    <row r="29" spans="1:11" ht="15.75" x14ac:dyDescent="0.25">
      <c r="A29" s="77" t="str">
        <f>CONCATENATE("Alternative Fuel Consumption - ", B6," (Unit/yr)")</f>
        <v>Alternative Fuel Consumption -   (Unit/yr)</v>
      </c>
    </row>
    <row r="31" spans="1:11" x14ac:dyDescent="0.25">
      <c r="A31" s="45" t="s">
        <v>157</v>
      </c>
      <c r="B31" s="45">
        <f>Inputs!B46</f>
        <v>2018</v>
      </c>
      <c r="C31" s="45">
        <f>Inputs!C46</f>
        <v>2019</v>
      </c>
      <c r="D31" s="45">
        <f>Inputs!D46</f>
        <v>2020</v>
      </c>
      <c r="E31" s="45">
        <f>Inputs!E46</f>
        <v>2021</v>
      </c>
      <c r="F31" s="45">
        <f>Inputs!F46</f>
        <v>2022</v>
      </c>
      <c r="G31" s="45">
        <f>Inputs!G46</f>
        <v>2023</v>
      </c>
      <c r="H31" s="45">
        <f>Inputs!H46</f>
        <v>2024</v>
      </c>
      <c r="I31" s="45">
        <f>Inputs!I46</f>
        <v>2025</v>
      </c>
      <c r="J31" s="45">
        <f>Inputs!J46</f>
        <v>2026</v>
      </c>
      <c r="K31" s="45">
        <f>Inputs!K46</f>
        <v>2027</v>
      </c>
    </row>
    <row r="32" spans="1:11" x14ac:dyDescent="0.25">
      <c r="A32" s="73" t="s">
        <v>161</v>
      </c>
      <c r="B32" s="76">
        <f>'Vehicle Price'!B19*'Fuel Consumption'!$D25</f>
        <v>0</v>
      </c>
      <c r="C32" s="76">
        <f>'Vehicle Price'!C19*'Fuel Consumption'!$D25</f>
        <v>0</v>
      </c>
      <c r="D32" s="76">
        <f>'Vehicle Price'!D19*'Fuel Consumption'!$D25</f>
        <v>0</v>
      </c>
      <c r="E32" s="76">
        <f>'Vehicle Price'!E19*'Fuel Consumption'!$D25</f>
        <v>0</v>
      </c>
      <c r="F32" s="76">
        <f>'Vehicle Price'!F19*'Fuel Consumption'!$D25</f>
        <v>0</v>
      </c>
      <c r="G32" s="76">
        <f>'Vehicle Price'!G19*'Fuel Consumption'!$D25</f>
        <v>0</v>
      </c>
      <c r="H32" s="76">
        <f>'Vehicle Price'!H19*'Fuel Consumption'!$D25</f>
        <v>0</v>
      </c>
      <c r="I32" s="76">
        <f>'Vehicle Price'!I19*'Fuel Consumption'!$D25</f>
        <v>0</v>
      </c>
      <c r="J32" s="76">
        <f>'Vehicle Price'!J19*'Fuel Consumption'!$D25</f>
        <v>0</v>
      </c>
      <c r="K32" s="76">
        <f>'Vehicle Price'!K19*'Fuel Consumption'!$D25</f>
        <v>0</v>
      </c>
    </row>
    <row r="33" spans="1:11" x14ac:dyDescent="0.25">
      <c r="A33" s="73" t="s">
        <v>293</v>
      </c>
      <c r="B33" s="76">
        <f>'Vehicle Price'!B20*'Fuel Consumption'!$D26</f>
        <v>0</v>
      </c>
      <c r="C33" s="76">
        <f>'Vehicle Price'!C20*'Fuel Consumption'!$D26</f>
        <v>0</v>
      </c>
      <c r="D33" s="76">
        <f>'Vehicle Price'!D20*'Fuel Consumption'!$D26</f>
        <v>0</v>
      </c>
      <c r="E33" s="76">
        <f>'Vehicle Price'!E20*'Fuel Consumption'!$D26</f>
        <v>0</v>
      </c>
      <c r="F33" s="76">
        <f>'Vehicle Price'!F20*'Fuel Consumption'!$D26</f>
        <v>0</v>
      </c>
      <c r="G33" s="76">
        <f>'Vehicle Price'!G20*'Fuel Consumption'!$D26</f>
        <v>0</v>
      </c>
      <c r="H33" s="76">
        <f>'Vehicle Price'!H20*'Fuel Consumption'!$D26</f>
        <v>0</v>
      </c>
      <c r="I33" s="76">
        <f>'Vehicle Price'!I20*'Fuel Consumption'!$D26</f>
        <v>0</v>
      </c>
      <c r="J33" s="76">
        <f>'Vehicle Price'!J20*'Fuel Consumption'!$D26</f>
        <v>0</v>
      </c>
      <c r="K33" s="76">
        <f>'Vehicle Price'!K20*'Fuel Consumption'!$D26</f>
        <v>0</v>
      </c>
    </row>
    <row r="34" spans="1:11" x14ac:dyDescent="0.25">
      <c r="A34" s="73" t="s">
        <v>114</v>
      </c>
      <c r="B34" s="76">
        <f>'Vehicle Price'!B21*'Fuel Consumption'!$D27</f>
        <v>0</v>
      </c>
      <c r="C34" s="76">
        <f>'Vehicle Price'!C21*'Fuel Consumption'!$D27</f>
        <v>0</v>
      </c>
      <c r="D34" s="76">
        <f>'Vehicle Price'!D21*'Fuel Consumption'!$D27</f>
        <v>0</v>
      </c>
      <c r="E34" s="76">
        <f>'Vehicle Price'!E21*'Fuel Consumption'!$D27</f>
        <v>0</v>
      </c>
      <c r="F34" s="76">
        <f>'Vehicle Price'!F21*'Fuel Consumption'!$D27</f>
        <v>0</v>
      </c>
      <c r="G34" s="76">
        <f>'Vehicle Price'!G21*'Fuel Consumption'!$D27</f>
        <v>0</v>
      </c>
      <c r="H34" s="76">
        <f>'Vehicle Price'!H21*'Fuel Consumption'!$D27</f>
        <v>0</v>
      </c>
      <c r="I34" s="76">
        <f>'Vehicle Price'!I21*'Fuel Consumption'!$D27</f>
        <v>0</v>
      </c>
      <c r="J34" s="76">
        <f>'Vehicle Price'!J21*'Fuel Consumption'!$D27</f>
        <v>0</v>
      </c>
      <c r="K34" s="76">
        <f>'Vehicle Price'!K21*'Fuel Consumption'!$D27</f>
        <v>0</v>
      </c>
    </row>
    <row r="35" spans="1:11" customFormat="1" x14ac:dyDescent="0.25">
      <c r="A35" s="142" t="s">
        <v>292</v>
      </c>
      <c r="B35" s="143">
        <f>SUM(B32:B34)</f>
        <v>0</v>
      </c>
      <c r="C35" s="143">
        <f t="shared" ref="C35:K35" si="0">SUM(C32:C34)</f>
        <v>0</v>
      </c>
      <c r="D35" s="143">
        <f t="shared" si="0"/>
        <v>0</v>
      </c>
      <c r="E35" s="143">
        <f t="shared" si="0"/>
        <v>0</v>
      </c>
      <c r="F35" s="143">
        <f t="shared" si="0"/>
        <v>0</v>
      </c>
      <c r="G35" s="143">
        <f t="shared" si="0"/>
        <v>0</v>
      </c>
      <c r="H35" s="143">
        <f t="shared" si="0"/>
        <v>0</v>
      </c>
      <c r="I35" s="143">
        <f t="shared" si="0"/>
        <v>0</v>
      </c>
      <c r="J35" s="143">
        <f t="shared" si="0"/>
        <v>0</v>
      </c>
      <c r="K35" s="143">
        <f t="shared" si="0"/>
        <v>0</v>
      </c>
    </row>
    <row r="36" spans="1:11" customFormat="1" x14ac:dyDescent="0.25"/>
    <row r="37" spans="1:11" customFormat="1" ht="15.75" x14ac:dyDescent="0.25">
      <c r="A37" s="77" t="s">
        <v>447</v>
      </c>
    </row>
    <row r="38" spans="1:11" customFormat="1" x14ac:dyDescent="0.25"/>
    <row r="39" spans="1:11" customFormat="1" x14ac:dyDescent="0.25">
      <c r="A39" s="206" t="s">
        <v>157</v>
      </c>
      <c r="B39" s="206">
        <f>Inputs!B46</f>
        <v>2018</v>
      </c>
      <c r="C39" s="206">
        <f>Inputs!C46</f>
        <v>2019</v>
      </c>
      <c r="D39" s="206">
        <f>Inputs!D46</f>
        <v>2020</v>
      </c>
      <c r="E39" s="206">
        <f>Inputs!E46</f>
        <v>2021</v>
      </c>
      <c r="F39" s="206">
        <f>Inputs!F46</f>
        <v>2022</v>
      </c>
      <c r="G39" s="206">
        <f>Inputs!G46</f>
        <v>2023</v>
      </c>
      <c r="H39" s="206">
        <f>Inputs!H46</f>
        <v>2024</v>
      </c>
      <c r="I39" s="206">
        <f>Inputs!I46</f>
        <v>2025</v>
      </c>
      <c r="J39" s="206">
        <f>Inputs!J46</f>
        <v>2026</v>
      </c>
      <c r="K39" s="206">
        <f>Inputs!K46</f>
        <v>2027</v>
      </c>
    </row>
    <row r="40" spans="1:11" customFormat="1" x14ac:dyDescent="0.25">
      <c r="A40" s="73" t="s">
        <v>161</v>
      </c>
      <c r="B40" s="76">
        <f>IF($B$16="Gasoline",'Vehicle Price'!B19*'Fuel Consumption'!$B$25,IF($B$16="Diesel Fuel", 'Vehicle Price'!B19*'Fuel Consumption'!$C$25,0))</f>
        <v>0</v>
      </c>
      <c r="C40" s="76">
        <f>IF($B$16="Gasoline",'Vehicle Price'!C19*'Fuel Consumption'!$B$25,IF($B$16="Diesel Fuel", 'Vehicle Price'!C19*'Fuel Consumption'!$C$25,0))</f>
        <v>0</v>
      </c>
      <c r="D40" s="76">
        <f>IF($B$16="Gasoline",'Vehicle Price'!D19*'Fuel Consumption'!$B$25,IF($B$16="Diesel Fuel", 'Vehicle Price'!D19*'Fuel Consumption'!$C$25,0))</f>
        <v>0</v>
      </c>
      <c r="E40" s="76">
        <f>IF($B$16="Gasoline",'Vehicle Price'!E19*'Fuel Consumption'!$B$25,IF($B$16="Diesel Fuel", 'Vehicle Price'!E19*'Fuel Consumption'!$C$25,0))</f>
        <v>0</v>
      </c>
      <c r="F40" s="76">
        <f>IF($B$16="Gasoline",'Vehicle Price'!F19*'Fuel Consumption'!$B$25,IF($B$16="Diesel Fuel", 'Vehicle Price'!F19*'Fuel Consumption'!$C$25,0))</f>
        <v>0</v>
      </c>
      <c r="G40" s="76">
        <f>IF($B$16="Gasoline",'Vehicle Price'!G19*'Fuel Consumption'!$B$25,IF($B$16="Diesel Fuel", 'Vehicle Price'!G19*'Fuel Consumption'!$C$25,0))</f>
        <v>0</v>
      </c>
      <c r="H40" s="76">
        <f>IF($B$16="Gasoline",'Vehicle Price'!H19*'Fuel Consumption'!$B$25,IF($B$16="Diesel Fuel", 'Vehicle Price'!H19*'Fuel Consumption'!$C$25,0))</f>
        <v>0</v>
      </c>
      <c r="I40" s="76">
        <f>IF($B$16="Gasoline",'Vehicle Price'!I19*'Fuel Consumption'!$B$25,IF($B$16="Diesel Fuel", 'Vehicle Price'!I19*'Fuel Consumption'!$C$25,0))</f>
        <v>0</v>
      </c>
      <c r="J40" s="76">
        <f>IF($B$16="Gasoline",'Vehicle Price'!J19*'Fuel Consumption'!$B$25,IF($B$16="Diesel Fuel", 'Vehicle Price'!J19*'Fuel Consumption'!$C$25,0))</f>
        <v>0</v>
      </c>
      <c r="K40" s="76">
        <f>IF($B$16="Gasoline",'Vehicle Price'!K19*'Fuel Consumption'!$B$25,IF($B$16="Diesel Fuel", 'Vehicle Price'!K19*'Fuel Consumption'!$C$25,0))</f>
        <v>0</v>
      </c>
    </row>
    <row r="41" spans="1:11" customFormat="1" x14ac:dyDescent="0.25">
      <c r="A41" s="73" t="s">
        <v>293</v>
      </c>
      <c r="B41" s="76">
        <f>IF($B$16="Gasoline",'Vehicle Price'!B20*'Fuel Consumption'!$B$26,IF($B$16="Diesel Fuel", 'Vehicle Price'!B20*'Fuel Consumption'!$C$26,0))</f>
        <v>0</v>
      </c>
      <c r="C41" s="76">
        <f>IF($B$16="Gasoline",'Vehicle Price'!C20*'Fuel Consumption'!$B$26,IF($B$16="Diesel Fuel", 'Vehicle Price'!C20*'Fuel Consumption'!$C$26,0))</f>
        <v>0</v>
      </c>
      <c r="D41" s="76">
        <f>IF($B$16="Gasoline",'Vehicle Price'!D20*'Fuel Consumption'!$B$26,IF($B$16="Diesel Fuel", 'Vehicle Price'!D20*'Fuel Consumption'!$C$26,0))</f>
        <v>0</v>
      </c>
      <c r="E41" s="76">
        <f>IF($B$16="Gasoline",'Vehicle Price'!E20*'Fuel Consumption'!$B$26,IF($B$16="Diesel Fuel", 'Vehicle Price'!E20*'Fuel Consumption'!$C$26,0))</f>
        <v>0</v>
      </c>
      <c r="F41" s="76">
        <f>IF($B$16="Gasoline",'Vehicle Price'!F20*'Fuel Consumption'!$B$26,IF($B$16="Diesel Fuel", 'Vehicle Price'!F20*'Fuel Consumption'!$C$26,0))</f>
        <v>0</v>
      </c>
      <c r="G41" s="76">
        <f>IF($B$16="Gasoline",'Vehicle Price'!G20*'Fuel Consumption'!$B$26,IF($B$16="Diesel Fuel", 'Vehicle Price'!G20*'Fuel Consumption'!$C$26,0))</f>
        <v>0</v>
      </c>
      <c r="H41" s="76">
        <f>IF($B$16="Gasoline",'Vehicle Price'!H20*'Fuel Consumption'!$B$26,IF($B$16="Diesel Fuel", 'Vehicle Price'!H20*'Fuel Consumption'!$C$26,0))</f>
        <v>0</v>
      </c>
      <c r="I41" s="76">
        <f>IF($B$16="Gasoline",'Vehicle Price'!I20*'Fuel Consumption'!$B$26,IF($B$16="Diesel Fuel", 'Vehicle Price'!I20*'Fuel Consumption'!$C$26,0))</f>
        <v>0</v>
      </c>
      <c r="J41" s="76">
        <f>IF($B$16="Gasoline",'Vehicle Price'!J20*'Fuel Consumption'!$B$26,IF($B$16="Diesel Fuel", 'Vehicle Price'!J20*'Fuel Consumption'!$C$26,0))</f>
        <v>0</v>
      </c>
      <c r="K41" s="76">
        <f>IF($B$16="Gasoline",'Vehicle Price'!K20*'Fuel Consumption'!$B$26,IF($B$16="Diesel Fuel", 'Vehicle Price'!K20*'Fuel Consumption'!$C$26,0))</f>
        <v>0</v>
      </c>
    </row>
    <row r="42" spans="1:11" customFormat="1" x14ac:dyDescent="0.25">
      <c r="A42" s="73" t="s">
        <v>114</v>
      </c>
      <c r="B42" s="76">
        <f>IF($B$16="Gasoline",'Vehicle Price'!B21*'Fuel Consumption'!$B$27,IF($B$16="Diesel Fuel", 'Vehicle Price'!B21*'Fuel Consumption'!$C$27,0))</f>
        <v>0</v>
      </c>
      <c r="C42" s="76">
        <f>IF($B$16="Gasoline",'Vehicle Price'!C21*'Fuel Consumption'!$B$27,IF($B$16="Diesel Fuel", 'Vehicle Price'!C21*'Fuel Consumption'!$C$27,0))</f>
        <v>0</v>
      </c>
      <c r="D42" s="76">
        <f>IF($B$16="Gasoline",'Vehicle Price'!D21*'Fuel Consumption'!$B$27,IF($B$16="Diesel Fuel", 'Vehicle Price'!D21*'Fuel Consumption'!$C$27,0))</f>
        <v>0</v>
      </c>
      <c r="E42" s="76">
        <f>IF($B$16="Gasoline",'Vehicle Price'!E21*'Fuel Consumption'!$B$27,IF($B$16="Diesel Fuel", 'Vehicle Price'!E21*'Fuel Consumption'!$C$27,0))</f>
        <v>0</v>
      </c>
      <c r="F42" s="76">
        <f>IF($B$16="Gasoline",'Vehicle Price'!F21*'Fuel Consumption'!$B$27,IF($B$16="Diesel Fuel", 'Vehicle Price'!F21*'Fuel Consumption'!$C$27,0))</f>
        <v>0</v>
      </c>
      <c r="G42" s="76">
        <f>IF($B$16="Gasoline",'Vehicle Price'!G21*'Fuel Consumption'!$B$27,IF($B$16="Diesel Fuel", 'Vehicle Price'!G21*'Fuel Consumption'!$C$27,0))</f>
        <v>0</v>
      </c>
      <c r="H42" s="76">
        <f>IF($B$16="Gasoline",'Vehicle Price'!H21*'Fuel Consumption'!$B$27,IF($B$16="Diesel Fuel", 'Vehicle Price'!H21*'Fuel Consumption'!$C$27,0))</f>
        <v>0</v>
      </c>
      <c r="I42" s="76">
        <f>IF($B$16="Gasoline",'Vehicle Price'!I21*'Fuel Consumption'!$B$27,IF($B$16="Diesel Fuel", 'Vehicle Price'!I21*'Fuel Consumption'!$C$27,0))</f>
        <v>0</v>
      </c>
      <c r="J42" s="76">
        <f>IF($B$16="Gasoline",'Vehicle Price'!J21*'Fuel Consumption'!$B$27,IF($B$16="Diesel Fuel", 'Vehicle Price'!J21*'Fuel Consumption'!$C$27,0))</f>
        <v>0</v>
      </c>
      <c r="K42" s="76">
        <f>IF($B$16="Gasoline",'Vehicle Price'!K21*'Fuel Consumption'!$B$27,IF($B$16="Diesel Fuel", 'Vehicle Price'!K21*'Fuel Consumption'!$C$27,0))</f>
        <v>0</v>
      </c>
    </row>
    <row r="43" spans="1:11" customFormat="1" x14ac:dyDescent="0.25">
      <c r="A43" s="142" t="s">
        <v>292</v>
      </c>
      <c r="B43" s="143">
        <f>SUM(B40:B42)</f>
        <v>0</v>
      </c>
      <c r="C43" s="143">
        <f t="shared" ref="C43:K43" si="1">SUM(C40:C42)</f>
        <v>0</v>
      </c>
      <c r="D43" s="143">
        <f t="shared" si="1"/>
        <v>0</v>
      </c>
      <c r="E43" s="143">
        <f t="shared" si="1"/>
        <v>0</v>
      </c>
      <c r="F43" s="143">
        <f t="shared" si="1"/>
        <v>0</v>
      </c>
      <c r="G43" s="143">
        <f t="shared" si="1"/>
        <v>0</v>
      </c>
      <c r="H43" s="143">
        <f t="shared" si="1"/>
        <v>0</v>
      </c>
      <c r="I43" s="143">
        <f t="shared" si="1"/>
        <v>0</v>
      </c>
      <c r="J43" s="143">
        <f t="shared" si="1"/>
        <v>0</v>
      </c>
      <c r="K43" s="143">
        <f t="shared" si="1"/>
        <v>0</v>
      </c>
    </row>
    <row r="44" spans="1:11" customFormat="1" x14ac:dyDescent="0.25"/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Inputs</vt:lpstr>
      <vt:lpstr>Output</vt:lpstr>
      <vt:lpstr>Constants</vt:lpstr>
      <vt:lpstr>Abbr&amp;Acronyms</vt:lpstr>
      <vt:lpstr>Defaults</vt:lpstr>
      <vt:lpstr>Fuel Prices</vt:lpstr>
      <vt:lpstr>Vehicle Price</vt:lpstr>
      <vt:lpstr>Infrastructure and Maintenance</vt:lpstr>
      <vt:lpstr>Fuel Consumption</vt:lpstr>
      <vt:lpstr>Annual VMT</vt:lpstr>
      <vt:lpstr>Annual Fuel Costs</vt:lpstr>
      <vt:lpstr>Annual Vehicle Costs</vt:lpstr>
      <vt:lpstr>Combined Costs</vt:lpstr>
      <vt:lpstr>Baseline and Atl Fuel Emissions</vt:lpstr>
      <vt:lpstr>Emission Rates - Vehicles</vt:lpstr>
      <vt:lpstr>Emission Rates - Fuels</vt:lpstr>
      <vt:lpstr>Funding Sources</vt:lpstr>
      <vt:lpstr>Resource library</vt:lpstr>
      <vt:lpstr>Overview</vt:lpstr>
      <vt:lpstr>Overview_OLD</vt:lpstr>
      <vt:lpstr>'Resource library'!_ftn1</vt:lpstr>
    </vt:vector>
  </TitlesOfParts>
  <Company>ICFI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Ganesh, Neha</dc:creator>
  <cp:lastModifiedBy>Rosenfeld, Jeffrey</cp:lastModifiedBy>
  <cp:lastPrinted>2017-09-15T21:55:51Z</cp:lastPrinted>
  <dcterms:created xsi:type="dcterms:W3CDTF">2017-06-02T19:10:00Z</dcterms:created>
  <dcterms:modified xsi:type="dcterms:W3CDTF">2017-12-29T05:51:44Z</dcterms:modified>
</cp:coreProperties>
</file>