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5" yWindow="-15" windowWidth="14400" windowHeight="11040" tabRatio="824" firstSheet="25" activeTab="25"/>
  </bookViews>
  <sheets>
    <sheet name="COMBINED INPUT" sheetId="12" state="hidden" r:id="rId1"/>
    <sheet name="COMBINED INPUT2" sheetId="15" state="hidden" r:id="rId2"/>
    <sheet name="COMBINED OUTPUT" sheetId="13" state="hidden" r:id="rId3"/>
    <sheet name="BASELINE-APP" sheetId="1" state="hidden" r:id="rId4"/>
    <sheet name="BASELINE-APP2" sheetId="19" state="hidden" r:id="rId5"/>
    <sheet name="COMBINED OUTPUT2" sheetId="16" state="hidden" r:id="rId6"/>
    <sheet name="SUMMARY 1" sheetId="2" state="hidden" r:id="rId7"/>
    <sheet name="ATL" sheetId="5" state="hidden" r:id="rId8"/>
    <sheet name="ATL2" sheetId="20" state="hidden" r:id="rId9"/>
    <sheet name="CTL" sheetId="4" state="hidden" r:id="rId10"/>
    <sheet name="CTL2" sheetId="21" state="hidden" r:id="rId11"/>
    <sheet name="RT+ATL" sheetId="6" state="hidden" r:id="rId12"/>
    <sheet name="RT+ATL2" sheetId="22" state="hidden" r:id="rId13"/>
    <sheet name="APP-BASELINE" sheetId="7" state="hidden" r:id="rId14"/>
    <sheet name="APP-BASELINE2" sheetId="23" state="hidden" r:id="rId15"/>
    <sheet name="SUMMARY 12" sheetId="17" state="hidden" r:id="rId16"/>
    <sheet name="SUMMARY 2" sheetId="8" state="hidden" r:id="rId17"/>
    <sheet name="LOS Lookup" sheetId="3" state="hidden" r:id="rId18"/>
    <sheet name="ATL 2" sheetId="9" state="hidden" r:id="rId19"/>
    <sheet name="ATL 22" sheetId="24" state="hidden" r:id="rId20"/>
    <sheet name="2-CTL" sheetId="10" state="hidden" r:id="rId21"/>
    <sheet name="2-CTL2" sheetId="25" state="hidden" r:id="rId22"/>
    <sheet name="RT+ATL 2" sheetId="11" state="hidden" r:id="rId23"/>
    <sheet name="RT+ATL 22" sheetId="26" state="hidden" r:id="rId24"/>
    <sheet name="SUMMARY 22" sheetId="18" state="hidden" r:id="rId25"/>
    <sheet name="MAIN" sheetId="14" r:id="rId26"/>
  </sheets>
  <definedNames>
    <definedName name="_xlnm.Print_Area" localSheetId="25">MAIN!$A$2:$I$71</definedName>
  </definedNames>
  <calcPr calcId="144525"/>
</workbook>
</file>

<file path=xl/calcChain.xml><?xml version="1.0" encoding="utf-8"?>
<calcChain xmlns="http://schemas.openxmlformats.org/spreadsheetml/2006/main">
  <c r="F20" i="14" l="1"/>
  <c r="F19" i="14"/>
  <c r="G8" i="15" l="1"/>
  <c r="M14" i="18"/>
  <c r="F6" i="19"/>
  <c r="K2" i="17" s="1"/>
  <c r="F5" i="26"/>
  <c r="F4" i="25"/>
  <c r="Q32" i="24"/>
  <c r="Q31" i="24" s="1"/>
  <c r="S32" i="24" s="1"/>
  <c r="F5" i="24"/>
  <c r="G6" i="23"/>
  <c r="K2" i="18" s="1"/>
  <c r="F5" i="22"/>
  <c r="F4" i="21"/>
  <c r="F5" i="20"/>
  <c r="F5" i="19"/>
  <c r="J7" i="16"/>
  <c r="G24" i="15"/>
  <c r="G23" i="15"/>
  <c r="E21" i="19" s="1"/>
  <c r="G22" i="15"/>
  <c r="E20" i="19" s="1"/>
  <c r="G21" i="15"/>
  <c r="E19" i="19" s="1"/>
  <c r="G20" i="15"/>
  <c r="E18" i="19" s="1"/>
  <c r="G19" i="15"/>
  <c r="E17" i="19" s="1"/>
  <c r="G18" i="15"/>
  <c r="E15" i="19" s="1"/>
  <c r="G17" i="15"/>
  <c r="E14" i="19" s="1"/>
  <c r="I10" i="17" s="1"/>
  <c r="G16" i="15"/>
  <c r="E11" i="19" s="1"/>
  <c r="G15" i="15"/>
  <c r="E13" i="19" s="1"/>
  <c r="F15" i="15"/>
  <c r="G14" i="15"/>
  <c r="E10" i="19" s="1"/>
  <c r="K10" i="17" s="1"/>
  <c r="F14" i="15"/>
  <c r="G13" i="15"/>
  <c r="E12" i="19" s="1"/>
  <c r="G12" i="15"/>
  <c r="E9" i="19" s="1"/>
  <c r="J10" i="17" s="1"/>
  <c r="F11" i="15"/>
  <c r="F10" i="15"/>
  <c r="K9" i="15"/>
  <c r="H8" i="15"/>
  <c r="H6" i="15"/>
  <c r="E14" i="14"/>
  <c r="B43" i="14" s="1"/>
  <c r="G8" i="12"/>
  <c r="H16" i="13" s="1"/>
  <c r="F14" i="14"/>
  <c r="B50" i="14" s="1"/>
  <c r="G24" i="12"/>
  <c r="O14" i="21" s="1"/>
  <c r="G23" i="12"/>
  <c r="G22" i="12"/>
  <c r="G21" i="12"/>
  <c r="G20" i="12"/>
  <c r="G19" i="12"/>
  <c r="G18" i="12"/>
  <c r="G17" i="12"/>
  <c r="G16" i="12"/>
  <c r="G15" i="12"/>
  <c r="G14" i="12"/>
  <c r="G13" i="12"/>
  <c r="G12" i="12"/>
  <c r="H8" i="12"/>
  <c r="F20" i="16" l="1"/>
  <c r="J25" i="15"/>
  <c r="F11" i="23"/>
  <c r="F18" i="23"/>
  <c r="F19" i="23"/>
  <c r="F15" i="23"/>
  <c r="F20" i="23"/>
  <c r="F10" i="23"/>
  <c r="K11" i="18" s="1"/>
  <c r="F17" i="23"/>
  <c r="E12" i="26" s="1"/>
  <c r="F21" i="23"/>
  <c r="F14" i="23"/>
  <c r="F16" i="23" s="1"/>
  <c r="E10" i="24" s="1"/>
  <c r="E9" i="25" s="1"/>
  <c r="I15" i="18" s="1"/>
  <c r="F9" i="23"/>
  <c r="N9" i="24" s="1"/>
  <c r="F12" i="23"/>
  <c r="E6" i="20"/>
  <c r="M4" i="19"/>
  <c r="E5" i="21"/>
  <c r="E6" i="21"/>
  <c r="E28" i="19"/>
  <c r="E7" i="22"/>
  <c r="E16" i="22" s="1"/>
  <c r="L13" i="20"/>
  <c r="L14" i="20"/>
  <c r="E12" i="22"/>
  <c r="E11" i="21"/>
  <c r="E12" i="20"/>
  <c r="E9" i="22"/>
  <c r="E9" i="20"/>
  <c r="E8" i="21"/>
  <c r="E11" i="22"/>
  <c r="E10" i="21"/>
  <c r="E11" i="20"/>
  <c r="E8" i="22"/>
  <c r="E8" i="20"/>
  <c r="E7" i="21"/>
  <c r="E18" i="21" s="1"/>
  <c r="J28" i="19"/>
  <c r="M5" i="19" s="1"/>
  <c r="J15" i="13"/>
  <c r="D43" i="14" s="1"/>
  <c r="J16" i="16"/>
  <c r="H16" i="16"/>
  <c r="E10" i="20"/>
  <c r="I13" i="17" s="1"/>
  <c r="J15" i="15"/>
  <c r="G11" i="15"/>
  <c r="F8" i="23" s="1"/>
  <c r="J16" i="13"/>
  <c r="J15" i="16"/>
  <c r="D49" i="14" s="1"/>
  <c r="H15" i="16"/>
  <c r="O14" i="25"/>
  <c r="F16" i="16"/>
  <c r="G10" i="15"/>
  <c r="F7" i="23" s="1"/>
  <c r="S31" i="24"/>
  <c r="E16" i="19"/>
  <c r="J26" i="19"/>
  <c r="G25" i="15"/>
  <c r="B49" i="14"/>
  <c r="B52" i="14"/>
  <c r="B51" i="14"/>
  <c r="G10" i="12"/>
  <c r="G11" i="12"/>
  <c r="G25" i="12"/>
  <c r="G15" i="16" s="1"/>
  <c r="B44" i="14"/>
  <c r="B45" i="14"/>
  <c r="B46" i="14"/>
  <c r="J15" i="12"/>
  <c r="H15" i="13"/>
  <c r="F21" i="7"/>
  <c r="F20" i="7"/>
  <c r="F19" i="7"/>
  <c r="F18" i="7"/>
  <c r="F17" i="7"/>
  <c r="F15" i="7"/>
  <c r="F14" i="7"/>
  <c r="F12" i="7"/>
  <c r="F11" i="7"/>
  <c r="F10" i="7"/>
  <c r="F9" i="7"/>
  <c r="F16" i="13"/>
  <c r="E60" i="14" l="1"/>
  <c r="L15" i="24"/>
  <c r="L5" i="21"/>
  <c r="K26" i="23"/>
  <c r="E17" i="22"/>
  <c r="L16" i="24"/>
  <c r="E11" i="25"/>
  <c r="I17" i="20"/>
  <c r="L9" i="22"/>
  <c r="E12" i="24"/>
  <c r="E11" i="26"/>
  <c r="E10" i="25"/>
  <c r="E11" i="24"/>
  <c r="L6" i="22"/>
  <c r="E7" i="26"/>
  <c r="F13" i="23"/>
  <c r="L9" i="24" s="1"/>
  <c r="E18" i="22"/>
  <c r="I11" i="18"/>
  <c r="I10" i="18"/>
  <c r="K28" i="23"/>
  <c r="E5" i="25"/>
  <c r="E6" i="24"/>
  <c r="E19" i="21"/>
  <c r="N5" i="23"/>
  <c r="M10" i="18" s="1"/>
  <c r="F30" i="23"/>
  <c r="M8" i="19"/>
  <c r="I24" i="17" s="1"/>
  <c r="M10" i="17"/>
  <c r="E8" i="26"/>
  <c r="E7" i="25"/>
  <c r="E18" i="25" s="1"/>
  <c r="E8" i="24"/>
  <c r="L8" i="21"/>
  <c r="J8" i="23"/>
  <c r="K36" i="23"/>
  <c r="K37" i="23" s="1"/>
  <c r="L7" i="20"/>
  <c r="J7" i="23"/>
  <c r="F13" i="7"/>
  <c r="K11" i="15"/>
  <c r="E8" i="19"/>
  <c r="I19" i="20"/>
  <c r="E9" i="21"/>
  <c r="I16" i="21" s="1"/>
  <c r="F16" i="7"/>
  <c r="E7" i="19"/>
  <c r="I7" i="19" s="1"/>
  <c r="E11" i="15"/>
  <c r="K10" i="15"/>
  <c r="I17" i="22"/>
  <c r="J25" i="12"/>
  <c r="Q9" i="23" l="1"/>
  <c r="J11" i="18" s="1"/>
  <c r="K32" i="23"/>
  <c r="E9" i="24"/>
  <c r="K33" i="23"/>
  <c r="D41" i="23" s="1"/>
  <c r="E8" i="25"/>
  <c r="L8" i="25" s="1"/>
  <c r="N4" i="23"/>
  <c r="K34" i="23"/>
  <c r="N8" i="23" s="1"/>
  <c r="L8" i="24" s="1"/>
  <c r="I24" i="18" s="1"/>
  <c r="L7" i="24"/>
  <c r="E9" i="26"/>
  <c r="L6" i="26" s="1"/>
  <c r="I19" i="21"/>
  <c r="L6" i="21" s="1"/>
  <c r="I14" i="17"/>
  <c r="N9" i="23"/>
  <c r="L8" i="20"/>
  <c r="M13" i="17"/>
  <c r="J9" i="23"/>
  <c r="N12" i="18"/>
  <c r="K12" i="18"/>
  <c r="N10" i="26"/>
  <c r="N10" i="24"/>
  <c r="O12" i="18"/>
  <c r="L12" i="18"/>
  <c r="E7" i="24"/>
  <c r="K14" i="18" s="1"/>
  <c r="I13" i="18"/>
  <c r="F13" i="18"/>
  <c r="M12" i="18"/>
  <c r="J12" i="18"/>
  <c r="E19" i="25"/>
  <c r="E7" i="20"/>
  <c r="K13" i="17" s="1"/>
  <c r="I8" i="19"/>
  <c r="N10" i="22" s="1"/>
  <c r="M9" i="19"/>
  <c r="M10" i="19" s="1"/>
  <c r="E16" i="26"/>
  <c r="E18" i="26"/>
  <c r="I17" i="21"/>
  <c r="I19" i="24"/>
  <c r="K12" i="15"/>
  <c r="G26" i="15" s="1"/>
  <c r="F19" i="16" s="1"/>
  <c r="I21" i="24"/>
  <c r="F29" i="23"/>
  <c r="O14" i="10"/>
  <c r="O14" i="4"/>
  <c r="E13" i="1"/>
  <c r="E11" i="12"/>
  <c r="F11" i="12"/>
  <c r="E10" i="5"/>
  <c r="F15" i="12"/>
  <c r="F14" i="12"/>
  <c r="F10" i="12"/>
  <c r="F20" i="13"/>
  <c r="G6" i="7"/>
  <c r="E6" i="9"/>
  <c r="E7" i="11"/>
  <c r="E18" i="11" s="1"/>
  <c r="E7" i="10"/>
  <c r="E18" i="10" s="1"/>
  <c r="I11" i="8"/>
  <c r="E10" i="10"/>
  <c r="E12" i="9"/>
  <c r="F8" i="7"/>
  <c r="J8" i="7" s="1"/>
  <c r="F7" i="7"/>
  <c r="J7" i="7" s="1"/>
  <c r="F6" i="1"/>
  <c r="E9" i="1"/>
  <c r="L10" i="17" s="1"/>
  <c r="E10" i="1"/>
  <c r="E11" i="1"/>
  <c r="E12" i="1"/>
  <c r="E14" i="1"/>
  <c r="E15" i="1"/>
  <c r="E11" i="5" s="1"/>
  <c r="E17" i="1"/>
  <c r="E18" i="1"/>
  <c r="E19" i="1"/>
  <c r="E20" i="1"/>
  <c r="E21" i="1"/>
  <c r="E8" i="1"/>
  <c r="E7" i="1"/>
  <c r="J7" i="13"/>
  <c r="G15" i="13"/>
  <c r="K9" i="12"/>
  <c r="K11" i="12"/>
  <c r="K10" i="12"/>
  <c r="H6" i="12"/>
  <c r="F5" i="11"/>
  <c r="E8" i="11"/>
  <c r="F4" i="10"/>
  <c r="F5" i="9"/>
  <c r="Q32" i="9"/>
  <c r="Q31" i="9" s="1"/>
  <c r="S32" i="9" s="1"/>
  <c r="M14" i="8"/>
  <c r="F28" i="23" l="1"/>
  <c r="F25" i="23"/>
  <c r="L5" i="25"/>
  <c r="F26" i="23"/>
  <c r="F27" i="23" s="1"/>
  <c r="K27" i="23" s="1"/>
  <c r="M34" i="23"/>
  <c r="N10" i="23"/>
  <c r="N12" i="23" s="1"/>
  <c r="H39" i="23"/>
  <c r="H41" i="23" s="1"/>
  <c r="L41" i="23" s="1"/>
  <c r="G50" i="23" s="1"/>
  <c r="D39" i="23"/>
  <c r="K35" i="23"/>
  <c r="L9" i="26"/>
  <c r="J19" i="16"/>
  <c r="L7" i="21"/>
  <c r="M14" i="17"/>
  <c r="F31" i="23"/>
  <c r="K31" i="23" s="1"/>
  <c r="J10" i="18"/>
  <c r="F23" i="23"/>
  <c r="N13" i="18"/>
  <c r="G14" i="18"/>
  <c r="K13" i="18"/>
  <c r="L13" i="18" s="1"/>
  <c r="H14" i="18"/>
  <c r="O13" i="18"/>
  <c r="I14" i="18"/>
  <c r="M11" i="18"/>
  <c r="L10" i="24"/>
  <c r="L11" i="24" s="1"/>
  <c r="L12" i="24" s="1"/>
  <c r="H13" i="17"/>
  <c r="E16" i="1"/>
  <c r="L6" i="24"/>
  <c r="E17" i="26"/>
  <c r="I17" i="26" s="1"/>
  <c r="E19" i="20"/>
  <c r="L6" i="20"/>
  <c r="L9" i="20"/>
  <c r="N10" i="20"/>
  <c r="K2" i="2"/>
  <c r="K2" i="8"/>
  <c r="L10" i="22"/>
  <c r="L11" i="22" s="1"/>
  <c r="I9" i="19"/>
  <c r="E10" i="22"/>
  <c r="J26" i="15"/>
  <c r="M9" i="16" s="1"/>
  <c r="M12" i="19"/>
  <c r="E25" i="19" s="1"/>
  <c r="E26" i="19" s="1"/>
  <c r="L9" i="21"/>
  <c r="L10" i="20"/>
  <c r="C26" i="20" s="1"/>
  <c r="F34" i="23"/>
  <c r="L16" i="9"/>
  <c r="E8" i="9"/>
  <c r="E5" i="10"/>
  <c r="E19" i="10" s="1"/>
  <c r="F30" i="7"/>
  <c r="M4" i="1"/>
  <c r="N4" i="7"/>
  <c r="Q9" i="7"/>
  <c r="E10" i="9"/>
  <c r="E11" i="9"/>
  <c r="K28" i="7"/>
  <c r="I10" i="8"/>
  <c r="K11" i="8"/>
  <c r="E12" i="11"/>
  <c r="N9" i="9"/>
  <c r="E11" i="10"/>
  <c r="E11" i="11"/>
  <c r="L15" i="9"/>
  <c r="E7" i="9"/>
  <c r="K14" i="8" s="1"/>
  <c r="F13" i="8"/>
  <c r="K26" i="7"/>
  <c r="E16" i="11"/>
  <c r="K32" i="7"/>
  <c r="J9" i="7"/>
  <c r="K12" i="12"/>
  <c r="G26" i="12" s="1"/>
  <c r="M12" i="8"/>
  <c r="J12" i="8"/>
  <c r="S31" i="9"/>
  <c r="E9" i="9"/>
  <c r="E8" i="10"/>
  <c r="E9" i="11"/>
  <c r="L9" i="11" s="1"/>
  <c r="N12" i="8"/>
  <c r="K12" i="8"/>
  <c r="L9" i="9"/>
  <c r="N10" i="11"/>
  <c r="O12" i="8"/>
  <c r="L12" i="8"/>
  <c r="N10" i="9"/>
  <c r="G48" i="23" l="1"/>
  <c r="L39" i="23"/>
  <c r="G49" i="23"/>
  <c r="K49" i="23" s="1"/>
  <c r="L10" i="26"/>
  <c r="L11" i="26" s="1"/>
  <c r="J18" i="16"/>
  <c r="F18" i="16"/>
  <c r="L13" i="24"/>
  <c r="E16" i="25" s="1"/>
  <c r="J15" i="18" s="1"/>
  <c r="L9" i="25"/>
  <c r="I23" i="23"/>
  <c r="O4" i="18" s="1"/>
  <c r="N4" i="18"/>
  <c r="F14" i="18"/>
  <c r="E23" i="19"/>
  <c r="L12" i="17"/>
  <c r="F12" i="17"/>
  <c r="I12" i="17"/>
  <c r="K12" i="17"/>
  <c r="M12" i="17"/>
  <c r="J11" i="8"/>
  <c r="I16" i="13" s="1"/>
  <c r="K16" i="13" s="1"/>
  <c r="E27" i="19"/>
  <c r="J25" i="19" s="1"/>
  <c r="I18" i="22"/>
  <c r="I16" i="22"/>
  <c r="I20" i="22" s="1"/>
  <c r="C24" i="22" s="1"/>
  <c r="I15" i="22"/>
  <c r="I13" i="8"/>
  <c r="E10" i="26"/>
  <c r="I15" i="26" s="1"/>
  <c r="E16" i="20"/>
  <c r="J13" i="17" s="1"/>
  <c r="L11" i="20"/>
  <c r="L10" i="21" s="1"/>
  <c r="K29" i="23"/>
  <c r="N11" i="18" s="1"/>
  <c r="K30" i="23"/>
  <c r="D40" i="23" s="1"/>
  <c r="K50" i="23"/>
  <c r="L50" i="23"/>
  <c r="L48" i="23"/>
  <c r="K48" i="23"/>
  <c r="K25" i="23"/>
  <c r="F32" i="23"/>
  <c r="F35" i="23" s="1"/>
  <c r="O10" i="18" s="1"/>
  <c r="N5" i="7"/>
  <c r="M10" i="8" s="1"/>
  <c r="K36" i="7"/>
  <c r="K37" i="7" s="1"/>
  <c r="K34" i="7"/>
  <c r="N8" i="7" s="1"/>
  <c r="H14" i="8"/>
  <c r="J26" i="12"/>
  <c r="M9" i="13" s="1"/>
  <c r="F19" i="13"/>
  <c r="L7" i="9"/>
  <c r="K33" i="7"/>
  <c r="D41" i="7" s="1"/>
  <c r="I14" i="8"/>
  <c r="F29" i="7"/>
  <c r="F28" i="7"/>
  <c r="F26" i="7"/>
  <c r="F27" i="7" s="1"/>
  <c r="F32" i="7" s="1"/>
  <c r="F25" i="7"/>
  <c r="L6" i="9"/>
  <c r="F23" i="7"/>
  <c r="K13" i="8"/>
  <c r="L13" i="8" s="1"/>
  <c r="G14" i="8"/>
  <c r="L10" i="9"/>
  <c r="L11" i="9" s="1"/>
  <c r="L5" i="10"/>
  <c r="L8" i="10"/>
  <c r="E17" i="11"/>
  <c r="E10" i="11"/>
  <c r="E9" i="10"/>
  <c r="I21" i="9"/>
  <c r="N13" i="8" s="1"/>
  <c r="I19" i="9"/>
  <c r="L6" i="11"/>
  <c r="L14" i="5"/>
  <c r="L13" i="5"/>
  <c r="I10" i="2"/>
  <c r="E7" i="6"/>
  <c r="E18" i="6" s="1"/>
  <c r="E12" i="6"/>
  <c r="E11" i="6"/>
  <c r="E9" i="6"/>
  <c r="E8" i="6"/>
  <c r="F5" i="6"/>
  <c r="E7" i="5"/>
  <c r="D50" i="14" s="1"/>
  <c r="I8" i="1"/>
  <c r="I7" i="1"/>
  <c r="E11" i="4"/>
  <c r="E10" i="4"/>
  <c r="E7" i="4"/>
  <c r="E18" i="4" s="1"/>
  <c r="E6" i="4"/>
  <c r="E5" i="4"/>
  <c r="E12" i="5"/>
  <c r="E8" i="5"/>
  <c r="E6" i="5"/>
  <c r="K10" i="2"/>
  <c r="J10" i="2"/>
  <c r="F5" i="5"/>
  <c r="F4" i="4"/>
  <c r="E28" i="1"/>
  <c r="F5" i="1"/>
  <c r="J26" i="1"/>
  <c r="J28" i="1"/>
  <c r="M5" i="1" s="1"/>
  <c r="L49" i="23" l="1"/>
  <c r="N49" i="23" s="1"/>
  <c r="Q49" i="23" s="1"/>
  <c r="L11" i="8"/>
  <c r="M11" i="8"/>
  <c r="N50" i="23"/>
  <c r="Q50" i="23" s="1"/>
  <c r="Q13" i="18" s="1"/>
  <c r="D51" i="14"/>
  <c r="D52" i="14"/>
  <c r="H23" i="19"/>
  <c r="O4" i="17" s="1"/>
  <c r="F13" i="17"/>
  <c r="N4" i="17"/>
  <c r="J27" i="19"/>
  <c r="J29" i="19" s="1"/>
  <c r="N10" i="17" s="1"/>
  <c r="I19" i="25"/>
  <c r="I16" i="25"/>
  <c r="I17" i="25"/>
  <c r="I16" i="10"/>
  <c r="N4" i="8"/>
  <c r="E17" i="20"/>
  <c r="D20" i="20"/>
  <c r="E18" i="24"/>
  <c r="J14" i="18" s="1"/>
  <c r="J19" i="13"/>
  <c r="D44" i="14" s="1"/>
  <c r="L10" i="18"/>
  <c r="N10" i="18" s="1"/>
  <c r="I15" i="16"/>
  <c r="K15" i="16" s="1"/>
  <c r="L8" i="9"/>
  <c r="I24" i="8" s="1"/>
  <c r="E16" i="21"/>
  <c r="I20" i="16" s="1"/>
  <c r="L14" i="21"/>
  <c r="L11" i="21"/>
  <c r="L12" i="21" s="1"/>
  <c r="I18" i="26"/>
  <c r="I16" i="26"/>
  <c r="I20" i="26" s="1"/>
  <c r="C24" i="26" s="1"/>
  <c r="L7" i="22"/>
  <c r="L8" i="22" s="1"/>
  <c r="I19" i="22"/>
  <c r="N12" i="17" s="1"/>
  <c r="L11" i="18"/>
  <c r="I16" i="16"/>
  <c r="L18" i="16"/>
  <c r="F52" i="14" s="1"/>
  <c r="H38" i="23"/>
  <c r="M30" i="23"/>
  <c r="D38" i="23"/>
  <c r="N48" i="23"/>
  <c r="Q48" i="23" s="1"/>
  <c r="J10" i="8"/>
  <c r="I15" i="13" s="1"/>
  <c r="M34" i="7"/>
  <c r="N9" i="7"/>
  <c r="N10" i="7" s="1"/>
  <c r="L10" i="11" s="1"/>
  <c r="L11" i="11" s="1"/>
  <c r="D39" i="7"/>
  <c r="K35" i="7"/>
  <c r="H39" i="7"/>
  <c r="H41" i="7" s="1"/>
  <c r="L41" i="7" s="1"/>
  <c r="G49" i="7" s="1"/>
  <c r="I23" i="7"/>
  <c r="F14" i="8"/>
  <c r="L12" i="9"/>
  <c r="F31" i="7"/>
  <c r="F34" i="7" s="1"/>
  <c r="F35" i="7" s="1"/>
  <c r="E10" i="6"/>
  <c r="I18" i="6" s="1"/>
  <c r="L7" i="6" s="1"/>
  <c r="L8" i="6" s="1"/>
  <c r="K13" i="2"/>
  <c r="K25" i="7"/>
  <c r="I18" i="11"/>
  <c r="I16" i="11"/>
  <c r="I15" i="8"/>
  <c r="I19" i="10"/>
  <c r="I17" i="10"/>
  <c r="I15" i="11"/>
  <c r="I17" i="11"/>
  <c r="K27" i="7"/>
  <c r="L7" i="5"/>
  <c r="I13" i="2"/>
  <c r="E9" i="4"/>
  <c r="H13" i="2"/>
  <c r="N10" i="6"/>
  <c r="I9" i="1"/>
  <c r="L9" i="6"/>
  <c r="L6" i="6"/>
  <c r="N10" i="5"/>
  <c r="E19" i="5"/>
  <c r="E9" i="5"/>
  <c r="L6" i="5" s="1"/>
  <c r="E8" i="4"/>
  <c r="L8" i="4" s="1"/>
  <c r="L10" i="2"/>
  <c r="E19" i="4"/>
  <c r="I19" i="5"/>
  <c r="I17" i="5"/>
  <c r="M10" i="2"/>
  <c r="M8" i="1"/>
  <c r="D53" i="14" l="1"/>
  <c r="L10" i="8"/>
  <c r="N10" i="8" s="1"/>
  <c r="C22" i="22"/>
  <c r="J30" i="19"/>
  <c r="C34" i="19" s="1"/>
  <c r="L38" i="23"/>
  <c r="O11" i="18" s="1"/>
  <c r="I19" i="16"/>
  <c r="C51" i="14" s="1"/>
  <c r="L14" i="18"/>
  <c r="I52" i="14"/>
  <c r="K16" i="16"/>
  <c r="E17" i="21"/>
  <c r="I18" i="21" s="1"/>
  <c r="I20" i="21" s="1"/>
  <c r="N14" i="17" s="1"/>
  <c r="J14" i="17"/>
  <c r="I24" i="2"/>
  <c r="I16" i="4"/>
  <c r="P10" i="18"/>
  <c r="P13" i="18"/>
  <c r="C32" i="19"/>
  <c r="L29" i="19"/>
  <c r="G32" i="19"/>
  <c r="E18" i="20"/>
  <c r="I16" i="20" s="1"/>
  <c r="L16" i="25"/>
  <c r="P13" i="21"/>
  <c r="L13" i="21" s="1"/>
  <c r="L15" i="21" s="1"/>
  <c r="V16" i="17" s="1"/>
  <c r="Q13" i="21"/>
  <c r="L15" i="16"/>
  <c r="O4" i="8"/>
  <c r="G22" i="22"/>
  <c r="K19" i="22"/>
  <c r="L7" i="26"/>
  <c r="L8" i="26" s="1"/>
  <c r="I19" i="26"/>
  <c r="C22" i="26" s="1"/>
  <c r="E19" i="24"/>
  <c r="C28" i="24"/>
  <c r="L6" i="25"/>
  <c r="H40" i="23"/>
  <c r="L40" i="23" s="1"/>
  <c r="S34" i="23"/>
  <c r="K15" i="13"/>
  <c r="F18" i="13"/>
  <c r="J18" i="13"/>
  <c r="E52" i="14" s="1"/>
  <c r="O13" i="8"/>
  <c r="P13" i="8" s="1"/>
  <c r="M18" i="13"/>
  <c r="L39" i="7"/>
  <c r="K31" i="7"/>
  <c r="G48" i="7"/>
  <c r="K48" i="7" s="1"/>
  <c r="E18" i="9"/>
  <c r="E19" i="9" s="1"/>
  <c r="E20" i="9" s="1"/>
  <c r="G50" i="7"/>
  <c r="K50" i="7" s="1"/>
  <c r="I16" i="6"/>
  <c r="N12" i="7"/>
  <c r="O10" i="8"/>
  <c r="I19" i="4"/>
  <c r="L6" i="4" s="1"/>
  <c r="I19" i="11"/>
  <c r="G22" i="11" s="1"/>
  <c r="E23" i="1"/>
  <c r="I14" i="2"/>
  <c r="K29" i="7"/>
  <c r="K30" i="7"/>
  <c r="D40" i="7" s="1"/>
  <c r="L13" i="9"/>
  <c r="L9" i="10"/>
  <c r="L16" i="10"/>
  <c r="L49" i="7"/>
  <c r="K49" i="7"/>
  <c r="L6" i="10"/>
  <c r="L7" i="11"/>
  <c r="L8" i="11" s="1"/>
  <c r="I20" i="11"/>
  <c r="C24" i="11" s="1"/>
  <c r="L9" i="5"/>
  <c r="L5" i="4"/>
  <c r="I17" i="4"/>
  <c r="M9" i="1"/>
  <c r="M10" i="1" s="1"/>
  <c r="L8" i="5"/>
  <c r="M13" i="2"/>
  <c r="F12" i="2"/>
  <c r="I12" i="2"/>
  <c r="M12" i="2"/>
  <c r="R34" i="23" l="1"/>
  <c r="S35" i="23" s="1"/>
  <c r="S38" i="23" s="1"/>
  <c r="L50" i="7"/>
  <c r="N50" i="7" s="1"/>
  <c r="Q50" i="7" s="1"/>
  <c r="Q34" i="23"/>
  <c r="T34" i="23"/>
  <c r="T35" i="23" s="1"/>
  <c r="T38" i="23" s="1"/>
  <c r="O34" i="23"/>
  <c r="O35" i="23" s="1"/>
  <c r="O38" i="23" s="1"/>
  <c r="P34" i="23"/>
  <c r="I21" i="21"/>
  <c r="C25" i="21" s="1"/>
  <c r="L7" i="25"/>
  <c r="M15" i="18"/>
  <c r="K18" i="16"/>
  <c r="N11" i="8"/>
  <c r="L16" i="13" s="1"/>
  <c r="L16" i="16"/>
  <c r="K20" i="21"/>
  <c r="G23" i="21"/>
  <c r="C23" i="21"/>
  <c r="G26" i="20"/>
  <c r="J26" i="20" s="1"/>
  <c r="L12" i="20" s="1"/>
  <c r="U16" i="17" s="1"/>
  <c r="J22" i="22"/>
  <c r="G24" i="22"/>
  <c r="J24" i="22" s="1"/>
  <c r="I18" i="20"/>
  <c r="E16" i="10"/>
  <c r="J15" i="8" s="1"/>
  <c r="L15" i="8" s="1"/>
  <c r="L7" i="4"/>
  <c r="E21" i="24"/>
  <c r="E20" i="24"/>
  <c r="I18" i="24" s="1"/>
  <c r="K19" i="26"/>
  <c r="G22" i="26"/>
  <c r="K32" i="19"/>
  <c r="O10" i="17" s="1"/>
  <c r="M15" i="16" s="1"/>
  <c r="N15" i="16" s="1"/>
  <c r="G34" i="19"/>
  <c r="K34" i="19" s="1"/>
  <c r="G44" i="23"/>
  <c r="G46" i="23"/>
  <c r="G45" i="23"/>
  <c r="G46" i="14"/>
  <c r="H46" i="14" s="1"/>
  <c r="D46" i="14"/>
  <c r="E46" i="14" s="1"/>
  <c r="D45" i="14"/>
  <c r="I20" i="9"/>
  <c r="J14" i="8"/>
  <c r="L14" i="8" s="1"/>
  <c r="N18" i="13"/>
  <c r="K19" i="11"/>
  <c r="P10" i="8"/>
  <c r="L48" i="7"/>
  <c r="N48" i="7" s="1"/>
  <c r="Q48" i="7" s="1"/>
  <c r="M14" i="2"/>
  <c r="C22" i="11"/>
  <c r="J22" i="11" s="1"/>
  <c r="N49" i="7"/>
  <c r="Q49" i="7" s="1"/>
  <c r="O18" i="13" s="1"/>
  <c r="H23" i="1"/>
  <c r="N4" i="2"/>
  <c r="H38" i="7"/>
  <c r="D38" i="7"/>
  <c r="M30" i="7"/>
  <c r="L7" i="10"/>
  <c r="M15" i="8"/>
  <c r="C28" i="9"/>
  <c r="G24" i="11"/>
  <c r="J24" i="11" s="1"/>
  <c r="M12" i="1"/>
  <c r="E25" i="1" s="1"/>
  <c r="E26" i="1" s="1"/>
  <c r="E27" i="1" s="1"/>
  <c r="J25" i="1" s="1"/>
  <c r="L10" i="6"/>
  <c r="E16" i="6" s="1"/>
  <c r="L10" i="5"/>
  <c r="C26" i="5" s="1"/>
  <c r="L9" i="4"/>
  <c r="F13" i="2"/>
  <c r="D47" i="14" l="1"/>
  <c r="R35" i="23"/>
  <c r="R38" i="23" s="1"/>
  <c r="P35" i="23"/>
  <c r="P38" i="23" s="1"/>
  <c r="Q35" i="23"/>
  <c r="Q38" i="23" s="1"/>
  <c r="E17" i="10"/>
  <c r="I18" i="10" s="1"/>
  <c r="I21" i="10" s="1"/>
  <c r="C25" i="10" s="1"/>
  <c r="L10" i="10"/>
  <c r="L11" i="10" s="1"/>
  <c r="L12" i="10" s="1"/>
  <c r="O12" i="17"/>
  <c r="P12" i="17" s="1"/>
  <c r="M18" i="16"/>
  <c r="N30" i="19"/>
  <c r="N31" i="19" s="1"/>
  <c r="N32" i="19" s="1"/>
  <c r="S30" i="19"/>
  <c r="Q30" i="19"/>
  <c r="O30" i="19"/>
  <c r="R30" i="19"/>
  <c r="P30" i="19"/>
  <c r="L15" i="18"/>
  <c r="Q20" i="22"/>
  <c r="O20" i="22"/>
  <c r="M20" i="22"/>
  <c r="M21" i="22" s="1"/>
  <c r="M22" i="22" s="1"/>
  <c r="R20" i="22"/>
  <c r="P20" i="22"/>
  <c r="N20" i="22"/>
  <c r="J23" i="21"/>
  <c r="G25" i="21"/>
  <c r="J25" i="21" s="1"/>
  <c r="I20" i="24"/>
  <c r="O4" i="2"/>
  <c r="Q13" i="8"/>
  <c r="F40" i="19"/>
  <c r="F38" i="19"/>
  <c r="F39" i="19"/>
  <c r="E17" i="25"/>
  <c r="I18" i="25" s="1"/>
  <c r="L10" i="25"/>
  <c r="F29" i="22"/>
  <c r="F30" i="22"/>
  <c r="F28" i="22"/>
  <c r="J22" i="26"/>
  <c r="G24" i="26"/>
  <c r="J24" i="26" s="1"/>
  <c r="L18" i="24"/>
  <c r="D22" i="24"/>
  <c r="G28" i="24" s="1"/>
  <c r="J28" i="24" s="1"/>
  <c r="L14" i="24" s="1"/>
  <c r="U17" i="18" s="1"/>
  <c r="I21" i="20"/>
  <c r="C25" i="20" s="1"/>
  <c r="I20" i="20"/>
  <c r="N13" i="17" s="1"/>
  <c r="K46" i="23"/>
  <c r="L46" i="23"/>
  <c r="K44" i="23"/>
  <c r="L44" i="23"/>
  <c r="K45" i="23"/>
  <c r="L45" i="23"/>
  <c r="I46" i="14"/>
  <c r="E17" i="6"/>
  <c r="I15" i="6" s="1"/>
  <c r="K18" i="13"/>
  <c r="R20" i="11"/>
  <c r="P20" i="11"/>
  <c r="N20" i="11"/>
  <c r="Q20" i="11"/>
  <c r="O20" i="11"/>
  <c r="M20" i="11"/>
  <c r="M21" i="11" s="1"/>
  <c r="M22" i="11" s="1"/>
  <c r="F29" i="11"/>
  <c r="F30" i="11"/>
  <c r="F28" i="11"/>
  <c r="I18" i="9"/>
  <c r="E21" i="9"/>
  <c r="L38" i="7"/>
  <c r="H40" i="7"/>
  <c r="L40" i="7" s="1"/>
  <c r="K12" i="2"/>
  <c r="L12" i="2"/>
  <c r="L11" i="5"/>
  <c r="L10" i="4" s="1"/>
  <c r="L14" i="4" s="1"/>
  <c r="E16" i="5"/>
  <c r="L11" i="6"/>
  <c r="J27" i="1"/>
  <c r="J29" i="1" s="1"/>
  <c r="O14" i="17" l="1"/>
  <c r="M20" i="16"/>
  <c r="G49" i="14" s="1"/>
  <c r="I20" i="10"/>
  <c r="R21" i="22"/>
  <c r="R22" i="22" s="1"/>
  <c r="N21" i="22"/>
  <c r="N22" i="22" s="1"/>
  <c r="L14" i="10"/>
  <c r="G52" i="14"/>
  <c r="H52" i="14" s="1"/>
  <c r="N18" i="16"/>
  <c r="P21" i="22"/>
  <c r="P22" i="22" s="1"/>
  <c r="O31" i="19"/>
  <c r="O32" i="19" s="1"/>
  <c r="R31" i="19"/>
  <c r="R32" i="19" s="1"/>
  <c r="G19" i="16"/>
  <c r="K19" i="16"/>
  <c r="E51" i="14" s="1"/>
  <c r="H19" i="16"/>
  <c r="P31" i="19"/>
  <c r="P32" i="19" s="1"/>
  <c r="L11" i="25"/>
  <c r="L14" i="25"/>
  <c r="C23" i="20"/>
  <c r="K20" i="20"/>
  <c r="G23" i="20"/>
  <c r="Q20" i="26"/>
  <c r="O20" i="26"/>
  <c r="M20" i="26"/>
  <c r="M21" i="26" s="1"/>
  <c r="M22" i="26" s="1"/>
  <c r="R20" i="26"/>
  <c r="P20" i="26"/>
  <c r="N20" i="26"/>
  <c r="I29" i="22"/>
  <c r="J29" i="22"/>
  <c r="J39" i="19"/>
  <c r="K39" i="19"/>
  <c r="F32" i="21"/>
  <c r="F30" i="21"/>
  <c r="F31" i="21"/>
  <c r="N45" i="23"/>
  <c r="Q45" i="23" s="1"/>
  <c r="O21" i="22"/>
  <c r="O22" i="22" s="1"/>
  <c r="F29" i="26"/>
  <c r="F30" i="26"/>
  <c r="F28" i="26"/>
  <c r="I30" i="22"/>
  <c r="J30" i="22"/>
  <c r="I20" i="25"/>
  <c r="N15" i="18" s="1"/>
  <c r="L20" i="16" s="1"/>
  <c r="I21" i="25"/>
  <c r="C25" i="25" s="1"/>
  <c r="J40" i="19"/>
  <c r="K40" i="19"/>
  <c r="S31" i="19"/>
  <c r="S32" i="19" s="1"/>
  <c r="I19" i="13"/>
  <c r="G19" i="13" s="1"/>
  <c r="P11" i="18"/>
  <c r="M16" i="16"/>
  <c r="N16" i="16" s="1"/>
  <c r="R11" i="18"/>
  <c r="J28" i="22"/>
  <c r="I28" i="22"/>
  <c r="L12" i="25"/>
  <c r="K38" i="19"/>
  <c r="J38" i="19"/>
  <c r="I23" i="24"/>
  <c r="C27" i="24" s="1"/>
  <c r="I22" i="24"/>
  <c r="N14" i="18" s="1"/>
  <c r="L19" i="16" s="1"/>
  <c r="F51" i="14" s="1"/>
  <c r="Q21" i="21"/>
  <c r="O21" i="21"/>
  <c r="R21" i="21"/>
  <c r="M21" i="21"/>
  <c r="M22" i="21" s="1"/>
  <c r="M23" i="21" s="1"/>
  <c r="P21" i="21"/>
  <c r="N21" i="21"/>
  <c r="Q21" i="22"/>
  <c r="Q22" i="22" s="1"/>
  <c r="Q31" i="19"/>
  <c r="Q32" i="19" s="1"/>
  <c r="N46" i="23"/>
  <c r="Q46" i="23" s="1"/>
  <c r="Q10" i="18" s="1"/>
  <c r="N44" i="23"/>
  <c r="Q44" i="23" s="1"/>
  <c r="C45" i="14"/>
  <c r="I17" i="6"/>
  <c r="I19" i="6" s="1"/>
  <c r="K19" i="6" s="1"/>
  <c r="R21" i="11"/>
  <c r="R22" i="11" s="1"/>
  <c r="P21" i="11"/>
  <c r="P22" i="11" s="1"/>
  <c r="Q21" i="11"/>
  <c r="Q22" i="11" s="1"/>
  <c r="O21" i="11"/>
  <c r="O22" i="11" s="1"/>
  <c r="N21" i="11"/>
  <c r="N22" i="11" s="1"/>
  <c r="N10" i="2"/>
  <c r="L15" i="13" s="1"/>
  <c r="I23" i="9"/>
  <c r="C27" i="9" s="1"/>
  <c r="G46" i="7"/>
  <c r="G44" i="7"/>
  <c r="G45" i="7"/>
  <c r="Q34" i="7"/>
  <c r="T34" i="7"/>
  <c r="S34" i="7"/>
  <c r="P34" i="7"/>
  <c r="O11" i="8"/>
  <c r="O34" i="7"/>
  <c r="O35" i="7" s="1"/>
  <c r="O38" i="7" s="1"/>
  <c r="R34" i="7"/>
  <c r="Q13" i="10"/>
  <c r="P13" i="10"/>
  <c r="L13" i="10" s="1"/>
  <c r="I29" i="11"/>
  <c r="J29" i="11"/>
  <c r="I22" i="9"/>
  <c r="N14" i="8" s="1"/>
  <c r="J30" i="11"/>
  <c r="I30" i="11"/>
  <c r="L18" i="9"/>
  <c r="D22" i="9"/>
  <c r="G28" i="9" s="1"/>
  <c r="J28" i="9" s="1"/>
  <c r="L14" i="9" s="1"/>
  <c r="K20" i="10"/>
  <c r="G23" i="10"/>
  <c r="N15" i="8"/>
  <c r="C23" i="10"/>
  <c r="I28" i="11"/>
  <c r="J28" i="11"/>
  <c r="J13" i="2"/>
  <c r="G13" i="2" s="1"/>
  <c r="D20" i="5"/>
  <c r="J30" i="1"/>
  <c r="C34" i="1" s="1"/>
  <c r="I20" i="6"/>
  <c r="C24" i="6" s="1"/>
  <c r="E16" i="4"/>
  <c r="L11" i="4"/>
  <c r="L12" i="4" s="1"/>
  <c r="C32" i="1"/>
  <c r="G32" i="1"/>
  <c r="G34" i="1" s="1"/>
  <c r="E17" i="5"/>
  <c r="E18" i="5" s="1"/>
  <c r="I16" i="5" s="1"/>
  <c r="L29" i="1"/>
  <c r="L15" i="10" l="1"/>
  <c r="V17" i="8" s="1"/>
  <c r="N21" i="26"/>
  <c r="N22" i="26" s="1"/>
  <c r="H19" i="13"/>
  <c r="P22" i="21"/>
  <c r="P23" i="21" s="1"/>
  <c r="P21" i="26"/>
  <c r="P22" i="26" s="1"/>
  <c r="R21" i="26"/>
  <c r="R22" i="26" s="1"/>
  <c r="R35" i="7"/>
  <c r="R38" i="7" s="1"/>
  <c r="O21" i="26"/>
  <c r="O22" i="26" s="1"/>
  <c r="F49" i="14"/>
  <c r="F50" i="14"/>
  <c r="L14" i="17"/>
  <c r="M38" i="19"/>
  <c r="P38" i="19" s="1"/>
  <c r="O22" i="21"/>
  <c r="O23" i="21" s="1"/>
  <c r="U17" i="8"/>
  <c r="I30" i="26"/>
  <c r="J30" i="26"/>
  <c r="J31" i="21"/>
  <c r="I31" i="21"/>
  <c r="Q22" i="21"/>
  <c r="Q23" i="21" s="1"/>
  <c r="M40" i="19"/>
  <c r="P40" i="19" s="1"/>
  <c r="Q10" i="17" s="1"/>
  <c r="L29" i="22"/>
  <c r="O29" i="22" s="1"/>
  <c r="O18" i="16" s="1"/>
  <c r="Q21" i="26"/>
  <c r="Q22" i="26" s="1"/>
  <c r="P13" i="25"/>
  <c r="L13" i="25" s="1"/>
  <c r="L15" i="25" s="1"/>
  <c r="V17" i="18" s="1"/>
  <c r="S22" i="16" s="1"/>
  <c r="G61" i="14" s="1"/>
  <c r="Q13" i="25"/>
  <c r="K20" i="25"/>
  <c r="G23" i="25"/>
  <c r="C23" i="25"/>
  <c r="I28" i="26"/>
  <c r="J28" i="26"/>
  <c r="J32" i="21"/>
  <c r="I32" i="21"/>
  <c r="G25" i="24"/>
  <c r="C25" i="24"/>
  <c r="K22" i="24"/>
  <c r="S11" i="18"/>
  <c r="G13" i="17"/>
  <c r="L13" i="17"/>
  <c r="J29" i="26"/>
  <c r="I29" i="26"/>
  <c r="J30" i="21"/>
  <c r="I30" i="21"/>
  <c r="J23" i="20"/>
  <c r="O13" i="17" s="1"/>
  <c r="G25" i="20"/>
  <c r="J25" i="20" s="1"/>
  <c r="N22" i="21"/>
  <c r="N23" i="21" s="1"/>
  <c r="R22" i="21"/>
  <c r="R23" i="21" s="1"/>
  <c r="L28" i="22"/>
  <c r="O28" i="22" s="1"/>
  <c r="L30" i="22"/>
  <c r="O30" i="22" s="1"/>
  <c r="Q12" i="17" s="1"/>
  <c r="M39" i="19"/>
  <c r="P39" i="19" s="1"/>
  <c r="R11" i="8"/>
  <c r="S11" i="8" s="1"/>
  <c r="M16" i="13"/>
  <c r="G22" i="6"/>
  <c r="G24" i="6" s="1"/>
  <c r="J24" i="6" s="1"/>
  <c r="N12" i="2"/>
  <c r="L18" i="13" s="1"/>
  <c r="C22" i="6"/>
  <c r="L29" i="11"/>
  <c r="O29" i="11" s="1"/>
  <c r="K19" i="13"/>
  <c r="K34" i="1"/>
  <c r="F39" i="1" s="1"/>
  <c r="I20" i="13"/>
  <c r="L28" i="11"/>
  <c r="O28" i="11" s="1"/>
  <c r="S35" i="7"/>
  <c r="S38" i="7" s="1"/>
  <c r="L30" i="11"/>
  <c r="O30" i="11" s="1"/>
  <c r="T35" i="7"/>
  <c r="T38" i="7" s="1"/>
  <c r="L13" i="2"/>
  <c r="K46" i="7"/>
  <c r="L46" i="7"/>
  <c r="P35" i="7"/>
  <c r="P38" i="7" s="1"/>
  <c r="Q35" i="7"/>
  <c r="Q38" i="7" s="1"/>
  <c r="P11" i="8"/>
  <c r="L45" i="7"/>
  <c r="K45" i="7"/>
  <c r="J23" i="10"/>
  <c r="G25" i="10"/>
  <c r="J25" i="10" s="1"/>
  <c r="K22" i="9"/>
  <c r="G25" i="9"/>
  <c r="C25" i="9"/>
  <c r="K44" i="7"/>
  <c r="L44" i="7"/>
  <c r="P13" i="4"/>
  <c r="L13" i="4" s="1"/>
  <c r="L15" i="4" s="1"/>
  <c r="Q13" i="4"/>
  <c r="G26" i="5"/>
  <c r="J26" i="5" s="1"/>
  <c r="L12" i="5" s="1"/>
  <c r="I18" i="5"/>
  <c r="I20" i="5" s="1"/>
  <c r="K32" i="1"/>
  <c r="E17" i="4"/>
  <c r="I18" i="4" s="1"/>
  <c r="J14" i="2"/>
  <c r="L14" i="2" s="1"/>
  <c r="C49" i="14" l="1"/>
  <c r="C50" i="14"/>
  <c r="K20" i="16"/>
  <c r="L30" i="21"/>
  <c r="O30" i="21" s="1"/>
  <c r="L32" i="21"/>
  <c r="O32" i="21" s="1"/>
  <c r="R10" i="17"/>
  <c r="P10" i="17"/>
  <c r="F31" i="20"/>
  <c r="F29" i="20"/>
  <c r="F30" i="20"/>
  <c r="J25" i="24"/>
  <c r="G27" i="24"/>
  <c r="J27" i="24" s="1"/>
  <c r="L28" i="26"/>
  <c r="O28" i="26" s="1"/>
  <c r="J23" i="25"/>
  <c r="O15" i="18" s="1"/>
  <c r="P15" i="18" s="1"/>
  <c r="G25" i="25"/>
  <c r="J25" i="25" s="1"/>
  <c r="U16" i="2"/>
  <c r="V16" i="2"/>
  <c r="M21" i="20"/>
  <c r="M22" i="20" s="1"/>
  <c r="M23" i="20" s="1"/>
  <c r="R21" i="20"/>
  <c r="P21" i="20"/>
  <c r="N21" i="20"/>
  <c r="Q21" i="20"/>
  <c r="O21" i="20"/>
  <c r="L29" i="26"/>
  <c r="O29" i="26" s="1"/>
  <c r="L31" i="21"/>
  <c r="O31" i="21" s="1"/>
  <c r="L30" i="26"/>
  <c r="O30" i="26" s="1"/>
  <c r="F46" i="14"/>
  <c r="E45" i="14"/>
  <c r="C44" i="14"/>
  <c r="E44" i="14" s="1"/>
  <c r="K20" i="13"/>
  <c r="C43" i="14"/>
  <c r="N16" i="13"/>
  <c r="I21" i="5"/>
  <c r="C25" i="5" s="1"/>
  <c r="F29" i="6"/>
  <c r="F28" i="6"/>
  <c r="J28" i="6" s="1"/>
  <c r="F30" i="6"/>
  <c r="I30" i="6" s="1"/>
  <c r="J22" i="6"/>
  <c r="F40" i="1"/>
  <c r="K40" i="1" s="1"/>
  <c r="F38" i="1"/>
  <c r="K38" i="1" s="1"/>
  <c r="R30" i="1"/>
  <c r="S30" i="1"/>
  <c r="Q30" i="1"/>
  <c r="N13" i="2"/>
  <c r="L19" i="13" s="1"/>
  <c r="F45" i="14" s="1"/>
  <c r="K20" i="5"/>
  <c r="J25" i="9"/>
  <c r="O14" i="8" s="1"/>
  <c r="G27" i="9"/>
  <c r="J27" i="9" s="1"/>
  <c r="M21" i="10"/>
  <c r="M22" i="10" s="1"/>
  <c r="M23" i="10" s="1"/>
  <c r="P21" i="10"/>
  <c r="O21" i="10"/>
  <c r="R21" i="10"/>
  <c r="O15" i="8"/>
  <c r="P15" i="8" s="1"/>
  <c r="N21" i="10"/>
  <c r="Q21" i="10"/>
  <c r="N44" i="7"/>
  <c r="Q44" i="7" s="1"/>
  <c r="N46" i="7"/>
  <c r="Q46" i="7" s="1"/>
  <c r="F29" i="10"/>
  <c r="F30" i="10"/>
  <c r="F31" i="10"/>
  <c r="N45" i="7"/>
  <c r="Q45" i="7" s="1"/>
  <c r="G23" i="5"/>
  <c r="G25" i="5" s="1"/>
  <c r="C23" i="5"/>
  <c r="O30" i="1"/>
  <c r="O10" i="2"/>
  <c r="M15" i="13" s="1"/>
  <c r="N15" i="13" s="1"/>
  <c r="N30" i="1"/>
  <c r="N31" i="1" s="1"/>
  <c r="N32" i="1" s="1"/>
  <c r="P30" i="1"/>
  <c r="I21" i="4"/>
  <c r="C25" i="4" s="1"/>
  <c r="I20" i="4"/>
  <c r="K39" i="1"/>
  <c r="J39" i="1"/>
  <c r="Q14" i="17" l="1"/>
  <c r="O20" i="16"/>
  <c r="E50" i="14"/>
  <c r="E49" i="14"/>
  <c r="C53" i="14"/>
  <c r="E61" i="14" s="1"/>
  <c r="E43" i="14"/>
  <c r="E47" i="14" s="1"/>
  <c r="C47" i="14"/>
  <c r="Q31" i="1"/>
  <c r="Q32" i="1" s="1"/>
  <c r="N22" i="20"/>
  <c r="N23" i="20" s="1"/>
  <c r="S22" i="13"/>
  <c r="G60" i="14" s="1"/>
  <c r="J30" i="6"/>
  <c r="L30" i="6" s="1"/>
  <c r="O30" i="6" s="1"/>
  <c r="O14" i="18"/>
  <c r="M19" i="16" s="1"/>
  <c r="G51" i="14" s="1"/>
  <c r="S10" i="17"/>
  <c r="P15" i="16"/>
  <c r="O15" i="16"/>
  <c r="Q11" i="18"/>
  <c r="R23" i="24"/>
  <c r="M23" i="24"/>
  <c r="M24" i="24" s="1"/>
  <c r="M25" i="24" s="1"/>
  <c r="N23" i="24"/>
  <c r="P23" i="24"/>
  <c r="Q23" i="24"/>
  <c r="O23" i="24"/>
  <c r="J31" i="20"/>
  <c r="I31" i="20"/>
  <c r="O22" i="20"/>
  <c r="O23" i="20" s="1"/>
  <c r="P22" i="20"/>
  <c r="P23" i="20" s="1"/>
  <c r="M21" i="25"/>
  <c r="M22" i="25" s="1"/>
  <c r="M23" i="25" s="1"/>
  <c r="R21" i="25"/>
  <c r="P21" i="25"/>
  <c r="N21" i="25"/>
  <c r="Q21" i="25"/>
  <c r="O21" i="25"/>
  <c r="F31" i="24"/>
  <c r="F33" i="24"/>
  <c r="F32" i="24"/>
  <c r="J29" i="20"/>
  <c r="I29" i="20"/>
  <c r="F31" i="25"/>
  <c r="F29" i="25"/>
  <c r="F30" i="25"/>
  <c r="J30" i="20"/>
  <c r="I30" i="20"/>
  <c r="Q22" i="20"/>
  <c r="Q23" i="20" s="1"/>
  <c r="R22" i="20"/>
  <c r="R23" i="20" s="1"/>
  <c r="Q12" i="2"/>
  <c r="Q20" i="6"/>
  <c r="I28" i="6"/>
  <c r="L28" i="6" s="1"/>
  <c r="O28" i="6" s="1"/>
  <c r="Q10" i="8"/>
  <c r="M20" i="6"/>
  <c r="M21" i="6" s="1"/>
  <c r="M22" i="6" s="1"/>
  <c r="P20" i="6"/>
  <c r="R20" i="6"/>
  <c r="N20" i="6"/>
  <c r="O12" i="2"/>
  <c r="P12" i="2" s="1"/>
  <c r="O20" i="6"/>
  <c r="J29" i="6"/>
  <c r="I29" i="6"/>
  <c r="J40" i="1"/>
  <c r="M40" i="1" s="1"/>
  <c r="P40" i="1" s="1"/>
  <c r="S31" i="1"/>
  <c r="S32" i="1" s="1"/>
  <c r="J38" i="1"/>
  <c r="M38" i="1" s="1"/>
  <c r="P38" i="1" s="1"/>
  <c r="R31" i="1"/>
  <c r="R32" i="1" s="1"/>
  <c r="N22" i="10"/>
  <c r="N23" i="10" s="1"/>
  <c r="Q22" i="10"/>
  <c r="Q23" i="10" s="1"/>
  <c r="O31" i="1"/>
  <c r="O32" i="1" s="1"/>
  <c r="O23" i="9"/>
  <c r="R23" i="9"/>
  <c r="N23" i="9"/>
  <c r="Q23" i="9"/>
  <c r="M23" i="9"/>
  <c r="M24" i="9" s="1"/>
  <c r="M25" i="9" s="1"/>
  <c r="P23" i="9"/>
  <c r="R17" i="8"/>
  <c r="P22" i="10"/>
  <c r="P23" i="10" s="1"/>
  <c r="J31" i="10"/>
  <c r="I31" i="10"/>
  <c r="F33" i="9"/>
  <c r="F32" i="9"/>
  <c r="F31" i="9"/>
  <c r="O22" i="10"/>
  <c r="O23" i="10" s="1"/>
  <c r="I30" i="10"/>
  <c r="J30" i="10"/>
  <c r="I29" i="10"/>
  <c r="J29" i="10"/>
  <c r="R22" i="10"/>
  <c r="R23" i="10" s="1"/>
  <c r="J23" i="5"/>
  <c r="R10" i="2"/>
  <c r="P10" i="2"/>
  <c r="P31" i="1"/>
  <c r="P32" i="1" s="1"/>
  <c r="J25" i="5"/>
  <c r="F29" i="5" s="1"/>
  <c r="G23" i="4"/>
  <c r="N14" i="2"/>
  <c r="L20" i="13" s="1"/>
  <c r="F44" i="14" s="1"/>
  <c r="C23" i="4"/>
  <c r="K20" i="4"/>
  <c r="M39" i="1"/>
  <c r="P39" i="1" s="1"/>
  <c r="E53" i="14" l="1"/>
  <c r="N21" i="6"/>
  <c r="N22" i="6" s="1"/>
  <c r="N22" i="25"/>
  <c r="N23" i="25" s="1"/>
  <c r="O24" i="24"/>
  <c r="O25" i="24" s="1"/>
  <c r="P14" i="18"/>
  <c r="R17" i="18"/>
  <c r="S17" i="18" s="1"/>
  <c r="Q22" i="25"/>
  <c r="Q23" i="25" s="1"/>
  <c r="N19" i="16"/>
  <c r="N24" i="24"/>
  <c r="N25" i="24" s="1"/>
  <c r="L30" i="20"/>
  <c r="O30" i="20" s="1"/>
  <c r="L31" i="20"/>
  <c r="O31" i="20" s="1"/>
  <c r="Q13" i="17" s="1"/>
  <c r="Q24" i="24"/>
  <c r="Q25" i="24" s="1"/>
  <c r="L29" i="20"/>
  <c r="O29" i="20" s="1"/>
  <c r="P15" i="13"/>
  <c r="Q15" i="16"/>
  <c r="Q10" i="2"/>
  <c r="O15" i="13" s="1"/>
  <c r="T10" i="17"/>
  <c r="I29" i="25"/>
  <c r="J29" i="25"/>
  <c r="J31" i="24"/>
  <c r="I31" i="24"/>
  <c r="I30" i="25"/>
  <c r="J30" i="25"/>
  <c r="J33" i="24"/>
  <c r="I33" i="24"/>
  <c r="T11" i="18"/>
  <c r="O16" i="16"/>
  <c r="R15" i="16" s="1"/>
  <c r="R22" i="25"/>
  <c r="R23" i="25" s="1"/>
  <c r="P13" i="17"/>
  <c r="J31" i="25"/>
  <c r="I31" i="25"/>
  <c r="I32" i="24"/>
  <c r="J32" i="24"/>
  <c r="O22" i="25"/>
  <c r="O23" i="25" s="1"/>
  <c r="P22" i="25"/>
  <c r="P23" i="25" s="1"/>
  <c r="P24" i="24"/>
  <c r="P25" i="24" s="1"/>
  <c r="R24" i="24"/>
  <c r="R25" i="24" s="1"/>
  <c r="F43" i="14"/>
  <c r="R21" i="6"/>
  <c r="R22" i="6" s="1"/>
  <c r="Q21" i="6"/>
  <c r="Q22" i="6" s="1"/>
  <c r="Q11" i="8"/>
  <c r="L29" i="6"/>
  <c r="O29" i="6" s="1"/>
  <c r="O21" i="6"/>
  <c r="O22" i="6" s="1"/>
  <c r="P21" i="6"/>
  <c r="P22" i="6" s="1"/>
  <c r="M21" i="5"/>
  <c r="M22" i="5" s="1"/>
  <c r="M23" i="5" s="1"/>
  <c r="M19" i="13"/>
  <c r="L29" i="10"/>
  <c r="O29" i="10" s="1"/>
  <c r="S10" i="2"/>
  <c r="Q15" i="13"/>
  <c r="P21" i="5"/>
  <c r="Q21" i="5"/>
  <c r="N21" i="5"/>
  <c r="R21" i="5"/>
  <c r="O13" i="2"/>
  <c r="P13" i="2" s="1"/>
  <c r="O21" i="5"/>
  <c r="P24" i="9"/>
  <c r="P25" i="9" s="1"/>
  <c r="N24" i="9"/>
  <c r="N25" i="9" s="1"/>
  <c r="J33" i="9"/>
  <c r="I33" i="9"/>
  <c r="P14" i="8"/>
  <c r="L31" i="10"/>
  <c r="O31" i="10" s="1"/>
  <c r="Q24" i="9"/>
  <c r="Q25" i="9" s="1"/>
  <c r="O24" i="9"/>
  <c r="O25" i="9" s="1"/>
  <c r="J31" i="9"/>
  <c r="I31" i="9"/>
  <c r="J32" i="9"/>
  <c r="I32" i="9"/>
  <c r="L30" i="10"/>
  <c r="O30" i="10" s="1"/>
  <c r="R24" i="9"/>
  <c r="R25" i="9" s="1"/>
  <c r="F31" i="5"/>
  <c r="J31" i="5" s="1"/>
  <c r="F30" i="5"/>
  <c r="I30" i="5" s="1"/>
  <c r="J23" i="4"/>
  <c r="G50" i="14" s="1"/>
  <c r="H50" i="14" s="1"/>
  <c r="G25" i="4"/>
  <c r="J25" i="4" s="1"/>
  <c r="J29" i="5"/>
  <c r="I29" i="5"/>
  <c r="T10" i="2" l="1"/>
  <c r="L29" i="25"/>
  <c r="O29" i="25" s="1"/>
  <c r="L31" i="24"/>
  <c r="O31" i="24" s="1"/>
  <c r="R19" i="18"/>
  <c r="R21" i="18" s="1"/>
  <c r="R22" i="18" s="1"/>
  <c r="N20" i="16"/>
  <c r="L33" i="24"/>
  <c r="O33" i="24" s="1"/>
  <c r="Q14" i="18" s="1"/>
  <c r="O19" i="16" s="1"/>
  <c r="I51" i="14" s="1"/>
  <c r="L32" i="24"/>
  <c r="O32" i="24" s="1"/>
  <c r="L31" i="25"/>
  <c r="O31" i="25" s="1"/>
  <c r="Q15" i="18" s="1"/>
  <c r="L30" i="25"/>
  <c r="O30" i="25" s="1"/>
  <c r="M20" i="13"/>
  <c r="G44" i="14" s="1"/>
  <c r="H44" i="14" s="1"/>
  <c r="Q15" i="8"/>
  <c r="G45" i="14"/>
  <c r="H45" i="14" s="1"/>
  <c r="H51" i="14"/>
  <c r="N20" i="13"/>
  <c r="N19" i="13"/>
  <c r="O22" i="5"/>
  <c r="O23" i="5" s="1"/>
  <c r="O16" i="13"/>
  <c r="T11" i="8"/>
  <c r="N22" i="5"/>
  <c r="N23" i="5" s="1"/>
  <c r="P22" i="5"/>
  <c r="P23" i="5" s="1"/>
  <c r="R22" i="5"/>
  <c r="R23" i="5" s="1"/>
  <c r="Q22" i="5"/>
  <c r="Q23" i="5" s="1"/>
  <c r="L32" i="9"/>
  <c r="O32" i="9" s="1"/>
  <c r="L33" i="9"/>
  <c r="O33" i="9" s="1"/>
  <c r="Q14" i="8" s="1"/>
  <c r="I31" i="5"/>
  <c r="L31" i="5" s="1"/>
  <c r="O31" i="5" s="1"/>
  <c r="S17" i="8"/>
  <c r="R19" i="8"/>
  <c r="R21" i="8" s="1"/>
  <c r="R22" i="8" s="1"/>
  <c r="L31" i="9"/>
  <c r="O31" i="9" s="1"/>
  <c r="J30" i="5"/>
  <c r="L30" i="5" s="1"/>
  <c r="O30" i="5" s="1"/>
  <c r="O21" i="4"/>
  <c r="O14" i="2"/>
  <c r="P21" i="4"/>
  <c r="Q21" i="4"/>
  <c r="N21" i="4"/>
  <c r="M21" i="4"/>
  <c r="M22" i="4" s="1"/>
  <c r="M23" i="4" s="1"/>
  <c r="R21" i="4"/>
  <c r="F31" i="4"/>
  <c r="F30" i="4"/>
  <c r="F32" i="4"/>
  <c r="L29" i="5"/>
  <c r="O29" i="5" s="1"/>
  <c r="T17" i="18" l="1"/>
  <c r="Q13" i="2"/>
  <c r="P14" i="17"/>
  <c r="R16" i="17"/>
  <c r="P22" i="16" s="1"/>
  <c r="C61" i="14" s="1"/>
  <c r="R15" i="13"/>
  <c r="O19" i="13"/>
  <c r="P14" i="2"/>
  <c r="R16" i="2"/>
  <c r="Q22" i="16" s="1"/>
  <c r="R22" i="4"/>
  <c r="R23" i="4" s="1"/>
  <c r="N22" i="4"/>
  <c r="N23" i="4" s="1"/>
  <c r="P22" i="4"/>
  <c r="P23" i="4" s="1"/>
  <c r="Q22" i="4"/>
  <c r="Q23" i="4" s="1"/>
  <c r="O22" i="4"/>
  <c r="O23" i="4" s="1"/>
  <c r="I31" i="4"/>
  <c r="J31" i="4"/>
  <c r="I32" i="4"/>
  <c r="J32" i="4"/>
  <c r="J30" i="4"/>
  <c r="I30" i="4"/>
  <c r="S16" i="17" l="1"/>
  <c r="R18" i="17"/>
  <c r="R20" i="17" s="1"/>
  <c r="R21" i="17" s="1"/>
  <c r="I45" i="14"/>
  <c r="Q22" i="13"/>
  <c r="P22" i="13"/>
  <c r="T17" i="8"/>
  <c r="S16" i="2"/>
  <c r="R18" i="2"/>
  <c r="R20" i="2" s="1"/>
  <c r="R21" i="2" s="1"/>
  <c r="L30" i="4"/>
  <c r="O30" i="4" s="1"/>
  <c r="L32" i="4"/>
  <c r="O32" i="4" s="1"/>
  <c r="L31" i="4"/>
  <c r="O31" i="4" s="1"/>
  <c r="T16" i="17" l="1"/>
  <c r="I50" i="14"/>
  <c r="C60" i="14"/>
  <c r="G43" i="14" s="1"/>
  <c r="D61" i="14"/>
  <c r="O20" i="13"/>
  <c r="Q14" i="2"/>
  <c r="T16" i="2" s="1"/>
  <c r="R22" i="16" l="1"/>
  <c r="I49" i="14"/>
  <c r="H49" i="14"/>
  <c r="I44" i="14"/>
  <c r="D60" i="14"/>
  <c r="H43" i="14"/>
  <c r="I43" i="14"/>
  <c r="R22" i="13"/>
  <c r="F61" i="14" l="1"/>
</calcChain>
</file>

<file path=xl/sharedStrings.xml><?xml version="1.0" encoding="utf-8"?>
<sst xmlns="http://schemas.openxmlformats.org/spreadsheetml/2006/main" count="1927" uniqueCount="322">
  <si>
    <t>LANE FLOW RATE=</t>
  </si>
  <si>
    <t>LANE SATFLOW RATE=</t>
  </si>
  <si>
    <t>LANE Q/S RATIO=</t>
  </si>
  <si>
    <t>LANE G/C RATIO</t>
  </si>
  <si>
    <t>LANE X RATIO=</t>
  </si>
  <si>
    <t>LANE RED TIME=</t>
  </si>
  <si>
    <t>LANE Q-SERVICE TIME=</t>
  </si>
  <si>
    <t>Q1=</t>
  </si>
  <si>
    <t>VEH</t>
  </si>
  <si>
    <t>Q2=</t>
  </si>
  <si>
    <t>LANE  CAPACITY =</t>
  </si>
  <si>
    <t>d2=</t>
  </si>
  <si>
    <t>VEH/SEC</t>
  </si>
  <si>
    <t>Q1+Q2=</t>
  </si>
  <si>
    <t>VPH</t>
  </si>
  <si>
    <t>SEC</t>
  </si>
  <si>
    <t>FT</t>
  </si>
  <si>
    <t>PERCENTILES</t>
  </si>
  <si>
    <t>80TH</t>
  </si>
  <si>
    <t>90TH</t>
  </si>
  <si>
    <t>95TH</t>
  </si>
  <si>
    <t>OVERSAT?</t>
  </si>
  <si>
    <t>Z=</t>
  </si>
  <si>
    <t>Z X SQRT(1/Q1+Q2)</t>
  </si>
  <si>
    <t>OVERSAT</t>
  </si>
  <si>
    <t>UNDERSAT</t>
  </si>
  <si>
    <t>PERCENTILE QUEUES</t>
  </si>
  <si>
    <t>STORAGE (FT)</t>
  </si>
  <si>
    <t>THRU  SATFLOW=</t>
  </si>
  <si>
    <t>RIGHT  VOLUME=</t>
  </si>
  <si>
    <t>RIGHT STAFLOW=</t>
  </si>
  <si>
    <t>d1=</t>
  </si>
  <si>
    <t>d1+d2=</t>
  </si>
  <si>
    <t>sec</t>
  </si>
  <si>
    <t>veh</t>
  </si>
  <si>
    <t>A</t>
  </si>
  <si>
    <t>B</t>
  </si>
  <si>
    <t>C</t>
  </si>
  <si>
    <t>D</t>
  </si>
  <si>
    <t>E</t>
  </si>
  <si>
    <t>F</t>
  </si>
  <si>
    <t>DELAY LOS -TABLE</t>
  </si>
  <si>
    <t>&gt;80</t>
  </si>
  <si>
    <t>AVERAGE VEHICLE SPACING AT STOP=</t>
  </si>
  <si>
    <t>LANE THRU VOLUME=</t>
  </si>
  <si>
    <t>DIALOG BOX FOR COMPUTATIONS OF THRU FLOW RATE IN AN ATL OR CTL</t>
  </si>
  <si>
    <t>COMPUTING XT=</t>
  </si>
  <si>
    <t>ATL</t>
  </si>
  <si>
    <t>COMPUTING ORIGINAL SATFLOW=</t>
  </si>
  <si>
    <t>CTL</t>
  </si>
  <si>
    <t>TOTAL APPROACH  THROUGH VOLUME=</t>
  </si>
  <si>
    <t>APPROACH  EFFECTIVE GREEN=</t>
  </si>
  <si>
    <t>CYCLE LENGTH=</t>
  </si>
  <si>
    <t>APP</t>
  </si>
  <si>
    <t xml:space="preserve"> WHICH LANE--- ATL OR CTL OR APP ?</t>
  </si>
  <si>
    <t>COMPUTATIONS OF LANE QUEUES AND PERCENTILES-- FOR VARIOUS LANE CHOICES</t>
  </si>
  <si>
    <t>1-CTL</t>
  </si>
  <si>
    <t>ASSUMING THRU SATFLOW ONLY</t>
  </si>
  <si>
    <t>3-98 MODEL 1A ATL VOL ESTIMATE=</t>
  </si>
  <si>
    <t>HCM 2010 EQUAL V/S ESTIMATE=</t>
  </si>
  <si>
    <t xml:space="preserve">PREDICTED  ATL THROUGH LANE= </t>
  </si>
  <si>
    <t>PREDICTED CTL THROUGH LANE=</t>
  </si>
  <si>
    <t>%RIGHT TURNS</t>
  </si>
  <si>
    <t>ASSUMING NO CTL (COM. THRU AND RIGHT)</t>
  </si>
  <si>
    <t>MAX</t>
  </si>
  <si>
    <t>THRU VOL</t>
  </si>
  <si>
    <t xml:space="preserve"> RIGHT VOL</t>
  </si>
  <si>
    <t>CONDITION</t>
  </si>
  <si>
    <t>XT</t>
  </si>
  <si>
    <t>XALL</t>
  </si>
  <si>
    <t>d</t>
  </si>
  <si>
    <t>LOS</t>
  </si>
  <si>
    <t>% queue</t>
  </si>
  <si>
    <t xml:space="preserve"> TOT VOL</t>
  </si>
  <si>
    <t>AVERAGE</t>
  </si>
  <si>
    <t>DELAY</t>
  </si>
  <si>
    <t>(SEC)</t>
  </si>
  <si>
    <t>(FT)</t>
  </si>
  <si>
    <t>ATL -- DELAY SAVINGS PER HOUR (VEH-HRS OF DELAY)</t>
  </si>
  <si>
    <t>veh-hrs</t>
  </si>
  <si>
    <t>RIGHT  TURN VOLUME=</t>
  </si>
  <si>
    <t>APPROIMATE DOLLAR SAVED PER YEAR ASSUMING THIS VALUE OF TIME PER HOUR</t>
  </si>
  <si>
    <t>% APPROACH RIGHT TURNS</t>
  </si>
  <si>
    <t>THE MULTIPLIERS</t>
  </si>
  <si>
    <t>MULTIPLIERS</t>
  </si>
  <si>
    <t>MAXDEL</t>
  </si>
  <si>
    <t>RT- ONLY  FLAG</t>
  </si>
  <si>
    <t xml:space="preserve">BASED ON THE INPUTS- THIS IS ANALYSIS CASE </t>
  </si>
  <si>
    <t xml:space="preserve">SUMMARY OF RESULTS FOR CASE </t>
  </si>
  <si>
    <r>
      <t xml:space="preserve">BASELINE (SINGLE LANE)- </t>
    </r>
    <r>
      <rPr>
        <b/>
        <sz val="14"/>
        <color rgb="FF00B050"/>
        <rFont val="Calibri"/>
        <family val="2"/>
        <scheme val="minor"/>
      </rPr>
      <t>CASE I</t>
    </r>
  </si>
  <si>
    <t>ENHANCEMENT: EXCLUSIVE RIGHT TURN LANE (Y/N)?</t>
  </si>
  <si>
    <t>ENHANCEMENT: ADDITIONAL EXCLUSIVE ATL (Y/N) ?</t>
  </si>
  <si>
    <t xml:space="preserve">RIGHT-TURN ONLY LANE </t>
  </si>
  <si>
    <t>COMBINED  PERFORMANCE  FOR INDICATED CASE</t>
  </si>
  <si>
    <t>This entry cannot be "Y" if previous enry is "N"</t>
  </si>
  <si>
    <t>GREEN TIME</t>
  </si>
  <si>
    <t>RT+ ATL</t>
  </si>
  <si>
    <t>EFFECTIVE</t>
  </si>
  <si>
    <t xml:space="preserve">1-CTL ONLY </t>
  </si>
  <si>
    <t>APPROACH  EFFECTIVE GREEN WITH ATL / OTHER ADDS=</t>
  </si>
  <si>
    <t xml:space="preserve">       *if ATL thru vol  is color highlighted like this </t>
  </si>
  <si>
    <t xml:space="preserve"> then the 3-98 model volume estimate governs otherwise it is based on equal v/s</t>
  </si>
  <si>
    <t>COMPUTATIONS OF ATL LENGTHS (UPSTREAM AND DOWNSTREAM-- FOR VARIOUS LANE CHOICES</t>
  </si>
  <si>
    <t>APPROACH SPEED (MPH)=</t>
  </si>
  <si>
    <t>DEFAULT</t>
  </si>
  <si>
    <t>AVERAGE ACCELERATION RATE FROM STOP =</t>
  </si>
  <si>
    <t>FT/SEC/SEC</t>
  </si>
  <si>
    <t>MPH</t>
  </si>
  <si>
    <t>CRITICAL GAP IN NEIGHBORING CTL TRAFFIC LANE=</t>
  </si>
  <si>
    <t>DRIVER REACTION TIME=</t>
  </si>
  <si>
    <t>RIGHT SATFLOW PER LANE=</t>
  </si>
  <si>
    <t>INTERSECTION CYCLE LENGTH=</t>
  </si>
  <si>
    <t>Q-LENGTH (FT)</t>
  </si>
  <si>
    <t>BASED ON STORAGE</t>
  </si>
  <si>
    <t>PREDICTED ATL BACK OF QUEUE=</t>
  </si>
  <si>
    <t>CRITICAL CASE (ALL THRU IN Q)</t>
  </si>
  <si>
    <t>PREDICTED ACCELERATION DIST=</t>
  </si>
  <si>
    <t>PREDICTED REACTION DIST=</t>
  </si>
  <si>
    <t>BASED ON CTL-GAP ACCEPT.</t>
  </si>
  <si>
    <t>PREDICTED PROB OF ACCEP GAPS=</t>
  </si>
  <si>
    <t>PREDICTED PROB OF REJECT GAPS=</t>
  </si>
  <si>
    <t>INTERSECTION WIDTH (STOPLINE TO FAR CURB)=</t>
  </si>
  <si>
    <t>EXPECTED SIZE OF A REJECTED GAP=</t>
  </si>
  <si>
    <t>WAITING TIME FOR GAP=</t>
  </si>
  <si>
    <t>LENGTH (FT)</t>
  </si>
  <si>
    <t>DISTANCE (FT)</t>
  </si>
  <si>
    <t>DOWNSTREAM L.</t>
  </si>
  <si>
    <t>UPSTREAM L.</t>
  </si>
  <si>
    <t>Please enter data in  CAPS for first two entries</t>
  </si>
  <si>
    <t>INPUT DATA HERE - CASE I IS THE BASELINE (SINGLE SHARED THRU+RIGHT  LANE)</t>
  </si>
  <si>
    <t>REVISED APPROACH  EFFECTIVE GREEN=</t>
  </si>
  <si>
    <t>ALL CELLS  EXCEPT INPUT CELLS ARE PROTECTED</t>
  </si>
  <si>
    <t>Q1T=</t>
  </si>
  <si>
    <t>Q2T=</t>
  </si>
  <si>
    <t>Q1T+Q2T=</t>
  </si>
  <si>
    <t>THROUGH VOLUME X</t>
  </si>
  <si>
    <t>ENTER THE CASE STUDY ID OR TITLE IN YELLOW BOX</t>
  </si>
  <si>
    <t>APPROXIMATE SAVINGS PER YEAR (ASSUMING  2  PEAKS  PER DAY , 5 DAYS, 50 WEEKS)</t>
  </si>
  <si>
    <t>LOS Look-Up</t>
  </si>
  <si>
    <t>Yes=1,No-0</t>
  </si>
  <si>
    <t>YES</t>
  </si>
  <si>
    <t>NO</t>
  </si>
  <si>
    <t>Enter Percentile?</t>
  </si>
  <si>
    <t>EXPECTED or % NUM  REJECTED GAPS</t>
  </si>
  <si>
    <t>EXPECTED</t>
  </si>
  <si>
    <t>PERCENT</t>
  </si>
  <si>
    <t>85TH</t>
  </si>
  <si>
    <t>EXCLUSIVE RT POCKET</t>
  </si>
  <si>
    <t>QR1+QR2=</t>
  </si>
  <si>
    <t>QR2=</t>
  </si>
  <si>
    <t>QR1=</t>
  </si>
  <si>
    <t>dr1+dr2=</t>
  </si>
  <si>
    <t>dr2=</t>
  </si>
  <si>
    <t>dr1=</t>
  </si>
  <si>
    <t>2-CTL WITH EXCLUSIVE RIGHT TURN POCKET- DELAY</t>
  </si>
  <si>
    <t>2-CTL WITH EXCLUSIVE RIGHT TURN POCKET- X RATIO</t>
  </si>
  <si>
    <t>EXCLUSIVE RIGHT TURN LANE DELAY</t>
  </si>
  <si>
    <t>Thru lane delay=</t>
  </si>
  <si>
    <t>EXCLUIVE RIGHT TURN LANE X RATIO</t>
  </si>
  <si>
    <t>Thru Lane x Ratio=</t>
  </si>
  <si>
    <t>EXCLUSIVE RIGHT TURN LANE Q-SERVICE TIME</t>
  </si>
  <si>
    <t>EXCLUSIVE RIGHT TURN LANE CAPACITY=</t>
  </si>
  <si>
    <t>Thru Lane capacity</t>
  </si>
  <si>
    <t>THRU LANE  Q-SERVICE TIME=</t>
  </si>
  <si>
    <t>Thru Lane q/s=</t>
  </si>
  <si>
    <t>SHARED LANE Q-SERVICE TIME=</t>
  </si>
  <si>
    <t>Thru Lane Satflow=</t>
  </si>
  <si>
    <t>SHARED LANE X RATIO=</t>
  </si>
  <si>
    <t>THRU LANE VOLUME</t>
  </si>
  <si>
    <t>%RIGHT TURNS IN SHARED LANE</t>
  </si>
  <si>
    <t>SHARED LANE Q/S RATIO=</t>
  </si>
  <si>
    <t>SHARED LANE SATFLOW RATE=</t>
  </si>
  <si>
    <t xml:space="preserve"> LANE RED TIME=</t>
  </si>
  <si>
    <t>SHARED LANE FLOW RATE=</t>
  </si>
  <si>
    <t>SHARED LANE  CAPACITY =</t>
  </si>
  <si>
    <t>SHARED  LANE THRU VOLUME=</t>
  </si>
  <si>
    <t>DRIVER REACTION TIME</t>
  </si>
  <si>
    <t>CRITICAL GAP I NEIGHBORING CTL LANE=</t>
  </si>
  <si>
    <t>AVERAGE ACCELERATION RATE FROM STOP=</t>
  </si>
  <si>
    <t>APPROACH EFFECTIVE GREEN WITH ATL / OTHER ENHANCEMENTS=</t>
  </si>
  <si>
    <t>THRU  SATFLOW (TOTAL)=</t>
  </si>
  <si>
    <t>BASELINE THRU VOLUME</t>
  </si>
  <si>
    <t>3-98 MODEL 2A ATL VOL ESTIMATE=</t>
  </si>
  <si>
    <t>ENHANCEMENT: ADDITIONAL EXCLUSIVE THRU ATL (Y/N) ?</t>
  </si>
  <si>
    <t>Please enter data in CAPS for the first 2 entries</t>
  </si>
  <si>
    <t>ENTER CASE STUDY ID OR TITLE IN YELLOW BOX</t>
  </si>
  <si>
    <t>ALL CELLS EXCEPT INPUT CELLS ARE PROTECTED</t>
  </si>
  <si>
    <t>INPUT DATA HERE- CASE I IS THE BASELINE (THRU CTL + CTL SHARED LANE)</t>
  </si>
  <si>
    <t>COMPUTATIONS OF ATL LENGTHS (UPSTREAM AND DOWNSTREAM) -- FOR VARIOUS LANE CHOICES</t>
  </si>
  <si>
    <t xml:space="preserve">2-CTL ONLY </t>
  </si>
  <si>
    <t>**If ATL Shared carries no through trafic, then it operates as a defacto RT pocket</t>
  </si>
  <si>
    <t xml:space="preserve">      then the 3-98 model volume estimate governs otherwise it is based on equal v/s</t>
  </si>
  <si>
    <t xml:space="preserve">*if ATL thru vol  is color highlighted like this </t>
  </si>
  <si>
    <t>2-CTL'S</t>
  </si>
  <si>
    <t>CASE I</t>
  </si>
  <si>
    <t>BASELINE- SHARED CTL</t>
  </si>
  <si>
    <t>BASELINE- THRU CTL</t>
  </si>
  <si>
    <t>BASED PN CTL-GAP ACCEPT</t>
  </si>
  <si>
    <t>BASED ON STORAGE / ACCESS</t>
  </si>
  <si>
    <t>THROUGH VOLUME X=</t>
  </si>
  <si>
    <t xml:space="preserve">*** Adjusted for lane utilization factor  </t>
  </si>
  <si>
    <t>PREDICTED REACTION DISTANCE=</t>
  </si>
  <si>
    <t>PREDICTED ACCELERATION DISTANCE=</t>
  </si>
  <si>
    <t>PREDICTED CTL THRU VOLUME=</t>
  </si>
  <si>
    <t>PREDICTED ATL THRU VOLUME=</t>
  </si>
  <si>
    <t>RELEVANT HCM2010  ESTIMATE=</t>
  </si>
  <si>
    <t>HCM 2010 EQUAL V/S ESTIMATE (EXCLUSIVE)***=</t>
  </si>
  <si>
    <t>THRU VOL PER LANE- NO ATL</t>
  </si>
  <si>
    <t>HCM 2010 EQUAL V/S ESTIMATE (SHARED)***=</t>
  </si>
  <si>
    <t>RELEVANT RIGHT  VOLUME=</t>
  </si>
  <si>
    <t>DIALOG BOX FOR COMPUTATIONS OF THRU FLOW RATE IN AN ATL AND CTL</t>
  </si>
  <si>
    <t>2-CTL</t>
  </si>
  <si>
    <t>*** Adjusted for lane utilization factor of 0.952</t>
  </si>
  <si>
    <t>2- LANES SATFLOW RATE***=</t>
  </si>
  <si>
    <t>EXPECTED SIZE OF REJECTED GAP=</t>
  </si>
  <si>
    <t>EXPECTED NUMBER OF REJECTED GAPS=</t>
  </si>
  <si>
    <t>Yes=1,no=0</t>
  </si>
  <si>
    <t>PREDICTED PROB OF ACCEPT GAPS=</t>
  </si>
  <si>
    <t xml:space="preserve">PREDICTED  THROUGH LANE PER CTL= </t>
  </si>
  <si>
    <t>INPUT DATA HERE</t>
  </si>
  <si>
    <t>ANY RIGHT TURNS ON THE APPROACH (Y/N)?</t>
  </si>
  <si>
    <t>DOWNSTREAM</t>
  </si>
  <si>
    <t>TOTAL RIGHT SAT FLOW=</t>
  </si>
  <si>
    <t>THRU  SATFLOW =</t>
  </si>
  <si>
    <t>TOTAL THROUGH SAT FLOW (ALL CTLS COMBINED)</t>
  </si>
  <si>
    <t>95th</t>
  </si>
  <si>
    <t xml:space="preserve">95TH </t>
  </si>
  <si>
    <t>DOWNSTREM LENGTH CONFIDENCE LEVEL  (EXPRESS AS DECIMAL BETWEEN 0.80 AND 0.95)=</t>
  </si>
  <si>
    <t>HYPOTHETICAL SITE</t>
  </si>
  <si>
    <t xml:space="preserve">BASED ON THE INPUTS- THE ANALYSIS CASE CONFIGURATION IS ----&gt; </t>
  </si>
  <si>
    <t xml:space="preserve">ENTER THE CASE STUDY ID OR TITLE </t>
  </si>
  <si>
    <t xml:space="preserve">          SUMMARY OF RESULTS FOR CASE </t>
  </si>
  <si>
    <t>NCHRP 3-98  GUIDELINES FOR AUXILIARY THROUGH LANES AT SIGNALIZED INTERSECTIONS</t>
  </si>
  <si>
    <t>COMPUTATIONAL ENGINE FOR ESTIMATING ATL UTILIZATION AND LENGTH</t>
  </si>
  <si>
    <t>BASE CASE</t>
  </si>
  <si>
    <t>BASE  SCENARIO</t>
  </si>
  <si>
    <t>ANALYSIS CASE STUDY SCENARIO</t>
  </si>
  <si>
    <t>RIGHT TURNS MUST  BE MADE FROM AN EXCLUSIVE LANE (Y/N)?</t>
  </si>
  <si>
    <t>MUST HAVE AN EXCLUSIVE THROUGH  ATL (Y/N)?</t>
  </si>
  <si>
    <t>NUMBER OF CTLS IN THE BASE  CASE (1 OR 2)</t>
  </si>
  <si>
    <t>ALL CELLS  EXCEPT INPUT CELLS (WHITE BACKGROUND)  ARE PROTECTED</t>
  </si>
  <si>
    <t>LANE CONFIGURATION</t>
  </si>
  <si>
    <t>Y</t>
  </si>
  <si>
    <t>RELEASE DATE  AUGUST 2011</t>
  </si>
  <si>
    <t>BASED ON THE INPUTS- THE BASELINE  CONFIGURATION IS------------&gt;</t>
  </si>
  <si>
    <t>N</t>
  </si>
  <si>
    <t xml:space="preserve">DEFAULT = </t>
  </si>
  <si>
    <t>TITLE</t>
  </si>
  <si>
    <t>INTERSECTION</t>
  </si>
  <si>
    <t>ANALYSIS YEAR</t>
  </si>
  <si>
    <t>TIME PERIOD</t>
  </si>
  <si>
    <t>OTHER</t>
  </si>
  <si>
    <t>Scenario 1</t>
  </si>
  <si>
    <t>Scenario 2</t>
  </si>
  <si>
    <t>Number of CTLs (1 OR 2)</t>
  </si>
  <si>
    <t>ATL (Y/N)?</t>
  </si>
  <si>
    <t>Exclusive right-turn lane (Y/N)?</t>
  </si>
  <si>
    <t>User Input (Applies to Both Scenarios)</t>
  </si>
  <si>
    <t>Comment</t>
  </si>
  <si>
    <t>Total approach through volume (vph) =</t>
  </si>
  <si>
    <t>Right-turn volume (vph) =</t>
  </si>
  <si>
    <t>Right-turn lane saturation flow rate (vph) =</t>
  </si>
  <si>
    <t>Effective green time for through movement(s) (sec)=</t>
  </si>
  <si>
    <t>Cycle length (sec) =</t>
  </si>
  <si>
    <t>Average vehicle spacing at stop bar (ft) =</t>
  </si>
  <si>
    <t>Average acceleration rate from stop bar (ft/sec/sec) =</t>
  </si>
  <si>
    <t>Intersection width measured from stop bar to far curb (ft) =</t>
  </si>
  <si>
    <t>Critical gap in adjacent CTL (sec) =</t>
  </si>
  <si>
    <t>Driver reaction time (sec) =</t>
  </si>
  <si>
    <t>Confidence level for calculation of downstream length =</t>
  </si>
  <si>
    <t>TH Vol</t>
  </si>
  <si>
    <t>RT Vol</t>
  </si>
  <si>
    <t>TH + RT Vol</t>
  </si>
  <si>
    <t>Avg. Delay</t>
  </si>
  <si>
    <t>95th % Queue</t>
  </si>
  <si>
    <t>Upstream ATL</t>
  </si>
  <si>
    <t>Downstream ATL</t>
  </si>
  <si>
    <t>Lane</t>
  </si>
  <si>
    <t>Configuration</t>
  </si>
  <si>
    <t>(vph)</t>
  </si>
  <si>
    <t>(sec/veh)</t>
  </si>
  <si>
    <t>(ft)</t>
  </si>
  <si>
    <t>DIALOG BOX FOR COMPUTATIONS OF THRU FLOW RATE IN AN ATL2 OR CTL</t>
  </si>
  <si>
    <t xml:space="preserve"> WHICH LANE--- ATL2 OR CTL OR APP ?</t>
  </si>
  <si>
    <t>3-98 MODEL 1A ATL2 VOL ESTIMATE=</t>
  </si>
  <si>
    <t xml:space="preserve">PREDICTED  ATL2 THROUGH LANE= </t>
  </si>
  <si>
    <t>ATL2 -- DELAY SAVINGS PER HOUR (VEH-HRS OF DELAY)</t>
  </si>
  <si>
    <t xml:space="preserve">       *if ATL2 thru vol  is color highlighted like this </t>
  </si>
  <si>
    <t>BASED ON CTL2-GAP ACCEPT.</t>
  </si>
  <si>
    <t>CTL2</t>
  </si>
  <si>
    <t>2-CTL2'S</t>
  </si>
  <si>
    <t>Notes:</t>
  </si>
  <si>
    <t>CTL =</t>
  </si>
  <si>
    <t>Continuous Through Lane</t>
  </si>
  <si>
    <t>ATL =</t>
  </si>
  <si>
    <t>RTL =</t>
  </si>
  <si>
    <t>Right-turn Lane</t>
  </si>
  <si>
    <t>Auxiliary Through Lane</t>
  </si>
  <si>
    <t>Estimated Min. ATL Length</t>
  </si>
  <si>
    <t>COMP ENGINE FOR ESTIMATING ATL UTILIZATION AND LENGTH FOR 1- AND 2-CTL APPROACHES</t>
  </si>
  <si>
    <t>Total saturation flow rate for CTL(s) (vph) =</t>
  </si>
  <si>
    <t>Add sat flow across both lanes for 2 CTL approaches</t>
  </si>
  <si>
    <t>Shared =</t>
  </si>
  <si>
    <t>ATL Utilization</t>
  </si>
  <si>
    <t>TOTAL</t>
  </si>
  <si>
    <t>(ATL TH/Total TH)</t>
  </si>
  <si>
    <t>Express as decimal between .85 and .95</t>
  </si>
  <si>
    <t>Default value = 25 ft</t>
  </si>
  <si>
    <t xml:space="preserve">Default value = 10.0 ft/sec/sec </t>
  </si>
  <si>
    <t>Default value = 6.0 seconds</t>
  </si>
  <si>
    <t>Default value = 1.0 seconds</t>
  </si>
  <si>
    <t>Prevailing approach speed (mph) =</t>
  </si>
  <si>
    <t>Speed at which vehicles approach intersection during green phase</t>
  </si>
  <si>
    <t>I. GEOMETRIC CONFIGURATION AND SIGNAL TIMING</t>
  </si>
  <si>
    <t>II. APPROACH CHARACTERISTICS</t>
  </si>
  <si>
    <t>III. LANE-BY-LANE RESULTS</t>
  </si>
  <si>
    <t>IV. APPROACH RESULTS</t>
  </si>
  <si>
    <t>RELEASE DATE  SEPTEMBER 2011</t>
  </si>
  <si>
    <t>VERSION 2.2</t>
  </si>
  <si>
    <t>Right-turn movements allowed with through movements</t>
  </si>
  <si>
    <t>NA</t>
  </si>
  <si>
    <t>Minimum ATL Length estimates do not include taper lengths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</si>
</sst>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(&quot;$&quot;* #,##0.00_);_(&quot;$&quot;* \(#,##0.00\);_(&quot;$&quot;* &quot;-&quot;??_);_(@_)"/>
    <numFmt numFmtId="164" formatCode="0.0000"/>
    <numFmt numFmtId="165" formatCode="0.000"/>
    <numFmt numFmtId="166" formatCode="0.0%"/>
    <numFmt numFmtId="167" formatCode="_(&quot;$&quot;* #,##0_);_(&quot;$&quot;* \(#,##0\);_(&quot;$&quot;* &quot;-&quot;??_);_(@_)"/>
    <numFmt numFmtId="168" formatCode="0.0"/>
  </numFmts>
  <fonts count="6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00B050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3"/>
      <name val="Calibri"/>
      <family val="2"/>
      <scheme val="minor"/>
    </font>
    <font>
      <b/>
      <sz val="12"/>
      <color rgb="FFC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rgb="FF00B050"/>
      <name val="Calibri"/>
      <family val="2"/>
      <scheme val="minor"/>
    </font>
    <font>
      <b/>
      <sz val="12"/>
      <color rgb="FF92D050"/>
      <name val="Calibri"/>
      <family val="2"/>
      <scheme val="minor"/>
    </font>
    <font>
      <b/>
      <sz val="12"/>
      <color rgb="FFFFFF00"/>
      <name val="Calibri"/>
      <family val="2"/>
      <scheme val="minor"/>
    </font>
    <font>
      <sz val="11"/>
      <color theme="9" tint="0.39997558519241921"/>
      <name val="Calibri"/>
      <family val="2"/>
      <scheme val="minor"/>
    </font>
    <font>
      <b/>
      <sz val="12"/>
      <color theme="9" tint="0.39997558519241921"/>
      <name val="Calibri"/>
      <family val="2"/>
      <scheme val="minor"/>
    </font>
    <font>
      <b/>
      <sz val="12"/>
      <color rgb="FF7030A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14"/>
      <name val="Calibri"/>
      <family val="2"/>
      <scheme val="minor"/>
    </font>
    <font>
      <b/>
      <sz val="14"/>
      <color rgb="FF00B050"/>
      <name val="Calibri"/>
      <family val="2"/>
      <scheme val="minor"/>
    </font>
    <font>
      <b/>
      <sz val="14"/>
      <color rgb="FF92D050"/>
      <name val="Calibri"/>
      <family val="2"/>
      <scheme val="minor"/>
    </font>
    <font>
      <b/>
      <sz val="14"/>
      <color rgb="FFFFFF00"/>
      <name val="Calibri"/>
      <family val="2"/>
      <scheme val="minor"/>
    </font>
    <font>
      <b/>
      <sz val="14"/>
      <color theme="9" tint="0.3999755851924192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color rgb="FF7030A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16"/>
      <color theme="3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3" tint="-0.249977111117893"/>
      <name val="Calibri"/>
      <family val="2"/>
      <scheme val="minor"/>
    </font>
    <font>
      <b/>
      <sz val="14"/>
      <color theme="3" tint="-0.249977111117893"/>
      <name val="Calibri"/>
      <family val="2"/>
      <scheme val="minor"/>
    </font>
    <font>
      <u/>
      <sz val="11"/>
      <color theme="10"/>
      <name val="Calibri"/>
      <family val="2"/>
    </font>
    <font>
      <sz val="11"/>
      <name val="Calibri"/>
      <family val="2"/>
    </font>
    <font>
      <b/>
      <sz val="12"/>
      <color theme="9" tint="-0.249977111117893"/>
      <name val="Calibri"/>
      <family val="2"/>
      <scheme val="minor"/>
    </font>
    <font>
      <b/>
      <sz val="11"/>
      <color theme="0" tint="-0.14999847407452621"/>
      <name val="Calibri"/>
      <family val="2"/>
      <scheme val="minor"/>
    </font>
    <font>
      <sz val="14"/>
      <color theme="0" tint="-0.14999847407452621"/>
      <name val="Calibri"/>
      <family val="2"/>
      <scheme val="minor"/>
    </font>
    <font>
      <b/>
      <sz val="16"/>
      <color rgb="FFFFC000"/>
      <name val="Calibri"/>
      <family val="2"/>
      <scheme val="minor"/>
    </font>
    <font>
      <sz val="11"/>
      <color rgb="FFFFC000"/>
      <name val="Calibri"/>
      <family val="2"/>
      <scheme val="minor"/>
    </font>
    <font>
      <b/>
      <sz val="11"/>
      <color rgb="FFFFC000"/>
      <name val="Calibri"/>
      <family val="2"/>
      <scheme val="minor"/>
    </font>
    <font>
      <b/>
      <sz val="14"/>
      <color rgb="FFFFC000"/>
      <name val="Calibri"/>
      <family val="2"/>
      <scheme val="minor"/>
    </font>
    <font>
      <b/>
      <sz val="14"/>
      <color theme="9" tint="-0.249977111117893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11"/>
      <color rgb="FFFFFFFF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4" tint="-0.499984740745262"/>
      <name val="Calibri"/>
      <family val="2"/>
      <scheme val="minor"/>
    </font>
    <font>
      <b/>
      <sz val="12"/>
      <color theme="4" tint="-0.499984740745262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2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2"/>
      <name val="Calibri"/>
      <family val="2"/>
      <scheme val="minor"/>
    </font>
    <font>
      <sz val="12"/>
      <color rgb="FFFFFFFF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20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2" tint="-0.89999084444715716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 tint="0.24994659260841701"/>
        <bgColor indexed="64"/>
      </patternFill>
    </fill>
    <fill>
      <patternFill patternType="solid">
        <fgColor theme="0" tint="-0.24994659260841701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3" fillId="0" borderId="0" applyNumberFormat="0" applyFill="0" applyBorder="0" applyAlignment="0" applyProtection="0">
      <alignment vertical="top"/>
      <protection locked="0"/>
    </xf>
  </cellStyleXfs>
  <cellXfs count="657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0" fillId="0" borderId="2" xfId="0" applyBorder="1"/>
    <xf numFmtId="164" fontId="0" fillId="0" borderId="2" xfId="0" applyNumberFormat="1" applyBorder="1"/>
    <xf numFmtId="165" fontId="0" fillId="0" borderId="2" xfId="0" applyNumberFormat="1" applyBorder="1"/>
    <xf numFmtId="0" fontId="0" fillId="0" borderId="3" xfId="0" applyBorder="1"/>
    <xf numFmtId="0" fontId="0" fillId="0" borderId="0" xfId="0" applyBorder="1"/>
    <xf numFmtId="164" fontId="0" fillId="0" borderId="0" xfId="0" applyNumberFormat="1" applyBorder="1"/>
    <xf numFmtId="165" fontId="0" fillId="0" borderId="0" xfId="0" applyNumberFormat="1" applyBorder="1"/>
    <xf numFmtId="0" fontId="0" fillId="0" borderId="5" xfId="0" applyBorder="1"/>
    <xf numFmtId="0" fontId="0" fillId="0" borderId="7" xfId="0" applyBorder="1"/>
    <xf numFmtId="164" fontId="0" fillId="0" borderId="7" xfId="0" applyNumberFormat="1" applyBorder="1"/>
    <xf numFmtId="165" fontId="0" fillId="0" borderId="7" xfId="0" applyNumberFormat="1" applyBorder="1"/>
    <xf numFmtId="0" fontId="0" fillId="0" borderId="8" xfId="0" applyBorder="1"/>
    <xf numFmtId="0" fontId="4" fillId="0" borderId="0" xfId="0" applyFont="1" applyAlignment="1">
      <alignment horizontal="center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0" xfId="0" applyFill="1" applyBorder="1"/>
    <xf numFmtId="0" fontId="3" fillId="0" borderId="11" xfId="0" applyFont="1" applyBorder="1"/>
    <xf numFmtId="0" fontId="3" fillId="0" borderId="0" xfId="0" applyFont="1" applyBorder="1"/>
    <xf numFmtId="0" fontId="0" fillId="0" borderId="14" xfId="0" applyFont="1" applyBorder="1"/>
    <xf numFmtId="0" fontId="6" fillId="0" borderId="0" xfId="0" applyFont="1" applyBorder="1"/>
    <xf numFmtId="0" fontId="6" fillId="0" borderId="13" xfId="0" applyFont="1" applyBorder="1"/>
    <xf numFmtId="0" fontId="6" fillId="0" borderId="15" xfId="0" applyFont="1" applyBorder="1"/>
    <xf numFmtId="0" fontId="6" fillId="0" borderId="16" xfId="0" applyFont="1" applyBorder="1"/>
    <xf numFmtId="0" fontId="3" fillId="0" borderId="13" xfId="0" applyFont="1" applyBorder="1"/>
    <xf numFmtId="0" fontId="2" fillId="0" borderId="12" xfId="0" applyFont="1" applyBorder="1"/>
    <xf numFmtId="0" fontId="0" fillId="0" borderId="9" xfId="0" applyBorder="1"/>
    <xf numFmtId="0" fontId="9" fillId="0" borderId="9" xfId="0" applyFont="1" applyBorder="1" applyAlignment="1">
      <alignment horizontal="right"/>
    </xf>
    <xf numFmtId="0" fontId="3" fillId="0" borderId="19" xfId="0" applyFont="1" applyBorder="1"/>
    <xf numFmtId="0" fontId="10" fillId="0" borderId="19" xfId="0" applyFont="1" applyBorder="1"/>
    <xf numFmtId="0" fontId="0" fillId="0" borderId="11" xfId="0" applyFont="1" applyBorder="1"/>
    <xf numFmtId="0" fontId="11" fillId="0" borderId="0" xfId="0" applyFont="1"/>
    <xf numFmtId="0" fontId="3" fillId="0" borderId="10" xfId="0" applyFont="1" applyBorder="1"/>
    <xf numFmtId="0" fontId="3" fillId="0" borderId="1" xfId="0" applyFont="1" applyBorder="1"/>
    <xf numFmtId="0" fontId="3" fillId="0" borderId="4" xfId="0" applyFont="1" applyBorder="1"/>
    <xf numFmtId="0" fontId="3" fillId="0" borderId="6" xfId="0" applyFont="1" applyBorder="1"/>
    <xf numFmtId="0" fontId="0" fillId="0" borderId="21" xfId="0" applyFont="1" applyBorder="1"/>
    <xf numFmtId="0" fontId="0" fillId="0" borderId="22" xfId="0" applyBorder="1"/>
    <xf numFmtId="166" fontId="0" fillId="0" borderId="23" xfId="2" applyNumberFormat="1" applyFont="1" applyBorder="1"/>
    <xf numFmtId="0" fontId="0" fillId="0" borderId="21" xfId="0" applyBorder="1"/>
    <xf numFmtId="0" fontId="3" fillId="0" borderId="18" xfId="0" applyFont="1" applyBorder="1"/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165" fontId="0" fillId="0" borderId="22" xfId="0" applyNumberFormat="1" applyBorder="1" applyAlignment="1">
      <alignment horizontal="center"/>
    </xf>
    <xf numFmtId="164" fontId="0" fillId="0" borderId="22" xfId="0" applyNumberFormat="1" applyBorder="1" applyAlignment="1">
      <alignment horizontal="center"/>
    </xf>
    <xf numFmtId="165" fontId="0" fillId="0" borderId="23" xfId="0" applyNumberFormat="1" applyBorder="1" applyAlignment="1">
      <alignment horizontal="center"/>
    </xf>
    <xf numFmtId="165" fontId="5" fillId="0" borderId="19" xfId="0" applyNumberFormat="1" applyFont="1" applyBorder="1"/>
    <xf numFmtId="2" fontId="5" fillId="0" borderId="19" xfId="0" applyNumberFormat="1" applyFont="1" applyBorder="1"/>
    <xf numFmtId="0" fontId="12" fillId="0" borderId="19" xfId="0" applyFont="1" applyBorder="1" applyAlignment="1">
      <alignment horizontal="center"/>
    </xf>
    <xf numFmtId="0" fontId="13" fillId="0" borderId="18" xfId="0" applyFont="1" applyBorder="1" applyAlignment="1">
      <alignment horizontal="center"/>
    </xf>
    <xf numFmtId="0" fontId="14" fillId="0" borderId="19" xfId="0" applyFont="1" applyBorder="1" applyAlignment="1">
      <alignment horizontal="center"/>
    </xf>
    <xf numFmtId="0" fontId="15" fillId="2" borderId="19" xfId="0" applyFont="1" applyFill="1" applyBorder="1" applyAlignment="1">
      <alignment horizontal="center"/>
    </xf>
    <xf numFmtId="0" fontId="16" fillId="0" borderId="0" xfId="0" applyFont="1"/>
    <xf numFmtId="0" fontId="17" fillId="2" borderId="19" xfId="0" applyFont="1" applyFill="1" applyBorder="1" applyAlignment="1">
      <alignment horizontal="center"/>
    </xf>
    <xf numFmtId="0" fontId="18" fillId="0" borderId="20" xfId="0" applyFont="1" applyBorder="1" applyAlignment="1">
      <alignment horizontal="center"/>
    </xf>
    <xf numFmtId="0" fontId="19" fillId="0" borderId="0" xfId="0" applyFont="1" applyAlignment="1">
      <alignment horizontal="center"/>
    </xf>
    <xf numFmtId="0" fontId="20" fillId="0" borderId="0" xfId="0" applyFont="1"/>
    <xf numFmtId="0" fontId="3" fillId="0" borderId="15" xfId="0" applyFont="1" applyBorder="1"/>
    <xf numFmtId="0" fontId="3" fillId="0" borderId="16" xfId="0" applyFont="1" applyBorder="1"/>
    <xf numFmtId="0" fontId="11" fillId="0" borderId="13" xfId="0" applyFont="1" applyBorder="1"/>
    <xf numFmtId="0" fontId="21" fillId="0" borderId="22" xfId="0" applyFont="1" applyBorder="1"/>
    <xf numFmtId="0" fontId="21" fillId="0" borderId="23" xfId="0" applyFont="1" applyBorder="1"/>
    <xf numFmtId="0" fontId="3" fillId="0" borderId="21" xfId="0" applyFont="1" applyBorder="1"/>
    <xf numFmtId="0" fontId="3" fillId="0" borderId="22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11" fillId="0" borderId="2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22" fillId="0" borderId="18" xfId="0" applyFont="1" applyBorder="1" applyAlignment="1">
      <alignment horizontal="center"/>
    </xf>
    <xf numFmtId="0" fontId="23" fillId="0" borderId="19" xfId="0" applyFont="1" applyBorder="1" applyAlignment="1">
      <alignment horizontal="center"/>
    </xf>
    <xf numFmtId="0" fontId="24" fillId="2" borderId="19" xfId="0" applyFont="1" applyFill="1" applyBorder="1" applyAlignment="1">
      <alignment horizontal="center"/>
    </xf>
    <xf numFmtId="0" fontId="25" fillId="2" borderId="19" xfId="0" applyFont="1" applyFill="1" applyBorder="1" applyAlignment="1">
      <alignment horizontal="center"/>
    </xf>
    <xf numFmtId="0" fontId="26" fillId="0" borderId="19" xfId="0" applyFont="1" applyBorder="1" applyAlignment="1">
      <alignment horizontal="center"/>
    </xf>
    <xf numFmtId="0" fontId="27" fillId="0" borderId="20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165" fontId="19" fillId="0" borderId="9" xfId="0" applyNumberFormat="1" applyFont="1" applyBorder="1"/>
    <xf numFmtId="0" fontId="19" fillId="0" borderId="9" xfId="0" applyFont="1" applyBorder="1"/>
    <xf numFmtId="0" fontId="11" fillId="0" borderId="18" xfId="0" applyFont="1" applyBorder="1"/>
    <xf numFmtId="0" fontId="11" fillId="0" borderId="19" xfId="0" applyFont="1" applyBorder="1"/>
    <xf numFmtId="0" fontId="10" fillId="0" borderId="11" xfId="0" applyFont="1" applyBorder="1"/>
    <xf numFmtId="0" fontId="28" fillId="0" borderId="0" xfId="0" applyFont="1"/>
    <xf numFmtId="167" fontId="19" fillId="0" borderId="9" xfId="1" applyNumberFormat="1" applyFont="1" applyBorder="1"/>
    <xf numFmtId="0" fontId="11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0" fillId="0" borderId="14" xfId="0" applyBorder="1" applyAlignment="1">
      <alignment horizontal="center"/>
    </xf>
    <xf numFmtId="0" fontId="20" fillId="0" borderId="14" xfId="0" applyFont="1" applyBorder="1"/>
    <xf numFmtId="0" fontId="3" fillId="0" borderId="20" xfId="0" applyFont="1" applyBorder="1"/>
    <xf numFmtId="0" fontId="2" fillId="0" borderId="0" xfId="0" applyFont="1" applyBorder="1"/>
    <xf numFmtId="0" fontId="33" fillId="0" borderId="0" xfId="0" applyFont="1" applyBorder="1"/>
    <xf numFmtId="0" fontId="4" fillId="0" borderId="0" xfId="0" applyFont="1" applyBorder="1"/>
    <xf numFmtId="0" fontId="4" fillId="0" borderId="0" xfId="0" applyFont="1" applyFill="1" applyBorder="1"/>
    <xf numFmtId="0" fontId="4" fillId="0" borderId="0" xfId="0" applyFont="1"/>
    <xf numFmtId="0" fontId="22" fillId="0" borderId="18" xfId="0" applyFont="1" applyBorder="1"/>
    <xf numFmtId="0" fontId="30" fillId="0" borderId="19" xfId="0" applyFont="1" applyBorder="1"/>
    <xf numFmtId="0" fontId="22" fillId="0" borderId="19" xfId="0" applyFont="1" applyBorder="1"/>
    <xf numFmtId="0" fontId="11" fillId="0" borderId="13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0" fillId="0" borderId="15" xfId="0" applyFont="1" applyFill="1" applyBorder="1"/>
    <xf numFmtId="0" fontId="3" fillId="0" borderId="25" xfId="0" applyFont="1" applyBorder="1"/>
    <xf numFmtId="0" fontId="3" fillId="0" borderId="26" xfId="0" applyFont="1" applyBorder="1"/>
    <xf numFmtId="0" fontId="0" fillId="0" borderId="26" xfId="0" applyBorder="1"/>
    <xf numFmtId="0" fontId="0" fillId="0" borderId="27" xfId="0" applyBorder="1"/>
    <xf numFmtId="0" fontId="11" fillId="0" borderId="10" xfId="0" applyFont="1" applyBorder="1"/>
    <xf numFmtId="0" fontId="5" fillId="0" borderId="11" xfId="0" applyFont="1" applyBorder="1"/>
    <xf numFmtId="0" fontId="11" fillId="0" borderId="20" xfId="0" applyFont="1" applyBorder="1"/>
    <xf numFmtId="0" fontId="5" fillId="0" borderId="19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6" fillId="3" borderId="11" xfId="0" applyFont="1" applyFill="1" applyBorder="1"/>
    <xf numFmtId="0" fontId="8" fillId="3" borderId="12" xfId="0" applyFont="1" applyFill="1" applyBorder="1"/>
    <xf numFmtId="0" fontId="38" fillId="3" borderId="21" xfId="0" applyFont="1" applyFill="1" applyBorder="1" applyAlignment="1">
      <alignment horizontal="center"/>
    </xf>
    <xf numFmtId="0" fontId="8" fillId="3" borderId="10" xfId="0" applyFont="1" applyFill="1" applyBorder="1"/>
    <xf numFmtId="0" fontId="8" fillId="3" borderId="11" xfId="0" applyFont="1" applyFill="1" applyBorder="1"/>
    <xf numFmtId="0" fontId="39" fillId="0" borderId="9" xfId="0" applyFont="1" applyBorder="1" applyAlignment="1">
      <alignment horizontal="center"/>
    </xf>
    <xf numFmtId="165" fontId="22" fillId="0" borderId="18" xfId="0" applyNumberFormat="1" applyFont="1" applyBorder="1" applyAlignment="1">
      <alignment horizontal="center"/>
    </xf>
    <xf numFmtId="0" fontId="12" fillId="0" borderId="0" xfId="0" applyFont="1" applyBorder="1"/>
    <xf numFmtId="0" fontId="21" fillId="0" borderId="21" xfId="0" applyFont="1" applyBorder="1"/>
    <xf numFmtId="0" fontId="40" fillId="0" borderId="22" xfId="0" applyFont="1" applyFill="1" applyBorder="1"/>
    <xf numFmtId="0" fontId="11" fillId="0" borderId="14" xfId="0" applyFont="1" applyBorder="1" applyAlignment="1">
      <alignment horizontal="center"/>
    </xf>
    <xf numFmtId="0" fontId="0" fillId="0" borderId="23" xfId="0" applyBorder="1"/>
    <xf numFmtId="0" fontId="5" fillId="0" borderId="18" xfId="0" applyFont="1" applyBorder="1" applyAlignment="1">
      <alignment horizontal="center"/>
    </xf>
    <xf numFmtId="165" fontId="5" fillId="0" borderId="19" xfId="0" applyNumberFormat="1" applyFont="1" applyBorder="1" applyAlignment="1">
      <alignment horizontal="center"/>
    </xf>
    <xf numFmtId="2" fontId="12" fillId="0" borderId="19" xfId="0" applyNumberFormat="1" applyFont="1" applyBorder="1" applyAlignment="1">
      <alignment horizontal="center"/>
    </xf>
    <xf numFmtId="168" fontId="0" fillId="0" borderId="0" xfId="0" applyNumberFormat="1" applyBorder="1"/>
    <xf numFmtId="0" fontId="29" fillId="0" borderId="9" xfId="0" applyFont="1" applyBorder="1" applyAlignment="1">
      <alignment horizontal="center"/>
    </xf>
    <xf numFmtId="165" fontId="27" fillId="0" borderId="18" xfId="0" applyNumberFormat="1" applyFont="1" applyBorder="1" applyAlignment="1">
      <alignment horizontal="center"/>
    </xf>
    <xf numFmtId="0" fontId="31" fillId="0" borderId="22" xfId="0" applyFont="1" applyFill="1" applyBorder="1" applyAlignment="1">
      <alignment horizontal="center"/>
    </xf>
    <xf numFmtId="0" fontId="31" fillId="0" borderId="23" xfId="0" applyFont="1" applyBorder="1" applyAlignment="1">
      <alignment horizontal="center"/>
    </xf>
    <xf numFmtId="0" fontId="31" fillId="0" borderId="23" xfId="0" applyFont="1" applyFill="1" applyBorder="1" applyAlignment="1">
      <alignment horizontal="center"/>
    </xf>
    <xf numFmtId="2" fontId="45" fillId="0" borderId="19" xfId="0" applyNumberFormat="1" applyFont="1" applyBorder="1" applyAlignment="1">
      <alignment horizontal="center"/>
    </xf>
    <xf numFmtId="0" fontId="11" fillId="0" borderId="21" xfId="0" applyFont="1" applyBorder="1" applyAlignment="1">
      <alignment horizontal="center"/>
    </xf>
    <xf numFmtId="0" fontId="11" fillId="0" borderId="21" xfId="0" applyFont="1" applyFill="1" applyBorder="1" applyAlignment="1">
      <alignment horizontal="center"/>
    </xf>
    <xf numFmtId="0" fontId="6" fillId="5" borderId="6" xfId="0" applyFont="1" applyFill="1" applyBorder="1"/>
    <xf numFmtId="0" fontId="6" fillId="5" borderId="13" xfId="0" applyFont="1" applyFill="1" applyBorder="1"/>
    <xf numFmtId="0" fontId="6" fillId="5" borderId="0" xfId="0" applyFont="1" applyFill="1" applyBorder="1"/>
    <xf numFmtId="0" fontId="0" fillId="5" borderId="0" xfId="0" applyFont="1" applyFill="1" applyBorder="1"/>
    <xf numFmtId="0" fontId="31" fillId="5" borderId="0" xfId="0" applyFont="1" applyFill="1" applyBorder="1"/>
    <xf numFmtId="0" fontId="0" fillId="5" borderId="0" xfId="0" applyFill="1" applyBorder="1"/>
    <xf numFmtId="0" fontId="6" fillId="5" borderId="15" xfId="0" applyFont="1" applyFill="1" applyBorder="1"/>
    <xf numFmtId="0" fontId="6" fillId="5" borderId="16" xfId="0" applyFont="1" applyFill="1" applyBorder="1"/>
    <xf numFmtId="0" fontId="6" fillId="5" borderId="4" xfId="0" applyFont="1" applyFill="1" applyBorder="1"/>
    <xf numFmtId="0" fontId="0" fillId="5" borderId="2" xfId="0" applyFill="1" applyBorder="1"/>
    <xf numFmtId="0" fontId="42" fillId="5" borderId="3" xfId="0" applyFont="1" applyFill="1" applyBorder="1" applyAlignment="1">
      <alignment horizontal="center"/>
    </xf>
    <xf numFmtId="0" fontId="42" fillId="5" borderId="5" xfId="0" applyFont="1" applyFill="1" applyBorder="1" applyAlignment="1">
      <alignment horizontal="center"/>
    </xf>
    <xf numFmtId="0" fontId="6" fillId="5" borderId="7" xfId="0" applyFont="1" applyFill="1" applyBorder="1"/>
    <xf numFmtId="0" fontId="0" fillId="5" borderId="7" xfId="0" applyFill="1" applyBorder="1"/>
    <xf numFmtId="0" fontId="42" fillId="5" borderId="8" xfId="0" applyFont="1" applyFill="1" applyBorder="1" applyAlignment="1">
      <alignment horizontal="center"/>
    </xf>
    <xf numFmtId="0" fontId="36" fillId="4" borderId="15" xfId="0" applyFont="1" applyFill="1" applyBorder="1"/>
    <xf numFmtId="0" fontId="37" fillId="4" borderId="16" xfId="0" applyFont="1" applyFill="1" applyBorder="1"/>
    <xf numFmtId="0" fontId="36" fillId="4" borderId="16" xfId="0" applyFont="1" applyFill="1" applyBorder="1" applyAlignment="1">
      <alignment horizontal="center"/>
    </xf>
    <xf numFmtId="0" fontId="4" fillId="4" borderId="16" xfId="0" applyFont="1" applyFill="1" applyBorder="1"/>
    <xf numFmtId="0" fontId="9" fillId="5" borderId="10" xfId="0" applyFont="1" applyFill="1" applyBorder="1" applyAlignment="1">
      <alignment horizontal="right"/>
    </xf>
    <xf numFmtId="0" fontId="11" fillId="5" borderId="11" xfId="0" applyFont="1" applyFill="1" applyBorder="1"/>
    <xf numFmtId="0" fontId="3" fillId="5" borderId="11" xfId="0" applyFont="1" applyFill="1" applyBorder="1"/>
    <xf numFmtId="0" fontId="0" fillId="5" borderId="11" xfId="0" applyFill="1" applyBorder="1"/>
    <xf numFmtId="0" fontId="0" fillId="5" borderId="12" xfId="0" applyFill="1" applyBorder="1"/>
    <xf numFmtId="0" fontId="0" fillId="5" borderId="13" xfId="0" applyFill="1" applyBorder="1"/>
    <xf numFmtId="0" fontId="3" fillId="5" borderId="0" xfId="0" applyFont="1" applyFill="1" applyBorder="1"/>
    <xf numFmtId="0" fontId="0" fillId="5" borderId="14" xfId="0" applyFill="1" applyBorder="1"/>
    <xf numFmtId="0" fontId="32" fillId="5" borderId="14" xfId="0" applyFont="1" applyFill="1" applyBorder="1"/>
    <xf numFmtId="0" fontId="20" fillId="5" borderId="14" xfId="0" applyFont="1" applyFill="1" applyBorder="1"/>
    <xf numFmtId="0" fontId="41" fillId="5" borderId="0" xfId="0" applyFont="1" applyFill="1" applyBorder="1" applyAlignment="1">
      <alignment horizontal="center"/>
    </xf>
    <xf numFmtId="0" fontId="0" fillId="5" borderId="15" xfId="0" applyFill="1" applyBorder="1"/>
    <xf numFmtId="0" fontId="0" fillId="5" borderId="16" xfId="0" applyFill="1" applyBorder="1"/>
    <xf numFmtId="0" fontId="0" fillId="5" borderId="17" xfId="0" applyFill="1" applyBorder="1"/>
    <xf numFmtId="0" fontId="46" fillId="5" borderId="0" xfId="0" applyFont="1" applyFill="1" applyBorder="1"/>
    <xf numFmtId="0" fontId="47" fillId="5" borderId="0" xfId="0" applyFont="1" applyFill="1" applyBorder="1" applyAlignment="1">
      <alignment horizontal="center"/>
    </xf>
    <xf numFmtId="0" fontId="30" fillId="5" borderId="16" xfId="0" applyFont="1" applyFill="1" applyBorder="1"/>
    <xf numFmtId="0" fontId="34" fillId="5" borderId="16" xfId="0" applyFont="1" applyFill="1" applyBorder="1"/>
    <xf numFmtId="0" fontId="35" fillId="5" borderId="16" xfId="0" applyFont="1" applyFill="1" applyBorder="1"/>
    <xf numFmtId="0" fontId="35" fillId="5" borderId="17" xfId="0" applyFont="1" applyFill="1" applyBorder="1"/>
    <xf numFmtId="44" fontId="0" fillId="5" borderId="9" xfId="1" applyFont="1" applyFill="1" applyBorder="1" applyProtection="1">
      <protection locked="0"/>
    </xf>
    <xf numFmtId="0" fontId="7" fillId="6" borderId="23" xfId="0" applyFont="1" applyFill="1" applyBorder="1" applyAlignment="1" applyProtection="1">
      <alignment horizontal="center"/>
      <protection locked="0"/>
    </xf>
    <xf numFmtId="0" fontId="7" fillId="6" borderId="22" xfId="0" applyFont="1" applyFill="1" applyBorder="1" applyAlignment="1" applyProtection="1">
      <alignment horizontal="center"/>
      <protection locked="0"/>
    </xf>
    <xf numFmtId="0" fontId="26" fillId="3" borderId="0" xfId="0" applyFont="1" applyFill="1" applyBorder="1"/>
    <xf numFmtId="0" fontId="48" fillId="3" borderId="0" xfId="0" applyFont="1" applyFill="1" applyBorder="1"/>
    <xf numFmtId="0" fontId="49" fillId="3" borderId="0" xfId="0" applyFont="1" applyFill="1" applyBorder="1"/>
    <xf numFmtId="0" fontId="50" fillId="3" borderId="0" xfId="0" applyFont="1" applyFill="1" applyBorder="1"/>
    <xf numFmtId="0" fontId="49" fillId="3" borderId="14" xfId="0" applyFont="1" applyFill="1" applyBorder="1"/>
    <xf numFmtId="0" fontId="51" fillId="3" borderId="0" xfId="0" applyFont="1" applyFill="1" applyBorder="1"/>
    <xf numFmtId="0" fontId="33" fillId="4" borderId="17" xfId="0" applyFont="1" applyFill="1" applyBorder="1"/>
    <xf numFmtId="2" fontId="27" fillId="0" borderId="0" xfId="0" applyNumberFormat="1" applyFont="1" applyAlignment="1">
      <alignment horizontal="center"/>
    </xf>
    <xf numFmtId="1" fontId="0" fillId="0" borderId="12" xfId="0" applyNumberFormat="1" applyBorder="1" applyAlignment="1">
      <alignment horizontal="center"/>
    </xf>
    <xf numFmtId="0" fontId="52" fillId="0" borderId="22" xfId="0" applyFont="1" applyBorder="1" applyAlignment="1">
      <alignment horizontal="center"/>
    </xf>
    <xf numFmtId="2" fontId="5" fillId="0" borderId="0" xfId="0" applyNumberFormat="1" applyFont="1" applyBorder="1"/>
    <xf numFmtId="2" fontId="5" fillId="0" borderId="11" xfId="0" applyNumberFormat="1" applyFont="1" applyBorder="1"/>
    <xf numFmtId="2" fontId="5" fillId="0" borderId="16" xfId="0" applyNumberFormat="1" applyFont="1" applyBorder="1"/>
    <xf numFmtId="2" fontId="0" fillId="0" borderId="16" xfId="0" applyNumberFormat="1" applyBorder="1"/>
    <xf numFmtId="2" fontId="44" fillId="0" borderId="0" xfId="3" applyNumberFormat="1" applyFont="1" applyBorder="1" applyAlignment="1" applyProtection="1"/>
    <xf numFmtId="165" fontId="5" fillId="0" borderId="0" xfId="0" applyNumberFormat="1" applyFont="1" applyBorder="1"/>
    <xf numFmtId="0" fontId="54" fillId="0" borderId="13" xfId="0" applyFont="1" applyBorder="1"/>
    <xf numFmtId="0" fontId="54" fillId="0" borderId="0" xfId="0" applyFont="1" applyBorder="1"/>
    <xf numFmtId="0" fontId="55" fillId="0" borderId="0" xfId="0" applyFont="1" applyBorder="1"/>
    <xf numFmtId="0" fontId="54" fillId="0" borderId="15" xfId="0" applyFont="1" applyBorder="1"/>
    <xf numFmtId="0" fontId="54" fillId="0" borderId="16" xfId="0" applyFont="1" applyBorder="1"/>
    <xf numFmtId="0" fontId="55" fillId="0" borderId="16" xfId="0" applyFont="1" applyBorder="1"/>
    <xf numFmtId="0" fontId="8" fillId="5" borderId="0" xfId="0" applyFont="1" applyFill="1" applyBorder="1"/>
    <xf numFmtId="0" fontId="34" fillId="5" borderId="0" xfId="0" applyFont="1" applyFill="1" applyBorder="1"/>
    <xf numFmtId="0" fontId="6" fillId="5" borderId="18" xfId="0" applyFont="1" applyFill="1" applyBorder="1"/>
    <xf numFmtId="0" fontId="26" fillId="5" borderId="19" xfId="0" applyFont="1" applyFill="1" applyBorder="1"/>
    <xf numFmtId="0" fontId="56" fillId="6" borderId="19" xfId="0" applyFont="1" applyFill="1" applyBorder="1"/>
    <xf numFmtId="0" fontId="53" fillId="6" borderId="20" xfId="0" applyFont="1" applyFill="1" applyBorder="1"/>
    <xf numFmtId="0" fontId="7" fillId="5" borderId="20" xfId="0" applyFont="1" applyFill="1" applyBorder="1" applyAlignment="1">
      <alignment horizontal="center"/>
    </xf>
    <xf numFmtId="0" fontId="26" fillId="6" borderId="18" xfId="0" applyFont="1" applyFill="1" applyBorder="1"/>
    <xf numFmtId="0" fontId="26" fillId="6" borderId="18" xfId="0" applyFont="1" applyFill="1" applyBorder="1" applyAlignment="1">
      <alignment horizontal="left"/>
    </xf>
    <xf numFmtId="0" fontId="26" fillId="6" borderId="19" xfId="0" applyFont="1" applyFill="1" applyBorder="1" applyAlignment="1">
      <alignment horizontal="left"/>
    </xf>
    <xf numFmtId="0" fontId="26" fillId="6" borderId="20" xfId="0" applyFont="1" applyFill="1" applyBorder="1" applyAlignment="1">
      <alignment horizontal="left"/>
    </xf>
    <xf numFmtId="0" fontId="20" fillId="0" borderId="30" xfId="0" applyFont="1" applyFill="1" applyBorder="1" applyAlignment="1">
      <alignment horizontal="center"/>
    </xf>
    <xf numFmtId="0" fontId="11" fillId="0" borderId="9" xfId="0" applyFont="1" applyFill="1" applyBorder="1" applyAlignment="1">
      <alignment horizontal="center"/>
    </xf>
    <xf numFmtId="0" fontId="56" fillId="6" borderId="9" xfId="0" applyFont="1" applyFill="1" applyBorder="1" applyAlignment="1">
      <alignment horizontal="center"/>
    </xf>
    <xf numFmtId="0" fontId="56" fillId="6" borderId="21" xfId="0" applyFont="1" applyFill="1" applyBorder="1" applyAlignment="1">
      <alignment horizontal="center"/>
    </xf>
    <xf numFmtId="0" fontId="56" fillId="7" borderId="9" xfId="0" applyFont="1" applyFill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0" fillId="8" borderId="9" xfId="0" applyFill="1" applyBorder="1"/>
    <xf numFmtId="0" fontId="53" fillId="0" borderId="0" xfId="0" applyFont="1"/>
    <xf numFmtId="0" fontId="3" fillId="0" borderId="0" xfId="0" applyFont="1" applyFill="1" applyBorder="1"/>
    <xf numFmtId="0" fontId="11" fillId="0" borderId="0" xfId="0" applyFont="1" applyAlignment="1">
      <alignment horizontal="right"/>
    </xf>
    <xf numFmtId="0" fontId="0" fillId="0" borderId="9" xfId="0" applyFill="1" applyBorder="1"/>
    <xf numFmtId="2" fontId="19" fillId="0" borderId="18" xfId="0" applyNumberFormat="1" applyFont="1" applyBorder="1"/>
    <xf numFmtId="0" fontId="3" fillId="0" borderId="9" xfId="0" applyFont="1" applyBorder="1"/>
    <xf numFmtId="165" fontId="19" fillId="0" borderId="13" xfId="0" applyNumberFormat="1" applyFont="1" applyBorder="1"/>
    <xf numFmtId="0" fontId="3" fillId="0" borderId="13" xfId="0" applyFont="1" applyFill="1" applyBorder="1"/>
    <xf numFmtId="0" fontId="57" fillId="9" borderId="0" xfId="0" applyFont="1" applyFill="1" applyAlignment="1">
      <alignment horizontal="center"/>
    </xf>
    <xf numFmtId="165" fontId="19" fillId="0" borderId="15" xfId="0" applyNumberFormat="1" applyFont="1" applyBorder="1"/>
    <xf numFmtId="165" fontId="5" fillId="0" borderId="16" xfId="0" applyNumberFormat="1" applyFont="1" applyBorder="1"/>
    <xf numFmtId="0" fontId="3" fillId="0" borderId="23" xfId="0" applyFont="1" applyBorder="1"/>
    <xf numFmtId="164" fontId="0" fillId="0" borderId="22" xfId="0" applyNumberFormat="1" applyBorder="1"/>
    <xf numFmtId="165" fontId="0" fillId="0" borderId="13" xfId="0" applyNumberFormat="1" applyBorder="1" applyAlignment="1">
      <alignment horizontal="center"/>
    </xf>
    <xf numFmtId="0" fontId="0" fillId="0" borderId="22" xfId="0" applyFill="1" applyBorder="1"/>
    <xf numFmtId="0" fontId="0" fillId="0" borderId="13" xfId="0" applyBorder="1" applyAlignment="1">
      <alignment horizontal="center"/>
    </xf>
    <xf numFmtId="0" fontId="27" fillId="0" borderId="0" xfId="0" applyFont="1" applyBorder="1" applyAlignment="1">
      <alignment horizontal="center"/>
    </xf>
    <xf numFmtId="0" fontId="26" fillId="0" borderId="0" xfId="0" applyFont="1" applyBorder="1" applyAlignment="1">
      <alignment horizontal="center"/>
    </xf>
    <xf numFmtId="0" fontId="25" fillId="2" borderId="0" xfId="0" applyFont="1" applyFill="1" applyBorder="1" applyAlignment="1">
      <alignment horizontal="center"/>
    </xf>
    <xf numFmtId="0" fontId="24" fillId="2" borderId="0" xfId="0" applyFont="1" applyFill="1" applyBorder="1" applyAlignment="1">
      <alignment horizontal="center"/>
    </xf>
    <xf numFmtId="0" fontId="23" fillId="0" borderId="0" xfId="0" applyFont="1" applyBorder="1" applyAlignment="1">
      <alignment horizontal="center"/>
    </xf>
    <xf numFmtId="0" fontId="22" fillId="0" borderId="0" xfId="0" applyFont="1" applyBorder="1" applyAlignment="1">
      <alignment horizontal="center"/>
    </xf>
    <xf numFmtId="164" fontId="0" fillId="0" borderId="13" xfId="0" applyNumberFormat="1" applyBorder="1" applyAlignment="1">
      <alignment horizontal="center"/>
    </xf>
    <xf numFmtId="0" fontId="0" fillId="0" borderId="22" xfId="2" applyNumberFormat="1" applyFont="1" applyBorder="1"/>
    <xf numFmtId="0" fontId="35" fillId="0" borderId="22" xfId="0" applyFont="1" applyBorder="1"/>
    <xf numFmtId="166" fontId="0" fillId="0" borderId="22" xfId="2" applyNumberFormat="1" applyFont="1" applyBorder="1"/>
    <xf numFmtId="0" fontId="0" fillId="0" borderId="10" xfId="0" applyBorder="1" applyAlignment="1">
      <alignment horizontal="center"/>
    </xf>
    <xf numFmtId="0" fontId="33" fillId="4" borderId="20" xfId="0" applyFont="1" applyFill="1" applyBorder="1"/>
    <xf numFmtId="0" fontId="4" fillId="4" borderId="19" xfId="0" applyFont="1" applyFill="1" applyBorder="1"/>
    <xf numFmtId="0" fontId="36" fillId="4" borderId="19" xfId="0" applyFont="1" applyFill="1" applyBorder="1" applyAlignment="1">
      <alignment horizontal="center"/>
    </xf>
    <xf numFmtId="0" fontId="37" fillId="4" borderId="19" xfId="0" applyFont="1" applyFill="1" applyBorder="1"/>
    <xf numFmtId="0" fontId="36" fillId="4" borderId="18" xfId="0" applyFont="1" applyFill="1" applyBorder="1"/>
    <xf numFmtId="0" fontId="0" fillId="10" borderId="0" xfId="0" applyFill="1" applyBorder="1"/>
    <xf numFmtId="0" fontId="0" fillId="10" borderId="0" xfId="0" applyFill="1"/>
    <xf numFmtId="0" fontId="58" fillId="5" borderId="17" xfId="0" applyFont="1" applyFill="1" applyBorder="1" applyAlignment="1">
      <alignment horizontal="center"/>
    </xf>
    <xf numFmtId="0" fontId="0" fillId="5" borderId="31" xfId="0" applyFill="1" applyBorder="1"/>
    <xf numFmtId="0" fontId="3" fillId="5" borderId="24" xfId="0" applyFont="1" applyFill="1" applyBorder="1" applyAlignment="1">
      <alignment horizontal="center"/>
    </xf>
    <xf numFmtId="0" fontId="58" fillId="5" borderId="14" xfId="0" applyFont="1" applyFill="1" applyBorder="1" applyAlignment="1">
      <alignment horizontal="center"/>
    </xf>
    <xf numFmtId="0" fontId="6" fillId="5" borderId="5" xfId="0" applyFont="1" applyFill="1" applyBorder="1"/>
    <xf numFmtId="0" fontId="3" fillId="5" borderId="29" xfId="0" applyFont="1" applyFill="1" applyBorder="1" applyAlignment="1">
      <alignment horizontal="center"/>
    </xf>
    <xf numFmtId="0" fontId="58" fillId="5" borderId="12" xfId="0" applyFont="1" applyFill="1" applyBorder="1" applyAlignment="1">
      <alignment horizontal="center"/>
    </xf>
    <xf numFmtId="0" fontId="6" fillId="5" borderId="32" xfId="0" applyFont="1" applyFill="1" applyBorder="1"/>
    <xf numFmtId="0" fontId="6" fillId="5" borderId="11" xfId="0" applyFont="1" applyFill="1" applyBorder="1"/>
    <xf numFmtId="0" fontId="59" fillId="5" borderId="0" xfId="0" applyFont="1" applyFill="1" applyAlignment="1">
      <alignment horizontal="center"/>
    </xf>
    <xf numFmtId="0" fontId="0" fillId="5" borderId="0" xfId="0" applyFill="1"/>
    <xf numFmtId="0" fontId="20" fillId="5" borderId="0" xfId="0" applyFont="1" applyFill="1"/>
    <xf numFmtId="0" fontId="3" fillId="5" borderId="0" xfId="0" applyFont="1" applyFill="1"/>
    <xf numFmtId="0" fontId="6" fillId="0" borderId="17" xfId="0" applyFont="1" applyBorder="1"/>
    <xf numFmtId="0" fontId="22" fillId="0" borderId="16" xfId="0" applyFont="1" applyBorder="1"/>
    <xf numFmtId="0" fontId="55" fillId="0" borderId="16" xfId="0" applyFont="1" applyBorder="1" applyAlignment="1">
      <alignment horizontal="center"/>
    </xf>
    <xf numFmtId="0" fontId="4" fillId="0" borderId="0" xfId="0" applyFont="1" applyFill="1"/>
    <xf numFmtId="0" fontId="32" fillId="5" borderId="0" xfId="0" applyFont="1" applyFill="1" applyBorder="1"/>
    <xf numFmtId="0" fontId="55" fillId="0" borderId="0" xfId="0" applyFont="1" applyBorder="1" applyAlignment="1">
      <alignment horizontal="center"/>
    </xf>
    <xf numFmtId="0" fontId="35" fillId="5" borderId="8" xfId="0" applyFont="1" applyFill="1" applyBorder="1"/>
    <xf numFmtId="0" fontId="35" fillId="5" borderId="7" xfId="0" applyFont="1" applyFill="1" applyBorder="1"/>
    <xf numFmtId="0" fontId="34" fillId="5" borderId="6" xfId="0" applyFont="1" applyFill="1" applyBorder="1"/>
    <xf numFmtId="0" fontId="7" fillId="6" borderId="13" xfId="0" applyFont="1" applyFill="1" applyBorder="1" applyAlignment="1">
      <alignment horizontal="center"/>
    </xf>
    <xf numFmtId="0" fontId="30" fillId="5" borderId="17" xfId="0" applyFont="1" applyFill="1" applyBorder="1"/>
    <xf numFmtId="164" fontId="0" fillId="0" borderId="0" xfId="0" applyNumberFormat="1" applyBorder="1" applyAlignment="1">
      <alignment horizontal="center"/>
    </xf>
    <xf numFmtId="0" fontId="0" fillId="5" borderId="5" xfId="0" applyFill="1" applyBorder="1"/>
    <xf numFmtId="0" fontId="34" fillId="5" borderId="4" xfId="0" applyFont="1" applyFill="1" applyBorder="1"/>
    <xf numFmtId="0" fontId="8" fillId="5" borderId="12" xfId="0" applyFont="1" applyFill="1" applyBorder="1"/>
    <xf numFmtId="0" fontId="8" fillId="5" borderId="11" xfId="0" applyFont="1" applyFill="1" applyBorder="1"/>
    <xf numFmtId="0" fontId="0" fillId="6" borderId="20" xfId="0" applyFill="1" applyBorder="1"/>
    <xf numFmtId="0" fontId="3" fillId="6" borderId="19" xfId="0" applyFont="1" applyFill="1" applyBorder="1"/>
    <xf numFmtId="0" fontId="21" fillId="5" borderId="9" xfId="0" applyFont="1" applyFill="1" applyBorder="1" applyAlignment="1">
      <alignment horizontal="center"/>
    </xf>
    <xf numFmtId="0" fontId="50" fillId="5" borderId="19" xfId="0" applyFont="1" applyFill="1" applyBorder="1"/>
    <xf numFmtId="0" fontId="6" fillId="5" borderId="19" xfId="0" applyFont="1" applyFill="1" applyBorder="1"/>
    <xf numFmtId="0" fontId="3" fillId="5" borderId="28" xfId="0" applyFont="1" applyFill="1" applyBorder="1" applyAlignment="1">
      <alignment horizontal="center"/>
    </xf>
    <xf numFmtId="0" fontId="21" fillId="5" borderId="10" xfId="0" applyFont="1" applyFill="1" applyBorder="1" applyAlignment="1">
      <alignment horizontal="center"/>
    </xf>
    <xf numFmtId="0" fontId="50" fillId="3" borderId="11" xfId="0" applyFont="1" applyFill="1" applyBorder="1"/>
    <xf numFmtId="0" fontId="48" fillId="3" borderId="10" xfId="0" applyFont="1" applyFill="1" applyBorder="1"/>
    <xf numFmtId="0" fontId="0" fillId="0" borderId="0" xfId="0" applyBorder="1" applyAlignment="1">
      <alignment horizontal="center"/>
    </xf>
    <xf numFmtId="0" fontId="49" fillId="3" borderId="0" xfId="0" applyFont="1" applyFill="1"/>
    <xf numFmtId="0" fontId="50" fillId="3" borderId="0" xfId="0" applyFont="1" applyFill="1"/>
    <xf numFmtId="0" fontId="48" fillId="3" borderId="0" xfId="0" applyFont="1" applyFill="1"/>
    <xf numFmtId="0" fontId="11" fillId="5" borderId="0" xfId="0" applyFont="1" applyFill="1"/>
    <xf numFmtId="0" fontId="9" fillId="5" borderId="0" xfId="0" applyFont="1" applyFill="1" applyBorder="1" applyAlignment="1">
      <alignment horizontal="right"/>
    </xf>
    <xf numFmtId="0" fontId="40" fillId="0" borderId="0" xfId="0" applyFont="1" applyFill="1"/>
    <xf numFmtId="0" fontId="19" fillId="0" borderId="0" xfId="0" applyFont="1" applyFill="1"/>
    <xf numFmtId="0" fontId="0" fillId="0" borderId="0" xfId="0" applyFill="1"/>
    <xf numFmtId="1" fontId="40" fillId="0" borderId="12" xfId="0" applyNumberFormat="1" applyFont="1" applyBorder="1"/>
    <xf numFmtId="0" fontId="26" fillId="0" borderId="9" xfId="0" applyFont="1" applyBorder="1" applyAlignment="1">
      <alignment horizontal="center"/>
    </xf>
    <xf numFmtId="165" fontId="26" fillId="0" borderId="18" xfId="0" applyNumberFormat="1" applyFont="1" applyBorder="1" applyAlignment="1">
      <alignment horizontal="center"/>
    </xf>
    <xf numFmtId="165" fontId="56" fillId="0" borderId="16" xfId="0" applyNumberFormat="1" applyFont="1" applyBorder="1" applyAlignment="1">
      <alignment horizontal="center"/>
    </xf>
    <xf numFmtId="165" fontId="3" fillId="0" borderId="16" xfId="0" applyNumberFormat="1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11" fillId="0" borderId="19" xfId="0" applyFont="1" applyBorder="1" applyAlignment="1">
      <alignment horizontal="center"/>
    </xf>
    <xf numFmtId="165" fontId="56" fillId="0" borderId="19" xfId="0" applyNumberFormat="1" applyFont="1" applyBorder="1" applyAlignment="1">
      <alignment horizontal="center"/>
    </xf>
    <xf numFmtId="165" fontId="3" fillId="0" borderId="19" xfId="0" applyNumberFormat="1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11" fillId="0" borderId="18" xfId="0" applyFont="1" applyBorder="1" applyAlignment="1">
      <alignment horizontal="center"/>
    </xf>
    <xf numFmtId="0" fontId="11" fillId="0" borderId="11" xfId="0" applyFont="1" applyBorder="1"/>
    <xf numFmtId="0" fontId="60" fillId="0" borderId="11" xfId="0" applyFont="1" applyBorder="1"/>
    <xf numFmtId="0" fontId="3" fillId="0" borderId="22" xfId="0" applyFont="1" applyBorder="1"/>
    <xf numFmtId="165" fontId="56" fillId="0" borderId="0" xfId="0" applyNumberFormat="1" applyFont="1" applyBorder="1" applyAlignment="1">
      <alignment horizontal="center"/>
    </xf>
    <xf numFmtId="165" fontId="3" fillId="0" borderId="0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11" fillId="0" borderId="23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0" fillId="0" borderId="18" xfId="0" applyFont="1" applyBorder="1"/>
    <xf numFmtId="0" fontId="27" fillId="0" borderId="22" xfId="0" applyFont="1" applyBorder="1" applyAlignment="1">
      <alignment horizontal="center"/>
    </xf>
    <xf numFmtId="165" fontId="26" fillId="0" borderId="0" xfId="0" applyNumberFormat="1" applyFont="1" applyAlignment="1">
      <alignment horizontal="center"/>
    </xf>
    <xf numFmtId="165" fontId="56" fillId="0" borderId="11" xfId="0" applyNumberFormat="1" applyFont="1" applyBorder="1" applyAlignment="1">
      <alignment horizontal="center"/>
    </xf>
    <xf numFmtId="165" fontId="3" fillId="0" borderId="11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6" fillId="0" borderId="12" xfId="0" applyFont="1" applyBorder="1"/>
    <xf numFmtId="0" fontId="11" fillId="0" borderId="9" xfId="0" applyFont="1" applyBorder="1" applyAlignment="1">
      <alignment horizontal="center"/>
    </xf>
    <xf numFmtId="0" fontId="13" fillId="0" borderId="19" xfId="0" applyFont="1" applyBorder="1"/>
    <xf numFmtId="0" fontId="32" fillId="0" borderId="17" xfId="0" applyFont="1" applyBorder="1" applyAlignment="1">
      <alignment horizontal="center"/>
    </xf>
    <xf numFmtId="0" fontId="32" fillId="0" borderId="23" xfId="0" applyFont="1" applyBorder="1" applyAlignment="1">
      <alignment horizontal="center"/>
    </xf>
    <xf numFmtId="0" fontId="0" fillId="0" borderId="16" xfId="0" applyFont="1" applyBorder="1"/>
    <xf numFmtId="0" fontId="32" fillId="0" borderId="14" xfId="0" applyFont="1" applyBorder="1"/>
    <xf numFmtId="0" fontId="32" fillId="0" borderId="22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29" fillId="6" borderId="20" xfId="0" applyFont="1" applyFill="1" applyBorder="1"/>
    <xf numFmtId="0" fontId="29" fillId="6" borderId="19" xfId="0" applyFont="1" applyFill="1" applyBorder="1"/>
    <xf numFmtId="0" fontId="29" fillId="6" borderId="18" xfId="0" applyFont="1" applyFill="1" applyBorder="1"/>
    <xf numFmtId="2" fontId="0" fillId="0" borderId="0" xfId="0" applyNumberFormat="1" applyBorder="1"/>
    <xf numFmtId="0" fontId="21" fillId="0" borderId="22" xfId="0" applyFont="1" applyFill="1" applyBorder="1"/>
    <xf numFmtId="0" fontId="0" fillId="6" borderId="23" xfId="0" applyFill="1" applyBorder="1" applyAlignment="1">
      <alignment horizontal="center"/>
    </xf>
    <xf numFmtId="0" fontId="21" fillId="0" borderId="0" xfId="0" applyFont="1" applyBorder="1"/>
    <xf numFmtId="0" fontId="0" fillId="6" borderId="9" xfId="0" applyFill="1" applyBorder="1"/>
    <xf numFmtId="0" fontId="62" fillId="3" borderId="0" xfId="0" applyFont="1" applyFill="1" applyBorder="1"/>
    <xf numFmtId="0" fontId="33" fillId="3" borderId="0" xfId="0" applyFont="1" applyFill="1" applyBorder="1"/>
    <xf numFmtId="0" fontId="4" fillId="11" borderId="16" xfId="0" applyFont="1" applyFill="1" applyBorder="1"/>
    <xf numFmtId="0" fontId="0" fillId="5" borderId="14" xfId="0" applyFill="1" applyBorder="1" applyAlignment="1">
      <alignment horizontal="center"/>
    </xf>
    <xf numFmtId="0" fontId="4" fillId="11" borderId="14" xfId="0" applyFont="1" applyFill="1" applyBorder="1"/>
    <xf numFmtId="0" fontId="4" fillId="11" borderId="17" xfId="0" applyFont="1" applyFill="1" applyBorder="1"/>
    <xf numFmtId="0" fontId="26" fillId="5" borderId="11" xfId="0" applyFont="1" applyFill="1" applyBorder="1"/>
    <xf numFmtId="0" fontId="4" fillId="11" borderId="0" xfId="0" applyFont="1" applyFill="1" applyBorder="1"/>
    <xf numFmtId="0" fontId="0" fillId="11" borderId="11" xfId="0" applyFill="1" applyBorder="1"/>
    <xf numFmtId="0" fontId="0" fillId="11" borderId="12" xfId="0" applyFill="1" applyBorder="1"/>
    <xf numFmtId="0" fontId="2" fillId="11" borderId="13" xfId="0" applyFont="1" applyFill="1" applyBorder="1"/>
    <xf numFmtId="0" fontId="2" fillId="11" borderId="15" xfId="0" applyFont="1" applyFill="1" applyBorder="1"/>
    <xf numFmtId="0" fontId="3" fillId="3" borderId="0" xfId="0" applyFont="1" applyFill="1" applyBorder="1"/>
    <xf numFmtId="0" fontId="0" fillId="3" borderId="14" xfId="0" applyFill="1" applyBorder="1"/>
    <xf numFmtId="0" fontId="21" fillId="3" borderId="0" xfId="0" applyFont="1" applyFill="1" applyBorder="1" applyAlignment="1">
      <alignment horizontal="center"/>
    </xf>
    <xf numFmtId="0" fontId="8" fillId="3" borderId="0" xfId="0" applyFont="1" applyFill="1" applyBorder="1"/>
    <xf numFmtId="0" fontId="8" fillId="0" borderId="10" xfId="0" applyFont="1" applyBorder="1"/>
    <xf numFmtId="0" fontId="11" fillId="5" borderId="21" xfId="0" applyFont="1" applyFill="1" applyBorder="1" applyAlignment="1">
      <alignment horizontal="center"/>
    </xf>
    <xf numFmtId="0" fontId="31" fillId="5" borderId="22" xfId="0" applyFont="1" applyFill="1" applyBorder="1" applyAlignment="1">
      <alignment horizontal="center"/>
    </xf>
    <xf numFmtId="0" fontId="31" fillId="5" borderId="23" xfId="0" applyFont="1" applyFill="1" applyBorder="1" applyAlignment="1">
      <alignment horizontal="center"/>
    </xf>
    <xf numFmtId="0" fontId="3" fillId="5" borderId="21" xfId="0" applyFont="1" applyFill="1" applyBorder="1"/>
    <xf numFmtId="0" fontId="0" fillId="5" borderId="21" xfId="0" applyFill="1" applyBorder="1"/>
    <xf numFmtId="0" fontId="20" fillId="5" borderId="22" xfId="0" applyFont="1" applyFill="1" applyBorder="1"/>
    <xf numFmtId="0" fontId="8" fillId="5" borderId="22" xfId="0" applyFont="1" applyFill="1" applyBorder="1" applyAlignment="1">
      <alignment horizontal="center"/>
    </xf>
    <xf numFmtId="0" fontId="3" fillId="5" borderId="16" xfId="0" applyFont="1" applyFill="1" applyBorder="1"/>
    <xf numFmtId="0" fontId="2" fillId="11" borderId="10" xfId="0" applyFont="1" applyFill="1" applyBorder="1"/>
    <xf numFmtId="0" fontId="2" fillId="11" borderId="11" xfId="0" applyFont="1" applyFill="1" applyBorder="1"/>
    <xf numFmtId="0" fontId="4" fillId="11" borderId="12" xfId="0" applyFont="1" applyFill="1" applyBorder="1"/>
    <xf numFmtId="0" fontId="20" fillId="5" borderId="17" xfId="0" applyFont="1" applyFill="1" applyBorder="1"/>
    <xf numFmtId="0" fontId="60" fillId="5" borderId="0" xfId="0" applyFont="1" applyFill="1" applyBorder="1" applyAlignment="1">
      <alignment horizontal="center"/>
    </xf>
    <xf numFmtId="0" fontId="57" fillId="5" borderId="12" xfId="0" applyFont="1" applyFill="1" applyBorder="1" applyAlignment="1">
      <alignment horizontal="center"/>
    </xf>
    <xf numFmtId="0" fontId="57" fillId="5" borderId="14" xfId="0" applyFont="1" applyFill="1" applyBorder="1" applyAlignment="1">
      <alignment horizontal="center"/>
    </xf>
    <xf numFmtId="0" fontId="11" fillId="5" borderId="22" xfId="0" applyFont="1" applyFill="1" applyBorder="1" applyAlignment="1">
      <alignment horizontal="center"/>
    </xf>
    <xf numFmtId="0" fontId="26" fillId="0" borderId="0" xfId="0" applyFont="1"/>
    <xf numFmtId="0" fontId="53" fillId="0" borderId="0" xfId="0" applyFont="1" applyBorder="1"/>
    <xf numFmtId="0" fontId="53" fillId="0" borderId="0" xfId="0" applyFont="1" applyAlignment="1">
      <alignment horizontal="center"/>
    </xf>
    <xf numFmtId="0" fontId="53" fillId="0" borderId="0" xfId="0" applyFont="1" applyBorder="1" applyAlignment="1">
      <alignment horizontal="center"/>
    </xf>
    <xf numFmtId="0" fontId="53" fillId="0" borderId="18" xfId="0" applyFont="1" applyBorder="1"/>
    <xf numFmtId="0" fontId="12" fillId="0" borderId="19" xfId="0" applyFont="1" applyBorder="1"/>
    <xf numFmtId="0" fontId="53" fillId="0" borderId="20" xfId="0" applyFont="1" applyBorder="1"/>
    <xf numFmtId="0" fontId="53" fillId="0" borderId="10" xfId="0" applyFont="1" applyBorder="1"/>
    <xf numFmtId="0" fontId="12" fillId="0" borderId="11" xfId="0" applyFont="1" applyBorder="1"/>
    <xf numFmtId="0" fontId="53" fillId="0" borderId="12" xfId="0" applyFont="1" applyBorder="1"/>
    <xf numFmtId="0" fontId="56" fillId="0" borderId="13" xfId="0" applyFont="1" applyBorder="1"/>
    <xf numFmtId="0" fontId="56" fillId="0" borderId="0" xfId="0" applyFont="1" applyBorder="1"/>
    <xf numFmtId="0" fontId="53" fillId="0" borderId="14" xfId="0" applyFont="1" applyBorder="1"/>
    <xf numFmtId="164" fontId="53" fillId="0" borderId="0" xfId="0" applyNumberFormat="1" applyFont="1" applyBorder="1"/>
    <xf numFmtId="0" fontId="56" fillId="0" borderId="15" xfId="0" applyFont="1" applyBorder="1"/>
    <xf numFmtId="0" fontId="56" fillId="0" borderId="16" xfId="0" applyFont="1" applyBorder="1"/>
    <xf numFmtId="0" fontId="53" fillId="0" borderId="16" xfId="0" applyFont="1" applyBorder="1"/>
    <xf numFmtId="0" fontId="53" fillId="0" borderId="17" xfId="0" applyFont="1" applyBorder="1"/>
    <xf numFmtId="0" fontId="26" fillId="0" borderId="0" xfId="0" applyFont="1" applyBorder="1"/>
    <xf numFmtId="0" fontId="53" fillId="0" borderId="0" xfId="0" applyFont="1" applyFill="1" applyBorder="1"/>
    <xf numFmtId="165" fontId="53" fillId="0" borderId="0" xfId="0" applyNumberFormat="1" applyFont="1" applyFill="1" applyBorder="1"/>
    <xf numFmtId="0" fontId="20" fillId="0" borderId="0" xfId="0" applyFont="1" applyFill="1" applyBorder="1"/>
    <xf numFmtId="165" fontId="57" fillId="0" borderId="0" xfId="0" applyNumberFormat="1" applyFont="1" applyFill="1" applyBorder="1" applyAlignment="1">
      <alignment horizontal="center"/>
    </xf>
    <xf numFmtId="165" fontId="53" fillId="0" borderId="0" xfId="0" applyNumberFormat="1" applyFont="1" applyFill="1"/>
    <xf numFmtId="0" fontId="56" fillId="0" borderId="0" xfId="0" applyFont="1" applyFill="1" applyBorder="1"/>
    <xf numFmtId="0" fontId="56" fillId="0" borderId="0" xfId="0" applyFont="1" applyFill="1"/>
    <xf numFmtId="0" fontId="11" fillId="0" borderId="18" xfId="0" applyFont="1" applyFill="1" applyBorder="1"/>
    <xf numFmtId="0" fontId="11" fillId="0" borderId="19" xfId="0" applyFont="1" applyFill="1" applyBorder="1"/>
    <xf numFmtId="0" fontId="0" fillId="0" borderId="9" xfId="0" applyFill="1" applyBorder="1" applyAlignment="1">
      <alignment horizontal="center"/>
    </xf>
    <xf numFmtId="0" fontId="0" fillId="0" borderId="22" xfId="0" applyFill="1" applyBorder="1" applyAlignment="1">
      <alignment horizontal="center"/>
    </xf>
    <xf numFmtId="0" fontId="11" fillId="0" borderId="10" xfId="0" applyFont="1" applyFill="1" applyBorder="1"/>
    <xf numFmtId="0" fontId="60" fillId="0" borderId="11" xfId="0" applyFont="1" applyFill="1" applyBorder="1"/>
    <xf numFmtId="0" fontId="11" fillId="0" borderId="20" xfId="0" applyFont="1" applyFill="1" applyBorder="1"/>
    <xf numFmtId="165" fontId="53" fillId="0" borderId="19" xfId="0" applyNumberFormat="1" applyFont="1" applyFill="1" applyBorder="1"/>
    <xf numFmtId="0" fontId="0" fillId="0" borderId="19" xfId="0" applyFill="1" applyBorder="1"/>
    <xf numFmtId="0" fontId="61" fillId="5" borderId="9" xfId="0" applyFont="1" applyFill="1" applyBorder="1" applyAlignment="1">
      <alignment horizontal="center"/>
    </xf>
    <xf numFmtId="0" fontId="33" fillId="12" borderId="18" xfId="0" applyFont="1" applyFill="1" applyBorder="1"/>
    <xf numFmtId="0" fontId="37" fillId="12" borderId="19" xfId="0" applyFont="1" applyFill="1" applyBorder="1"/>
    <xf numFmtId="0" fontId="4" fillId="12" borderId="19" xfId="0" applyFont="1" applyFill="1" applyBorder="1"/>
    <xf numFmtId="0" fontId="33" fillId="12" borderId="20" xfId="0" applyFont="1" applyFill="1" applyBorder="1"/>
    <xf numFmtId="0" fontId="33" fillId="12" borderId="15" xfId="0" applyFont="1" applyFill="1" applyBorder="1"/>
    <xf numFmtId="0" fontId="37" fillId="12" borderId="16" xfId="0" applyFont="1" applyFill="1" applyBorder="1"/>
    <xf numFmtId="0" fontId="4" fillId="12" borderId="16" xfId="0" applyFont="1" applyFill="1" applyBorder="1"/>
    <xf numFmtId="0" fontId="33" fillId="12" borderId="17" xfId="0" applyFont="1" applyFill="1" applyBorder="1"/>
    <xf numFmtId="0" fontId="60" fillId="12" borderId="19" xfId="0" applyFont="1" applyFill="1" applyBorder="1" applyAlignment="1">
      <alignment horizontal="center"/>
    </xf>
    <xf numFmtId="0" fontId="60" fillId="12" borderId="16" xfId="0" applyFont="1" applyFill="1" applyBorder="1" applyAlignment="1">
      <alignment horizontal="center"/>
    </xf>
    <xf numFmtId="0" fontId="11" fillId="5" borderId="10" xfId="0" applyFont="1" applyFill="1" applyBorder="1"/>
    <xf numFmtId="0" fontId="57" fillId="5" borderId="18" xfId="0" applyFont="1" applyFill="1" applyBorder="1"/>
    <xf numFmtId="0" fontId="20" fillId="5" borderId="19" xfId="0" applyFont="1" applyFill="1" applyBorder="1"/>
    <xf numFmtId="165" fontId="26" fillId="5" borderId="19" xfId="0" applyNumberFormat="1" applyFont="1" applyFill="1" applyBorder="1"/>
    <xf numFmtId="0" fontId="57" fillId="5" borderId="19" xfId="0" applyFont="1" applyFill="1" applyBorder="1"/>
    <xf numFmtId="0" fontId="0" fillId="5" borderId="20" xfId="0" applyFill="1" applyBorder="1"/>
    <xf numFmtId="0" fontId="0" fillId="5" borderId="19" xfId="0" applyFill="1" applyBorder="1"/>
    <xf numFmtId="0" fontId="5" fillId="0" borderId="9" xfId="0" applyFont="1" applyFill="1" applyBorder="1" applyAlignment="1">
      <alignment horizontal="center"/>
    </xf>
    <xf numFmtId="165" fontId="8" fillId="0" borderId="21" xfId="0" applyNumberFormat="1" applyFont="1" applyFill="1" applyBorder="1"/>
    <xf numFmtId="165" fontId="60" fillId="0" borderId="22" xfId="0" applyNumberFormat="1" applyFont="1" applyFill="1" applyBorder="1" applyAlignment="1">
      <alignment horizontal="center"/>
    </xf>
    <xf numFmtId="165" fontId="20" fillId="0" borderId="22" xfId="0" applyNumberFormat="1" applyFont="1" applyFill="1" applyBorder="1"/>
    <xf numFmtId="165" fontId="63" fillId="0" borderId="9" xfId="0" applyNumberFormat="1" applyFont="1" applyFill="1" applyBorder="1" applyAlignment="1">
      <alignment horizontal="center"/>
    </xf>
    <xf numFmtId="0" fontId="11" fillId="0" borderId="20" xfId="0" applyFont="1" applyFill="1" applyBorder="1" applyAlignment="1">
      <alignment horizontal="center"/>
    </xf>
    <xf numFmtId="0" fontId="3" fillId="0" borderId="21" xfId="0" applyFont="1" applyFill="1" applyBorder="1"/>
    <xf numFmtId="0" fontId="11" fillId="0" borderId="22" xfId="0" applyFont="1" applyFill="1" applyBorder="1" applyAlignment="1">
      <alignment horizontal="center"/>
    </xf>
    <xf numFmtId="2" fontId="60" fillId="0" borderId="9" xfId="0" applyNumberFormat="1" applyFont="1" applyFill="1" applyBorder="1" applyAlignment="1">
      <alignment horizontal="center"/>
    </xf>
    <xf numFmtId="165" fontId="8" fillId="0" borderId="23" xfId="0" applyNumberFormat="1" applyFont="1" applyFill="1" applyBorder="1" applyAlignment="1">
      <alignment horizontal="center"/>
    </xf>
    <xf numFmtId="0" fontId="3" fillId="0" borderId="23" xfId="0" applyFont="1" applyFill="1" applyBorder="1" applyAlignment="1">
      <alignment horizontal="center"/>
    </xf>
    <xf numFmtId="0" fontId="19" fillId="0" borderId="10" xfId="0" applyFont="1" applyBorder="1"/>
    <xf numFmtId="0" fontId="19" fillId="0" borderId="11" xfId="0" applyFont="1" applyBorder="1"/>
    <xf numFmtId="0" fontId="19" fillId="0" borderId="15" xfId="0" applyFont="1" applyBorder="1"/>
    <xf numFmtId="0" fontId="19" fillId="0" borderId="16" xfId="0" applyFont="1" applyBorder="1"/>
    <xf numFmtId="0" fontId="64" fillId="0" borderId="0" xfId="0" applyFont="1"/>
    <xf numFmtId="165" fontId="53" fillId="0" borderId="11" xfId="0" applyNumberFormat="1" applyFont="1" applyFill="1" applyBorder="1"/>
    <xf numFmtId="0" fontId="0" fillId="0" borderId="11" xfId="0" applyFill="1" applyBorder="1"/>
    <xf numFmtId="165" fontId="53" fillId="0" borderId="16" xfId="0" applyNumberFormat="1" applyFont="1" applyFill="1" applyBorder="1"/>
    <xf numFmtId="0" fontId="0" fillId="0" borderId="16" xfId="0" applyFill="1" applyBorder="1"/>
    <xf numFmtId="0" fontId="11" fillId="0" borderId="11" xfId="0" applyFont="1" applyFill="1" applyBorder="1"/>
    <xf numFmtId="0" fontId="57" fillId="9" borderId="11" xfId="0" applyFont="1" applyFill="1" applyBorder="1" applyAlignment="1" applyProtection="1">
      <alignment horizontal="center"/>
      <protection locked="0"/>
    </xf>
    <xf numFmtId="0" fontId="57" fillId="9" borderId="10" xfId="0" applyFont="1" applyFill="1" applyBorder="1" applyProtection="1">
      <protection locked="0"/>
    </xf>
    <xf numFmtId="0" fontId="8" fillId="9" borderId="11" xfId="0" applyFont="1" applyFill="1" applyBorder="1"/>
    <xf numFmtId="0" fontId="20" fillId="9" borderId="12" xfId="0" applyFont="1" applyFill="1" applyBorder="1"/>
    <xf numFmtId="0" fontId="57" fillId="9" borderId="22" xfId="0" applyFont="1" applyFill="1" applyBorder="1" applyAlignment="1" applyProtection="1">
      <alignment horizontal="center"/>
      <protection locked="0"/>
    </xf>
    <xf numFmtId="0" fontId="57" fillId="9" borderId="21" xfId="0" applyFont="1" applyFill="1" applyBorder="1" applyAlignment="1" applyProtection="1">
      <alignment horizontal="center"/>
      <protection locked="0"/>
    </xf>
    <xf numFmtId="0" fontId="3" fillId="5" borderId="12" xfId="0" applyFont="1" applyFill="1" applyBorder="1" applyAlignment="1">
      <alignment horizontal="center"/>
    </xf>
    <xf numFmtId="0" fontId="3" fillId="5" borderId="17" xfId="0" applyFont="1" applyFill="1" applyBorder="1" applyAlignment="1">
      <alignment horizontal="center"/>
    </xf>
    <xf numFmtId="0" fontId="3" fillId="5" borderId="14" xfId="0" applyFont="1" applyFill="1" applyBorder="1" applyAlignment="1">
      <alignment horizontal="center"/>
    </xf>
    <xf numFmtId="2" fontId="8" fillId="0" borderId="13" xfId="0" applyNumberFormat="1" applyFont="1" applyBorder="1" applyAlignment="1">
      <alignment horizontal="center"/>
    </xf>
    <xf numFmtId="2" fontId="20" fillId="0" borderId="0" xfId="0" applyNumberFormat="1" applyFont="1"/>
    <xf numFmtId="2" fontId="20" fillId="0" borderId="13" xfId="0" applyNumberFormat="1" applyFont="1" applyBorder="1"/>
    <xf numFmtId="2" fontId="57" fillId="0" borderId="9" xfId="0" applyNumberFormat="1" applyFont="1" applyBorder="1" applyAlignment="1">
      <alignment horizontal="center"/>
    </xf>
    <xf numFmtId="0" fontId="19" fillId="0" borderId="13" xfId="0" applyFont="1" applyBorder="1"/>
    <xf numFmtId="0" fontId="36" fillId="13" borderId="20" xfId="0" applyFont="1" applyFill="1" applyBorder="1" applyAlignment="1">
      <alignment horizontal="center"/>
    </xf>
    <xf numFmtId="0" fontId="11" fillId="13" borderId="9" xfId="0" applyFont="1" applyFill="1" applyBorder="1" applyAlignment="1">
      <alignment horizontal="center"/>
    </xf>
    <xf numFmtId="0" fontId="36" fillId="0" borderId="19" xfId="0" applyFont="1" applyFill="1" applyBorder="1"/>
    <xf numFmtId="2" fontId="57" fillId="0" borderId="0" xfId="0" applyNumberFormat="1" applyFont="1" applyFill="1" applyAlignment="1">
      <alignment horizontal="center"/>
    </xf>
    <xf numFmtId="0" fontId="57" fillId="5" borderId="22" xfId="0" applyFont="1" applyFill="1" applyBorder="1" applyAlignment="1">
      <alignment horizontal="center"/>
    </xf>
    <xf numFmtId="0" fontId="36" fillId="0" borderId="20" xfId="0" applyFont="1" applyFill="1" applyBorder="1" applyAlignment="1">
      <alignment horizontal="center"/>
    </xf>
    <xf numFmtId="2" fontId="8" fillId="0" borderId="0" xfId="0" applyNumberFormat="1" applyFont="1" applyBorder="1" applyAlignment="1">
      <alignment horizontal="center"/>
    </xf>
    <xf numFmtId="0" fontId="57" fillId="9" borderId="0" xfId="0" applyFont="1" applyFill="1" applyBorder="1" applyAlignment="1" applyProtection="1">
      <alignment horizontal="center"/>
      <protection locked="0"/>
    </xf>
    <xf numFmtId="0" fontId="57" fillId="9" borderId="16" xfId="0" applyFont="1" applyFill="1" applyBorder="1" applyAlignment="1" applyProtection="1">
      <alignment horizontal="center"/>
      <protection locked="0"/>
    </xf>
    <xf numFmtId="0" fontId="11" fillId="0" borderId="15" xfId="0" applyFont="1" applyFill="1" applyBorder="1"/>
    <xf numFmtId="0" fontId="3" fillId="0" borderId="16" xfId="0" applyFont="1" applyFill="1" applyBorder="1"/>
    <xf numFmtId="0" fontId="3" fillId="0" borderId="17" xfId="0" applyFont="1" applyFill="1" applyBorder="1"/>
    <xf numFmtId="0" fontId="5" fillId="0" borderId="23" xfId="0" applyFont="1" applyFill="1" applyBorder="1" applyAlignment="1">
      <alignment horizontal="center"/>
    </xf>
    <xf numFmtId="165" fontId="63" fillId="0" borderId="23" xfId="0" applyNumberFormat="1" applyFont="1" applyFill="1" applyBorder="1" applyAlignment="1">
      <alignment horizontal="center"/>
    </xf>
    <xf numFmtId="2" fontId="60" fillId="0" borderId="23" xfId="0" applyNumberFormat="1" applyFont="1" applyFill="1" applyBorder="1" applyAlignment="1">
      <alignment horizontal="center"/>
    </xf>
    <xf numFmtId="0" fontId="11" fillId="0" borderId="17" xfId="0" applyFont="1" applyFill="1" applyBorder="1" applyAlignment="1">
      <alignment horizontal="center"/>
    </xf>
    <xf numFmtId="0" fontId="7" fillId="6" borderId="36" xfId="0" applyFont="1" applyFill="1" applyBorder="1" applyAlignment="1">
      <alignment horizontal="center"/>
    </xf>
    <xf numFmtId="0" fontId="7" fillId="6" borderId="37" xfId="0" applyFont="1" applyFill="1" applyBorder="1" applyAlignment="1">
      <alignment horizontal="center"/>
    </xf>
    <xf numFmtId="0" fontId="7" fillId="6" borderId="38" xfId="0" applyFont="1" applyFill="1" applyBorder="1" applyAlignment="1">
      <alignment horizontal="center"/>
    </xf>
    <xf numFmtId="0" fontId="4" fillId="11" borderId="10" xfId="0" applyFont="1" applyFill="1" applyBorder="1"/>
    <xf numFmtId="0" fontId="20" fillId="5" borderId="14" xfId="0" applyFont="1" applyFill="1" applyBorder="1" applyAlignment="1">
      <alignment horizontal="left"/>
    </xf>
    <xf numFmtId="0" fontId="0" fillId="0" borderId="0" xfId="0"/>
    <xf numFmtId="0" fontId="0" fillId="0" borderId="0" xfId="0" applyProtection="1"/>
    <xf numFmtId="0" fontId="63" fillId="0" borderId="0" xfId="0" applyFont="1" applyFill="1" applyBorder="1" applyAlignment="1" applyProtection="1"/>
    <xf numFmtId="0" fontId="63" fillId="0" borderId="13" xfId="0" applyFont="1" applyFill="1" applyBorder="1" applyAlignment="1" applyProtection="1"/>
    <xf numFmtId="0" fontId="63" fillId="0" borderId="0" xfId="0" applyFont="1" applyFill="1" applyAlignment="1" applyProtection="1"/>
    <xf numFmtId="0" fontId="63" fillId="0" borderId="0" xfId="0" applyFont="1" applyFill="1" applyBorder="1" applyProtection="1"/>
    <xf numFmtId="0" fontId="63" fillId="0" borderId="11" xfId="0" applyFont="1" applyFill="1" applyBorder="1" applyAlignment="1" applyProtection="1">
      <alignment horizontal="left"/>
    </xf>
    <xf numFmtId="0" fontId="63" fillId="0" borderId="0" xfId="0" applyFont="1" applyFill="1" applyBorder="1" applyAlignment="1" applyProtection="1">
      <alignment horizontal="left"/>
    </xf>
    <xf numFmtId="0" fontId="66" fillId="0" borderId="0" xfId="0" applyFont="1" applyFill="1" applyBorder="1" applyAlignment="1" applyProtection="1">
      <alignment horizontal="left"/>
    </xf>
    <xf numFmtId="0" fontId="63" fillId="0" borderId="11" xfId="0" applyFont="1" applyFill="1" applyBorder="1" applyAlignment="1" applyProtection="1">
      <alignment horizontal="center"/>
    </xf>
    <xf numFmtId="0" fontId="63" fillId="0" borderId="0" xfId="0" applyFont="1" applyFill="1" applyBorder="1" applyAlignment="1" applyProtection="1">
      <alignment horizontal="center"/>
    </xf>
    <xf numFmtId="0" fontId="60" fillId="0" borderId="0" xfId="0" applyFont="1" applyFill="1" applyBorder="1" applyProtection="1"/>
    <xf numFmtId="0" fontId="67" fillId="0" borderId="0" xfId="0" applyFont="1"/>
    <xf numFmtId="0" fontId="63" fillId="0" borderId="0" xfId="0" quotePrefix="1" applyFont="1" applyFill="1" applyBorder="1" applyAlignment="1" applyProtection="1">
      <alignment horizontal="left"/>
    </xf>
    <xf numFmtId="165" fontId="63" fillId="0" borderId="0" xfId="0" applyNumberFormat="1" applyFont="1" applyFill="1" applyBorder="1" applyProtection="1"/>
    <xf numFmtId="2" fontId="60" fillId="0" borderId="0" xfId="0" applyNumberFormat="1" applyFont="1" applyFill="1" applyBorder="1" applyAlignment="1" applyProtection="1">
      <alignment horizontal="center"/>
    </xf>
    <xf numFmtId="0" fontId="60" fillId="0" borderId="0" xfId="0" applyFont="1" applyFill="1" applyBorder="1" applyAlignment="1" applyProtection="1">
      <alignment horizontal="center"/>
    </xf>
    <xf numFmtId="0" fontId="63" fillId="0" borderId="11" xfId="0" applyFont="1" applyFill="1" applyBorder="1" applyAlignment="1" applyProtection="1">
      <alignment horizontal="center"/>
      <protection locked="0"/>
    </xf>
    <xf numFmtId="0" fontId="63" fillId="0" borderId="0" xfId="0" applyFont="1" applyFill="1" applyBorder="1" applyAlignment="1" applyProtection="1">
      <alignment horizontal="center"/>
      <protection locked="0"/>
    </xf>
    <xf numFmtId="0" fontId="0" fillId="0" borderId="0" xfId="0" applyBorder="1" applyProtection="1"/>
    <xf numFmtId="0" fontId="63" fillId="0" borderId="0" xfId="0" applyFont="1" applyFill="1" applyBorder="1" applyAlignment="1" applyProtection="1">
      <alignment horizontal="left"/>
    </xf>
    <xf numFmtId="0" fontId="60" fillId="0" borderId="0" xfId="0" applyFont="1" applyFill="1" applyBorder="1" applyAlignment="1" applyProtection="1">
      <alignment horizontal="center"/>
    </xf>
    <xf numFmtId="0" fontId="3" fillId="5" borderId="33" xfId="0" applyFont="1" applyFill="1" applyBorder="1" applyAlignment="1">
      <alignment horizontal="center" vertical="center" textRotation="90" wrapText="1"/>
    </xf>
    <xf numFmtId="0" fontId="3" fillId="5" borderId="34" xfId="0" applyFont="1" applyFill="1" applyBorder="1" applyAlignment="1">
      <alignment horizontal="center" vertical="center" textRotation="90" wrapText="1"/>
    </xf>
    <xf numFmtId="0" fontId="3" fillId="5" borderId="33" xfId="0" applyFont="1" applyFill="1" applyBorder="1" applyAlignment="1">
      <alignment horizontal="center" vertical="center" textRotation="90"/>
    </xf>
    <xf numFmtId="0" fontId="3" fillId="5" borderId="34" xfId="0" applyFont="1" applyFill="1" applyBorder="1" applyAlignment="1">
      <alignment horizontal="center" vertical="center" textRotation="90"/>
    </xf>
    <xf numFmtId="0" fontId="3" fillId="5" borderId="35" xfId="0" applyFont="1" applyFill="1" applyBorder="1" applyAlignment="1">
      <alignment horizontal="center" vertical="center" textRotation="90"/>
    </xf>
    <xf numFmtId="0" fontId="57" fillId="10" borderId="18" xfId="0" applyFont="1" applyFill="1" applyBorder="1" applyAlignment="1">
      <alignment horizontal="center"/>
    </xf>
    <xf numFmtId="0" fontId="57" fillId="10" borderId="19" xfId="0" applyFont="1" applyFill="1" applyBorder="1" applyAlignment="1">
      <alignment horizontal="center"/>
    </xf>
    <xf numFmtId="0" fontId="57" fillId="10" borderId="20" xfId="0" applyFont="1" applyFill="1" applyBorder="1" applyAlignment="1">
      <alignment horizontal="center"/>
    </xf>
    <xf numFmtId="0" fontId="11" fillId="11" borderId="18" xfId="0" applyFont="1" applyFill="1" applyBorder="1" applyAlignment="1">
      <alignment horizontal="center"/>
    </xf>
    <xf numFmtId="0" fontId="11" fillId="11" borderId="19" xfId="0" applyFont="1" applyFill="1" applyBorder="1" applyAlignment="1">
      <alignment horizontal="center"/>
    </xf>
    <xf numFmtId="0" fontId="11" fillId="11" borderId="20" xfId="0" applyFont="1" applyFill="1" applyBorder="1" applyAlignment="1">
      <alignment horizontal="center"/>
    </xf>
    <xf numFmtId="0" fontId="3" fillId="0" borderId="30" xfId="0" applyFont="1" applyFill="1" applyBorder="1" applyAlignment="1">
      <alignment horizontal="center"/>
    </xf>
    <xf numFmtId="0" fontId="63" fillId="0" borderId="13" xfId="0" applyFont="1" applyFill="1" applyBorder="1" applyAlignment="1" applyProtection="1">
      <alignment horizontal="left"/>
    </xf>
    <xf numFmtId="0" fontId="63" fillId="0" borderId="0" xfId="0" applyFont="1" applyFill="1" applyBorder="1" applyAlignment="1" applyProtection="1">
      <alignment horizontal="left"/>
    </xf>
    <xf numFmtId="0" fontId="63" fillId="0" borderId="14" xfId="0" applyFont="1" applyFill="1" applyBorder="1" applyAlignment="1" applyProtection="1">
      <alignment horizontal="left"/>
    </xf>
    <xf numFmtId="0" fontId="63" fillId="0" borderId="13" xfId="0" applyFont="1" applyFill="1" applyBorder="1" applyAlignment="1" applyProtection="1">
      <alignment horizontal="center"/>
      <protection locked="0"/>
    </xf>
    <xf numFmtId="0" fontId="63" fillId="0" borderId="16" xfId="0" applyFont="1" applyFill="1" applyBorder="1" applyAlignment="1" applyProtection="1">
      <alignment horizontal="center"/>
      <protection locked="0"/>
    </xf>
    <xf numFmtId="0" fontId="60" fillId="0" borderId="0" xfId="0" applyFont="1" applyFill="1" applyBorder="1" applyAlignment="1" applyProtection="1"/>
    <xf numFmtId="0" fontId="65" fillId="0" borderId="0" xfId="0" applyFont="1" applyFill="1" applyAlignment="1"/>
    <xf numFmtId="0" fontId="61" fillId="0" borderId="0" xfId="0" applyFont="1" applyFill="1" applyBorder="1" applyAlignment="1" applyProtection="1">
      <alignment horizontal="left"/>
    </xf>
    <xf numFmtId="0" fontId="61" fillId="0" borderId="0" xfId="0" applyFont="1" applyFill="1" applyBorder="1" applyAlignment="1" applyProtection="1"/>
    <xf numFmtId="0" fontId="61" fillId="0" borderId="0" xfId="0" applyFont="1" applyFill="1" applyBorder="1" applyAlignment="1" applyProtection="1">
      <alignment horizontal="left"/>
    </xf>
    <xf numFmtId="0" fontId="21" fillId="15" borderId="10" xfId="0" applyFont="1" applyFill="1" applyBorder="1" applyAlignment="1" applyProtection="1">
      <alignment horizontal="left"/>
      <protection locked="0"/>
    </xf>
    <xf numFmtId="0" fontId="21" fillId="15" borderId="11" xfId="0" applyFont="1" applyFill="1" applyBorder="1" applyAlignment="1" applyProtection="1">
      <alignment horizontal="left"/>
      <protection locked="0"/>
    </xf>
    <xf numFmtId="0" fontId="21" fillId="15" borderId="12" xfId="0" applyFont="1" applyFill="1" applyBorder="1" applyAlignment="1" applyProtection="1">
      <alignment horizontal="left"/>
      <protection locked="0"/>
    </xf>
    <xf numFmtId="0" fontId="21" fillId="15" borderId="13" xfId="0" applyFont="1" applyFill="1" applyBorder="1" applyAlignment="1" applyProtection="1">
      <alignment horizontal="left"/>
      <protection locked="0"/>
    </xf>
    <xf numFmtId="0" fontId="21" fillId="15" borderId="0" xfId="0" applyFont="1" applyFill="1" applyBorder="1" applyAlignment="1" applyProtection="1">
      <alignment horizontal="left"/>
      <protection locked="0"/>
    </xf>
    <xf numFmtId="0" fontId="21" fillId="15" borderId="14" xfId="0" applyFont="1" applyFill="1" applyBorder="1" applyAlignment="1" applyProtection="1">
      <alignment horizontal="left"/>
      <protection locked="0"/>
    </xf>
    <xf numFmtId="0" fontId="21" fillId="15" borderId="15" xfId="0" applyFont="1" applyFill="1" applyBorder="1" applyAlignment="1" applyProtection="1">
      <alignment horizontal="left"/>
      <protection locked="0"/>
    </xf>
    <xf numFmtId="0" fontId="21" fillId="15" borderId="16" xfId="0" applyFont="1" applyFill="1" applyBorder="1" applyAlignment="1" applyProtection="1">
      <alignment horizontal="left"/>
      <protection locked="0"/>
    </xf>
    <xf numFmtId="0" fontId="21" fillId="15" borderId="17" xfId="0" applyFont="1" applyFill="1" applyBorder="1" applyAlignment="1" applyProtection="1">
      <alignment horizontal="left"/>
      <protection locked="0"/>
    </xf>
    <xf numFmtId="0" fontId="57" fillId="0" borderId="16" xfId="0" applyFont="1" applyFill="1" applyBorder="1" applyProtection="1"/>
    <xf numFmtId="0" fontId="57" fillId="0" borderId="17" xfId="0" applyFont="1" applyFill="1" applyBorder="1" applyProtection="1"/>
    <xf numFmtId="0" fontId="57" fillId="0" borderId="59" xfId="0" applyFont="1" applyFill="1" applyBorder="1" applyAlignment="1" applyProtection="1">
      <alignment horizontal="center" wrapText="1"/>
    </xf>
    <xf numFmtId="0" fontId="57" fillId="0" borderId="60" xfId="0" applyFont="1" applyFill="1" applyBorder="1" applyAlignment="1" applyProtection="1">
      <alignment horizontal="center" wrapText="1"/>
    </xf>
    <xf numFmtId="165" fontId="57" fillId="0" borderId="60" xfId="0" applyNumberFormat="1" applyFont="1" applyFill="1" applyBorder="1" applyAlignment="1" applyProtection="1">
      <alignment horizontal="center" wrapText="1"/>
    </xf>
    <xf numFmtId="0" fontId="57" fillId="0" borderId="36" xfId="0" applyFont="1" applyFill="1" applyBorder="1" applyAlignment="1" applyProtection="1">
      <alignment horizontal="center" wrapText="1"/>
    </xf>
    <xf numFmtId="0" fontId="57" fillId="0" borderId="50" xfId="0" applyFont="1" applyFill="1" applyBorder="1" applyAlignment="1" applyProtection="1"/>
    <xf numFmtId="0" fontId="57" fillId="0" borderId="51" xfId="0" applyFont="1" applyFill="1" applyBorder="1" applyAlignment="1" applyProtection="1"/>
    <xf numFmtId="0" fontId="57" fillId="0" borderId="51" xfId="0" applyFont="1" applyFill="1" applyBorder="1" applyAlignment="1" applyProtection="1">
      <alignment horizontal="center"/>
    </xf>
    <xf numFmtId="165" fontId="57" fillId="0" borderId="51" xfId="0" applyNumberFormat="1" applyFont="1" applyFill="1" applyBorder="1" applyAlignment="1" applyProtection="1">
      <alignment horizontal="center"/>
    </xf>
    <xf numFmtId="0" fontId="57" fillId="0" borderId="51" xfId="0" applyFont="1" applyFill="1" applyBorder="1" applyProtection="1"/>
    <xf numFmtId="0" fontId="57" fillId="0" borderId="38" xfId="0" applyFont="1" applyFill="1" applyBorder="1" applyAlignment="1" applyProtection="1">
      <alignment horizontal="center"/>
    </xf>
    <xf numFmtId="0" fontId="57" fillId="0" borderId="39" xfId="0" applyFont="1" applyFill="1" applyBorder="1" applyAlignment="1" applyProtection="1">
      <alignment horizontal="left"/>
    </xf>
    <xf numFmtId="0" fontId="57" fillId="0" borderId="55" xfId="0" applyFont="1" applyFill="1" applyBorder="1" applyAlignment="1" applyProtection="1">
      <alignment horizontal="left"/>
    </xf>
    <xf numFmtId="0" fontId="57" fillId="14" borderId="56" xfId="0" applyFont="1" applyFill="1" applyBorder="1" applyAlignment="1" applyProtection="1"/>
    <xf numFmtId="0" fontId="57" fillId="14" borderId="57" xfId="0" applyFont="1" applyFill="1" applyBorder="1" applyAlignment="1" applyProtection="1"/>
    <xf numFmtId="0" fontId="21" fillId="0" borderId="41" xfId="0" applyFont="1" applyFill="1" applyBorder="1" applyAlignment="1" applyProtection="1">
      <alignment horizontal="center"/>
    </xf>
    <xf numFmtId="0" fontId="40" fillId="0" borderId="0" xfId="0" applyFont="1" applyBorder="1" applyProtection="1"/>
    <xf numFmtId="0" fontId="21" fillId="0" borderId="30" xfId="0" applyFont="1" applyFill="1" applyBorder="1" applyAlignment="1" applyProtection="1">
      <alignment horizontal="center"/>
    </xf>
    <xf numFmtId="2" fontId="21" fillId="0" borderId="30" xfId="0" applyNumberFormat="1" applyFont="1" applyFill="1" applyBorder="1" applyAlignment="1" applyProtection="1">
      <alignment horizontal="center"/>
    </xf>
    <xf numFmtId="168" fontId="57" fillId="0" borderId="30" xfId="0" applyNumberFormat="1" applyFont="1" applyFill="1" applyBorder="1" applyAlignment="1" applyProtection="1">
      <alignment horizontal="center"/>
    </xf>
    <xf numFmtId="0" fontId="57" fillId="0" borderId="30" xfId="0" applyFont="1" applyFill="1" applyBorder="1" applyAlignment="1" applyProtection="1">
      <alignment horizontal="center"/>
    </xf>
    <xf numFmtId="0" fontId="21" fillId="0" borderId="42" xfId="0" applyFont="1" applyFill="1" applyBorder="1" applyAlignment="1" applyProtection="1">
      <alignment horizontal="center"/>
    </xf>
    <xf numFmtId="0" fontId="21" fillId="0" borderId="30" xfId="0" applyFont="1" applyFill="1" applyBorder="1" applyAlignment="1" applyProtection="1"/>
    <xf numFmtId="0" fontId="21" fillId="0" borderId="30" xfId="0" applyFont="1" applyFill="1" applyBorder="1" applyAlignment="1" applyProtection="1">
      <alignment horizontal="left"/>
    </xf>
    <xf numFmtId="0" fontId="21" fillId="0" borderId="52" xfId="0" applyFont="1" applyFill="1" applyBorder="1" applyAlignment="1" applyProtection="1">
      <alignment horizontal="center"/>
    </xf>
    <xf numFmtId="0" fontId="57" fillId="0" borderId="28" xfId="0" applyFont="1" applyFill="1" applyBorder="1" applyAlignment="1" applyProtection="1"/>
    <xf numFmtId="0" fontId="21" fillId="0" borderId="28" xfId="0" applyFont="1" applyFill="1" applyBorder="1" applyAlignment="1" applyProtection="1">
      <alignment horizontal="center"/>
    </xf>
    <xf numFmtId="2" fontId="21" fillId="0" borderId="28" xfId="0" applyNumberFormat="1" applyFont="1" applyFill="1" applyBorder="1" applyAlignment="1" applyProtection="1">
      <alignment horizontal="center"/>
    </xf>
    <xf numFmtId="168" fontId="57" fillId="0" borderId="28" xfId="0" applyNumberFormat="1" applyFont="1" applyFill="1" applyBorder="1" applyAlignment="1" applyProtection="1">
      <alignment horizontal="center"/>
    </xf>
    <xf numFmtId="0" fontId="57" fillId="0" borderId="28" xfId="0" applyFont="1" applyFill="1" applyBorder="1" applyAlignment="1" applyProtection="1">
      <alignment horizontal="center"/>
    </xf>
    <xf numFmtId="0" fontId="57" fillId="0" borderId="53" xfId="0" applyFont="1" applyFill="1" applyBorder="1" applyAlignment="1" applyProtection="1">
      <alignment horizontal="center"/>
    </xf>
    <xf numFmtId="0" fontId="21" fillId="0" borderId="58" xfId="0" applyFont="1" applyFill="1" applyBorder="1" applyAlignment="1" applyProtection="1">
      <alignment horizontal="center"/>
    </xf>
    <xf numFmtId="0" fontId="57" fillId="0" borderId="49" xfId="0" applyFont="1" applyFill="1" applyBorder="1" applyAlignment="1" applyProtection="1"/>
    <xf numFmtId="0" fontId="21" fillId="0" borderId="44" xfId="0" applyFont="1" applyFill="1" applyBorder="1" applyAlignment="1" applyProtection="1">
      <alignment horizontal="center"/>
    </xf>
    <xf numFmtId="2" fontId="21" fillId="14" borderId="44" xfId="0" applyNumberFormat="1" applyFont="1" applyFill="1" applyBorder="1" applyAlignment="1" applyProtection="1">
      <alignment horizontal="center"/>
    </xf>
    <xf numFmtId="168" fontId="57" fillId="14" borderId="44" xfId="0" applyNumberFormat="1" applyFont="1" applyFill="1" applyBorder="1" applyAlignment="1" applyProtection="1">
      <alignment horizontal="center"/>
    </xf>
    <xf numFmtId="0" fontId="57" fillId="14" borderId="44" xfId="0" applyFont="1" applyFill="1" applyBorder="1" applyAlignment="1" applyProtection="1">
      <alignment horizontal="center"/>
    </xf>
    <xf numFmtId="0" fontId="57" fillId="14" borderId="45" xfId="0" applyFont="1" applyFill="1" applyBorder="1" applyAlignment="1" applyProtection="1">
      <alignment horizontal="center"/>
    </xf>
    <xf numFmtId="0" fontId="57" fillId="0" borderId="46" xfId="0" applyFont="1" applyFill="1" applyBorder="1" applyAlignment="1" applyProtection="1">
      <alignment horizontal="left"/>
    </xf>
    <xf numFmtId="0" fontId="57" fillId="0" borderId="8" xfId="0" applyFont="1" applyFill="1" applyBorder="1" applyAlignment="1" applyProtection="1">
      <alignment horizontal="left"/>
    </xf>
    <xf numFmtId="0" fontId="21" fillId="14" borderId="24" xfId="0" applyFont="1" applyFill="1" applyBorder="1" applyAlignment="1" applyProtection="1">
      <alignment horizontal="center"/>
    </xf>
    <xf numFmtId="2" fontId="21" fillId="14" borderId="24" xfId="0" applyNumberFormat="1" applyFont="1" applyFill="1" applyBorder="1" applyAlignment="1" applyProtection="1">
      <alignment horizontal="center"/>
    </xf>
    <xf numFmtId="168" fontId="57" fillId="14" borderId="24" xfId="0" applyNumberFormat="1" applyFont="1" applyFill="1" applyBorder="1" applyAlignment="1" applyProtection="1">
      <alignment horizontal="center"/>
    </xf>
    <xf numFmtId="0" fontId="57" fillId="14" borderId="24" xfId="0" applyFont="1" applyFill="1" applyBorder="1" applyAlignment="1" applyProtection="1">
      <alignment horizontal="center"/>
    </xf>
    <xf numFmtId="0" fontId="21" fillId="14" borderId="47" xfId="0" applyFont="1" applyFill="1" applyBorder="1" applyAlignment="1" applyProtection="1">
      <alignment horizontal="center"/>
    </xf>
    <xf numFmtId="0" fontId="21" fillId="0" borderId="30" xfId="0" applyFont="1" applyFill="1" applyBorder="1" applyProtection="1"/>
    <xf numFmtId="2" fontId="21" fillId="0" borderId="30" xfId="0" applyNumberFormat="1" applyFont="1" applyFill="1" applyBorder="1" applyProtection="1"/>
    <xf numFmtId="0" fontId="57" fillId="0" borderId="28" xfId="0" applyFont="1" applyFill="1" applyBorder="1" applyProtection="1"/>
    <xf numFmtId="0" fontId="21" fillId="0" borderId="28" xfId="0" applyFont="1" applyFill="1" applyBorder="1" applyProtection="1"/>
    <xf numFmtId="2" fontId="21" fillId="0" borderId="28" xfId="0" applyNumberFormat="1" applyFont="1" applyFill="1" applyBorder="1" applyProtection="1"/>
    <xf numFmtId="0" fontId="21" fillId="0" borderId="53" xfId="0" applyFont="1" applyFill="1" applyBorder="1" applyAlignment="1" applyProtection="1">
      <alignment horizontal="center"/>
    </xf>
    <xf numFmtId="0" fontId="40" fillId="0" borderId="0" xfId="0" applyFont="1"/>
    <xf numFmtId="0" fontId="57" fillId="0" borderId="16" xfId="0" applyFont="1" applyFill="1" applyBorder="1" applyAlignment="1" applyProtection="1">
      <alignment horizontal="center"/>
    </xf>
    <xf numFmtId="0" fontId="40" fillId="0" borderId="16" xfId="0" applyFont="1" applyBorder="1"/>
    <xf numFmtId="0" fontId="57" fillId="0" borderId="39" xfId="0" applyFont="1" applyFill="1" applyBorder="1" applyAlignment="1" applyProtection="1">
      <alignment horizontal="center"/>
    </xf>
    <xf numFmtId="0" fontId="57" fillId="0" borderId="40" xfId="0" applyFont="1" applyFill="1" applyBorder="1" applyAlignment="1" applyProtection="1">
      <alignment horizontal="center"/>
    </xf>
    <xf numFmtId="0" fontId="57" fillId="0" borderId="14" xfId="0" applyFont="1" applyFill="1" applyBorder="1" applyProtection="1"/>
    <xf numFmtId="0" fontId="57" fillId="0" borderId="61" xfId="0" applyFont="1" applyFill="1" applyBorder="1" applyAlignment="1" applyProtection="1">
      <alignment horizontal="center" wrapText="1"/>
    </xf>
    <xf numFmtId="0" fontId="57" fillId="0" borderId="4" xfId="0" applyFont="1" applyFill="1" applyBorder="1" applyAlignment="1" applyProtection="1">
      <alignment horizontal="center" wrapText="1"/>
    </xf>
    <xf numFmtId="0" fontId="19" fillId="0" borderId="37" xfId="0" applyFont="1" applyBorder="1" applyAlignment="1">
      <alignment horizontal="center"/>
    </xf>
    <xf numFmtId="0" fontId="57" fillId="0" borderId="5" xfId="0" applyFont="1" applyFill="1" applyBorder="1" applyAlignment="1" applyProtection="1">
      <alignment horizontal="center" wrapText="1"/>
    </xf>
    <xf numFmtId="0" fontId="57" fillId="0" borderId="37" xfId="0" applyFont="1" applyFill="1" applyBorder="1" applyAlignment="1" applyProtection="1">
      <alignment horizontal="center" wrapText="1"/>
    </xf>
    <xf numFmtId="0" fontId="57" fillId="0" borderId="16" xfId="0" applyFont="1" applyFill="1" applyBorder="1" applyAlignment="1" applyProtection="1">
      <alignment horizontal="left"/>
    </xf>
    <xf numFmtId="0" fontId="57" fillId="0" borderId="17" xfId="0" applyFont="1" applyFill="1" applyBorder="1" applyAlignment="1" applyProtection="1">
      <alignment horizontal="left"/>
    </xf>
    <xf numFmtId="0" fontId="57" fillId="0" borderId="50" xfId="0" applyFont="1" applyFill="1" applyBorder="1" applyAlignment="1" applyProtection="1">
      <alignment horizontal="center"/>
    </xf>
    <xf numFmtId="0" fontId="21" fillId="0" borderId="54" xfId="0" applyFont="1" applyFill="1" applyBorder="1" applyProtection="1"/>
    <xf numFmtId="0" fontId="19" fillId="0" borderId="38" xfId="0" applyFont="1" applyBorder="1" applyAlignment="1">
      <alignment horizontal="center"/>
    </xf>
    <xf numFmtId="0" fontId="57" fillId="0" borderId="31" xfId="0" applyFont="1" applyFill="1" applyBorder="1" applyAlignment="1" applyProtection="1">
      <alignment horizontal="center"/>
    </xf>
    <xf numFmtId="2" fontId="57" fillId="0" borderId="41" xfId="0" applyNumberFormat="1" applyFont="1" applyFill="1" applyBorder="1" applyAlignment="1" applyProtection="1">
      <alignment horizontal="center"/>
    </xf>
    <xf numFmtId="0" fontId="57" fillId="0" borderId="62" xfId="0" applyFont="1" applyFill="1" applyBorder="1" applyAlignment="1" applyProtection="1">
      <alignment horizontal="center"/>
    </xf>
    <xf numFmtId="0" fontId="40" fillId="0" borderId="57" xfId="0" applyFont="1" applyBorder="1" applyAlignment="1">
      <alignment horizontal="center"/>
    </xf>
    <xf numFmtId="0" fontId="57" fillId="0" borderId="27" xfId="0" applyFont="1" applyFill="1" applyBorder="1" applyAlignment="1" applyProtection="1">
      <alignment horizontal="center"/>
    </xf>
    <xf numFmtId="0" fontId="57" fillId="0" borderId="42" xfId="0" applyFont="1" applyFill="1" applyBorder="1" applyAlignment="1" applyProtection="1">
      <alignment horizontal="center"/>
    </xf>
    <xf numFmtId="0" fontId="57" fillId="0" borderId="15" xfId="0" applyFont="1" applyFill="1" applyBorder="1" applyAlignment="1" applyProtection="1">
      <alignment horizontal="left"/>
    </xf>
    <xf numFmtId="0" fontId="57" fillId="0" borderId="31" xfId="0" applyFont="1" applyFill="1" applyBorder="1" applyAlignment="1" applyProtection="1">
      <alignment horizontal="left"/>
    </xf>
    <xf numFmtId="2" fontId="57" fillId="0" borderId="43" xfId="0" applyNumberFormat="1" applyFont="1" applyFill="1" applyBorder="1" applyAlignment="1" applyProtection="1">
      <alignment horizontal="center"/>
    </xf>
    <xf numFmtId="0" fontId="57" fillId="0" borderId="48" xfId="0" applyFont="1" applyFill="1" applyBorder="1" applyAlignment="1" applyProtection="1">
      <alignment horizontal="center"/>
    </xf>
    <xf numFmtId="9" fontId="40" fillId="0" borderId="45" xfId="2" applyFont="1" applyBorder="1" applyAlignment="1">
      <alignment horizontal="center"/>
    </xf>
    <xf numFmtId="0" fontId="57" fillId="0" borderId="49" xfId="0" applyFont="1" applyFill="1" applyBorder="1" applyAlignment="1" applyProtection="1">
      <alignment horizontal="center"/>
    </xf>
    <xf numFmtId="0" fontId="57" fillId="0" borderId="45" xfId="0" applyFont="1" applyFill="1" applyBorder="1" applyAlignment="1" applyProtection="1">
      <alignment horizontal="center"/>
    </xf>
    <xf numFmtId="0" fontId="21" fillId="0" borderId="9" xfId="0" applyFont="1" applyFill="1" applyBorder="1" applyAlignment="1" applyProtection="1">
      <alignment horizontal="center" wrapText="1"/>
    </xf>
    <xf numFmtId="0" fontId="21" fillId="0" borderId="10" xfId="0" applyFont="1" applyFill="1" applyBorder="1" applyAlignment="1" applyProtection="1">
      <alignment horizontal="center" wrapText="1"/>
    </xf>
    <xf numFmtId="0" fontId="21" fillId="0" borderId="11" xfId="0" applyFont="1" applyFill="1" applyBorder="1" applyAlignment="1" applyProtection="1">
      <alignment horizontal="center" wrapText="1"/>
    </xf>
    <xf numFmtId="0" fontId="21" fillId="0" borderId="12" xfId="0" applyFont="1" applyFill="1" applyBorder="1" applyAlignment="1" applyProtection="1">
      <alignment horizontal="center" wrapText="1"/>
    </xf>
    <xf numFmtId="0" fontId="21" fillId="0" borderId="21" xfId="0" applyFont="1" applyFill="1" applyBorder="1" applyAlignment="1" applyProtection="1">
      <alignment horizontal="center"/>
    </xf>
    <xf numFmtId="0" fontId="21" fillId="0" borderId="10" xfId="0" applyFont="1" applyFill="1" applyBorder="1" applyAlignment="1" applyProtection="1">
      <alignment horizontal="left"/>
    </xf>
    <xf numFmtId="0" fontId="21" fillId="0" borderId="11" xfId="0" applyFont="1" applyFill="1" applyBorder="1" applyAlignment="1" applyProtection="1">
      <alignment horizontal="left"/>
    </xf>
    <xf numFmtId="0" fontId="21" fillId="0" borderId="12" xfId="0" applyFont="1" applyFill="1" applyBorder="1" applyAlignment="1" applyProtection="1">
      <alignment horizontal="left"/>
    </xf>
    <xf numFmtId="0" fontId="21" fillId="15" borderId="21" xfId="0" applyFont="1" applyFill="1" applyBorder="1" applyAlignment="1" applyProtection="1">
      <alignment horizontal="center"/>
      <protection locked="0"/>
    </xf>
    <xf numFmtId="0" fontId="21" fillId="0" borderId="22" xfId="0" applyFont="1" applyFill="1" applyBorder="1" applyAlignment="1" applyProtection="1">
      <alignment horizontal="center"/>
    </xf>
    <xf numFmtId="0" fontId="21" fillId="0" borderId="13" xfId="0" applyFont="1" applyFill="1" applyBorder="1" applyAlignment="1" applyProtection="1">
      <alignment horizontal="left"/>
    </xf>
    <xf numFmtId="0" fontId="21" fillId="0" borderId="0" xfId="0" applyFont="1" applyFill="1" applyBorder="1" applyAlignment="1" applyProtection="1">
      <alignment horizontal="left"/>
    </xf>
    <xf numFmtId="0" fontId="21" fillId="0" borderId="14" xfId="0" applyFont="1" applyFill="1" applyBorder="1" applyAlignment="1" applyProtection="1">
      <alignment horizontal="left"/>
    </xf>
    <xf numFmtId="0" fontId="21" fillId="15" borderId="22" xfId="0" applyFont="1" applyFill="1" applyBorder="1" applyAlignment="1" applyProtection="1">
      <alignment horizontal="center"/>
      <protection locked="0"/>
    </xf>
    <xf numFmtId="0" fontId="21" fillId="0" borderId="23" xfId="0" applyFont="1" applyFill="1" applyBorder="1" applyAlignment="1" applyProtection="1">
      <alignment horizontal="center"/>
    </xf>
    <xf numFmtId="0" fontId="21" fillId="0" borderId="15" xfId="0" applyFont="1" applyFill="1" applyBorder="1" applyAlignment="1" applyProtection="1">
      <alignment horizontal="left"/>
    </xf>
    <xf numFmtId="0" fontId="21" fillId="15" borderId="23" xfId="0" applyFont="1" applyFill="1" applyBorder="1" applyAlignment="1" applyProtection="1">
      <alignment horizontal="center"/>
      <protection locked="0"/>
    </xf>
    <xf numFmtId="0" fontId="21" fillId="0" borderId="15" xfId="0" quotePrefix="1" applyFont="1" applyFill="1" applyBorder="1" applyAlignment="1" applyProtection="1">
      <alignment horizontal="left"/>
    </xf>
    <xf numFmtId="0" fontId="21" fillId="0" borderId="16" xfId="0" quotePrefix="1" applyFont="1" applyFill="1" applyBorder="1" applyAlignment="1" applyProtection="1">
      <alignment horizontal="left"/>
    </xf>
    <xf numFmtId="0" fontId="21" fillId="0" borderId="17" xfId="0" quotePrefix="1" applyFont="1" applyFill="1" applyBorder="1" applyAlignment="1" applyProtection="1">
      <alignment horizontal="left"/>
    </xf>
    <xf numFmtId="0" fontId="57" fillId="0" borderId="16" xfId="0" applyFont="1" applyFill="1" applyBorder="1" applyAlignment="1" applyProtection="1"/>
    <xf numFmtId="0" fontId="57" fillId="0" borderId="16" xfId="0" applyFont="1" applyFill="1" applyBorder="1" applyAlignment="1" applyProtection="1">
      <alignment horizontal="left"/>
    </xf>
    <xf numFmtId="0" fontId="57" fillId="0" borderId="17" xfId="0" applyFont="1" applyFill="1" applyBorder="1" applyAlignment="1" applyProtection="1">
      <alignment horizontal="left"/>
    </xf>
    <xf numFmtId="0" fontId="21" fillId="0" borderId="9" xfId="0" applyFont="1" applyFill="1" applyBorder="1" applyAlignment="1" applyProtection="1">
      <alignment horizontal="center"/>
    </xf>
    <xf numFmtId="0" fontId="21" fillId="15" borderId="14" xfId="0" applyFont="1" applyFill="1" applyBorder="1" applyAlignment="1" applyProtection="1">
      <alignment horizontal="center"/>
      <protection locked="0"/>
    </xf>
    <xf numFmtId="0" fontId="68" fillId="0" borderId="0" xfId="0" applyFont="1" applyFill="1" applyBorder="1" applyAlignment="1" applyProtection="1">
      <alignment horizontal="center"/>
    </xf>
  </cellXfs>
  <cellStyles count="4">
    <cellStyle name="Currency" xfId="1" builtinId="4"/>
    <cellStyle name="Hyperlink" xfId="3" builtinId="8"/>
    <cellStyle name="Normal" xfId="0" builtinId="0"/>
    <cellStyle name="Percent" xfId="2" builtinId="5"/>
  </cellStyles>
  <dxfs count="220">
    <dxf>
      <font>
        <color auto="1"/>
      </font>
      <fill>
        <patternFill>
          <bgColor rgb="FFC0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92D05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C0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92D05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C0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92D05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C0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92D05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C0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92D05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C0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92D05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C0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92D050"/>
        </patternFill>
      </fill>
    </dxf>
    <dxf>
      <font>
        <color auto="1"/>
      </font>
      <fill>
        <patternFill>
          <bgColor rgb="FF00B050"/>
        </patternFill>
      </fill>
    </dxf>
    <dxf>
      <font>
        <b/>
        <i val="0"/>
        <color theme="3"/>
      </font>
      <fill>
        <patternFill>
          <bgColor theme="9" tint="0.59996337778862885"/>
        </patternFill>
      </fill>
    </dxf>
    <dxf>
      <font>
        <b val="0"/>
        <i/>
      </font>
      <fill>
        <patternFill>
          <bgColor rgb="FFFF0000"/>
        </patternFill>
      </fill>
      <border>
        <left/>
        <right/>
        <top/>
        <bottom/>
        <vertical/>
        <horizontal/>
      </border>
    </dxf>
    <dxf>
      <font>
        <b val="0"/>
        <i/>
      </font>
      <numFmt numFmtId="2" formatCode="0.00"/>
    </dxf>
    <dxf>
      <fill>
        <patternFill>
          <bgColor theme="1"/>
        </patternFill>
      </fill>
    </dxf>
    <dxf>
      <font>
        <b val="0"/>
        <i/>
      </font>
      <fill>
        <patternFill>
          <bgColor rgb="FFFF0000"/>
        </patternFill>
      </fill>
      <border>
        <left/>
        <right/>
        <top/>
        <bottom/>
        <vertical/>
        <horizontal/>
      </border>
    </dxf>
    <dxf>
      <font>
        <b val="0"/>
        <i/>
      </font>
      <numFmt numFmtId="2" formatCode="0.00"/>
    </dxf>
    <dxf>
      <fill>
        <patternFill>
          <bgColor theme="1"/>
        </patternFill>
      </fill>
    </dxf>
    <dxf>
      <font>
        <b val="0"/>
        <i/>
      </font>
      <fill>
        <patternFill>
          <bgColor rgb="FFFF0000"/>
        </patternFill>
      </fill>
      <border>
        <left/>
        <right/>
        <top/>
        <bottom/>
        <vertical/>
        <horizontal/>
      </border>
    </dxf>
    <dxf>
      <font>
        <b val="0"/>
        <i/>
      </font>
      <numFmt numFmtId="2" formatCode="0.00"/>
    </dxf>
    <dxf>
      <fill>
        <patternFill>
          <bgColor theme="1"/>
        </patternFill>
      </fill>
    </dxf>
    <dxf>
      <font>
        <b val="0"/>
        <i/>
      </font>
      <fill>
        <patternFill>
          <bgColor rgb="FFFF0000"/>
        </patternFill>
      </fill>
      <border>
        <left/>
        <right/>
        <top/>
        <bottom/>
        <vertical/>
        <horizontal/>
      </border>
    </dxf>
    <dxf>
      <font>
        <b val="0"/>
        <i/>
      </font>
      <numFmt numFmtId="2" formatCode="0.00"/>
    </dxf>
    <dxf>
      <fill>
        <patternFill>
          <bgColor theme="1"/>
        </patternFill>
      </fill>
    </dxf>
    <dxf>
      <font>
        <b val="0"/>
        <i/>
      </font>
      <fill>
        <patternFill>
          <bgColor rgb="FFFF0000"/>
        </patternFill>
      </fill>
      <border>
        <left/>
        <right/>
        <top/>
        <bottom/>
        <vertical/>
        <horizontal/>
      </border>
    </dxf>
    <dxf>
      <font>
        <b val="0"/>
        <i/>
      </font>
      <numFmt numFmtId="2" formatCode="0.00"/>
    </dxf>
    <dxf>
      <fill>
        <patternFill>
          <bgColor theme="1"/>
        </patternFill>
      </fill>
    </dxf>
    <dxf>
      <font>
        <b val="0"/>
        <i/>
      </font>
      <fill>
        <patternFill>
          <bgColor rgb="FFFF0000"/>
        </patternFill>
      </fill>
      <border>
        <left/>
        <right/>
        <top/>
        <bottom/>
        <vertical/>
        <horizontal/>
      </border>
    </dxf>
    <dxf>
      <font>
        <b val="0"/>
        <i/>
      </font>
      <numFmt numFmtId="2" formatCode="0.00"/>
    </dxf>
    <dxf>
      <fill>
        <patternFill>
          <bgColor theme="1"/>
        </patternFill>
      </fill>
    </dxf>
    <dxf>
      <font>
        <color auto="1"/>
      </font>
      <fill>
        <patternFill>
          <bgColor rgb="FFC0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92D05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C0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92D05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C0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92D05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C0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92D05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C0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92D05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C0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92D05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C0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92D050"/>
        </patternFill>
      </fill>
    </dxf>
    <dxf>
      <font>
        <color auto="1"/>
      </font>
      <fill>
        <patternFill>
          <bgColor rgb="FF00B050"/>
        </patternFill>
      </fill>
    </dxf>
    <dxf>
      <font>
        <b/>
        <i val="0"/>
        <color theme="3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C0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92D05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C0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92D05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C0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92D05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C0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92D05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C0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92D05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C0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92D050"/>
        </patternFill>
      </fill>
    </dxf>
    <dxf>
      <font>
        <color auto="1"/>
      </font>
      <fill>
        <patternFill>
          <bgColor rgb="FF00B050"/>
        </patternFill>
      </fill>
    </dxf>
    <dxf>
      <font>
        <b/>
        <i val="0"/>
        <color theme="3"/>
      </font>
      <fill>
        <patternFill>
          <bgColor theme="9" tint="0.59996337778862885"/>
        </patternFill>
      </fill>
    </dxf>
    <dxf>
      <font>
        <b val="0"/>
        <i/>
      </font>
      <fill>
        <patternFill>
          <bgColor rgb="FFFF0000"/>
        </patternFill>
      </fill>
      <border>
        <left/>
        <right/>
        <top/>
        <bottom/>
        <vertical/>
        <horizontal/>
      </border>
    </dxf>
    <dxf>
      <font>
        <b val="0"/>
        <i/>
      </font>
      <numFmt numFmtId="2" formatCode="0.00"/>
    </dxf>
    <dxf>
      <fill>
        <patternFill>
          <bgColor theme="1"/>
        </patternFill>
      </fill>
    </dxf>
    <dxf>
      <font>
        <b val="0"/>
        <i/>
      </font>
      <fill>
        <patternFill>
          <bgColor rgb="FFFF0000"/>
        </patternFill>
      </fill>
      <border>
        <left/>
        <right/>
        <top/>
        <bottom/>
        <vertical/>
        <horizontal/>
      </border>
    </dxf>
    <dxf>
      <font>
        <b val="0"/>
        <i/>
      </font>
      <numFmt numFmtId="2" formatCode="0.00"/>
    </dxf>
    <dxf>
      <fill>
        <patternFill>
          <bgColor theme="1"/>
        </patternFill>
      </fill>
    </dxf>
    <dxf>
      <font>
        <b val="0"/>
        <i/>
      </font>
      <fill>
        <patternFill>
          <bgColor rgb="FFFF0000"/>
        </patternFill>
      </fill>
      <border>
        <left/>
        <right/>
        <top/>
        <bottom/>
        <vertical/>
        <horizontal/>
      </border>
    </dxf>
    <dxf>
      <font>
        <b val="0"/>
        <i/>
      </font>
      <numFmt numFmtId="2" formatCode="0.00"/>
    </dxf>
    <dxf>
      <fill>
        <patternFill>
          <bgColor theme="1"/>
        </patternFill>
      </fill>
    </dxf>
    <dxf>
      <font>
        <b val="0"/>
        <i/>
      </font>
      <fill>
        <patternFill>
          <bgColor rgb="FFFF0000"/>
        </patternFill>
      </fill>
      <border>
        <left/>
        <right/>
        <top/>
        <bottom/>
        <vertical/>
        <horizontal/>
      </border>
    </dxf>
    <dxf>
      <font>
        <b val="0"/>
        <i/>
      </font>
      <numFmt numFmtId="2" formatCode="0.00"/>
    </dxf>
    <dxf>
      <fill>
        <patternFill>
          <bgColor theme="1"/>
        </patternFill>
      </fill>
    </dxf>
    <dxf>
      <font>
        <b val="0"/>
        <i/>
      </font>
      <fill>
        <patternFill>
          <bgColor rgb="FFFF0000"/>
        </patternFill>
      </fill>
      <border>
        <left/>
        <right/>
        <top/>
        <bottom/>
        <vertical/>
        <horizontal/>
      </border>
    </dxf>
    <dxf>
      <font>
        <b val="0"/>
        <i/>
      </font>
      <numFmt numFmtId="2" formatCode="0.00"/>
    </dxf>
    <dxf>
      <fill>
        <patternFill>
          <bgColor theme="1"/>
        </patternFill>
      </fill>
    </dxf>
    <dxf>
      <font>
        <b val="0"/>
        <i/>
      </font>
      <fill>
        <patternFill>
          <bgColor rgb="FFFF0000"/>
        </patternFill>
      </fill>
      <border>
        <left/>
        <right/>
        <top/>
        <bottom/>
        <vertical/>
        <horizontal/>
      </border>
    </dxf>
    <dxf>
      <font>
        <b val="0"/>
        <i/>
      </font>
      <numFmt numFmtId="2" formatCode="0.00"/>
    </dxf>
    <dxf>
      <fill>
        <patternFill>
          <bgColor theme="1"/>
        </patternFill>
      </fill>
    </dxf>
    <dxf>
      <font>
        <b val="0"/>
        <i/>
      </font>
      <fill>
        <patternFill>
          <bgColor rgb="FFFF0000"/>
        </patternFill>
      </fill>
      <border>
        <left/>
        <right/>
        <top/>
        <bottom/>
        <vertical/>
        <horizontal/>
      </border>
    </dxf>
    <dxf>
      <font>
        <b val="0"/>
        <i/>
      </font>
      <numFmt numFmtId="2" formatCode="0.00"/>
    </dxf>
    <dxf>
      <fill>
        <patternFill>
          <bgColor theme="1"/>
        </patternFill>
      </fill>
    </dxf>
    <dxf>
      <font>
        <b val="0"/>
        <i/>
      </font>
      <fill>
        <patternFill>
          <bgColor rgb="FFFF0000"/>
        </patternFill>
      </fill>
      <border>
        <left/>
        <right/>
        <top/>
        <bottom/>
        <vertical/>
        <horizontal/>
      </border>
    </dxf>
    <dxf>
      <font>
        <b val="0"/>
        <i/>
      </font>
      <numFmt numFmtId="2" formatCode="0.00"/>
    </dxf>
    <dxf>
      <fill>
        <patternFill>
          <bgColor theme="1"/>
        </patternFill>
      </fill>
    </dxf>
    <dxf>
      <font>
        <color auto="1"/>
      </font>
      <fill>
        <patternFill>
          <bgColor rgb="FFC0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92D05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C0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92D05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C0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92D05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C0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92D05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C0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92D05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C0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92D050"/>
        </patternFill>
      </fill>
    </dxf>
    <dxf>
      <font>
        <color auto="1"/>
      </font>
      <fill>
        <patternFill>
          <bgColor rgb="FF00B050"/>
        </patternFill>
      </fill>
    </dxf>
    <dxf>
      <font>
        <b/>
        <i val="0"/>
        <color theme="3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0" tint="-0.499984740745262"/>
        </patternFill>
      </fill>
    </dxf>
    <dxf>
      <font>
        <color theme="0"/>
      </font>
      <fill>
        <patternFill>
          <bgColor theme="1"/>
        </patternFill>
      </fill>
    </dxf>
    <dxf>
      <font>
        <color auto="1"/>
      </font>
      <fill>
        <patternFill>
          <bgColor theme="0" tint="-0.2499465926084170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4.9989318521683403E-2"/>
        </patternFill>
      </fill>
    </dxf>
    <dxf>
      <font>
        <color auto="1"/>
      </font>
      <fill>
        <patternFill>
          <bgColor theme="0"/>
        </patternFill>
      </fill>
    </dxf>
    <dxf>
      <font>
        <b val="0"/>
        <i/>
      </font>
      <fill>
        <patternFill>
          <bgColor rgb="FFFF0000"/>
        </patternFill>
      </fill>
      <border>
        <left/>
        <right/>
        <top/>
        <bottom/>
        <vertical/>
        <horizontal/>
      </border>
    </dxf>
    <dxf>
      <font>
        <b val="0"/>
        <i/>
      </font>
      <numFmt numFmtId="2" formatCode="0.00"/>
    </dxf>
    <dxf>
      <fill>
        <patternFill>
          <bgColor theme="1"/>
        </patternFill>
      </fill>
    </dxf>
    <dxf>
      <font>
        <b val="0"/>
        <i/>
      </font>
      <fill>
        <patternFill>
          <bgColor rgb="FFFF0000"/>
        </patternFill>
      </fill>
      <border>
        <left/>
        <right/>
        <top/>
        <bottom/>
        <vertical/>
        <horizontal/>
      </border>
    </dxf>
    <dxf>
      <font>
        <b val="0"/>
        <i/>
      </font>
      <numFmt numFmtId="2" formatCode="0.00"/>
    </dxf>
    <dxf>
      <fill>
        <patternFill>
          <bgColor theme="1"/>
        </patternFill>
      </fill>
    </dxf>
    <dxf>
      <font>
        <color auto="1"/>
      </font>
      <fill>
        <patternFill>
          <bgColor theme="0" tint="-0.499984740745262"/>
        </patternFill>
      </fill>
    </dxf>
    <dxf>
      <font>
        <color theme="0"/>
      </font>
      <fill>
        <patternFill>
          <bgColor theme="1"/>
        </patternFill>
      </fill>
    </dxf>
    <dxf>
      <font>
        <color auto="1"/>
      </font>
      <fill>
        <patternFill>
          <bgColor theme="0" tint="-0.2499465926084170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4.9989318521683403E-2"/>
        </patternFill>
      </fill>
    </dxf>
    <dxf>
      <font>
        <color auto="1"/>
      </font>
      <fill>
        <patternFill>
          <bgColor theme="0"/>
        </patternFill>
      </fill>
    </dxf>
  </dxfs>
  <tableStyles count="0" defaultTableStyle="TableStyleMedium9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466725</xdr:colOff>
      <xdr:row>21</xdr:row>
      <xdr:rowOff>47625</xdr:rowOff>
    </xdr:from>
    <xdr:to>
      <xdr:col>8</xdr:col>
      <xdr:colOff>619125</xdr:colOff>
      <xdr:row>21</xdr:row>
      <xdr:rowOff>171450</xdr:rowOff>
    </xdr:to>
    <xdr:sp macro="" textlink="">
      <xdr:nvSpPr>
        <xdr:cNvPr id="2" name="Rectangle 1"/>
        <xdr:cNvSpPr/>
      </xdr:nvSpPr>
      <xdr:spPr>
        <a:xfrm>
          <a:off x="3381375" y="4305300"/>
          <a:ext cx="152400" cy="123825"/>
        </a:xfrm>
        <a:prstGeom prst="rect">
          <a:avLst/>
        </a:prstGeom>
        <a:solidFill>
          <a:schemeClr val="accent6">
            <a:lumMod val="60000"/>
            <a:lumOff val="4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466725</xdr:colOff>
      <xdr:row>21</xdr:row>
      <xdr:rowOff>47625</xdr:rowOff>
    </xdr:from>
    <xdr:to>
      <xdr:col>8</xdr:col>
      <xdr:colOff>619125</xdr:colOff>
      <xdr:row>21</xdr:row>
      <xdr:rowOff>171450</xdr:rowOff>
    </xdr:to>
    <xdr:sp macro="" textlink="">
      <xdr:nvSpPr>
        <xdr:cNvPr id="2" name="Rectangle 1"/>
        <xdr:cNvSpPr/>
      </xdr:nvSpPr>
      <xdr:spPr>
        <a:xfrm>
          <a:off x="3067050" y="4600575"/>
          <a:ext cx="152400" cy="123825"/>
        </a:xfrm>
        <a:prstGeom prst="rect">
          <a:avLst/>
        </a:prstGeom>
        <a:solidFill>
          <a:schemeClr val="accent6">
            <a:lumMod val="60000"/>
            <a:lumOff val="4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9525</xdr:colOff>
      <xdr:row>22</xdr:row>
      <xdr:rowOff>47625</xdr:rowOff>
    </xdr:from>
    <xdr:to>
      <xdr:col>8</xdr:col>
      <xdr:colOff>161925</xdr:colOff>
      <xdr:row>22</xdr:row>
      <xdr:rowOff>171450</xdr:rowOff>
    </xdr:to>
    <xdr:sp macro="" textlink="">
      <xdr:nvSpPr>
        <xdr:cNvPr id="2" name="Rectangle 1"/>
        <xdr:cNvSpPr/>
      </xdr:nvSpPr>
      <xdr:spPr>
        <a:xfrm>
          <a:off x="4886325" y="4238625"/>
          <a:ext cx="152400" cy="123825"/>
        </a:xfrm>
        <a:prstGeom prst="rect">
          <a:avLst/>
        </a:prstGeom>
        <a:solidFill>
          <a:schemeClr val="accent6">
            <a:lumMod val="60000"/>
            <a:lumOff val="4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9525</xdr:colOff>
      <xdr:row>22</xdr:row>
      <xdr:rowOff>47625</xdr:rowOff>
    </xdr:from>
    <xdr:to>
      <xdr:col>8</xdr:col>
      <xdr:colOff>161925</xdr:colOff>
      <xdr:row>22</xdr:row>
      <xdr:rowOff>171450</xdr:rowOff>
    </xdr:to>
    <xdr:sp macro="" textlink="">
      <xdr:nvSpPr>
        <xdr:cNvPr id="2" name="Rectangle 1"/>
        <xdr:cNvSpPr/>
      </xdr:nvSpPr>
      <xdr:spPr>
        <a:xfrm>
          <a:off x="3095625" y="4867275"/>
          <a:ext cx="152400" cy="123825"/>
        </a:xfrm>
        <a:prstGeom prst="rect">
          <a:avLst/>
        </a:prstGeom>
        <a:solidFill>
          <a:schemeClr val="accent6">
            <a:lumMod val="60000"/>
            <a:lumOff val="4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31"/>
  <sheetViews>
    <sheetView topLeftCell="A4" zoomScaleNormal="100" workbookViewId="0">
      <selection activeCell="G26" sqref="G26"/>
    </sheetView>
  </sheetViews>
  <sheetFormatPr defaultRowHeight="15" x14ac:dyDescent="0.25"/>
  <cols>
    <col min="4" max="4" width="61.28515625" customWidth="1"/>
    <col min="5" max="5" width="14.28515625" customWidth="1"/>
    <col min="6" max="6" width="13.5703125" customWidth="1"/>
    <col min="7" max="7" width="9.28515625" bestFit="1" customWidth="1"/>
    <col min="9" max="9" width="9.85546875" customWidth="1"/>
    <col min="10" max="10" width="41" customWidth="1"/>
  </cols>
  <sheetData>
    <row r="1" spans="2:11" ht="15.75" thickBot="1" x14ac:dyDescent="0.3"/>
    <row r="2" spans="2:11" ht="18.75" x14ac:dyDescent="0.3">
      <c r="D2" s="452" t="s">
        <v>232</v>
      </c>
      <c r="E2" s="453"/>
      <c r="F2" s="453"/>
      <c r="G2" s="18"/>
      <c r="H2" s="19"/>
    </row>
    <row r="3" spans="2:11" ht="19.5" thickBot="1" x14ac:dyDescent="0.35">
      <c r="D3" s="454" t="s">
        <v>233</v>
      </c>
      <c r="E3" s="455"/>
      <c r="F3" s="455"/>
      <c r="G3" s="23"/>
      <c r="H3" s="24"/>
    </row>
    <row r="5" spans="2:11" ht="21" x14ac:dyDescent="0.35">
      <c r="D5" s="355" t="s">
        <v>219</v>
      </c>
      <c r="E5" s="187"/>
      <c r="F5" s="187"/>
      <c r="G5" s="187"/>
      <c r="H5" s="187"/>
      <c r="I5" s="188"/>
      <c r="J5" s="189"/>
    </row>
    <row r="6" spans="2:11" ht="19.5" thickBot="1" x14ac:dyDescent="0.35">
      <c r="D6" s="356" t="s">
        <v>240</v>
      </c>
      <c r="E6" s="185"/>
      <c r="F6" s="185"/>
      <c r="G6" s="369" t="s">
        <v>53</v>
      </c>
      <c r="H6" s="370">
        <f>IF(G6="APP",1,0)</f>
        <v>1</v>
      </c>
      <c r="I6" s="367"/>
      <c r="J6" s="368"/>
    </row>
    <row r="7" spans="2:11" ht="19.5" thickBot="1" x14ac:dyDescent="0.35">
      <c r="D7" s="434" t="s">
        <v>230</v>
      </c>
      <c r="E7" s="361"/>
      <c r="F7" s="361"/>
      <c r="G7" s="213"/>
      <c r="H7" s="463" t="s">
        <v>228</v>
      </c>
      <c r="I7" s="464"/>
      <c r="J7" s="465"/>
    </row>
    <row r="8" spans="2:11" ht="30.75" customHeight="1" thickTop="1" x14ac:dyDescent="0.3">
      <c r="B8" s="519" t="s">
        <v>235</v>
      </c>
      <c r="C8" s="468">
        <v>1</v>
      </c>
      <c r="D8" s="164" t="s">
        <v>239</v>
      </c>
      <c r="E8" s="165"/>
      <c r="F8" s="166"/>
      <c r="G8" s="462">
        <f>MAIN!E16</f>
        <v>1</v>
      </c>
      <c r="H8" s="495" t="str">
        <f>IF(G9="Y","BASE CASE ASSUMES NO EXCLUSIVE RIGHT TURN POCKET"," ")</f>
        <v>BASE CASE ASSUMES NO EXCLUSIVE RIGHT TURN POCKET</v>
      </c>
      <c r="I8" s="363"/>
      <c r="J8" s="364"/>
    </row>
    <row r="9" spans="2:11" ht="24" customHeight="1" thickBot="1" x14ac:dyDescent="0.35">
      <c r="B9" s="520"/>
      <c r="C9" s="470">
        <v>2</v>
      </c>
      <c r="D9" s="168" t="s">
        <v>220</v>
      </c>
      <c r="E9" s="148"/>
      <c r="F9" s="169"/>
      <c r="G9" s="483" t="s">
        <v>242</v>
      </c>
      <c r="H9" s="365"/>
      <c r="I9" s="362"/>
      <c r="J9" s="359"/>
      <c r="K9" s="103">
        <f>IF(G9="Y",1,0)</f>
        <v>1</v>
      </c>
    </row>
    <row r="10" spans="2:11" ht="23.25" customHeight="1" thickTop="1" x14ac:dyDescent="0.3">
      <c r="B10" s="521" t="s">
        <v>236</v>
      </c>
      <c r="C10" s="468">
        <v>3</v>
      </c>
      <c r="D10" s="164" t="s">
        <v>237</v>
      </c>
      <c r="E10" s="289"/>
      <c r="F10" s="288" t="str">
        <f>IF(G9="N",IF(G10="Y","SET TO 'N' =&gt;"," ")," ")</f>
        <v xml:space="preserve"> </v>
      </c>
      <c r="G10" s="462" t="str">
        <f>IF(G8=1,IF(MAIN!E14="1B","N","Y"),IF(MAIN!E14="2B","N","Y"))</f>
        <v>Y</v>
      </c>
      <c r="H10" s="380"/>
      <c r="I10" s="381"/>
      <c r="J10" s="382"/>
      <c r="K10" s="103">
        <f>IF(G10="Y",1,0)</f>
        <v>1</v>
      </c>
    </row>
    <row r="11" spans="2:11" ht="17.25" customHeight="1" thickBot="1" x14ac:dyDescent="0.35">
      <c r="B11" s="522"/>
      <c r="C11" s="469">
        <v>4</v>
      </c>
      <c r="D11" s="379" t="s">
        <v>238</v>
      </c>
      <c r="E11" s="178" t="str">
        <f>IF(G9="N", " ", IF(G10="N",IF(G11="Y","SET TO 'N' =&gt;"," ")," "))</f>
        <v xml:space="preserve"> </v>
      </c>
      <c r="F11" s="383" t="str">
        <f>IF(G9="N",IF(G11="N","SET TO 'Y' =&gt;"," "), " ")</f>
        <v xml:space="preserve"> </v>
      </c>
      <c r="G11" s="484" t="str">
        <f>IF(G8=1,IF(MAIN!E14="1A","Y","N"),IF(MAIN!E14="2A","Y","N"))</f>
        <v>N</v>
      </c>
      <c r="H11" s="366"/>
      <c r="I11" s="357"/>
      <c r="J11" s="360"/>
      <c r="K11" s="103">
        <f>IF(G11="Y",1,0)</f>
        <v>0</v>
      </c>
    </row>
    <row r="12" spans="2:11" ht="18.75" x14ac:dyDescent="0.3">
      <c r="B12" s="522"/>
      <c r="C12" s="470">
        <v>5</v>
      </c>
      <c r="D12" s="168" t="s">
        <v>50</v>
      </c>
      <c r="E12" s="145"/>
      <c r="F12" s="207"/>
      <c r="G12" s="466">
        <f>MAIN!E25</f>
        <v>425</v>
      </c>
      <c r="H12" s="146" t="s">
        <v>14</v>
      </c>
      <c r="I12" s="147"/>
      <c r="J12" s="170"/>
      <c r="K12" s="103">
        <f>K10+K11</f>
        <v>1</v>
      </c>
    </row>
    <row r="13" spans="2:11" ht="18.75" x14ac:dyDescent="0.3">
      <c r="B13" s="522"/>
      <c r="C13" s="470">
        <v>6</v>
      </c>
      <c r="D13" s="207" t="s">
        <v>224</v>
      </c>
      <c r="E13" s="145"/>
      <c r="F13" s="207"/>
      <c r="G13" s="466">
        <f>MAIN!E26</f>
        <v>1800</v>
      </c>
      <c r="H13" s="148" t="s">
        <v>14</v>
      </c>
      <c r="I13" s="148"/>
      <c r="J13" s="169"/>
    </row>
    <row r="14" spans="2:11" ht="18.75" x14ac:dyDescent="0.3">
      <c r="B14" s="522"/>
      <c r="C14" s="470">
        <v>7</v>
      </c>
      <c r="D14" s="168" t="s">
        <v>80</v>
      </c>
      <c r="E14" s="145"/>
      <c r="F14" s="207" t="str">
        <f>IF(G9="N",IF(G14=0, " ","SET TO 0 =&gt;")," ")</f>
        <v xml:space="preserve"> </v>
      </c>
      <c r="G14" s="466">
        <f>MAIN!E27</f>
        <v>75</v>
      </c>
      <c r="H14" s="148" t="s">
        <v>14</v>
      </c>
      <c r="I14" s="168"/>
      <c r="J14" s="169"/>
    </row>
    <row r="15" spans="2:11" ht="18.75" x14ac:dyDescent="0.3">
      <c r="B15" s="522"/>
      <c r="C15" s="470">
        <v>8</v>
      </c>
      <c r="D15" s="168" t="s">
        <v>222</v>
      </c>
      <c r="E15" s="145"/>
      <c r="F15" s="207" t="str">
        <f>IF(G9="N",IF(G15=0, " ","SET TO 0 =&gt;")," ")</f>
        <v xml:space="preserve"> </v>
      </c>
      <c r="G15" s="466">
        <f>MAIN!E28</f>
        <v>1550</v>
      </c>
      <c r="H15" s="148" t="s">
        <v>14</v>
      </c>
      <c r="I15" s="148" t="s">
        <v>246</v>
      </c>
      <c r="J15" s="496">
        <f>IF(G9="N",0,IF(G8=1,G13*0.85,G13*0.85/2))</f>
        <v>1530</v>
      </c>
    </row>
    <row r="16" spans="2:11" ht="18.75" x14ac:dyDescent="0.3">
      <c r="B16" s="522"/>
      <c r="C16" s="470">
        <v>9</v>
      </c>
      <c r="D16" s="168" t="s">
        <v>103</v>
      </c>
      <c r="E16" s="145"/>
      <c r="F16" s="145"/>
      <c r="G16" s="466">
        <f>MAIN!E29</f>
        <v>35</v>
      </c>
      <c r="H16" s="148" t="s">
        <v>107</v>
      </c>
      <c r="I16" s="168"/>
      <c r="J16" s="358"/>
    </row>
    <row r="17" spans="2:15" ht="18.75" x14ac:dyDescent="0.3">
      <c r="B17" s="522"/>
      <c r="C17" s="470">
        <v>10</v>
      </c>
      <c r="D17" s="168" t="s">
        <v>51</v>
      </c>
      <c r="E17" s="145"/>
      <c r="F17" s="145"/>
      <c r="G17" s="466">
        <f>MAIN!E19</f>
        <v>25</v>
      </c>
      <c r="H17" s="148" t="s">
        <v>15</v>
      </c>
      <c r="I17" s="148"/>
      <c r="J17" s="169"/>
    </row>
    <row r="18" spans="2:15" ht="19.5" thickBot="1" x14ac:dyDescent="0.35">
      <c r="B18" s="522"/>
      <c r="C18" s="470">
        <v>11</v>
      </c>
      <c r="D18" s="168" t="s">
        <v>111</v>
      </c>
      <c r="E18" s="145"/>
      <c r="F18" s="145"/>
      <c r="G18" s="466">
        <f>MAIN!E20</f>
        <v>110</v>
      </c>
      <c r="H18" s="148" t="s">
        <v>15</v>
      </c>
      <c r="I18" s="384" t="s">
        <v>104</v>
      </c>
      <c r="J18" s="169"/>
    </row>
    <row r="19" spans="2:15" ht="18.75" x14ac:dyDescent="0.3">
      <c r="B19" s="522"/>
      <c r="C19" s="468">
        <v>12</v>
      </c>
      <c r="D19" s="164" t="s">
        <v>43</v>
      </c>
      <c r="E19" s="269"/>
      <c r="F19" s="269"/>
      <c r="G19" s="467">
        <f>MAIN!E30</f>
        <v>25</v>
      </c>
      <c r="H19" s="165" t="s">
        <v>16</v>
      </c>
      <c r="I19" s="385">
        <v>20</v>
      </c>
      <c r="J19" s="169"/>
    </row>
    <row r="20" spans="2:15" ht="18.75" x14ac:dyDescent="0.3">
      <c r="B20" s="522"/>
      <c r="C20" s="470">
        <v>13</v>
      </c>
      <c r="D20" s="168" t="s">
        <v>105</v>
      </c>
      <c r="E20" s="145"/>
      <c r="F20" s="145"/>
      <c r="G20" s="466">
        <f>MAIN!E31</f>
        <v>10</v>
      </c>
      <c r="H20" s="148" t="s">
        <v>106</v>
      </c>
      <c r="I20" s="386">
        <v>10</v>
      </c>
      <c r="J20" s="169"/>
    </row>
    <row r="21" spans="2:15" ht="18.75" x14ac:dyDescent="0.3">
      <c r="B21" s="522"/>
      <c r="C21" s="470">
        <v>14</v>
      </c>
      <c r="D21" s="168" t="s">
        <v>121</v>
      </c>
      <c r="E21" s="145"/>
      <c r="F21" s="145"/>
      <c r="G21" s="466">
        <f>MAIN!E32</f>
        <v>110</v>
      </c>
      <c r="H21" s="148" t="s">
        <v>16</v>
      </c>
      <c r="I21" s="386">
        <v>40</v>
      </c>
      <c r="J21" s="169"/>
    </row>
    <row r="22" spans="2:15" ht="18.75" x14ac:dyDescent="0.3">
      <c r="B22" s="522"/>
      <c r="C22" s="470">
        <v>15</v>
      </c>
      <c r="D22" s="168" t="s">
        <v>108</v>
      </c>
      <c r="E22" s="145"/>
      <c r="F22" s="145"/>
      <c r="G22" s="466">
        <f>MAIN!E33</f>
        <v>6</v>
      </c>
      <c r="H22" s="148" t="s">
        <v>15</v>
      </c>
      <c r="I22" s="386">
        <v>6</v>
      </c>
      <c r="J22" s="169"/>
    </row>
    <row r="23" spans="2:15" ht="18.75" x14ac:dyDescent="0.3">
      <c r="B23" s="522"/>
      <c r="C23" s="470">
        <v>16</v>
      </c>
      <c r="D23" s="168" t="s">
        <v>109</v>
      </c>
      <c r="E23" s="145"/>
      <c r="F23" s="145"/>
      <c r="G23" s="466">
        <f>MAIN!E34</f>
        <v>1</v>
      </c>
      <c r="H23" s="148" t="s">
        <v>15</v>
      </c>
      <c r="I23" s="386">
        <v>1</v>
      </c>
      <c r="J23" s="169"/>
    </row>
    <row r="24" spans="2:15" ht="19.5" thickBot="1" x14ac:dyDescent="0.35">
      <c r="B24" s="523"/>
      <c r="C24" s="469">
        <v>17</v>
      </c>
      <c r="D24" s="168" t="s">
        <v>227</v>
      </c>
      <c r="E24" s="145"/>
      <c r="F24" s="145"/>
      <c r="G24" s="466">
        <f>MAIN!E35</f>
        <v>0.85</v>
      </c>
      <c r="H24" s="148"/>
      <c r="I24" s="386">
        <v>0.9</v>
      </c>
      <c r="J24" s="169"/>
    </row>
    <row r="25" spans="2:15" ht="20.25" thickTop="1" thickBot="1" x14ac:dyDescent="0.35">
      <c r="D25" s="424" t="s">
        <v>244</v>
      </c>
      <c r="E25" s="425"/>
      <c r="F25" s="425"/>
      <c r="G25" s="432" t="str">
        <f>IF(G8=1,"1A","2A")</f>
        <v>1A</v>
      </c>
      <c r="H25" s="426"/>
      <c r="I25" s="426"/>
      <c r="J25" s="427" t="str">
        <f>IF(G8=1,IF(G9="N","1 THROUGH LANE","SINGLE SHARED LANE"),IF(G9="N","2 THROUGH LANES","THROUGH LANE + SHARED LANE"))</f>
        <v>SINGLE SHARED LANE</v>
      </c>
    </row>
    <row r="26" spans="2:15" ht="19.5" thickBot="1" x14ac:dyDescent="0.35">
      <c r="D26" s="428" t="s">
        <v>229</v>
      </c>
      <c r="E26" s="429"/>
      <c r="F26" s="429"/>
      <c r="G26" s="433" t="str">
        <f>IF(G8=1,(IF(G9="N","1C",IF(K12=0,"1C",IF(K12=2,"1D","1B")))),IF(G9="N","2C",(IF(K12=0,"2C",IF(K12=2,"2D","2B")))))</f>
        <v>1B</v>
      </c>
      <c r="H26" s="430"/>
      <c r="I26" s="430"/>
      <c r="J26" s="431" t="str">
        <f>IF(G9="N",IF(G8=1,"1-CTL + ATL (NO RIGHT TURNS)","2-CTL + ATL (NO RIGHT TURNS)"),IF(G26="1B",("1-CTL + RT LANE"),IF(G26="1C",("1-CTL + SHARED ATL"),IF(G26="1D",("1-CTL + ATL + RT LANE"),IF(G26="2B",("2-CTL + RT LANE"),IF(G26="2C",("2-CTL + SHARED ATL"),"2-CTL + ATL + RT LANE"))))))</f>
        <v>1-CTL + RT LANE</v>
      </c>
      <c r="L26" s="227"/>
      <c r="M26" s="227"/>
      <c r="N26" s="227"/>
      <c r="O26" s="227"/>
    </row>
    <row r="30" spans="2:15" x14ac:dyDescent="0.25">
      <c r="D30" s="456" t="s">
        <v>243</v>
      </c>
    </row>
    <row r="31" spans="2:15" ht="18.75" x14ac:dyDescent="0.3">
      <c r="L31" s="388"/>
    </row>
  </sheetData>
  <mergeCells count="2">
    <mergeCell ref="B8:B9"/>
    <mergeCell ref="B10:B24"/>
  </mergeCells>
  <pageMargins left="0.7" right="0.7" top="0.75" bottom="0.75" header="0.3" footer="0.3"/>
  <pageSetup scale="6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2"/>
  <sheetViews>
    <sheetView workbookViewId="0">
      <selection activeCell="O15" sqref="O15"/>
    </sheetView>
  </sheetViews>
  <sheetFormatPr defaultRowHeight="15" x14ac:dyDescent="0.25"/>
  <cols>
    <col min="1" max="1" width="6.42578125" customWidth="1"/>
    <col min="4" max="4" width="22.28515625" customWidth="1"/>
    <col min="6" max="6" width="10" customWidth="1"/>
    <col min="8" max="8" width="15.7109375" customWidth="1"/>
    <col min="10" max="10" width="11.5703125" customWidth="1"/>
    <col min="11" max="11" width="14.5703125" customWidth="1"/>
    <col min="15" max="15" width="15.7109375" customWidth="1"/>
  </cols>
  <sheetData>
    <row r="1" spans="1:20" ht="15.75" thickBot="1" x14ac:dyDescent="0.3"/>
    <row r="2" spans="1:20" ht="19.5" thickBot="1" x14ac:dyDescent="0.35">
      <c r="A2" s="39" t="s">
        <v>56</v>
      </c>
      <c r="B2" s="43" t="s">
        <v>55</v>
      </c>
      <c r="C2" s="2"/>
      <c r="D2" s="2"/>
      <c r="E2" s="2"/>
      <c r="F2" s="2"/>
      <c r="I2" s="25"/>
      <c r="J2" s="41" t="s">
        <v>45</v>
      </c>
      <c r="K2" s="41"/>
      <c r="L2" s="41"/>
      <c r="M2" s="41"/>
      <c r="N2" s="41"/>
      <c r="O2" s="41"/>
      <c r="P2" s="41"/>
      <c r="Q2" s="27"/>
    </row>
    <row r="3" spans="1:20" ht="15.75" thickBot="1" x14ac:dyDescent="0.3">
      <c r="G3" s="2"/>
      <c r="I3" s="17"/>
      <c r="J3" s="18"/>
      <c r="K3" s="18"/>
      <c r="L3" s="18"/>
      <c r="M3" s="18"/>
      <c r="N3" s="18"/>
      <c r="O3" s="18"/>
      <c r="P3" s="18"/>
      <c r="Q3" s="19"/>
    </row>
    <row r="4" spans="1:20" ht="18.75" x14ac:dyDescent="0.3">
      <c r="B4" s="122" t="s">
        <v>54</v>
      </c>
      <c r="C4" s="123"/>
      <c r="D4" s="123"/>
      <c r="E4" s="121" t="s">
        <v>49</v>
      </c>
      <c r="F4" s="37">
        <f>IF(E4="APP",1,0)</f>
        <v>0</v>
      </c>
      <c r="G4" s="2"/>
      <c r="I4" s="20"/>
      <c r="J4" s="8"/>
      <c r="K4" s="8"/>
      <c r="L4" s="8"/>
      <c r="M4" s="8"/>
      <c r="N4" s="8"/>
      <c r="O4" s="8"/>
      <c r="P4" s="8"/>
      <c r="Q4" s="21"/>
    </row>
    <row r="5" spans="1:20" ht="18.75" x14ac:dyDescent="0.3">
      <c r="B5" s="33" t="s">
        <v>50</v>
      </c>
      <c r="C5" s="32"/>
      <c r="D5" s="32"/>
      <c r="E5" s="72">
        <f>'BASELINE-APP'!E9</f>
        <v>425</v>
      </c>
      <c r="F5" s="31" t="s">
        <v>14</v>
      </c>
      <c r="G5" s="2"/>
      <c r="I5" s="36" t="s">
        <v>48</v>
      </c>
      <c r="J5" s="30"/>
      <c r="K5" s="30"/>
      <c r="L5" s="8">
        <f>ROUND((E5+E6)/(E5/E7+E6/E8)/10,0)*10</f>
        <v>1760</v>
      </c>
      <c r="M5" s="8" t="s">
        <v>14</v>
      </c>
      <c r="N5" s="8" t="s">
        <v>63</v>
      </c>
      <c r="O5" s="8"/>
      <c r="P5" s="8"/>
      <c r="Q5" s="21"/>
    </row>
    <row r="6" spans="1:20" ht="18.75" x14ac:dyDescent="0.3">
      <c r="B6" s="33" t="s">
        <v>29</v>
      </c>
      <c r="C6" s="32"/>
      <c r="D6" s="32"/>
      <c r="E6" s="72">
        <f>'BASELINE-APP'!E10</f>
        <v>75</v>
      </c>
      <c r="F6" s="21" t="s">
        <v>14</v>
      </c>
      <c r="G6" s="2"/>
      <c r="I6" s="36" t="s">
        <v>46</v>
      </c>
      <c r="J6" s="30"/>
      <c r="K6" s="30"/>
      <c r="L6" s="8">
        <f>E5/(E7*I19)</f>
        <v>1.038888888888889</v>
      </c>
      <c r="M6" s="8"/>
      <c r="N6" s="8" t="s">
        <v>57</v>
      </c>
      <c r="O6" s="8"/>
      <c r="P6" s="8"/>
      <c r="Q6" s="21"/>
    </row>
    <row r="7" spans="1:20" ht="18.75" x14ac:dyDescent="0.3">
      <c r="B7" s="33" t="s">
        <v>28</v>
      </c>
      <c r="C7" s="32"/>
      <c r="D7" s="32"/>
      <c r="E7" s="72">
        <f>'BASELINE-APP'!E12</f>
        <v>1800</v>
      </c>
      <c r="F7" s="21" t="s">
        <v>14</v>
      </c>
      <c r="I7" s="36" t="s">
        <v>58</v>
      </c>
      <c r="J7" s="30"/>
      <c r="K7" s="30"/>
      <c r="L7" s="8">
        <f>ROUND(20.226+81.791*L6^2+1.65*E5^2/10000,0)</f>
        <v>138</v>
      </c>
      <c r="M7" s="8" t="s">
        <v>14</v>
      </c>
      <c r="N7" s="8"/>
      <c r="O7" s="8"/>
      <c r="P7" s="8"/>
      <c r="Q7" s="21"/>
    </row>
    <row r="8" spans="1:20" ht="18.75" x14ac:dyDescent="0.3">
      <c r="B8" s="33" t="s">
        <v>30</v>
      </c>
      <c r="C8" s="32"/>
      <c r="D8" s="32"/>
      <c r="E8" s="72">
        <f>'BASELINE-APP'!E13</f>
        <v>1550</v>
      </c>
      <c r="F8" s="21" t="s">
        <v>14</v>
      </c>
      <c r="I8" s="36" t="s">
        <v>59</v>
      </c>
      <c r="J8" s="30"/>
      <c r="K8" s="30"/>
      <c r="L8" s="8">
        <f>ROUND(MAX(0,0.5*(E5-E6*E7/E8)),0)</f>
        <v>169</v>
      </c>
      <c r="M8" s="8" t="s">
        <v>14</v>
      </c>
      <c r="N8" s="8"/>
      <c r="O8" s="8"/>
      <c r="P8" s="8"/>
      <c r="Q8" s="21"/>
    </row>
    <row r="9" spans="1:20" ht="18.75" x14ac:dyDescent="0.3">
      <c r="B9" s="33" t="s">
        <v>51</v>
      </c>
      <c r="C9" s="32"/>
      <c r="D9" s="32"/>
      <c r="E9" s="72">
        <f>ATL!E10</f>
        <v>25</v>
      </c>
      <c r="F9" s="21" t="s">
        <v>15</v>
      </c>
      <c r="I9" s="36" t="s">
        <v>60</v>
      </c>
      <c r="J9" s="30"/>
      <c r="K9" s="30"/>
      <c r="L9" s="8">
        <f>'BASELINE-APP'!M10</f>
        <v>138</v>
      </c>
      <c r="M9" s="8" t="s">
        <v>14</v>
      </c>
      <c r="N9" s="8"/>
      <c r="O9" s="8"/>
      <c r="P9" s="8"/>
      <c r="Q9" s="21"/>
    </row>
    <row r="10" spans="1:20" ht="19.5" thickBot="1" x14ac:dyDescent="0.35">
      <c r="B10" s="33" t="s">
        <v>52</v>
      </c>
      <c r="C10" s="32"/>
      <c r="D10" s="32"/>
      <c r="E10" s="72">
        <f>'BASELINE-APP'!E15</f>
        <v>110</v>
      </c>
      <c r="F10" s="21" t="s">
        <v>15</v>
      </c>
      <c r="I10" s="36" t="s">
        <v>61</v>
      </c>
      <c r="J10" s="30"/>
      <c r="K10" s="30"/>
      <c r="L10" s="8">
        <f>ATL!L11</f>
        <v>425</v>
      </c>
      <c r="M10" s="28" t="s">
        <v>14</v>
      </c>
      <c r="N10" s="8"/>
      <c r="O10" s="8"/>
      <c r="P10" s="8"/>
      <c r="Q10" s="21"/>
      <c r="T10" s="64"/>
    </row>
    <row r="11" spans="1:20" ht="19.5" thickBot="1" x14ac:dyDescent="0.35">
      <c r="B11" s="34" t="s">
        <v>43</v>
      </c>
      <c r="C11" s="35"/>
      <c r="D11" s="35"/>
      <c r="E11" s="73">
        <f>'BASELINE-APP'!E17</f>
        <v>25</v>
      </c>
      <c r="F11" s="24" t="s">
        <v>16</v>
      </c>
      <c r="I11" s="36" t="s">
        <v>119</v>
      </c>
      <c r="J11" s="8"/>
      <c r="K11" s="8"/>
      <c r="L11" s="8">
        <f>EXP(-'BASELINE-APP'!E20/(3600/CTL!L10))</f>
        <v>0.49246428767540973</v>
      </c>
      <c r="M11" s="8"/>
      <c r="N11" s="8"/>
      <c r="O11" s="220" t="s">
        <v>142</v>
      </c>
      <c r="P11" s="8"/>
      <c r="Q11" s="21"/>
    </row>
    <row r="12" spans="1:20" ht="15.75" thickBot="1" x14ac:dyDescent="0.3">
      <c r="I12" s="36" t="s">
        <v>120</v>
      </c>
      <c r="J12" s="8"/>
      <c r="K12" s="8"/>
      <c r="L12" s="8">
        <f>1-L11</f>
        <v>0.50753571232459027</v>
      </c>
      <c r="M12" s="8"/>
      <c r="N12" s="8"/>
      <c r="O12" s="221" t="s">
        <v>139</v>
      </c>
      <c r="P12" s="225" t="s">
        <v>140</v>
      </c>
      <c r="Q12" s="224" t="s">
        <v>141</v>
      </c>
    </row>
    <row r="13" spans="1:20" ht="15.75" thickBot="1" x14ac:dyDescent="0.3">
      <c r="I13" s="36" t="s">
        <v>143</v>
      </c>
      <c r="J13" s="8"/>
      <c r="K13" s="8"/>
      <c r="L13" s="226">
        <f>IF(O13=1,P13,Q13)</f>
        <v>1.7973355786596024</v>
      </c>
      <c r="M13" s="28"/>
      <c r="N13" s="8"/>
      <c r="O13" s="222">
        <v>1</v>
      </c>
      <c r="P13" s="76">
        <f>(LN(1-O14)/LN(L12)-1)</f>
        <v>1.7973355786596024</v>
      </c>
      <c r="Q13" s="223">
        <f>L12/L11</f>
        <v>1.0306040966347478</v>
      </c>
    </row>
    <row r="14" spans="1:20" ht="15.75" thickBot="1" x14ac:dyDescent="0.3">
      <c r="I14" s="36" t="s">
        <v>122</v>
      </c>
      <c r="J14" s="8"/>
      <c r="K14" s="8"/>
      <c r="L14" s="8">
        <f>3600/L10-('BASELINE-APP'!E20*EXP(-CTL!L10/3600*'BASELINE-APP'!E20)/(1-EXP(-CTL!L10/3600*'BASELINE-APP'!E20)))</f>
        <v>2.6487600283309201</v>
      </c>
      <c r="M14" s="8" t="s">
        <v>15</v>
      </c>
      <c r="N14" s="8"/>
      <c r="O14" s="222">
        <f>'COMBINED INPUT'!G24</f>
        <v>0.85</v>
      </c>
      <c r="P14" s="8" t="s">
        <v>145</v>
      </c>
      <c r="Q14" s="21" t="s">
        <v>144</v>
      </c>
    </row>
    <row r="15" spans="1:20" ht="15.75" thickBot="1" x14ac:dyDescent="0.3">
      <c r="I15" s="36" t="s">
        <v>123</v>
      </c>
      <c r="J15" s="8"/>
      <c r="K15" s="8"/>
      <c r="L15" s="23">
        <f>'BASELINE-APP'!E21+CTL!L13*CTL!L14</f>
        <v>5.7607106382505791</v>
      </c>
      <c r="M15" s="23" t="s">
        <v>15</v>
      </c>
      <c r="N15" s="23"/>
      <c r="O15" s="23"/>
      <c r="P15" s="23"/>
      <c r="Q15" s="24"/>
    </row>
    <row r="16" spans="1:20" x14ac:dyDescent="0.25">
      <c r="B16" s="44" t="s">
        <v>44</v>
      </c>
      <c r="C16" s="29"/>
      <c r="D16" s="29"/>
      <c r="E16" s="48">
        <f>(1-F4)*IF(E4="ATL",L9,L10)+E5*F4</f>
        <v>425</v>
      </c>
      <c r="F16" s="42" t="s">
        <v>14</v>
      </c>
      <c r="G16" s="29" t="s">
        <v>10</v>
      </c>
      <c r="H16" s="29"/>
      <c r="I16" s="53">
        <f>E18*(E9/E10)/3600</f>
        <v>0.11363636363636363</v>
      </c>
      <c r="J16" s="18" t="s">
        <v>12</v>
      </c>
      <c r="K16" s="19"/>
    </row>
    <row r="17" spans="2:22" x14ac:dyDescent="0.25">
      <c r="B17" s="36" t="s">
        <v>0</v>
      </c>
      <c r="C17" s="30"/>
      <c r="D17" s="8"/>
      <c r="E17" s="49">
        <f>E16+IF(E4="CTL",0,E6)</f>
        <v>425</v>
      </c>
      <c r="F17" s="8" t="s">
        <v>14</v>
      </c>
      <c r="G17" s="30" t="s">
        <v>5</v>
      </c>
      <c r="H17" s="30"/>
      <c r="I17" s="54">
        <f>E10-E9</f>
        <v>85</v>
      </c>
      <c r="J17" s="8" t="s">
        <v>15</v>
      </c>
      <c r="K17" s="21"/>
    </row>
    <row r="18" spans="2:22" ht="15.75" thickBot="1" x14ac:dyDescent="0.3">
      <c r="B18" s="36" t="s">
        <v>1</v>
      </c>
      <c r="C18" s="30"/>
      <c r="D18" s="8"/>
      <c r="E18" s="49">
        <f>IF(E4  &lt;&gt; "CTL",ROUND(E17/(E6/E8+E16/E7)/10,0)*10,E7)</f>
        <v>1800</v>
      </c>
      <c r="F18" s="8" t="s">
        <v>14</v>
      </c>
      <c r="G18" s="30" t="s">
        <v>2</v>
      </c>
      <c r="H18" s="30"/>
      <c r="I18" s="55">
        <f>E17/E18</f>
        <v>0.2361111111111111</v>
      </c>
      <c r="J18" s="8"/>
      <c r="K18" s="21"/>
      <c r="O18" s="2" t="s">
        <v>41</v>
      </c>
      <c r="P18" s="2"/>
    </row>
    <row r="19" spans="2:22" ht="16.5" thickBot="1" x14ac:dyDescent="0.3">
      <c r="B19" s="36" t="s">
        <v>62</v>
      </c>
      <c r="C19" s="30"/>
      <c r="D19" s="8"/>
      <c r="E19" s="50">
        <f>E6/(E6+E5)</f>
        <v>0.15</v>
      </c>
      <c r="F19" s="8"/>
      <c r="G19" s="30" t="s">
        <v>3</v>
      </c>
      <c r="H19" s="30"/>
      <c r="I19" s="55">
        <f>E9/E10</f>
        <v>0.22727272727272727</v>
      </c>
      <c r="J19" s="8"/>
      <c r="K19" s="21" t="s">
        <v>21</v>
      </c>
      <c r="M19" s="61" t="s">
        <v>35</v>
      </c>
      <c r="N19" s="62" t="s">
        <v>36</v>
      </c>
      <c r="O19" s="63" t="s">
        <v>37</v>
      </c>
      <c r="P19" s="65" t="s">
        <v>38</v>
      </c>
      <c r="Q19" s="60" t="s">
        <v>39</v>
      </c>
      <c r="R19" s="66" t="s">
        <v>40</v>
      </c>
    </row>
    <row r="20" spans="2:22" x14ac:dyDescent="0.25">
      <c r="B20" s="20"/>
      <c r="C20" s="8"/>
      <c r="D20" s="8"/>
      <c r="E20" s="8"/>
      <c r="F20" s="8"/>
      <c r="G20" s="30" t="s">
        <v>4</v>
      </c>
      <c r="H20" s="30"/>
      <c r="I20" s="56">
        <f>I18/I19</f>
        <v>1.038888888888889</v>
      </c>
      <c r="J20" s="8"/>
      <c r="K20" s="21">
        <f>IF(I20&gt;1,1,0)</f>
        <v>1</v>
      </c>
      <c r="L20" t="s">
        <v>64</v>
      </c>
      <c r="M20" s="1">
        <v>10</v>
      </c>
      <c r="N20" s="1">
        <v>20</v>
      </c>
      <c r="O20" s="1">
        <v>35</v>
      </c>
      <c r="P20" s="1">
        <v>55</v>
      </c>
      <c r="Q20" s="1">
        <v>80</v>
      </c>
      <c r="R20" s="1" t="s">
        <v>42</v>
      </c>
      <c r="V20" s="2"/>
    </row>
    <row r="21" spans="2:22" ht="15.75" thickBot="1" x14ac:dyDescent="0.3">
      <c r="B21" s="20"/>
      <c r="C21" s="8"/>
      <c r="D21" s="8"/>
      <c r="E21" s="8"/>
      <c r="F21" s="8"/>
      <c r="G21" s="30" t="s">
        <v>6</v>
      </c>
      <c r="H21" s="30"/>
      <c r="I21" s="57">
        <f>MIN(E9,I17*I18/(1-I18))</f>
        <v>25</v>
      </c>
      <c r="J21" s="8" t="s">
        <v>15</v>
      </c>
      <c r="K21" s="21"/>
      <c r="M21" s="16">
        <f t="shared" ref="M21:R21" si="0">IF($J$23&lt;=M20,1,0)</f>
        <v>0</v>
      </c>
      <c r="N21" s="16">
        <f t="shared" si="0"/>
        <v>0</v>
      </c>
      <c r="O21" s="16">
        <f t="shared" si="0"/>
        <v>0</v>
      </c>
      <c r="P21" s="16">
        <f t="shared" si="0"/>
        <v>0</v>
      </c>
      <c r="Q21" s="16">
        <f t="shared" si="0"/>
        <v>0</v>
      </c>
      <c r="R21" s="16">
        <f t="shared" si="0"/>
        <v>1</v>
      </c>
      <c r="V21" s="2"/>
    </row>
    <row r="22" spans="2:22" ht="15.75" thickBot="1" x14ac:dyDescent="0.3">
      <c r="B22" s="22"/>
      <c r="C22" s="23"/>
      <c r="D22" s="23"/>
      <c r="E22" s="23"/>
      <c r="F22" s="23"/>
      <c r="G22" s="23"/>
      <c r="H22" s="23"/>
      <c r="I22" s="23"/>
      <c r="J22" s="23"/>
      <c r="K22" s="24"/>
      <c r="M22" s="16">
        <f>M21-L23</f>
        <v>0</v>
      </c>
      <c r="N22" s="16">
        <f t="shared" ref="N22:R22" si="1">N21-M21</f>
        <v>0</v>
      </c>
      <c r="O22" s="16">
        <f t="shared" si="1"/>
        <v>0</v>
      </c>
      <c r="P22" s="16">
        <f t="shared" si="1"/>
        <v>0</v>
      </c>
      <c r="Q22" s="16">
        <f t="shared" si="1"/>
        <v>0</v>
      </c>
      <c r="R22" s="16">
        <f t="shared" si="1"/>
        <v>1</v>
      </c>
      <c r="V22" s="2"/>
    </row>
    <row r="23" spans="2:22" ht="19.5" thickBot="1" x14ac:dyDescent="0.35">
      <c r="B23" s="52" t="s">
        <v>31</v>
      </c>
      <c r="C23" s="58">
        <f>0.5*E10*(1-I19)^2/(1-MIN(1,I20)*I19)</f>
        <v>42.499999999999993</v>
      </c>
      <c r="D23" s="26"/>
      <c r="E23" s="26"/>
      <c r="F23" s="40" t="s">
        <v>11</v>
      </c>
      <c r="G23" s="58">
        <f>225*((I20-1)+SQRT((I20-1)^2+16*I20/(I16*3600)))</f>
        <v>54.940502270488494</v>
      </c>
      <c r="H23" s="26"/>
      <c r="I23" s="40" t="s">
        <v>32</v>
      </c>
      <c r="J23" s="58">
        <f>G23+C23</f>
        <v>97.44050227048848</v>
      </c>
      <c r="K23" s="27" t="s">
        <v>33</v>
      </c>
      <c r="M23" s="67">
        <f t="shared" ref="M23:R23" si="2">IF(M22=1,M19,0)</f>
        <v>0</v>
      </c>
      <c r="N23" s="67">
        <f t="shared" si="2"/>
        <v>0</v>
      </c>
      <c r="O23" s="67">
        <f t="shared" si="2"/>
        <v>0</v>
      </c>
      <c r="P23" s="67">
        <f t="shared" si="2"/>
        <v>0</v>
      </c>
      <c r="Q23" s="67">
        <f t="shared" si="2"/>
        <v>0</v>
      </c>
      <c r="R23" s="67" t="str">
        <f t="shared" si="2"/>
        <v>F</v>
      </c>
    </row>
    <row r="24" spans="2:22" ht="15.75" thickBot="1" x14ac:dyDescent="0.3"/>
    <row r="25" spans="2:22" ht="16.5" thickBot="1" x14ac:dyDescent="0.3">
      <c r="B25" s="52" t="s">
        <v>7</v>
      </c>
      <c r="C25" s="59">
        <f>I21*E18/3600</f>
        <v>12.5</v>
      </c>
      <c r="D25" s="26" t="s">
        <v>8</v>
      </c>
      <c r="E25" s="26"/>
      <c r="F25" s="40" t="s">
        <v>9</v>
      </c>
      <c r="G25" s="59">
        <f>I16*G23</f>
        <v>6.2432388943736923</v>
      </c>
      <c r="H25" s="26" t="s">
        <v>8</v>
      </c>
      <c r="I25" s="40" t="s">
        <v>13</v>
      </c>
      <c r="J25" s="59">
        <f>G25+C25</f>
        <v>18.743238894373693</v>
      </c>
      <c r="K25" s="27" t="s">
        <v>34</v>
      </c>
    </row>
    <row r="26" spans="2:22" ht="15.75" x14ac:dyDescent="0.25">
      <c r="B26" s="30"/>
      <c r="C26" s="195"/>
      <c r="D26" s="8"/>
      <c r="E26" s="8"/>
      <c r="F26" s="30"/>
      <c r="G26" s="195"/>
      <c r="H26" s="8"/>
      <c r="I26" s="30"/>
      <c r="J26" s="195"/>
      <c r="K26" s="8"/>
    </row>
    <row r="28" spans="2:22" x14ac:dyDescent="0.25">
      <c r="I28" s="2" t="s">
        <v>84</v>
      </c>
    </row>
    <row r="29" spans="2:22" x14ac:dyDescent="0.25">
      <c r="B29" s="2" t="s">
        <v>17</v>
      </c>
      <c r="C29" s="2"/>
      <c r="D29" s="3" t="s">
        <v>22</v>
      </c>
      <c r="E29" s="2"/>
      <c r="F29" s="2" t="s">
        <v>23</v>
      </c>
      <c r="G29" s="2"/>
      <c r="H29" s="2"/>
      <c r="I29" s="2" t="s">
        <v>24</v>
      </c>
      <c r="J29" s="2" t="s">
        <v>25</v>
      </c>
      <c r="K29" s="2"/>
      <c r="L29" s="2" t="s">
        <v>26</v>
      </c>
      <c r="M29" s="2"/>
      <c r="N29" s="2"/>
      <c r="O29" s="2" t="s">
        <v>27</v>
      </c>
      <c r="P29" s="2"/>
    </row>
    <row r="30" spans="2:22" x14ac:dyDescent="0.25">
      <c r="B30" s="45" t="s">
        <v>18</v>
      </c>
      <c r="C30" s="4"/>
      <c r="D30" s="4">
        <v>1.04</v>
      </c>
      <c r="E30" s="4"/>
      <c r="F30" s="5">
        <f>D30*SQRT(1/J25)</f>
        <v>0.24022102681427712</v>
      </c>
      <c r="G30" s="4"/>
      <c r="H30" s="4"/>
      <c r="I30" s="5">
        <f>$K$20*MIN(1.8,1+F30+0.6*D30^0.24*$I$19^0.33*(1-EXP(2-2*$I$20)))</f>
        <v>1.2680165997920512</v>
      </c>
      <c r="J30" s="6">
        <f>(1-$K$20)*MIN(1.8, 1+F30)</f>
        <v>0</v>
      </c>
      <c r="K30" s="4"/>
      <c r="L30" s="4">
        <f>MAX(I30,J30)*$J$25</f>
        <v>23.766738051933856</v>
      </c>
      <c r="M30" s="4"/>
      <c r="N30" s="4"/>
      <c r="O30" s="7">
        <f>ROUND(L30*$E$11/100,0)*100</f>
        <v>600</v>
      </c>
    </row>
    <row r="31" spans="2:22" x14ac:dyDescent="0.25">
      <c r="B31" s="46" t="s">
        <v>19</v>
      </c>
      <c r="C31" s="8"/>
      <c r="D31" s="8">
        <v>1.28</v>
      </c>
      <c r="E31" s="8"/>
      <c r="F31" s="9">
        <f>D31*SQRT(1/J25)</f>
        <v>0.29565664838680261</v>
      </c>
      <c r="G31" s="8"/>
      <c r="H31" s="8"/>
      <c r="I31" s="9">
        <f t="shared" ref="I31:I32" si="3">$K$20*MIN(1.8,1+F31+0.6*D31^0.24*$I$19^0.33*(1-EXP(2-2*$I$20)))</f>
        <v>1.3248724644944596</v>
      </c>
      <c r="J31" s="10">
        <f t="shared" ref="J31:J32" si="4">(1-$K$20)*MIN(1.8, 1+F31)</f>
        <v>0</v>
      </c>
      <c r="K31" s="8"/>
      <c r="L31" s="8">
        <f t="shared" ref="L31:L32" si="5">MAX(I31,J31)*$J$25</f>
        <v>24.832401106597285</v>
      </c>
      <c r="M31" s="8"/>
      <c r="N31" s="8"/>
      <c r="O31" s="11">
        <f>ROUND(L31*$E$11/100,0)*100</f>
        <v>600</v>
      </c>
    </row>
    <row r="32" spans="2:22" x14ac:dyDescent="0.25">
      <c r="B32" s="47" t="s">
        <v>20</v>
      </c>
      <c r="C32" s="12"/>
      <c r="D32" s="12">
        <v>1.64</v>
      </c>
      <c r="E32" s="12"/>
      <c r="F32" s="13">
        <f>D32*SQRT(1/J25)</f>
        <v>0.3788100807455908</v>
      </c>
      <c r="G32" s="12"/>
      <c r="H32" s="12"/>
      <c r="I32" s="13">
        <f t="shared" si="3"/>
        <v>1.4098163956240211</v>
      </c>
      <c r="J32" s="14">
        <f t="shared" si="4"/>
        <v>0</v>
      </c>
      <c r="K32" s="12"/>
      <c r="L32" s="12">
        <f t="shared" si="5"/>
        <v>26.424525500385883</v>
      </c>
      <c r="M32" s="12"/>
      <c r="N32" s="12"/>
      <c r="O32" s="15">
        <f>ROUND(L32*$E$11/100,0)*100</f>
        <v>700</v>
      </c>
    </row>
  </sheetData>
  <conditionalFormatting sqref="M23:R23">
    <cfRule type="cellIs" dxfId="158" priority="1" operator="equal">
      <formula>0</formula>
    </cfRule>
    <cfRule type="cellIs" dxfId="157" priority="2" operator="equal">
      <formula>0</formula>
    </cfRule>
    <cfRule type="cellIs" dxfId="156" priority="3" operator="equal">
      <formula>0</formula>
    </cfRule>
  </conditionalFormatting>
  <pageMargins left="0.7" right="0.7" top="0.75" bottom="0.75" header="0.3" footer="0.3"/>
  <pageSetup orientation="portrait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2"/>
  <sheetViews>
    <sheetView workbookViewId="0">
      <selection activeCell="K31" sqref="K31"/>
    </sheetView>
  </sheetViews>
  <sheetFormatPr defaultRowHeight="15" x14ac:dyDescent="0.25"/>
  <cols>
    <col min="1" max="1" width="6.42578125" style="497" customWidth="1"/>
    <col min="2" max="3" width="9.140625" style="497"/>
    <col min="4" max="4" width="22.28515625" style="497" customWidth="1"/>
    <col min="5" max="5" width="9.140625" style="497"/>
    <col min="6" max="6" width="10" style="497" customWidth="1"/>
    <col min="7" max="7" width="9.140625" style="497"/>
    <col min="8" max="8" width="15.7109375" style="497" customWidth="1"/>
    <col min="9" max="9" width="9.140625" style="497"/>
    <col min="10" max="10" width="11.5703125" style="497" customWidth="1"/>
    <col min="11" max="11" width="14.5703125" style="497" customWidth="1"/>
    <col min="12" max="14" width="9.140625" style="497"/>
    <col min="15" max="15" width="15.7109375" style="497" customWidth="1"/>
    <col min="16" max="16384" width="9.140625" style="497"/>
  </cols>
  <sheetData>
    <row r="1" spans="1:20" ht="15.75" thickBot="1" x14ac:dyDescent="0.3"/>
    <row r="2" spans="1:20" ht="19.5" thickBot="1" x14ac:dyDescent="0.35">
      <c r="A2" s="39" t="s">
        <v>56</v>
      </c>
      <c r="B2" s="43" t="s">
        <v>55</v>
      </c>
      <c r="C2" s="2"/>
      <c r="D2" s="2"/>
      <c r="E2" s="2"/>
      <c r="F2" s="2"/>
      <c r="I2" s="25"/>
      <c r="J2" s="41" t="s">
        <v>282</v>
      </c>
      <c r="K2" s="41"/>
      <c r="L2" s="41"/>
      <c r="M2" s="41"/>
      <c r="N2" s="41"/>
      <c r="O2" s="41"/>
      <c r="P2" s="41"/>
      <c r="Q2" s="27"/>
    </row>
    <row r="3" spans="1:20" ht="15.75" thickBot="1" x14ac:dyDescent="0.3">
      <c r="G3" s="2"/>
      <c r="I3" s="17"/>
      <c r="J3" s="18"/>
      <c r="K3" s="18"/>
      <c r="L3" s="18"/>
      <c r="M3" s="18"/>
      <c r="N3" s="18"/>
      <c r="O3" s="18"/>
      <c r="P3" s="18"/>
      <c r="Q3" s="19"/>
    </row>
    <row r="4" spans="1:20" ht="18.75" x14ac:dyDescent="0.3">
      <c r="B4" s="122" t="s">
        <v>283</v>
      </c>
      <c r="C4" s="123"/>
      <c r="D4" s="123"/>
      <c r="E4" s="121" t="s">
        <v>49</v>
      </c>
      <c r="F4" s="37">
        <f>IF(E4="APP",1,0)</f>
        <v>0</v>
      </c>
      <c r="G4" s="2"/>
      <c r="I4" s="20"/>
      <c r="J4" s="8"/>
      <c r="K4" s="8"/>
      <c r="L4" s="8"/>
      <c r="M4" s="8"/>
      <c r="N4" s="8"/>
      <c r="O4" s="8"/>
      <c r="P4" s="8"/>
      <c r="Q4" s="21"/>
    </row>
    <row r="5" spans="1:20" ht="18.75" x14ac:dyDescent="0.3">
      <c r="B5" s="33" t="s">
        <v>50</v>
      </c>
      <c r="C5" s="32"/>
      <c r="D5" s="32"/>
      <c r="E5" s="72">
        <f>'BASELINE-APP2'!E9</f>
        <v>425</v>
      </c>
      <c r="F5" s="31" t="s">
        <v>14</v>
      </c>
      <c r="G5" s="2"/>
      <c r="I5" s="36" t="s">
        <v>48</v>
      </c>
      <c r="J5" s="30"/>
      <c r="K5" s="30"/>
      <c r="L5" s="8">
        <f>ROUND((E5+E6)/(E5/E7+E6/E8)/10,0)*10</f>
        <v>1760</v>
      </c>
      <c r="M5" s="8" t="s">
        <v>14</v>
      </c>
      <c r="N5" s="8" t="s">
        <v>63</v>
      </c>
      <c r="O5" s="8"/>
      <c r="P5" s="8"/>
      <c r="Q5" s="21"/>
    </row>
    <row r="6" spans="1:20" ht="18.75" x14ac:dyDescent="0.3">
      <c r="B6" s="33" t="s">
        <v>29</v>
      </c>
      <c r="C6" s="32"/>
      <c r="D6" s="32"/>
      <c r="E6" s="72">
        <f>'BASELINE-APP2'!E10</f>
        <v>75</v>
      </c>
      <c r="F6" s="21" t="s">
        <v>14</v>
      </c>
      <c r="G6" s="2"/>
      <c r="I6" s="36" t="s">
        <v>46</v>
      </c>
      <c r="J6" s="30"/>
      <c r="K6" s="30"/>
      <c r="L6" s="8">
        <f>E5/(E7*I19)</f>
        <v>1.038888888888889</v>
      </c>
      <c r="M6" s="8"/>
      <c r="N6" s="8" t="s">
        <v>57</v>
      </c>
      <c r="O6" s="8"/>
      <c r="P6" s="8"/>
      <c r="Q6" s="21"/>
    </row>
    <row r="7" spans="1:20" ht="18.75" x14ac:dyDescent="0.3">
      <c r="B7" s="33" t="s">
        <v>28</v>
      </c>
      <c r="C7" s="32"/>
      <c r="D7" s="32"/>
      <c r="E7" s="72">
        <f>'BASELINE-APP2'!E12</f>
        <v>1800</v>
      </c>
      <c r="F7" s="21" t="s">
        <v>14</v>
      </c>
      <c r="I7" s="36" t="s">
        <v>284</v>
      </c>
      <c r="J7" s="30"/>
      <c r="K7" s="30"/>
      <c r="L7" s="8">
        <f>ROUND(20.226+81.791*L6^2+1.65*E5^2/10000,0)</f>
        <v>138</v>
      </c>
      <c r="M7" s="8" t="s">
        <v>14</v>
      </c>
      <c r="N7" s="8"/>
      <c r="O7" s="8"/>
      <c r="P7" s="8"/>
      <c r="Q7" s="21"/>
    </row>
    <row r="8" spans="1:20" ht="18.75" x14ac:dyDescent="0.3">
      <c r="B8" s="33" t="s">
        <v>30</v>
      </c>
      <c r="C8" s="32"/>
      <c r="D8" s="32"/>
      <c r="E8" s="72">
        <f>'BASELINE-APP2'!E13</f>
        <v>1550</v>
      </c>
      <c r="F8" s="21" t="s">
        <v>14</v>
      </c>
      <c r="I8" s="36" t="s">
        <v>59</v>
      </c>
      <c r="J8" s="30"/>
      <c r="K8" s="30"/>
      <c r="L8" s="8">
        <f>ROUND(MAX(0,0.5*(E5-E6*E7/E8)),0)</f>
        <v>169</v>
      </c>
      <c r="M8" s="8" t="s">
        <v>14</v>
      </c>
      <c r="N8" s="8"/>
      <c r="O8" s="8"/>
      <c r="P8" s="8"/>
      <c r="Q8" s="21"/>
    </row>
    <row r="9" spans="1:20" ht="18.75" x14ac:dyDescent="0.3">
      <c r="B9" s="33" t="s">
        <v>51</v>
      </c>
      <c r="C9" s="32"/>
      <c r="D9" s="32"/>
      <c r="E9" s="72">
        <f>'ATL2'!E10</f>
        <v>25</v>
      </c>
      <c r="F9" s="21" t="s">
        <v>15</v>
      </c>
      <c r="I9" s="36" t="s">
        <v>285</v>
      </c>
      <c r="J9" s="30"/>
      <c r="K9" s="30"/>
      <c r="L9" s="8">
        <f>'BASELINE-APP2'!M10</f>
        <v>138</v>
      </c>
      <c r="M9" s="8" t="s">
        <v>14</v>
      </c>
      <c r="N9" s="8"/>
      <c r="O9" s="8"/>
      <c r="P9" s="8"/>
      <c r="Q9" s="21"/>
    </row>
    <row r="10" spans="1:20" ht="19.5" thickBot="1" x14ac:dyDescent="0.35">
      <c r="B10" s="33" t="s">
        <v>52</v>
      </c>
      <c r="C10" s="32"/>
      <c r="D10" s="32"/>
      <c r="E10" s="72">
        <f>'BASELINE-APP2'!E15</f>
        <v>110</v>
      </c>
      <c r="F10" s="21" t="s">
        <v>15</v>
      </c>
      <c r="I10" s="36" t="s">
        <v>61</v>
      </c>
      <c r="J10" s="30"/>
      <c r="K10" s="30"/>
      <c r="L10" s="8">
        <f>'ATL2'!L11</f>
        <v>287</v>
      </c>
      <c r="M10" s="28" t="s">
        <v>14</v>
      </c>
      <c r="N10" s="8"/>
      <c r="O10" s="8"/>
      <c r="P10" s="8"/>
      <c r="Q10" s="21"/>
      <c r="T10" s="64"/>
    </row>
    <row r="11" spans="1:20" ht="19.5" thickBot="1" x14ac:dyDescent="0.35">
      <c r="B11" s="34" t="s">
        <v>43</v>
      </c>
      <c r="C11" s="35"/>
      <c r="D11" s="35"/>
      <c r="E11" s="73">
        <f>'BASELINE-APP2'!E17</f>
        <v>25</v>
      </c>
      <c r="F11" s="24" t="s">
        <v>16</v>
      </c>
      <c r="I11" s="36" t="s">
        <v>119</v>
      </c>
      <c r="J11" s="8"/>
      <c r="K11" s="8"/>
      <c r="L11" s="8">
        <f>EXP(-'BASELINE-APP2'!E20/(3600/'CTL2'!L10))</f>
        <v>0.61981555735818394</v>
      </c>
      <c r="M11" s="8"/>
      <c r="N11" s="8"/>
      <c r="O11" s="220" t="s">
        <v>142</v>
      </c>
      <c r="P11" s="8"/>
      <c r="Q11" s="21"/>
    </row>
    <row r="12" spans="1:20" ht="15.75" thickBot="1" x14ac:dyDescent="0.3">
      <c r="I12" s="36" t="s">
        <v>120</v>
      </c>
      <c r="J12" s="8"/>
      <c r="K12" s="8"/>
      <c r="L12" s="8">
        <f>1-L11</f>
        <v>0.38018444264181606</v>
      </c>
      <c r="M12" s="8"/>
      <c r="N12" s="8"/>
      <c r="O12" s="221" t="s">
        <v>139</v>
      </c>
      <c r="P12" s="225" t="s">
        <v>140</v>
      </c>
      <c r="Q12" s="224" t="s">
        <v>141</v>
      </c>
    </row>
    <row r="13" spans="1:20" ht="15.75" thickBot="1" x14ac:dyDescent="0.3">
      <c r="I13" s="36" t="s">
        <v>143</v>
      </c>
      <c r="J13" s="8"/>
      <c r="K13" s="8"/>
      <c r="L13" s="226">
        <f>IF(O13=1,P13,Q13)</f>
        <v>0.96166104889563053</v>
      </c>
      <c r="M13" s="28"/>
      <c r="N13" s="8"/>
      <c r="O13" s="222">
        <v>1</v>
      </c>
      <c r="P13" s="76">
        <f>(LN(1-O14)/LN(L12)-1)</f>
        <v>0.96166104889563053</v>
      </c>
      <c r="Q13" s="223">
        <f>L12/L11</f>
        <v>0.61338318815723436</v>
      </c>
    </row>
    <row r="14" spans="1:20" ht="15.75" thickBot="1" x14ac:dyDescent="0.3">
      <c r="I14" s="36" t="s">
        <v>122</v>
      </c>
      <c r="J14" s="8"/>
      <c r="K14" s="8"/>
      <c r="L14" s="8">
        <f>3600/L10-('BASELINE-APP2'!E20*EXP(-'CTL2'!L10/3600*'BASELINE-APP2'!E20)/(1-EXP(-'CTL2'!L10/3600*'BASELINE-APP2'!E20)))</f>
        <v>2.7617404264145513</v>
      </c>
      <c r="M14" s="8" t="s">
        <v>15</v>
      </c>
      <c r="N14" s="8"/>
      <c r="O14" s="222">
        <f>'COMBINED INPUT'!G24</f>
        <v>0.85</v>
      </c>
      <c r="P14" s="8" t="s">
        <v>145</v>
      </c>
      <c r="Q14" s="21" t="s">
        <v>144</v>
      </c>
    </row>
    <row r="15" spans="1:20" ht="15.75" thickBot="1" x14ac:dyDescent="0.3">
      <c r="I15" s="36" t="s">
        <v>123</v>
      </c>
      <c r="J15" s="8"/>
      <c r="K15" s="8"/>
      <c r="L15" s="23">
        <f>'BASELINE-APP2'!E21+'CTL2'!L13*'CTL2'!L14</f>
        <v>3.6558581952432831</v>
      </c>
      <c r="M15" s="23" t="s">
        <v>15</v>
      </c>
      <c r="N15" s="23"/>
      <c r="O15" s="23"/>
      <c r="P15" s="23"/>
      <c r="Q15" s="24"/>
    </row>
    <row r="16" spans="1:20" x14ac:dyDescent="0.25">
      <c r="B16" s="44" t="s">
        <v>44</v>
      </c>
      <c r="C16" s="29"/>
      <c r="D16" s="29"/>
      <c r="E16" s="48">
        <f>(1-F4)*IF(E4="ATL2",L9,L10)+E5*F4</f>
        <v>287</v>
      </c>
      <c r="F16" s="42" t="s">
        <v>14</v>
      </c>
      <c r="G16" s="29" t="s">
        <v>10</v>
      </c>
      <c r="H16" s="29"/>
      <c r="I16" s="53">
        <f>E18*(E9/E10)/3600</f>
        <v>0.11363636363636363</v>
      </c>
      <c r="J16" s="18" t="s">
        <v>12</v>
      </c>
      <c r="K16" s="19"/>
    </row>
    <row r="17" spans="2:22" x14ac:dyDescent="0.25">
      <c r="B17" s="36" t="s">
        <v>0</v>
      </c>
      <c r="C17" s="30"/>
      <c r="D17" s="8"/>
      <c r="E17" s="49">
        <f>E16+IF(E4="CTL",0,E6)</f>
        <v>287</v>
      </c>
      <c r="F17" s="8" t="s">
        <v>14</v>
      </c>
      <c r="G17" s="30" t="s">
        <v>5</v>
      </c>
      <c r="H17" s="30"/>
      <c r="I17" s="54">
        <f>E10-E9</f>
        <v>85</v>
      </c>
      <c r="J17" s="8" t="s">
        <v>15</v>
      </c>
      <c r="K17" s="21"/>
    </row>
    <row r="18" spans="2:22" ht="15.75" thickBot="1" x14ac:dyDescent="0.3">
      <c r="B18" s="36" t="s">
        <v>1</v>
      </c>
      <c r="C18" s="30"/>
      <c r="D18" s="8"/>
      <c r="E18" s="49">
        <f>IF(E4  &lt;&gt; "CTL",ROUND(E17/(E6/E8+E16/E7)/10,0)*10,E7)</f>
        <v>1800</v>
      </c>
      <c r="F18" s="8" t="s">
        <v>14</v>
      </c>
      <c r="G18" s="30" t="s">
        <v>2</v>
      </c>
      <c r="H18" s="30"/>
      <c r="I18" s="55">
        <f>E17/E18</f>
        <v>0.15944444444444444</v>
      </c>
      <c r="J18" s="8"/>
      <c r="K18" s="21"/>
      <c r="O18" s="2" t="s">
        <v>41</v>
      </c>
      <c r="P18" s="2"/>
    </row>
    <row r="19" spans="2:22" ht="16.5" thickBot="1" x14ac:dyDescent="0.3">
      <c r="B19" s="36" t="s">
        <v>62</v>
      </c>
      <c r="C19" s="30"/>
      <c r="D19" s="8"/>
      <c r="E19" s="50">
        <f>E6/(E6+E5)</f>
        <v>0.15</v>
      </c>
      <c r="F19" s="8"/>
      <c r="G19" s="30" t="s">
        <v>3</v>
      </c>
      <c r="H19" s="30"/>
      <c r="I19" s="55">
        <f>E9/E10</f>
        <v>0.22727272727272727</v>
      </c>
      <c r="J19" s="8"/>
      <c r="K19" s="21" t="s">
        <v>21</v>
      </c>
      <c r="M19" s="61" t="s">
        <v>35</v>
      </c>
      <c r="N19" s="62" t="s">
        <v>36</v>
      </c>
      <c r="O19" s="63" t="s">
        <v>37</v>
      </c>
      <c r="P19" s="65" t="s">
        <v>38</v>
      </c>
      <c r="Q19" s="60" t="s">
        <v>39</v>
      </c>
      <c r="R19" s="66" t="s">
        <v>40</v>
      </c>
    </row>
    <row r="20" spans="2:22" x14ac:dyDescent="0.25">
      <c r="B20" s="20"/>
      <c r="C20" s="8"/>
      <c r="D20" s="8"/>
      <c r="E20" s="8"/>
      <c r="F20" s="8"/>
      <c r="G20" s="30" t="s">
        <v>4</v>
      </c>
      <c r="H20" s="30"/>
      <c r="I20" s="56">
        <f>I18/I19</f>
        <v>0.7015555555555556</v>
      </c>
      <c r="J20" s="8"/>
      <c r="K20" s="21">
        <f>IF(I20&gt;1,1,0)</f>
        <v>0</v>
      </c>
      <c r="L20" s="497" t="s">
        <v>64</v>
      </c>
      <c r="M20" s="1">
        <v>10</v>
      </c>
      <c r="N20" s="1">
        <v>20</v>
      </c>
      <c r="O20" s="1">
        <v>35</v>
      </c>
      <c r="P20" s="1">
        <v>55</v>
      </c>
      <c r="Q20" s="1">
        <v>80</v>
      </c>
      <c r="R20" s="1" t="s">
        <v>42</v>
      </c>
      <c r="V20" s="2"/>
    </row>
    <row r="21" spans="2:22" ht="15.75" thickBot="1" x14ac:dyDescent="0.3">
      <c r="B21" s="20"/>
      <c r="C21" s="8"/>
      <c r="D21" s="8"/>
      <c r="E21" s="8"/>
      <c r="F21" s="8"/>
      <c r="G21" s="30" t="s">
        <v>6</v>
      </c>
      <c r="H21" s="30"/>
      <c r="I21" s="57">
        <f>MIN(E9,I17*I18/(1-I18))</f>
        <v>16.123595505617978</v>
      </c>
      <c r="J21" s="8" t="s">
        <v>15</v>
      </c>
      <c r="K21" s="21"/>
      <c r="M21" s="16">
        <f t="shared" ref="M21:R21" si="0">IF($J$23&lt;=M20,1,0)</f>
        <v>0</v>
      </c>
      <c r="N21" s="16">
        <f t="shared" si="0"/>
        <v>0</v>
      </c>
      <c r="O21" s="16">
        <f t="shared" si="0"/>
        <v>0</v>
      </c>
      <c r="P21" s="16">
        <f t="shared" si="0"/>
        <v>1</v>
      </c>
      <c r="Q21" s="16">
        <f t="shared" si="0"/>
        <v>1</v>
      </c>
      <c r="R21" s="16">
        <f t="shared" si="0"/>
        <v>1</v>
      </c>
      <c r="V21" s="2"/>
    </row>
    <row r="22" spans="2:22" ht="15.75" thickBot="1" x14ac:dyDescent="0.3">
      <c r="B22" s="22"/>
      <c r="C22" s="23"/>
      <c r="D22" s="23"/>
      <c r="E22" s="23"/>
      <c r="F22" s="23"/>
      <c r="G22" s="23"/>
      <c r="H22" s="23"/>
      <c r="I22" s="23"/>
      <c r="J22" s="23"/>
      <c r="K22" s="24"/>
      <c r="M22" s="16">
        <f>M21-L23</f>
        <v>0</v>
      </c>
      <c r="N22" s="16">
        <f t="shared" ref="N22:R22" si="1">N21-M21</f>
        <v>0</v>
      </c>
      <c r="O22" s="16">
        <f t="shared" si="1"/>
        <v>0</v>
      </c>
      <c r="P22" s="16">
        <f t="shared" si="1"/>
        <v>1</v>
      </c>
      <c r="Q22" s="16">
        <f t="shared" si="1"/>
        <v>0</v>
      </c>
      <c r="R22" s="16">
        <f t="shared" si="1"/>
        <v>0</v>
      </c>
      <c r="V22" s="2"/>
    </row>
    <row r="23" spans="2:22" ht="19.5" thickBot="1" x14ac:dyDescent="0.35">
      <c r="B23" s="52" t="s">
        <v>31</v>
      </c>
      <c r="C23" s="58">
        <f>0.5*E10*(1-I19)^2/(1-MIN(1,I20)*I19)</f>
        <v>39.070480081716035</v>
      </c>
      <c r="D23" s="26"/>
      <c r="E23" s="26"/>
      <c r="F23" s="40" t="s">
        <v>11</v>
      </c>
      <c r="G23" s="58">
        <f>225*((I20-1)+SQRT((I20-1)^2+16*I20/(I16*3600)))</f>
        <v>9.6497558589869517</v>
      </c>
      <c r="H23" s="26"/>
      <c r="I23" s="40" t="s">
        <v>32</v>
      </c>
      <c r="J23" s="58">
        <f>G23+C23</f>
        <v>48.720235940702985</v>
      </c>
      <c r="K23" s="27" t="s">
        <v>33</v>
      </c>
      <c r="M23" s="67">
        <f t="shared" ref="M23:R23" si="2">IF(M22=1,M19,0)</f>
        <v>0</v>
      </c>
      <c r="N23" s="67">
        <f t="shared" si="2"/>
        <v>0</v>
      </c>
      <c r="O23" s="67">
        <f t="shared" si="2"/>
        <v>0</v>
      </c>
      <c r="P23" s="67" t="str">
        <f t="shared" si="2"/>
        <v>D</v>
      </c>
      <c r="Q23" s="67">
        <f t="shared" si="2"/>
        <v>0</v>
      </c>
      <c r="R23" s="67">
        <f t="shared" si="2"/>
        <v>0</v>
      </c>
    </row>
    <row r="24" spans="2:22" ht="15.75" thickBot="1" x14ac:dyDescent="0.3"/>
    <row r="25" spans="2:22" ht="16.5" thickBot="1" x14ac:dyDescent="0.3">
      <c r="B25" s="52" t="s">
        <v>7</v>
      </c>
      <c r="C25" s="59">
        <f>I21*E18/3600</f>
        <v>8.0617977528089888</v>
      </c>
      <c r="D25" s="26" t="s">
        <v>8</v>
      </c>
      <c r="E25" s="26"/>
      <c r="F25" s="40" t="s">
        <v>9</v>
      </c>
      <c r="G25" s="59">
        <f>I16*G23</f>
        <v>1.0965631657939718</v>
      </c>
      <c r="H25" s="26" t="s">
        <v>8</v>
      </c>
      <c r="I25" s="40" t="s">
        <v>13</v>
      </c>
      <c r="J25" s="59">
        <f>G25+C25</f>
        <v>9.1583609186029609</v>
      </c>
      <c r="K25" s="27" t="s">
        <v>34</v>
      </c>
    </row>
    <row r="26" spans="2:22" ht="15.75" x14ac:dyDescent="0.25">
      <c r="B26" s="30"/>
      <c r="C26" s="195"/>
      <c r="D26" s="8"/>
      <c r="E26" s="8"/>
      <c r="F26" s="30"/>
      <c r="G26" s="195"/>
      <c r="H26" s="8"/>
      <c r="I26" s="30"/>
      <c r="J26" s="195"/>
      <c r="K26" s="8"/>
    </row>
    <row r="28" spans="2:22" x14ac:dyDescent="0.25">
      <c r="I28" s="2" t="s">
        <v>84</v>
      </c>
    </row>
    <row r="29" spans="2:22" x14ac:dyDescent="0.25">
      <c r="B29" s="2" t="s">
        <v>17</v>
      </c>
      <c r="C29" s="2"/>
      <c r="D29" s="3" t="s">
        <v>22</v>
      </c>
      <c r="E29" s="2"/>
      <c r="F29" s="2" t="s">
        <v>23</v>
      </c>
      <c r="G29" s="2"/>
      <c r="H29" s="2"/>
      <c r="I29" s="2" t="s">
        <v>24</v>
      </c>
      <c r="J29" s="2" t="s">
        <v>25</v>
      </c>
      <c r="K29" s="2"/>
      <c r="L29" s="2" t="s">
        <v>26</v>
      </c>
      <c r="M29" s="2"/>
      <c r="N29" s="2"/>
      <c r="O29" s="2" t="s">
        <v>27</v>
      </c>
      <c r="P29" s="2"/>
    </row>
    <row r="30" spans="2:22" x14ac:dyDescent="0.25">
      <c r="B30" s="45" t="s">
        <v>18</v>
      </c>
      <c r="C30" s="4"/>
      <c r="D30" s="4">
        <v>1.04</v>
      </c>
      <c r="E30" s="4"/>
      <c r="F30" s="5">
        <f>D30*SQRT(1/J25)</f>
        <v>0.34365642038326832</v>
      </c>
      <c r="G30" s="4"/>
      <c r="H30" s="4"/>
      <c r="I30" s="5">
        <f>$K$20*MIN(1.8,1+F30+0.6*D30^0.24*$I$19^0.33*(1-EXP(2-2*$I$20)))</f>
        <v>0</v>
      </c>
      <c r="J30" s="6">
        <f>(1-$K$20)*MIN(1.8, 1+F30)</f>
        <v>1.3436564203832684</v>
      </c>
      <c r="K30" s="4"/>
      <c r="L30" s="4">
        <f>MAX(I30,J30)*$J$25</f>
        <v>12.305690448468075</v>
      </c>
      <c r="M30" s="4"/>
      <c r="N30" s="4"/>
      <c r="O30" s="7">
        <f>ROUND(L30*$E$11/100,0)*100</f>
        <v>300</v>
      </c>
    </row>
    <row r="31" spans="2:22" x14ac:dyDescent="0.25">
      <c r="B31" s="46" t="s">
        <v>19</v>
      </c>
      <c r="C31" s="8"/>
      <c r="D31" s="8">
        <v>1.28</v>
      </c>
      <c r="E31" s="8"/>
      <c r="F31" s="9">
        <f>D31*SQRT(1/J25)</f>
        <v>0.4229617481640226</v>
      </c>
      <c r="G31" s="8"/>
      <c r="H31" s="8"/>
      <c r="I31" s="9">
        <f t="shared" ref="I31:I32" si="3">$K$20*MIN(1.8,1+F31+0.6*D31^0.24*$I$19^0.33*(1-EXP(2-2*$I$20)))</f>
        <v>0</v>
      </c>
      <c r="J31" s="10">
        <f t="shared" ref="J31:J32" si="4">(1-$K$20)*MIN(1.8, 1+F31)</f>
        <v>1.4229617481640227</v>
      </c>
      <c r="K31" s="8"/>
      <c r="L31" s="8">
        <f t="shared" ref="L31:L32" si="5">MAX(I31,J31)*$J$25</f>
        <v>13.031997263052334</v>
      </c>
      <c r="M31" s="8"/>
      <c r="N31" s="8"/>
      <c r="O31" s="11">
        <f>ROUND(L31*$E$11/100,0)*100</f>
        <v>300</v>
      </c>
    </row>
    <row r="32" spans="2:22" x14ac:dyDescent="0.25">
      <c r="B32" s="47" t="s">
        <v>20</v>
      </c>
      <c r="C32" s="12"/>
      <c r="D32" s="12">
        <v>1.64</v>
      </c>
      <c r="E32" s="12"/>
      <c r="F32" s="13">
        <f>D32*SQRT(1/J25)</f>
        <v>0.54191973983515385</v>
      </c>
      <c r="G32" s="12"/>
      <c r="H32" s="12"/>
      <c r="I32" s="13">
        <f t="shared" si="3"/>
        <v>0</v>
      </c>
      <c r="J32" s="14">
        <f t="shared" si="4"/>
        <v>1.5419197398351538</v>
      </c>
      <c r="K32" s="12"/>
      <c r="L32" s="12">
        <f t="shared" si="5"/>
        <v>14.121457484928719</v>
      </c>
      <c r="M32" s="12"/>
      <c r="N32" s="12"/>
      <c r="O32" s="15">
        <f>ROUND(L32*$E$11/100,0)*100</f>
        <v>400</v>
      </c>
    </row>
  </sheetData>
  <conditionalFormatting sqref="M23:R23">
    <cfRule type="cellIs" dxfId="155" priority="1" operator="equal">
      <formula>0</formula>
    </cfRule>
    <cfRule type="cellIs" dxfId="154" priority="2" operator="equal">
      <formula>0</formula>
    </cfRule>
    <cfRule type="cellIs" dxfId="153" priority="3" operator="equal">
      <formula>0</formula>
    </cfRule>
  </conditionalFormatting>
  <pageMargins left="0.7" right="0.7" top="0.75" bottom="0.75" header="0.3" footer="0.3"/>
  <pageSetup orientation="portrait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0"/>
  <sheetViews>
    <sheetView workbookViewId="0">
      <selection activeCell="I13" sqref="I13"/>
    </sheetView>
  </sheetViews>
  <sheetFormatPr defaultRowHeight="15" x14ac:dyDescent="0.25"/>
  <cols>
    <col min="1" max="1" width="6.42578125" customWidth="1"/>
    <col min="4" max="4" width="22.28515625" customWidth="1"/>
    <col min="5" max="6" width="10" customWidth="1"/>
    <col min="8" max="8" width="15.7109375" customWidth="1"/>
    <col min="10" max="10" width="11.5703125" customWidth="1"/>
    <col min="11" max="11" width="11.28515625" customWidth="1"/>
    <col min="15" max="15" width="13.140625" customWidth="1"/>
  </cols>
  <sheetData>
    <row r="1" spans="1:20" ht="15.75" thickBot="1" x14ac:dyDescent="0.3"/>
    <row r="2" spans="1:20" ht="19.5" thickBot="1" x14ac:dyDescent="0.35">
      <c r="A2" s="39" t="s">
        <v>56</v>
      </c>
      <c r="B2" s="43" t="s">
        <v>55</v>
      </c>
      <c r="C2" s="2"/>
      <c r="D2" s="2"/>
      <c r="E2" s="2"/>
      <c r="F2" s="2"/>
      <c r="I2" s="25"/>
      <c r="J2" s="41" t="s">
        <v>45</v>
      </c>
      <c r="K2" s="41"/>
      <c r="L2" s="41"/>
      <c r="M2" s="41"/>
      <c r="N2" s="41"/>
      <c r="O2" s="41"/>
      <c r="P2" s="41"/>
      <c r="Q2" s="27"/>
    </row>
    <row r="3" spans="1:20" x14ac:dyDescent="0.25">
      <c r="G3" s="2"/>
      <c r="I3" s="17"/>
      <c r="J3" s="18"/>
      <c r="K3" s="18"/>
      <c r="L3" s="18"/>
      <c r="M3" s="18"/>
      <c r="N3" s="18"/>
      <c r="O3" s="18"/>
      <c r="P3" s="18"/>
      <c r="Q3" s="19"/>
    </row>
    <row r="4" spans="1:20" ht="15.75" thickBot="1" x14ac:dyDescent="0.3">
      <c r="G4" s="2"/>
      <c r="I4" s="20"/>
      <c r="J4" s="8"/>
      <c r="K4" s="8"/>
      <c r="L4" s="8"/>
      <c r="M4" s="8"/>
      <c r="N4" s="8"/>
      <c r="O4" s="8"/>
      <c r="P4" s="8"/>
      <c r="Q4" s="21"/>
    </row>
    <row r="5" spans="1:20" ht="18.75" x14ac:dyDescent="0.3">
      <c r="B5" s="122" t="s">
        <v>54</v>
      </c>
      <c r="C5" s="123"/>
      <c r="D5" s="123"/>
      <c r="E5" s="121" t="s">
        <v>96</v>
      </c>
      <c r="F5" s="37">
        <f>IF(E5="APP",1,0)</f>
        <v>0</v>
      </c>
      <c r="G5" s="2"/>
      <c r="I5" s="20"/>
      <c r="J5" s="8"/>
      <c r="K5" s="8"/>
      <c r="L5" s="8"/>
      <c r="M5" s="8"/>
      <c r="N5" s="8"/>
      <c r="O5" s="8"/>
      <c r="P5" s="8"/>
      <c r="Q5" s="21"/>
    </row>
    <row r="6" spans="1:20" ht="18.75" x14ac:dyDescent="0.3">
      <c r="B6" s="33" t="s">
        <v>50</v>
      </c>
      <c r="C6" s="32"/>
      <c r="D6" s="32"/>
      <c r="E6" s="72">
        <v>0</v>
      </c>
      <c r="F6" s="97" t="s">
        <v>14</v>
      </c>
      <c r="G6" s="2"/>
      <c r="I6" s="36" t="s">
        <v>48</v>
      </c>
      <c r="J6" s="30"/>
      <c r="K6" s="30"/>
      <c r="L6" s="8">
        <f>ROUND((E6+E7)/(E6/E8+E7/E9)/10,0)*10</f>
        <v>1550</v>
      </c>
      <c r="M6" s="8" t="s">
        <v>14</v>
      </c>
      <c r="N6" s="8" t="s">
        <v>63</v>
      </c>
      <c r="O6" s="8"/>
      <c r="P6" s="8"/>
      <c r="Q6" s="21"/>
    </row>
    <row r="7" spans="1:20" ht="18.75" x14ac:dyDescent="0.3">
      <c r="B7" s="33" t="s">
        <v>29</v>
      </c>
      <c r="C7" s="32"/>
      <c r="D7" s="32"/>
      <c r="E7" s="72">
        <f>'BASELINE-APP'!E10</f>
        <v>75</v>
      </c>
      <c r="F7" s="21" t="s">
        <v>14</v>
      </c>
      <c r="G7" s="2"/>
      <c r="I7" s="36" t="s">
        <v>46</v>
      </c>
      <c r="J7" s="30"/>
      <c r="K7" s="30"/>
      <c r="L7" s="8">
        <f>E6/(E8*I18)</f>
        <v>0</v>
      </c>
      <c r="M7" s="8"/>
      <c r="N7" s="8" t="s">
        <v>57</v>
      </c>
      <c r="O7" s="8"/>
      <c r="P7" s="8"/>
      <c r="Q7" s="21"/>
    </row>
    <row r="8" spans="1:20" ht="18.75" x14ac:dyDescent="0.3">
      <c r="B8" s="33" t="s">
        <v>28</v>
      </c>
      <c r="C8" s="32"/>
      <c r="D8" s="32"/>
      <c r="E8" s="72">
        <f>'BASELINE-APP'!E12</f>
        <v>1800</v>
      </c>
      <c r="F8" s="21" t="s">
        <v>14</v>
      </c>
      <c r="I8" s="36" t="s">
        <v>58</v>
      </c>
      <c r="J8" s="30"/>
      <c r="K8" s="30"/>
      <c r="L8" s="8">
        <f>ROUND(20.226+81.791*L7^2+1.65*E6^2/10000,0)</f>
        <v>20</v>
      </c>
      <c r="M8" s="8" t="s">
        <v>14</v>
      </c>
      <c r="N8" s="8"/>
      <c r="O8" s="8"/>
      <c r="P8" s="8"/>
      <c r="Q8" s="21"/>
    </row>
    <row r="9" spans="1:20" ht="18.75" x14ac:dyDescent="0.3">
      <c r="B9" s="33" t="s">
        <v>30</v>
      </c>
      <c r="C9" s="32"/>
      <c r="D9" s="32"/>
      <c r="E9" s="72">
        <f>'BASELINE-APP'!E13</f>
        <v>1550</v>
      </c>
      <c r="F9" s="21" t="s">
        <v>14</v>
      </c>
      <c r="I9" s="36" t="s">
        <v>59</v>
      </c>
      <c r="J9" s="30"/>
      <c r="K9" s="30"/>
      <c r="L9" s="8">
        <f>ROUND(MAX(0,0.5*(E6-E7*E8/E9)),0)</f>
        <v>0</v>
      </c>
      <c r="M9" s="8" t="s">
        <v>14</v>
      </c>
      <c r="N9" s="8"/>
      <c r="O9" s="8"/>
      <c r="P9" s="8"/>
      <c r="Q9" s="21"/>
    </row>
    <row r="10" spans="1:20" ht="18.75" x14ac:dyDescent="0.3">
      <c r="B10" s="33" t="s">
        <v>51</v>
      </c>
      <c r="C10" s="32"/>
      <c r="D10" s="32"/>
      <c r="E10" s="72">
        <f>ATL!E10</f>
        <v>25</v>
      </c>
      <c r="F10" s="21" t="s">
        <v>15</v>
      </c>
      <c r="I10" s="36" t="s">
        <v>60</v>
      </c>
      <c r="J10" s="30"/>
      <c r="K10" s="30"/>
      <c r="L10" s="8">
        <f>IF('BASELINE-APP'!I7=0,'BASELINE-APP'!M10,IF('BASELINE-APP'!I8=0,'BASELINE-APP'!E10,'BASELINE-APP'!M10))</f>
        <v>75</v>
      </c>
      <c r="M10" s="8" t="s">
        <v>14</v>
      </c>
      <c r="N10" s="8">
        <f>IF('BASELINE-APP'!I7=0,0,IF('BASELINE-APP'!I8=0,1,0))</f>
        <v>1</v>
      </c>
      <c r="O10" s="8" t="s">
        <v>86</v>
      </c>
      <c r="P10" s="8"/>
      <c r="Q10" s="21"/>
    </row>
    <row r="11" spans="1:20" ht="18.75" x14ac:dyDescent="0.3">
      <c r="B11" s="33" t="s">
        <v>52</v>
      </c>
      <c r="C11" s="32"/>
      <c r="D11" s="32"/>
      <c r="E11" s="72">
        <f>'BASELINE-APP'!E15</f>
        <v>110</v>
      </c>
      <c r="F11" s="21" t="s">
        <v>15</v>
      </c>
      <c r="I11" s="36" t="s">
        <v>61</v>
      </c>
      <c r="J11" s="30"/>
      <c r="K11" s="30"/>
      <c r="L11" s="8">
        <f>E6-(1-N10)*L10</f>
        <v>0</v>
      </c>
      <c r="M11" s="28" t="s">
        <v>14</v>
      </c>
      <c r="N11" s="8"/>
      <c r="O11" s="8"/>
      <c r="P11" s="8"/>
      <c r="Q11" s="21"/>
      <c r="T11" s="64"/>
    </row>
    <row r="12" spans="1:20" ht="19.5" thickBot="1" x14ac:dyDescent="0.35">
      <c r="B12" s="34" t="s">
        <v>43</v>
      </c>
      <c r="C12" s="35"/>
      <c r="D12" s="35"/>
      <c r="E12" s="73">
        <f>'BASELINE-APP'!E17</f>
        <v>25</v>
      </c>
      <c r="F12" s="24" t="s">
        <v>16</v>
      </c>
      <c r="I12" s="20"/>
      <c r="J12" s="8"/>
      <c r="K12" s="8"/>
      <c r="L12" s="8"/>
      <c r="M12" s="8"/>
      <c r="N12" s="8"/>
      <c r="O12" s="8"/>
      <c r="P12" s="8"/>
      <c r="Q12" s="21"/>
    </row>
    <row r="13" spans="1:20" x14ac:dyDescent="0.25">
      <c r="I13" s="20" t="s">
        <v>92</v>
      </c>
      <c r="J13" s="8"/>
      <c r="K13" s="8"/>
      <c r="L13" s="8"/>
      <c r="M13" s="8"/>
      <c r="N13" s="8"/>
      <c r="O13" s="8"/>
      <c r="P13" s="8"/>
      <c r="Q13" s="21"/>
    </row>
    <row r="14" spans="1:20" ht="15.75" thickBot="1" x14ac:dyDescent="0.3">
      <c r="I14" s="20"/>
      <c r="J14" s="8"/>
      <c r="K14" s="8"/>
      <c r="L14" s="23"/>
      <c r="M14" s="23"/>
      <c r="N14" s="23"/>
      <c r="O14" s="23"/>
      <c r="P14" s="23"/>
      <c r="Q14" s="24"/>
    </row>
    <row r="15" spans="1:20" x14ac:dyDescent="0.25">
      <c r="B15" s="44" t="s">
        <v>44</v>
      </c>
      <c r="C15" s="29"/>
      <c r="D15" s="29"/>
      <c r="E15" s="48">
        <v>0</v>
      </c>
      <c r="F15" s="42" t="s">
        <v>14</v>
      </c>
      <c r="G15" s="29" t="s">
        <v>10</v>
      </c>
      <c r="H15" s="29"/>
      <c r="I15" s="53">
        <f>E17*(E10/E11)/3600</f>
        <v>9.7853535353535345E-2</v>
      </c>
      <c r="J15" s="18" t="s">
        <v>12</v>
      </c>
      <c r="K15" s="19"/>
    </row>
    <row r="16" spans="1:20" x14ac:dyDescent="0.25">
      <c r="B16" s="36" t="s">
        <v>0</v>
      </c>
      <c r="C16" s="30"/>
      <c r="D16" s="8"/>
      <c r="E16" s="49">
        <f>E15+IF(E5="CTL",0,E7)</f>
        <v>75</v>
      </c>
      <c r="F16" s="8" t="s">
        <v>14</v>
      </c>
      <c r="G16" s="30" t="s">
        <v>5</v>
      </c>
      <c r="H16" s="30"/>
      <c r="I16" s="54">
        <f>E11-E10</f>
        <v>85</v>
      </c>
      <c r="J16" s="8" t="s">
        <v>15</v>
      </c>
      <c r="K16" s="21"/>
    </row>
    <row r="17" spans="2:22" ht="15.75" thickBot="1" x14ac:dyDescent="0.3">
      <c r="B17" s="36" t="s">
        <v>1</v>
      </c>
      <c r="C17" s="30"/>
      <c r="D17" s="8"/>
      <c r="E17" s="49">
        <f>IF(E5  &lt;&gt; "CTL",ROUND(E16/(E7/E9+E15/E8)/10,0)*10,E8)</f>
        <v>1550</v>
      </c>
      <c r="F17" s="8" t="s">
        <v>14</v>
      </c>
      <c r="G17" s="30" t="s">
        <v>2</v>
      </c>
      <c r="H17" s="30"/>
      <c r="I17" s="55">
        <f>E16/E17</f>
        <v>4.8387096774193547E-2</v>
      </c>
      <c r="J17" s="8"/>
      <c r="K17" s="21"/>
      <c r="O17" s="2" t="s">
        <v>41</v>
      </c>
      <c r="P17" s="2"/>
    </row>
    <row r="18" spans="2:22" ht="16.5" thickBot="1" x14ac:dyDescent="0.3">
      <c r="B18" s="36" t="s">
        <v>82</v>
      </c>
      <c r="C18" s="30"/>
      <c r="D18" s="8"/>
      <c r="E18" s="50">
        <f>E7/(E7+E6)</f>
        <v>1</v>
      </c>
      <c r="F18" s="8"/>
      <c r="G18" s="30" t="s">
        <v>3</v>
      </c>
      <c r="H18" s="30"/>
      <c r="I18" s="55">
        <f>E10/E11</f>
        <v>0.22727272727272727</v>
      </c>
      <c r="J18" s="8"/>
      <c r="K18" s="21" t="s">
        <v>21</v>
      </c>
      <c r="M18" s="61" t="s">
        <v>35</v>
      </c>
      <c r="N18" s="62" t="s">
        <v>36</v>
      </c>
      <c r="O18" s="63" t="s">
        <v>37</v>
      </c>
      <c r="P18" s="65" t="s">
        <v>38</v>
      </c>
      <c r="Q18" s="60" t="s">
        <v>39</v>
      </c>
      <c r="R18" s="66" t="s">
        <v>40</v>
      </c>
    </row>
    <row r="19" spans="2:22" x14ac:dyDescent="0.25">
      <c r="B19" s="20"/>
      <c r="C19" s="8"/>
      <c r="D19" s="8"/>
      <c r="E19" s="8"/>
      <c r="F19" s="8"/>
      <c r="G19" s="30" t="s">
        <v>4</v>
      </c>
      <c r="H19" s="30"/>
      <c r="I19" s="56">
        <f>I17/I18</f>
        <v>0.2129032258064516</v>
      </c>
      <c r="J19" s="8"/>
      <c r="K19" s="21">
        <f>IF(I19&gt;1,1,0)</f>
        <v>0</v>
      </c>
      <c r="L19" s="1" t="s">
        <v>64</v>
      </c>
      <c r="M19" s="1">
        <v>10</v>
      </c>
      <c r="N19" s="1">
        <v>20</v>
      </c>
      <c r="O19" s="1">
        <v>35</v>
      </c>
      <c r="P19" s="1">
        <v>55</v>
      </c>
      <c r="Q19" s="1">
        <v>80</v>
      </c>
      <c r="R19" s="1" t="s">
        <v>42</v>
      </c>
      <c r="V19" s="2"/>
    </row>
    <row r="20" spans="2:22" ht="15.75" thickBot="1" x14ac:dyDescent="0.3">
      <c r="B20" s="20"/>
      <c r="C20" s="8"/>
      <c r="D20" s="8"/>
      <c r="E20" s="8"/>
      <c r="F20" s="8"/>
      <c r="G20" s="30" t="s">
        <v>6</v>
      </c>
      <c r="H20" s="30"/>
      <c r="I20" s="57">
        <f>MIN(E10,I16*I17/(1-I17))</f>
        <v>4.3220338983050839</v>
      </c>
      <c r="J20" s="8" t="s">
        <v>15</v>
      </c>
      <c r="K20" s="21"/>
      <c r="M20" s="16">
        <f t="shared" ref="M20:R20" si="0">IF($J$22&lt;=M19,1,0)</f>
        <v>0</v>
      </c>
      <c r="N20" s="16">
        <f t="shared" si="0"/>
        <v>0</v>
      </c>
      <c r="O20" s="16">
        <f t="shared" si="0"/>
        <v>0</v>
      </c>
      <c r="P20" s="16">
        <f t="shared" si="0"/>
        <v>1</v>
      </c>
      <c r="Q20" s="16">
        <f t="shared" si="0"/>
        <v>1</v>
      </c>
      <c r="R20" s="16">
        <f t="shared" si="0"/>
        <v>1</v>
      </c>
      <c r="V20" s="2"/>
    </row>
    <row r="21" spans="2:22" ht="15.75" thickBot="1" x14ac:dyDescent="0.3">
      <c r="B21" s="22"/>
      <c r="C21" s="23"/>
      <c r="D21" s="23"/>
      <c r="E21" s="23"/>
      <c r="F21" s="23"/>
      <c r="G21" s="23"/>
      <c r="H21" s="23"/>
      <c r="I21" s="23"/>
      <c r="J21" s="23"/>
      <c r="K21" s="24"/>
      <c r="M21" s="16">
        <f>M20-L22</f>
        <v>0</v>
      </c>
      <c r="N21" s="16">
        <f t="shared" ref="N21:R21" si="1">N20-M20</f>
        <v>0</v>
      </c>
      <c r="O21" s="16">
        <f t="shared" si="1"/>
        <v>0</v>
      </c>
      <c r="P21" s="16">
        <f t="shared" si="1"/>
        <v>1</v>
      </c>
      <c r="Q21" s="16">
        <f t="shared" si="1"/>
        <v>0</v>
      </c>
      <c r="R21" s="16">
        <f t="shared" si="1"/>
        <v>0</v>
      </c>
      <c r="V21" s="2"/>
    </row>
    <row r="22" spans="2:22" ht="19.5" thickBot="1" x14ac:dyDescent="0.35">
      <c r="B22" s="52" t="s">
        <v>31</v>
      </c>
      <c r="C22" s="58">
        <f>0.5*E11*(1-I18)^2/(1-MIN(1,I19)*I18)</f>
        <v>34.510785824345142</v>
      </c>
      <c r="D22" s="26"/>
      <c r="E22" s="26"/>
      <c r="F22" s="40" t="s">
        <v>11</v>
      </c>
      <c r="G22" s="58">
        <f>225*((I19-1)+SQRT((I19-1)^2+16*I19/(I15*3600)))</f>
        <v>1.3767742448564242</v>
      </c>
      <c r="H22" s="26"/>
      <c r="I22" s="40" t="s">
        <v>32</v>
      </c>
      <c r="J22" s="58">
        <f>G22+C22</f>
        <v>35.887560069201569</v>
      </c>
      <c r="K22" s="27" t="s">
        <v>33</v>
      </c>
      <c r="M22" s="67">
        <f t="shared" ref="M22:R22" si="2">IF(M21=1,M18,0)</f>
        <v>0</v>
      </c>
      <c r="N22" s="67">
        <f t="shared" si="2"/>
        <v>0</v>
      </c>
      <c r="O22" s="67">
        <f t="shared" si="2"/>
        <v>0</v>
      </c>
      <c r="P22" s="67" t="str">
        <f t="shared" si="2"/>
        <v>D</v>
      </c>
      <c r="Q22" s="67">
        <f t="shared" si="2"/>
        <v>0</v>
      </c>
      <c r="R22" s="67">
        <f t="shared" si="2"/>
        <v>0</v>
      </c>
    </row>
    <row r="23" spans="2:22" ht="15.75" thickBot="1" x14ac:dyDescent="0.3"/>
    <row r="24" spans="2:22" ht="16.5" thickBot="1" x14ac:dyDescent="0.3">
      <c r="B24" s="52" t="s">
        <v>7</v>
      </c>
      <c r="C24" s="59">
        <f>I20*E17/3600</f>
        <v>1.8608757062146888</v>
      </c>
      <c r="D24" s="26" t="s">
        <v>8</v>
      </c>
      <c r="E24" s="26"/>
      <c r="F24" s="40" t="s">
        <v>9</v>
      </c>
      <c r="G24" s="59">
        <f>I15*G22</f>
        <v>0.13472222724289504</v>
      </c>
      <c r="H24" s="26" t="s">
        <v>8</v>
      </c>
      <c r="I24" s="40" t="s">
        <v>13</v>
      </c>
      <c r="J24" s="59">
        <f>G24+C24</f>
        <v>1.9955979334575837</v>
      </c>
      <c r="K24" s="27" t="s">
        <v>34</v>
      </c>
    </row>
    <row r="26" spans="2:22" x14ac:dyDescent="0.25">
      <c r="I26" s="95" t="s">
        <v>83</v>
      </c>
      <c r="J26" s="95"/>
    </row>
    <row r="27" spans="2:22" x14ac:dyDescent="0.25">
      <c r="B27" s="2" t="s">
        <v>17</v>
      </c>
      <c r="C27" s="2"/>
      <c r="D27" s="3" t="s">
        <v>22</v>
      </c>
      <c r="E27" s="2"/>
      <c r="F27" s="2" t="s">
        <v>23</v>
      </c>
      <c r="G27" s="2"/>
      <c r="H27" s="2"/>
      <c r="I27" s="2" t="s">
        <v>24</v>
      </c>
      <c r="J27" s="2" t="s">
        <v>25</v>
      </c>
      <c r="K27" s="2"/>
      <c r="L27" s="2" t="s">
        <v>26</v>
      </c>
      <c r="M27" s="2"/>
      <c r="N27" s="2"/>
      <c r="O27" s="2" t="s">
        <v>27</v>
      </c>
      <c r="P27" s="2"/>
    </row>
    <row r="28" spans="2:22" x14ac:dyDescent="0.25">
      <c r="B28" s="45" t="s">
        <v>18</v>
      </c>
      <c r="C28" s="4"/>
      <c r="D28" s="4">
        <v>1.04</v>
      </c>
      <c r="E28" s="4"/>
      <c r="F28" s="5">
        <f>D28*SQRT(1/J24)</f>
        <v>0.73620170096490034</v>
      </c>
      <c r="G28" s="4"/>
      <c r="H28" s="4"/>
      <c r="I28" s="5">
        <f>$K$19*MIN(1.8,1+F28+0.6*D28^0.24*$I$18^0.33*(1-EXP(2-2*$I$19)))</f>
        <v>0</v>
      </c>
      <c r="J28" s="6">
        <f>(1-$K$19)*MIN(1.8, 1+F28)</f>
        <v>1.7362017009649002</v>
      </c>
      <c r="K28" s="4"/>
      <c r="L28" s="4">
        <f>MAX(I28,J28)*$J$24</f>
        <v>3.4647605265110966</v>
      </c>
      <c r="M28" s="4"/>
      <c r="N28" s="4"/>
      <c r="O28" s="7">
        <f>ROUND(L28*$E$12/100,0)*100</f>
        <v>100</v>
      </c>
    </row>
    <row r="29" spans="2:22" x14ac:dyDescent="0.25">
      <c r="B29" s="46" t="s">
        <v>19</v>
      </c>
      <c r="C29" s="8"/>
      <c r="D29" s="8">
        <v>1.28</v>
      </c>
      <c r="E29" s="8"/>
      <c r="F29" s="9">
        <f>D29*SQRT(1/J24)</f>
        <v>0.90609440118756968</v>
      </c>
      <c r="G29" s="8"/>
      <c r="H29" s="8"/>
      <c r="I29" s="9">
        <f t="shared" ref="I29:I30" si="3">$K$19*MIN(1.8,1+F29+0.6*D29^0.24*$I$18^0.33*(1-EXP(2-2*$I$19)))</f>
        <v>0</v>
      </c>
      <c r="J29" s="10">
        <f t="shared" ref="J29:J30" si="4">(1-$K$19)*MIN(1.8, 1+F29)</f>
        <v>1.8</v>
      </c>
      <c r="K29" s="8"/>
      <c r="L29" s="8">
        <f t="shared" ref="L29:L30" si="5">MAX(I29,J29)*$J$24</f>
        <v>3.592076280223651</v>
      </c>
      <c r="M29" s="8"/>
      <c r="N29" s="8"/>
      <c r="O29" s="11">
        <f>ROUND(L29*$E$12/100,0)*100</f>
        <v>100</v>
      </c>
    </row>
    <row r="30" spans="2:22" x14ac:dyDescent="0.25">
      <c r="B30" s="47" t="s">
        <v>20</v>
      </c>
      <c r="C30" s="12"/>
      <c r="D30" s="12">
        <v>1.64</v>
      </c>
      <c r="E30" s="12"/>
      <c r="F30" s="13">
        <f>D30*SQRT(1/J24)</f>
        <v>1.1609334515215735</v>
      </c>
      <c r="G30" s="12"/>
      <c r="H30" s="12"/>
      <c r="I30" s="13">
        <f t="shared" si="3"/>
        <v>0</v>
      </c>
      <c r="J30" s="14">
        <f t="shared" si="4"/>
        <v>1.8</v>
      </c>
      <c r="K30" s="12"/>
      <c r="L30" s="12">
        <f t="shared" si="5"/>
        <v>3.592076280223651</v>
      </c>
      <c r="M30" s="12"/>
      <c r="N30" s="12"/>
      <c r="O30" s="15">
        <f>ROUND(L30*$E$12/100,0)*100</f>
        <v>100</v>
      </c>
    </row>
  </sheetData>
  <conditionalFormatting sqref="M22:R22">
    <cfRule type="cellIs" dxfId="152" priority="1" operator="equal">
      <formula>0</formula>
    </cfRule>
    <cfRule type="cellIs" dxfId="151" priority="2" operator="equal">
      <formula>0</formula>
    </cfRule>
    <cfRule type="cellIs" dxfId="150" priority="3" operator="equal">
      <formula>0</formula>
    </cfRule>
  </conditionalFormatting>
  <pageMargins left="0.7" right="0.7" top="0.75" bottom="0.75" header="0.3" footer="0.3"/>
  <pageSetup orientation="portrait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0"/>
  <sheetViews>
    <sheetView workbookViewId="0">
      <selection activeCell="N10" sqref="N10"/>
    </sheetView>
  </sheetViews>
  <sheetFormatPr defaultRowHeight="15" x14ac:dyDescent="0.25"/>
  <cols>
    <col min="1" max="1" width="6.42578125" style="497" customWidth="1"/>
    <col min="2" max="3" width="9.140625" style="497"/>
    <col min="4" max="4" width="22.28515625" style="497" customWidth="1"/>
    <col min="5" max="6" width="10" style="497" customWidth="1"/>
    <col min="7" max="7" width="9.140625" style="497"/>
    <col min="8" max="8" width="15.7109375" style="497" customWidth="1"/>
    <col min="9" max="9" width="9.140625" style="497"/>
    <col min="10" max="10" width="11.5703125" style="497" customWidth="1"/>
    <col min="11" max="11" width="11.28515625" style="497" customWidth="1"/>
    <col min="12" max="14" width="9.140625" style="497"/>
    <col min="15" max="15" width="13.140625" style="497" customWidth="1"/>
    <col min="16" max="16384" width="9.140625" style="497"/>
  </cols>
  <sheetData>
    <row r="1" spans="1:20" ht="15.75" thickBot="1" x14ac:dyDescent="0.3"/>
    <row r="2" spans="1:20" ht="19.5" thickBot="1" x14ac:dyDescent="0.35">
      <c r="A2" s="39" t="s">
        <v>56</v>
      </c>
      <c r="B2" s="43" t="s">
        <v>55</v>
      </c>
      <c r="C2" s="2"/>
      <c r="D2" s="2"/>
      <c r="E2" s="2"/>
      <c r="F2" s="2"/>
      <c r="I2" s="25"/>
      <c r="J2" s="41" t="s">
        <v>45</v>
      </c>
      <c r="K2" s="41"/>
      <c r="L2" s="41"/>
      <c r="M2" s="41"/>
      <c r="N2" s="41"/>
      <c r="O2" s="41"/>
      <c r="P2" s="41"/>
      <c r="Q2" s="27"/>
    </row>
    <row r="3" spans="1:20" x14ac:dyDescent="0.25">
      <c r="G3" s="2"/>
      <c r="I3" s="17"/>
      <c r="J3" s="18"/>
      <c r="K3" s="18"/>
      <c r="L3" s="18"/>
      <c r="M3" s="18"/>
      <c r="N3" s="18"/>
      <c r="O3" s="18"/>
      <c r="P3" s="18"/>
      <c r="Q3" s="19"/>
    </row>
    <row r="4" spans="1:20" ht="15.75" thickBot="1" x14ac:dyDescent="0.3">
      <c r="G4" s="2"/>
      <c r="I4" s="20"/>
      <c r="J4" s="8"/>
      <c r="K4" s="8"/>
      <c r="L4" s="8"/>
      <c r="M4" s="8"/>
      <c r="N4" s="8"/>
      <c r="O4" s="8"/>
      <c r="P4" s="8"/>
      <c r="Q4" s="21"/>
    </row>
    <row r="5" spans="1:20" ht="18.75" x14ac:dyDescent="0.3">
      <c r="B5" s="122" t="s">
        <v>54</v>
      </c>
      <c r="C5" s="123"/>
      <c r="D5" s="123"/>
      <c r="E5" s="121" t="s">
        <v>96</v>
      </c>
      <c r="F5" s="37">
        <f>IF(E5="APP",1,0)</f>
        <v>0</v>
      </c>
      <c r="G5" s="2"/>
      <c r="I5" s="20"/>
      <c r="J5" s="8"/>
      <c r="K5" s="8"/>
      <c r="L5" s="8"/>
      <c r="M5" s="8"/>
      <c r="N5" s="8"/>
      <c r="O5" s="8"/>
      <c r="P5" s="8"/>
      <c r="Q5" s="21"/>
    </row>
    <row r="6" spans="1:20" ht="18.75" x14ac:dyDescent="0.3">
      <c r="B6" s="33" t="s">
        <v>50</v>
      </c>
      <c r="C6" s="32"/>
      <c r="D6" s="32"/>
      <c r="E6" s="72">
        <v>0</v>
      </c>
      <c r="F6" s="97" t="s">
        <v>14</v>
      </c>
      <c r="G6" s="2"/>
      <c r="I6" s="36" t="s">
        <v>48</v>
      </c>
      <c r="J6" s="30"/>
      <c r="K6" s="30"/>
      <c r="L6" s="8">
        <f>ROUND((E6+E7)/(E6/E8+E7/E9)/10,0)*10</f>
        <v>1550</v>
      </c>
      <c r="M6" s="8" t="s">
        <v>14</v>
      </c>
      <c r="N6" s="8" t="s">
        <v>63</v>
      </c>
      <c r="O6" s="8"/>
      <c r="P6" s="8"/>
      <c r="Q6" s="21"/>
    </row>
    <row r="7" spans="1:20" ht="18.75" x14ac:dyDescent="0.3">
      <c r="B7" s="33" t="s">
        <v>29</v>
      </c>
      <c r="C7" s="32"/>
      <c r="D7" s="32"/>
      <c r="E7" s="72">
        <f>'BASELINE-APP2'!E10</f>
        <v>75</v>
      </c>
      <c r="F7" s="21" t="s">
        <v>14</v>
      </c>
      <c r="G7" s="2"/>
      <c r="I7" s="36" t="s">
        <v>46</v>
      </c>
      <c r="J7" s="30"/>
      <c r="K7" s="30"/>
      <c r="L7" s="8">
        <f>E6/(E8*I18)</f>
        <v>0</v>
      </c>
      <c r="M7" s="8"/>
      <c r="N7" s="8" t="s">
        <v>57</v>
      </c>
      <c r="O7" s="8"/>
      <c r="P7" s="8"/>
      <c r="Q7" s="21"/>
    </row>
    <row r="8" spans="1:20" ht="18.75" x14ac:dyDescent="0.3">
      <c r="B8" s="33" t="s">
        <v>28</v>
      </c>
      <c r="C8" s="32"/>
      <c r="D8" s="32"/>
      <c r="E8" s="72">
        <f>'BASELINE-APP2'!E12</f>
        <v>1800</v>
      </c>
      <c r="F8" s="21" t="s">
        <v>14</v>
      </c>
      <c r="I8" s="36" t="s">
        <v>58</v>
      </c>
      <c r="J8" s="30"/>
      <c r="K8" s="30"/>
      <c r="L8" s="8">
        <f>ROUND(20.226+81.791*L7^2+1.65*E6^2/10000,0)</f>
        <v>20</v>
      </c>
      <c r="M8" s="8" t="s">
        <v>14</v>
      </c>
      <c r="N8" s="8"/>
      <c r="O8" s="8"/>
      <c r="P8" s="8"/>
      <c r="Q8" s="21"/>
    </row>
    <row r="9" spans="1:20" ht="18.75" x14ac:dyDescent="0.3">
      <c r="B9" s="33" t="s">
        <v>30</v>
      </c>
      <c r="C9" s="32"/>
      <c r="D9" s="32"/>
      <c r="E9" s="72">
        <f>'BASELINE-APP2'!E13</f>
        <v>1550</v>
      </c>
      <c r="F9" s="21" t="s">
        <v>14</v>
      </c>
      <c r="I9" s="36" t="s">
        <v>59</v>
      </c>
      <c r="J9" s="30"/>
      <c r="K9" s="30"/>
      <c r="L9" s="8">
        <f>ROUND(MAX(0,0.5*(E6-E7*E8/E9)),0)</f>
        <v>0</v>
      </c>
      <c r="M9" s="8" t="s">
        <v>14</v>
      </c>
      <c r="N9" s="8"/>
      <c r="O9" s="8"/>
      <c r="P9" s="8"/>
      <c r="Q9" s="21"/>
    </row>
    <row r="10" spans="1:20" ht="18.75" x14ac:dyDescent="0.3">
      <c r="B10" s="33" t="s">
        <v>51</v>
      </c>
      <c r="C10" s="32"/>
      <c r="D10" s="32"/>
      <c r="E10" s="72">
        <f>ATL!E10</f>
        <v>25</v>
      </c>
      <c r="F10" s="21" t="s">
        <v>15</v>
      </c>
      <c r="I10" s="36" t="s">
        <v>60</v>
      </c>
      <c r="J10" s="30"/>
      <c r="K10" s="30"/>
      <c r="L10" s="8">
        <f>IF('BASELINE-APP2'!I7=0,'BASELINE-APP2'!M10,IF('BASELINE-APP2'!I8=0,'BASELINE-APP2'!E10,'BASELINE-APP2'!M10))</f>
        <v>138</v>
      </c>
      <c r="M10" s="8" t="s">
        <v>14</v>
      </c>
      <c r="N10" s="8">
        <f>IF('BASELINE-APP2'!I7=0,0,IF('BASELINE-APP2'!I8=0,1,0))</f>
        <v>0</v>
      </c>
      <c r="O10" s="8" t="s">
        <v>86</v>
      </c>
      <c r="P10" s="8"/>
      <c r="Q10" s="21"/>
    </row>
    <row r="11" spans="1:20" ht="18.75" x14ac:dyDescent="0.3">
      <c r="B11" s="33" t="s">
        <v>52</v>
      </c>
      <c r="C11" s="32"/>
      <c r="D11" s="32"/>
      <c r="E11" s="72">
        <f>'BASELINE-APP2'!E15</f>
        <v>110</v>
      </c>
      <c r="F11" s="21" t="s">
        <v>15</v>
      </c>
      <c r="I11" s="36" t="s">
        <v>61</v>
      </c>
      <c r="J11" s="30"/>
      <c r="K11" s="30"/>
      <c r="L11" s="8">
        <f>E6-(1-N10)*L10</f>
        <v>-138</v>
      </c>
      <c r="M11" s="28" t="s">
        <v>14</v>
      </c>
      <c r="N11" s="8"/>
      <c r="O11" s="8"/>
      <c r="P11" s="8"/>
      <c r="Q11" s="21"/>
      <c r="T11" s="64"/>
    </row>
    <row r="12" spans="1:20" ht="19.5" thickBot="1" x14ac:dyDescent="0.35">
      <c r="B12" s="34" t="s">
        <v>43</v>
      </c>
      <c r="C12" s="35"/>
      <c r="D12" s="35"/>
      <c r="E12" s="73">
        <f>'BASELINE-APP2'!E17</f>
        <v>25</v>
      </c>
      <c r="F12" s="24" t="s">
        <v>16</v>
      </c>
      <c r="I12" s="20"/>
      <c r="J12" s="8"/>
      <c r="K12" s="8"/>
      <c r="L12" s="8"/>
      <c r="M12" s="8"/>
      <c r="N12" s="8"/>
      <c r="O12" s="8"/>
      <c r="P12" s="8"/>
      <c r="Q12" s="21"/>
    </row>
    <row r="13" spans="1:20" x14ac:dyDescent="0.25">
      <c r="I13" s="20" t="s">
        <v>92</v>
      </c>
      <c r="J13" s="8"/>
      <c r="K13" s="8"/>
      <c r="L13" s="8"/>
      <c r="M13" s="8"/>
      <c r="N13" s="8"/>
      <c r="O13" s="8"/>
      <c r="P13" s="8"/>
      <c r="Q13" s="21"/>
    </row>
    <row r="14" spans="1:20" ht="15.75" thickBot="1" x14ac:dyDescent="0.3">
      <c r="I14" s="20"/>
      <c r="J14" s="8"/>
      <c r="K14" s="8"/>
      <c r="L14" s="23"/>
      <c r="M14" s="23"/>
      <c r="N14" s="23"/>
      <c r="O14" s="23"/>
      <c r="P14" s="23"/>
      <c r="Q14" s="24"/>
    </row>
    <row r="15" spans="1:20" x14ac:dyDescent="0.25">
      <c r="B15" s="44" t="s">
        <v>44</v>
      </c>
      <c r="C15" s="29"/>
      <c r="D15" s="29"/>
      <c r="E15" s="48">
        <v>0</v>
      </c>
      <c r="F15" s="42" t="s">
        <v>14</v>
      </c>
      <c r="G15" s="29" t="s">
        <v>10</v>
      </c>
      <c r="H15" s="29"/>
      <c r="I15" s="53">
        <f>E17*(E10/E11)/3600</f>
        <v>9.7853535353535345E-2</v>
      </c>
      <c r="J15" s="18" t="s">
        <v>12</v>
      </c>
      <c r="K15" s="19"/>
    </row>
    <row r="16" spans="1:20" x14ac:dyDescent="0.25">
      <c r="B16" s="36" t="s">
        <v>0</v>
      </c>
      <c r="C16" s="30"/>
      <c r="D16" s="8"/>
      <c r="E16" s="49">
        <f>E15+IF(E5="CTL",0,E7)</f>
        <v>75</v>
      </c>
      <c r="F16" s="8" t="s">
        <v>14</v>
      </c>
      <c r="G16" s="30" t="s">
        <v>5</v>
      </c>
      <c r="H16" s="30"/>
      <c r="I16" s="54">
        <f>E11-E10</f>
        <v>85</v>
      </c>
      <c r="J16" s="8" t="s">
        <v>15</v>
      </c>
      <c r="K16" s="21"/>
    </row>
    <row r="17" spans="2:22" ht="15.75" thickBot="1" x14ac:dyDescent="0.3">
      <c r="B17" s="36" t="s">
        <v>1</v>
      </c>
      <c r="C17" s="30"/>
      <c r="D17" s="8"/>
      <c r="E17" s="49">
        <f>IF(E5  &lt;&gt; "CTL",ROUND(E16/(E7/E9+E15/E8)/10,0)*10,E8)</f>
        <v>1550</v>
      </c>
      <c r="F17" s="8" t="s">
        <v>14</v>
      </c>
      <c r="G17" s="30" t="s">
        <v>2</v>
      </c>
      <c r="H17" s="30"/>
      <c r="I17" s="55">
        <f>E16/E17</f>
        <v>4.8387096774193547E-2</v>
      </c>
      <c r="J17" s="8"/>
      <c r="K17" s="21"/>
      <c r="O17" s="2" t="s">
        <v>41</v>
      </c>
      <c r="P17" s="2"/>
    </row>
    <row r="18" spans="2:22" ht="16.5" thickBot="1" x14ac:dyDescent="0.3">
      <c r="B18" s="36" t="s">
        <v>82</v>
      </c>
      <c r="C18" s="30"/>
      <c r="D18" s="8"/>
      <c r="E18" s="50">
        <f>E7/(E7+E6)</f>
        <v>1</v>
      </c>
      <c r="F18" s="8"/>
      <c r="G18" s="30" t="s">
        <v>3</v>
      </c>
      <c r="H18" s="30"/>
      <c r="I18" s="55">
        <f>E10/E11</f>
        <v>0.22727272727272727</v>
      </c>
      <c r="J18" s="8"/>
      <c r="K18" s="21" t="s">
        <v>21</v>
      </c>
      <c r="M18" s="61" t="s">
        <v>35</v>
      </c>
      <c r="N18" s="62" t="s">
        <v>36</v>
      </c>
      <c r="O18" s="63" t="s">
        <v>37</v>
      </c>
      <c r="P18" s="65" t="s">
        <v>38</v>
      </c>
      <c r="Q18" s="60" t="s">
        <v>39</v>
      </c>
      <c r="R18" s="66" t="s">
        <v>40</v>
      </c>
    </row>
    <row r="19" spans="2:22" x14ac:dyDescent="0.25">
      <c r="B19" s="20"/>
      <c r="C19" s="8"/>
      <c r="D19" s="8"/>
      <c r="E19" s="8"/>
      <c r="F19" s="8"/>
      <c r="G19" s="30" t="s">
        <v>4</v>
      </c>
      <c r="H19" s="30"/>
      <c r="I19" s="56">
        <f>I17/I18</f>
        <v>0.2129032258064516</v>
      </c>
      <c r="J19" s="8"/>
      <c r="K19" s="21">
        <f>IF(I19&gt;1,1,0)</f>
        <v>0</v>
      </c>
      <c r="L19" s="1" t="s">
        <v>64</v>
      </c>
      <c r="M19" s="1">
        <v>10</v>
      </c>
      <c r="N19" s="1">
        <v>20</v>
      </c>
      <c r="O19" s="1">
        <v>35</v>
      </c>
      <c r="P19" s="1">
        <v>55</v>
      </c>
      <c r="Q19" s="1">
        <v>80</v>
      </c>
      <c r="R19" s="1" t="s">
        <v>42</v>
      </c>
      <c r="V19" s="2"/>
    </row>
    <row r="20" spans="2:22" ht="15.75" thickBot="1" x14ac:dyDescent="0.3">
      <c r="B20" s="20"/>
      <c r="C20" s="8"/>
      <c r="D20" s="8"/>
      <c r="E20" s="8"/>
      <c r="F20" s="8"/>
      <c r="G20" s="30" t="s">
        <v>6</v>
      </c>
      <c r="H20" s="30"/>
      <c r="I20" s="57">
        <f>MIN(E10,I16*I17/(1-I17))</f>
        <v>4.3220338983050839</v>
      </c>
      <c r="J20" s="8" t="s">
        <v>15</v>
      </c>
      <c r="K20" s="21"/>
      <c r="M20" s="16">
        <f t="shared" ref="M20:R20" si="0">IF($J$22&lt;=M19,1,0)</f>
        <v>0</v>
      </c>
      <c r="N20" s="16">
        <f t="shared" si="0"/>
        <v>0</v>
      </c>
      <c r="O20" s="16">
        <f t="shared" si="0"/>
        <v>0</v>
      </c>
      <c r="P20" s="16">
        <f t="shared" si="0"/>
        <v>1</v>
      </c>
      <c r="Q20" s="16">
        <f t="shared" si="0"/>
        <v>1</v>
      </c>
      <c r="R20" s="16">
        <f t="shared" si="0"/>
        <v>1</v>
      </c>
      <c r="V20" s="2"/>
    </row>
    <row r="21" spans="2:22" ht="15.75" thickBot="1" x14ac:dyDescent="0.3">
      <c r="B21" s="22"/>
      <c r="C21" s="23"/>
      <c r="D21" s="23"/>
      <c r="E21" s="23"/>
      <c r="F21" s="23"/>
      <c r="G21" s="23"/>
      <c r="H21" s="23"/>
      <c r="I21" s="23"/>
      <c r="J21" s="23"/>
      <c r="K21" s="24"/>
      <c r="M21" s="16">
        <f>M20-L22</f>
        <v>0</v>
      </c>
      <c r="N21" s="16">
        <f t="shared" ref="N21:R21" si="1">N20-M20</f>
        <v>0</v>
      </c>
      <c r="O21" s="16">
        <f t="shared" si="1"/>
        <v>0</v>
      </c>
      <c r="P21" s="16">
        <f t="shared" si="1"/>
        <v>1</v>
      </c>
      <c r="Q21" s="16">
        <f t="shared" si="1"/>
        <v>0</v>
      </c>
      <c r="R21" s="16">
        <f t="shared" si="1"/>
        <v>0</v>
      </c>
      <c r="V21" s="2"/>
    </row>
    <row r="22" spans="2:22" ht="19.5" thickBot="1" x14ac:dyDescent="0.35">
      <c r="B22" s="52" t="s">
        <v>31</v>
      </c>
      <c r="C22" s="58">
        <f>0.5*E11*(1-I18)^2/(1-MIN(1,I19)*I18)</f>
        <v>34.510785824345142</v>
      </c>
      <c r="D22" s="26"/>
      <c r="E22" s="26"/>
      <c r="F22" s="40" t="s">
        <v>11</v>
      </c>
      <c r="G22" s="58">
        <f>225*((I19-1)+SQRT((I19-1)^2+16*I19/(I15*3600)))</f>
        <v>1.3767742448564242</v>
      </c>
      <c r="H22" s="26"/>
      <c r="I22" s="40" t="s">
        <v>32</v>
      </c>
      <c r="J22" s="58">
        <f>G22+C22</f>
        <v>35.887560069201569</v>
      </c>
      <c r="K22" s="27" t="s">
        <v>33</v>
      </c>
      <c r="M22" s="67">
        <f t="shared" ref="M22:R22" si="2">IF(M21=1,M18,0)</f>
        <v>0</v>
      </c>
      <c r="N22" s="67">
        <f t="shared" si="2"/>
        <v>0</v>
      </c>
      <c r="O22" s="67">
        <f t="shared" si="2"/>
        <v>0</v>
      </c>
      <c r="P22" s="67" t="str">
        <f t="shared" si="2"/>
        <v>D</v>
      </c>
      <c r="Q22" s="67">
        <f t="shared" si="2"/>
        <v>0</v>
      </c>
      <c r="R22" s="67">
        <f t="shared" si="2"/>
        <v>0</v>
      </c>
    </row>
    <row r="23" spans="2:22" ht="15.75" thickBot="1" x14ac:dyDescent="0.3"/>
    <row r="24" spans="2:22" ht="16.5" thickBot="1" x14ac:dyDescent="0.3">
      <c r="B24" s="52" t="s">
        <v>7</v>
      </c>
      <c r="C24" s="59">
        <f>I20*E17/3600</f>
        <v>1.8608757062146888</v>
      </c>
      <c r="D24" s="26" t="s">
        <v>8</v>
      </c>
      <c r="E24" s="26"/>
      <c r="F24" s="40" t="s">
        <v>9</v>
      </c>
      <c r="G24" s="59">
        <f>I15*G22</f>
        <v>0.13472222724289504</v>
      </c>
      <c r="H24" s="26" t="s">
        <v>8</v>
      </c>
      <c r="I24" s="40" t="s">
        <v>13</v>
      </c>
      <c r="J24" s="59">
        <f>G24+C24</f>
        <v>1.9955979334575837</v>
      </c>
      <c r="K24" s="27" t="s">
        <v>34</v>
      </c>
    </row>
    <row r="26" spans="2:22" x14ac:dyDescent="0.25">
      <c r="I26" s="95" t="s">
        <v>83</v>
      </c>
      <c r="J26" s="95"/>
    </row>
    <row r="27" spans="2:22" x14ac:dyDescent="0.25">
      <c r="B27" s="2" t="s">
        <v>17</v>
      </c>
      <c r="C27" s="2"/>
      <c r="D27" s="3" t="s">
        <v>22</v>
      </c>
      <c r="E27" s="2"/>
      <c r="F27" s="2" t="s">
        <v>23</v>
      </c>
      <c r="G27" s="2"/>
      <c r="H27" s="2"/>
      <c r="I27" s="2" t="s">
        <v>24</v>
      </c>
      <c r="J27" s="2" t="s">
        <v>25</v>
      </c>
      <c r="K27" s="2"/>
      <c r="L27" s="2" t="s">
        <v>26</v>
      </c>
      <c r="M27" s="2"/>
      <c r="N27" s="2"/>
      <c r="O27" s="2" t="s">
        <v>27</v>
      </c>
      <c r="P27" s="2"/>
    </row>
    <row r="28" spans="2:22" x14ac:dyDescent="0.25">
      <c r="B28" s="45" t="s">
        <v>18</v>
      </c>
      <c r="C28" s="4"/>
      <c r="D28" s="4">
        <v>1.04</v>
      </c>
      <c r="E28" s="4"/>
      <c r="F28" s="5">
        <f>D28*SQRT(1/J24)</f>
        <v>0.73620170096490034</v>
      </c>
      <c r="G28" s="4"/>
      <c r="H28" s="4"/>
      <c r="I28" s="5">
        <f>$K$19*MIN(1.8,1+F28+0.6*D28^0.24*$I$18^0.33*(1-EXP(2-2*$I$19)))</f>
        <v>0</v>
      </c>
      <c r="J28" s="6">
        <f>(1-$K$19)*MIN(1.8, 1+F28)</f>
        <v>1.7362017009649002</v>
      </c>
      <c r="K28" s="4"/>
      <c r="L28" s="4">
        <f>MAX(I28,J28)*$J$24</f>
        <v>3.4647605265110966</v>
      </c>
      <c r="M28" s="4"/>
      <c r="N28" s="4"/>
      <c r="O28" s="7">
        <f>ROUND(L28*$E$12/100,0)*100</f>
        <v>100</v>
      </c>
    </row>
    <row r="29" spans="2:22" x14ac:dyDescent="0.25">
      <c r="B29" s="46" t="s">
        <v>19</v>
      </c>
      <c r="C29" s="8"/>
      <c r="D29" s="8">
        <v>1.28</v>
      </c>
      <c r="E29" s="8"/>
      <c r="F29" s="9">
        <f>D29*SQRT(1/J24)</f>
        <v>0.90609440118756968</v>
      </c>
      <c r="G29" s="8"/>
      <c r="H29" s="8"/>
      <c r="I29" s="9">
        <f t="shared" ref="I29:I30" si="3">$K$19*MIN(1.8,1+F29+0.6*D29^0.24*$I$18^0.33*(1-EXP(2-2*$I$19)))</f>
        <v>0</v>
      </c>
      <c r="J29" s="10">
        <f t="shared" ref="J29:J30" si="4">(1-$K$19)*MIN(1.8, 1+F29)</f>
        <v>1.8</v>
      </c>
      <c r="K29" s="8"/>
      <c r="L29" s="8">
        <f t="shared" ref="L29:L30" si="5">MAX(I29,J29)*$J$24</f>
        <v>3.592076280223651</v>
      </c>
      <c r="M29" s="8"/>
      <c r="N29" s="8"/>
      <c r="O29" s="11">
        <f>ROUND(L29*$E$12/100,0)*100</f>
        <v>100</v>
      </c>
    </row>
    <row r="30" spans="2:22" x14ac:dyDescent="0.25">
      <c r="B30" s="47" t="s">
        <v>20</v>
      </c>
      <c r="C30" s="12"/>
      <c r="D30" s="12">
        <v>1.64</v>
      </c>
      <c r="E30" s="12"/>
      <c r="F30" s="13">
        <f>D30*SQRT(1/J24)</f>
        <v>1.1609334515215735</v>
      </c>
      <c r="G30" s="12"/>
      <c r="H30" s="12"/>
      <c r="I30" s="13">
        <f t="shared" si="3"/>
        <v>0</v>
      </c>
      <c r="J30" s="14">
        <f t="shared" si="4"/>
        <v>1.8</v>
      </c>
      <c r="K30" s="12"/>
      <c r="L30" s="12">
        <f t="shared" si="5"/>
        <v>3.592076280223651</v>
      </c>
      <c r="M30" s="12"/>
      <c r="N30" s="12"/>
      <c r="O30" s="15">
        <f>ROUND(L30*$E$12/100,0)*100</f>
        <v>100</v>
      </c>
    </row>
  </sheetData>
  <conditionalFormatting sqref="M22:R22">
    <cfRule type="cellIs" dxfId="149" priority="1" operator="equal">
      <formula>0</formula>
    </cfRule>
    <cfRule type="cellIs" dxfId="148" priority="2" operator="equal">
      <formula>0</formula>
    </cfRule>
    <cfRule type="cellIs" dxfId="147" priority="3" operator="equal">
      <formula>0</formula>
    </cfRule>
  </conditionalFormatting>
  <pageMargins left="0.7" right="0.7" top="0.75" bottom="0.75" header="0.3" footer="0.3"/>
  <pageSetup orientation="portrait" horizontalDpi="300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W61"/>
  <sheetViews>
    <sheetView showGridLines="0" zoomScaleNormal="100" workbookViewId="0">
      <selection activeCell="J9" sqref="J9"/>
    </sheetView>
  </sheetViews>
  <sheetFormatPr defaultRowHeight="15" x14ac:dyDescent="0.25"/>
  <cols>
    <col min="1" max="1" width="6.5703125" customWidth="1"/>
    <col min="2" max="2" width="4.7109375" customWidth="1"/>
    <col min="5" max="5" width="42.7109375" customWidth="1"/>
    <col min="7" max="7" width="10" customWidth="1"/>
    <col min="9" max="9" width="33.85546875" customWidth="1"/>
    <col min="10" max="10" width="13.140625" customWidth="1"/>
    <col min="12" max="12" width="11.5703125" customWidth="1"/>
    <col min="13" max="13" width="11.28515625" customWidth="1"/>
    <col min="17" max="17" width="13.140625" customWidth="1"/>
    <col min="19" max="19" width="14" customWidth="1"/>
  </cols>
  <sheetData>
    <row r="1" spans="2:19" ht="21.75" thickBot="1" x14ac:dyDescent="0.4">
      <c r="E1" s="124" t="s">
        <v>189</v>
      </c>
      <c r="J1" s="277"/>
    </row>
    <row r="2" spans="2:19" ht="19.5" thickBot="1" x14ac:dyDescent="0.35">
      <c r="B2" s="307"/>
      <c r="C2" s="306" t="s">
        <v>188</v>
      </c>
      <c r="D2" s="306"/>
      <c r="E2" s="306"/>
      <c r="F2" s="306"/>
      <c r="G2" s="306"/>
      <c r="H2" s="305"/>
      <c r="I2" s="305"/>
      <c r="J2" s="277"/>
      <c r="K2" s="25"/>
      <c r="L2" s="41" t="s">
        <v>45</v>
      </c>
      <c r="M2" s="41"/>
      <c r="N2" s="41"/>
      <c r="O2" s="41"/>
      <c r="P2" s="41"/>
      <c r="Q2" s="41"/>
      <c r="R2" s="41"/>
      <c r="S2" s="27"/>
    </row>
    <row r="3" spans="2:19" ht="13.5" customHeight="1" x14ac:dyDescent="0.3">
      <c r="B3" s="304"/>
      <c r="C3" s="303"/>
      <c r="D3" s="273"/>
      <c r="E3" s="273"/>
      <c r="F3" s="273"/>
      <c r="G3" s="273"/>
      <c r="H3" s="271"/>
      <c r="I3" s="271"/>
      <c r="J3" s="277"/>
      <c r="K3" s="17"/>
      <c r="L3" s="91"/>
      <c r="M3" s="91"/>
      <c r="N3" s="91"/>
      <c r="O3" s="91"/>
      <c r="P3" s="91"/>
      <c r="Q3" s="91"/>
      <c r="R3" s="91"/>
      <c r="S3" s="19"/>
    </row>
    <row r="4" spans="2:19" ht="24" customHeight="1" thickBot="1" x14ac:dyDescent="0.4">
      <c r="B4" s="271"/>
      <c r="C4" s="302" t="s">
        <v>187</v>
      </c>
      <c r="D4" s="300"/>
      <c r="E4" s="300"/>
      <c r="F4" s="300"/>
      <c r="G4" s="300"/>
      <c r="H4" s="301"/>
      <c r="I4" s="300"/>
      <c r="J4" s="277"/>
      <c r="K4" s="36" t="s">
        <v>48</v>
      </c>
      <c r="L4" s="30"/>
      <c r="M4" s="30"/>
      <c r="N4" s="299">
        <f>ROUND((F9+F10)/(F9/F12+F10/F13)/10,0)*10</f>
        <v>1760</v>
      </c>
      <c r="O4" s="8" t="s">
        <v>14</v>
      </c>
      <c r="P4" s="8" t="s">
        <v>63</v>
      </c>
      <c r="Q4" s="8"/>
      <c r="R4" s="8"/>
      <c r="S4" s="21"/>
    </row>
    <row r="5" spans="2:19" ht="21.75" thickBot="1" x14ac:dyDescent="0.4">
      <c r="B5" s="271"/>
      <c r="C5" s="298" t="s">
        <v>186</v>
      </c>
      <c r="D5" s="297"/>
      <c r="E5" s="297"/>
      <c r="F5" s="296"/>
      <c r="G5" s="207"/>
      <c r="H5" s="273"/>
      <c r="I5" s="271"/>
      <c r="J5" s="277"/>
      <c r="K5" s="36" t="s">
        <v>46</v>
      </c>
      <c r="L5" s="30"/>
      <c r="M5" s="30"/>
      <c r="N5" s="285">
        <f>F9/(F12*K28)</f>
        <v>1.038888888888889</v>
      </c>
      <c r="O5" s="8"/>
      <c r="P5" s="8" t="s">
        <v>57</v>
      </c>
      <c r="Q5" s="8"/>
      <c r="R5" s="8"/>
      <c r="S5" s="21"/>
    </row>
    <row r="6" spans="2:19" ht="19.5" thickBot="1" x14ac:dyDescent="0.35">
      <c r="B6" s="295">
        <v>1</v>
      </c>
      <c r="C6" s="294" t="s">
        <v>185</v>
      </c>
      <c r="D6" s="293"/>
      <c r="E6" s="293"/>
      <c r="F6" s="292"/>
      <c r="G6" s="214" t="str">
        <f>'COMBINED INPUT'!H7</f>
        <v>HYPOTHETICAL SITE</v>
      </c>
      <c r="H6" s="291"/>
      <c r="I6" s="290"/>
      <c r="J6" s="277"/>
      <c r="K6" s="36"/>
      <c r="L6" s="30"/>
      <c r="M6" s="30"/>
      <c r="N6" s="285"/>
      <c r="O6" s="8"/>
      <c r="P6" s="8"/>
      <c r="Q6" s="8"/>
      <c r="R6" s="8"/>
      <c r="S6" s="21"/>
    </row>
    <row r="7" spans="2:19" ht="18.75" x14ac:dyDescent="0.3">
      <c r="B7" s="266">
        <v>2</v>
      </c>
      <c r="C7" s="269" t="s">
        <v>90</v>
      </c>
      <c r="D7" s="289"/>
      <c r="E7" s="288"/>
      <c r="F7" s="283" t="str">
        <f>'COMBINED INPUT'!G10</f>
        <v>Y</v>
      </c>
      <c r="G7" s="287" t="s">
        <v>184</v>
      </c>
      <c r="H7" s="148"/>
      <c r="I7" s="286"/>
      <c r="J7" s="277">
        <f>IF(F7="Y",1,0)</f>
        <v>1</v>
      </c>
      <c r="K7" s="36"/>
      <c r="L7" s="30"/>
      <c r="M7" s="30"/>
      <c r="N7" s="285"/>
      <c r="O7" s="8"/>
      <c r="P7" s="8"/>
      <c r="Q7" s="8"/>
      <c r="R7" s="8"/>
      <c r="S7" s="21"/>
    </row>
    <row r="8" spans="2:19" ht="19.5" thickBot="1" x14ac:dyDescent="0.35">
      <c r="B8" s="266">
        <v>3</v>
      </c>
      <c r="C8" s="150" t="s">
        <v>183</v>
      </c>
      <c r="D8" s="178"/>
      <c r="E8" s="284"/>
      <c r="F8" s="283" t="str">
        <f>'COMBINED INPUT'!G11</f>
        <v>N</v>
      </c>
      <c r="G8" s="282" t="s">
        <v>94</v>
      </c>
      <c r="H8" s="281"/>
      <c r="I8" s="280"/>
      <c r="J8" s="277">
        <f>IF(F8="Y",1,0)</f>
        <v>0</v>
      </c>
      <c r="K8" s="201" t="s">
        <v>182</v>
      </c>
      <c r="L8" s="202"/>
      <c r="M8" s="202"/>
      <c r="N8" s="279">
        <f>IF(F7="Y",MAX(0,ROUND(29.24+17.3*F9/100,0)),MAX(0,ROUND(29.24+17.3*F9/100-90.291*K34,0)))</f>
        <v>103</v>
      </c>
      <c r="O8" s="203" t="s">
        <v>14</v>
      </c>
      <c r="P8" s="8"/>
      <c r="Q8" s="8"/>
      <c r="R8" s="8"/>
      <c r="S8" s="21"/>
    </row>
    <row r="9" spans="2:19" ht="19.5" thickBot="1" x14ac:dyDescent="0.35">
      <c r="B9" s="266">
        <v>4</v>
      </c>
      <c r="C9" s="269" t="s">
        <v>50</v>
      </c>
      <c r="D9" s="269"/>
      <c r="E9" s="268"/>
      <c r="F9" s="492">
        <f>'COMBINED INPUT'!G12</f>
        <v>425</v>
      </c>
      <c r="G9" s="146" t="s">
        <v>14</v>
      </c>
      <c r="H9" s="147"/>
      <c r="I9" s="278"/>
      <c r="J9" s="277">
        <f>J8+J7</f>
        <v>1</v>
      </c>
      <c r="K9" s="204" t="s">
        <v>59</v>
      </c>
      <c r="L9" s="205"/>
      <c r="M9" s="205"/>
      <c r="N9" s="276">
        <f>IF(F8="Y",N8,ROUND(MAX(0,0.5*(F9-F10*F12/(2*F13))),0))</f>
        <v>191</v>
      </c>
      <c r="O9" s="206" t="s">
        <v>14</v>
      </c>
      <c r="P9" s="23"/>
      <c r="Q9" s="275">
        <f>ROUND(MAX(0,0.5*(F9-F10*F12/(2*F13))),0)</f>
        <v>191</v>
      </c>
      <c r="R9" s="35" t="s">
        <v>181</v>
      </c>
      <c r="S9" s="274"/>
    </row>
    <row r="10" spans="2:19" ht="18.75" x14ac:dyDescent="0.3">
      <c r="B10" s="266">
        <v>5</v>
      </c>
      <c r="C10" s="145" t="s">
        <v>80</v>
      </c>
      <c r="D10" s="145"/>
      <c r="E10" s="265"/>
      <c r="F10" s="493">
        <f>'COMBINED INPUT'!G14</f>
        <v>75</v>
      </c>
      <c r="G10" s="148" t="s">
        <v>14</v>
      </c>
      <c r="H10" s="273"/>
      <c r="I10" s="271"/>
      <c r="J10" s="227"/>
      <c r="K10" s="99" t="s">
        <v>60</v>
      </c>
      <c r="L10" s="99"/>
      <c r="M10" s="99"/>
      <c r="N10" s="100">
        <f>IF(F7="",0,MIN(N8,N9))</f>
        <v>103</v>
      </c>
      <c r="O10" s="101" t="s">
        <v>14</v>
      </c>
      <c r="P10" s="101"/>
      <c r="Q10" s="101"/>
      <c r="R10" s="101"/>
      <c r="S10" s="101"/>
    </row>
    <row r="11" spans="2:19" ht="18.75" x14ac:dyDescent="0.3">
      <c r="B11" s="266">
        <v>6</v>
      </c>
      <c r="C11" s="145" t="s">
        <v>103</v>
      </c>
      <c r="D11" s="145"/>
      <c r="E11" s="265"/>
      <c r="F11" s="493">
        <f>'COMBINED INPUT'!G16</f>
        <v>35</v>
      </c>
      <c r="G11" s="148" t="s">
        <v>107</v>
      </c>
      <c r="H11" s="273"/>
      <c r="I11" s="271"/>
      <c r="J11" s="227"/>
      <c r="K11" s="99"/>
      <c r="L11" s="99"/>
      <c r="M11" s="99"/>
      <c r="N11" s="100"/>
      <c r="O11" s="101"/>
      <c r="P11" s="101"/>
      <c r="Q11" s="101"/>
      <c r="R11" s="101"/>
      <c r="S11" s="101"/>
    </row>
    <row r="12" spans="2:19" ht="18.75" x14ac:dyDescent="0.3">
      <c r="B12" s="266">
        <v>7</v>
      </c>
      <c r="C12" s="145" t="s">
        <v>180</v>
      </c>
      <c r="D12" s="145"/>
      <c r="E12" s="265"/>
      <c r="F12" s="493">
        <f>'COMBINED INPUT'!G13</f>
        <v>1800</v>
      </c>
      <c r="G12" s="148" t="s">
        <v>14</v>
      </c>
      <c r="H12" s="271"/>
      <c r="I12" s="271"/>
      <c r="K12" s="99" t="s">
        <v>61</v>
      </c>
      <c r="L12" s="99"/>
      <c r="M12" s="99"/>
      <c r="N12" s="100">
        <f>F9-N10</f>
        <v>322</v>
      </c>
      <c r="O12" s="102" t="s">
        <v>14</v>
      </c>
      <c r="P12" s="101"/>
      <c r="Q12" s="101"/>
      <c r="R12" s="101"/>
      <c r="S12" s="101"/>
    </row>
    <row r="13" spans="2:19" ht="18.75" x14ac:dyDescent="0.3">
      <c r="B13" s="266">
        <v>8</v>
      </c>
      <c r="C13" s="145" t="s">
        <v>110</v>
      </c>
      <c r="D13" s="145"/>
      <c r="E13" s="265"/>
      <c r="F13" s="493">
        <f>IF(F10=0,1530,'COMBINED INPUT'!G15)</f>
        <v>1550</v>
      </c>
      <c r="G13" s="148" t="s">
        <v>14</v>
      </c>
      <c r="H13" s="271"/>
      <c r="I13" s="272"/>
      <c r="J13" s="68"/>
    </row>
    <row r="14" spans="2:19" ht="18.75" x14ac:dyDescent="0.3">
      <c r="B14" s="266">
        <v>9</v>
      </c>
      <c r="C14" s="145" t="s">
        <v>51</v>
      </c>
      <c r="D14" s="145"/>
      <c r="E14" s="265"/>
      <c r="F14" s="493">
        <f>'COMBINED INPUT'!G17</f>
        <v>25</v>
      </c>
      <c r="G14" s="148" t="s">
        <v>15</v>
      </c>
      <c r="H14" s="271"/>
      <c r="I14" s="271"/>
    </row>
    <row r="15" spans="2:19" ht="18.75" x14ac:dyDescent="0.3">
      <c r="B15" s="266">
        <v>10</v>
      </c>
      <c r="C15" s="145" t="s">
        <v>111</v>
      </c>
      <c r="D15" s="145"/>
      <c r="E15" s="265"/>
      <c r="F15" s="493">
        <f>'COMBINED INPUT'!G18</f>
        <v>110</v>
      </c>
      <c r="G15" s="148" t="s">
        <v>15</v>
      </c>
      <c r="H15" s="271"/>
      <c r="I15" s="271"/>
    </row>
    <row r="16" spans="2:19" ht="19.5" thickBot="1" x14ac:dyDescent="0.35">
      <c r="B16" s="266">
        <v>11</v>
      </c>
      <c r="C16" s="145" t="s">
        <v>179</v>
      </c>
      <c r="D16" s="145"/>
      <c r="E16" s="265"/>
      <c r="F16" s="493">
        <f>F14</f>
        <v>25</v>
      </c>
      <c r="G16" s="148" t="s">
        <v>15</v>
      </c>
      <c r="H16" s="271"/>
      <c r="I16" s="270" t="s">
        <v>104</v>
      </c>
    </row>
    <row r="17" spans="2:23" ht="18.75" x14ac:dyDescent="0.3">
      <c r="B17" s="266">
        <v>12</v>
      </c>
      <c r="C17" s="269" t="s">
        <v>43</v>
      </c>
      <c r="D17" s="269"/>
      <c r="E17" s="268"/>
      <c r="F17" s="492">
        <f>'COMBINED INPUT'!G19</f>
        <v>25</v>
      </c>
      <c r="G17" s="165" t="s">
        <v>16</v>
      </c>
      <c r="H17" s="165"/>
      <c r="I17" s="267">
        <v>20</v>
      </c>
    </row>
    <row r="18" spans="2:23" ht="18.75" x14ac:dyDescent="0.3">
      <c r="B18" s="266">
        <v>13</v>
      </c>
      <c r="C18" s="145" t="s">
        <v>178</v>
      </c>
      <c r="D18" s="145"/>
      <c r="E18" s="265"/>
      <c r="F18" s="493">
        <f>'COMBINED INPUT'!G20</f>
        <v>10</v>
      </c>
      <c r="G18" s="148" t="s">
        <v>106</v>
      </c>
      <c r="H18" s="148"/>
      <c r="I18" s="264">
        <v>10</v>
      </c>
    </row>
    <row r="19" spans="2:23" ht="18.75" x14ac:dyDescent="0.3">
      <c r="B19" s="266">
        <v>14</v>
      </c>
      <c r="C19" s="145" t="s">
        <v>121</v>
      </c>
      <c r="D19" s="145"/>
      <c r="E19" s="265"/>
      <c r="F19" s="493">
        <f>'COMBINED INPUT'!G21</f>
        <v>110</v>
      </c>
      <c r="G19" s="148" t="s">
        <v>16</v>
      </c>
      <c r="H19" s="148"/>
      <c r="I19" s="264">
        <v>40</v>
      </c>
    </row>
    <row r="20" spans="2:23" ht="18.75" x14ac:dyDescent="0.3">
      <c r="B20" s="266">
        <v>15</v>
      </c>
      <c r="C20" s="145" t="s">
        <v>177</v>
      </c>
      <c r="D20" s="145"/>
      <c r="E20" s="265"/>
      <c r="F20" s="493">
        <f>'COMBINED INPUT'!G22</f>
        <v>6</v>
      </c>
      <c r="G20" s="148" t="s">
        <v>15</v>
      </c>
      <c r="H20" s="148"/>
      <c r="I20" s="264">
        <v>6</v>
      </c>
    </row>
    <row r="21" spans="2:23" ht="19.5" thickBot="1" x14ac:dyDescent="0.35">
      <c r="B21" s="263">
        <v>16</v>
      </c>
      <c r="C21" s="150" t="s">
        <v>176</v>
      </c>
      <c r="D21" s="174"/>
      <c r="E21" s="262"/>
      <c r="F21" s="494">
        <f>'COMBINED INPUT'!G23</f>
        <v>1</v>
      </c>
      <c r="G21" s="174" t="s">
        <v>15</v>
      </c>
      <c r="H21" s="174"/>
      <c r="I21" s="261">
        <v>1</v>
      </c>
    </row>
    <row r="22" spans="2:23" ht="15.75" thickBot="1" x14ac:dyDescent="0.3">
      <c r="B22" s="260"/>
      <c r="C22" s="260"/>
      <c r="D22" s="260"/>
      <c r="E22" s="260"/>
      <c r="F22" s="260"/>
      <c r="G22" s="260"/>
      <c r="H22" s="260"/>
      <c r="I22" s="259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</row>
    <row r="23" spans="2:23" ht="19.5" thickBot="1" x14ac:dyDescent="0.35">
      <c r="C23" s="258" t="s">
        <v>87</v>
      </c>
      <c r="D23" s="257"/>
      <c r="E23" s="257"/>
      <c r="F23" s="256" t="str">
        <f>IF(J9=0,"III",IF(J9=2,"IV","II"))</f>
        <v>II</v>
      </c>
      <c r="G23" s="255"/>
      <c r="H23" s="255"/>
      <c r="I23" s="254" t="str">
        <f>IF(F23="III","2-CTL'S+SHARED ATL",IF(F23="II","NO ATL- 2-CTL'S+ RT LANE","2-CTL'S+ ATL+RT LANE"))</f>
        <v>NO ATL- 2-CTL'S+ RT LANE</v>
      </c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</row>
    <row r="24" spans="2:23" ht="15.75" thickBot="1" x14ac:dyDescent="0.3"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</row>
    <row r="25" spans="2:23" x14ac:dyDescent="0.25">
      <c r="C25" s="44" t="s">
        <v>175</v>
      </c>
      <c r="D25" s="29"/>
      <c r="E25" s="29"/>
      <c r="F25" s="48">
        <f>Q9</f>
        <v>191</v>
      </c>
      <c r="G25" s="48" t="s">
        <v>14</v>
      </c>
      <c r="H25" s="29" t="s">
        <v>174</v>
      </c>
      <c r="I25" s="29"/>
      <c r="J25" s="29"/>
      <c r="K25" s="253">
        <f>F27*(F14/F15)/3600</f>
        <v>6.4457070707070699E-2</v>
      </c>
      <c r="L25" s="17" t="s">
        <v>12</v>
      </c>
      <c r="M25" s="51"/>
    </row>
    <row r="26" spans="2:23" x14ac:dyDescent="0.25">
      <c r="C26" s="36" t="s">
        <v>173</v>
      </c>
      <c r="D26" s="30"/>
      <c r="E26" s="8"/>
      <c r="F26" s="49">
        <f>(Q9+F10)</f>
        <v>266</v>
      </c>
      <c r="G26" s="49" t="s">
        <v>14</v>
      </c>
      <c r="H26" s="30" t="s">
        <v>172</v>
      </c>
      <c r="I26" s="30"/>
      <c r="J26" s="30"/>
      <c r="K26" s="242">
        <f>F15-F14</f>
        <v>85</v>
      </c>
      <c r="L26" s="20" t="s">
        <v>15</v>
      </c>
      <c r="M26" s="49"/>
    </row>
    <row r="27" spans="2:23" ht="15.75" thickBot="1" x14ac:dyDescent="0.3">
      <c r="C27" s="36" t="s">
        <v>171</v>
      </c>
      <c r="D27" s="30"/>
      <c r="E27" s="8"/>
      <c r="F27" s="49">
        <f>IF(F5  &lt;&gt; "CTL",ROUND(F26/(F10/F13+2*Q9/F12),0),F12)</f>
        <v>1021</v>
      </c>
      <c r="G27" s="49" t="s">
        <v>14</v>
      </c>
      <c r="H27" s="30" t="s">
        <v>170</v>
      </c>
      <c r="I27" s="30"/>
      <c r="J27" s="30"/>
      <c r="K27" s="240">
        <f>F26/F27</f>
        <v>0.26052889324191969</v>
      </c>
      <c r="L27" s="20"/>
      <c r="M27" s="49"/>
      <c r="Q27" s="2" t="s">
        <v>41</v>
      </c>
      <c r="R27" s="2"/>
    </row>
    <row r="28" spans="2:23" ht="19.5" thickBot="1" x14ac:dyDescent="0.35">
      <c r="C28" s="36" t="s">
        <v>169</v>
      </c>
      <c r="D28" s="30"/>
      <c r="E28" s="8"/>
      <c r="F28" s="252">
        <f>F10/(F10+Q9)</f>
        <v>0.28195488721804512</v>
      </c>
      <c r="G28" s="49"/>
      <c r="H28" s="30" t="s">
        <v>3</v>
      </c>
      <c r="I28" s="30"/>
      <c r="J28" s="30"/>
      <c r="K28" s="240">
        <f>F14/F15</f>
        <v>0.22727272727272727</v>
      </c>
      <c r="L28" s="20"/>
      <c r="M28" s="251" t="s">
        <v>21</v>
      </c>
      <c r="O28" s="80" t="s">
        <v>35</v>
      </c>
      <c r="P28" s="81" t="s">
        <v>36</v>
      </c>
      <c r="Q28" s="82" t="s">
        <v>37</v>
      </c>
      <c r="R28" s="83" t="s">
        <v>38</v>
      </c>
      <c r="S28" s="84" t="s">
        <v>39</v>
      </c>
      <c r="T28" s="85" t="s">
        <v>40</v>
      </c>
    </row>
    <row r="29" spans="2:23" ht="18.75" x14ac:dyDescent="0.3">
      <c r="C29" s="36" t="s">
        <v>168</v>
      </c>
      <c r="D29" s="30"/>
      <c r="E29" s="8"/>
      <c r="F29" s="250">
        <f>F9-Q9</f>
        <v>234</v>
      </c>
      <c r="G29" s="241" t="s">
        <v>14</v>
      </c>
      <c r="H29" s="30" t="s">
        <v>167</v>
      </c>
      <c r="I29" s="30"/>
      <c r="J29" s="30"/>
      <c r="K29" s="249">
        <f>K27/K28</f>
        <v>1.1463271302644467</v>
      </c>
      <c r="L29" s="20"/>
      <c r="M29" s="49"/>
      <c r="O29" s="248"/>
      <c r="P29" s="247"/>
      <c r="Q29" s="246"/>
      <c r="R29" s="245"/>
      <c r="S29" s="244"/>
      <c r="T29" s="243"/>
    </row>
    <row r="30" spans="2:23" x14ac:dyDescent="0.25">
      <c r="C30" s="36" t="s">
        <v>166</v>
      </c>
      <c r="D30" s="8"/>
      <c r="E30" s="8"/>
      <c r="F30" s="49">
        <f>F12/2</f>
        <v>900</v>
      </c>
      <c r="G30" s="241" t="s">
        <v>14</v>
      </c>
      <c r="H30" s="30" t="s">
        <v>165</v>
      </c>
      <c r="I30" s="30"/>
      <c r="J30" s="30"/>
      <c r="K30" s="240">
        <f>MIN(F14,K26*K27/(1-K27))</f>
        <v>25</v>
      </c>
      <c r="L30" s="20" t="s">
        <v>15</v>
      </c>
      <c r="M30" s="54">
        <f>IF(K29&gt;1,1,0)</f>
        <v>1</v>
      </c>
      <c r="N30" t="s">
        <v>85</v>
      </c>
      <c r="O30" s="1">
        <v>10</v>
      </c>
      <c r="P30" s="1">
        <v>20</v>
      </c>
      <c r="Q30" s="1">
        <v>35</v>
      </c>
      <c r="R30" s="1">
        <v>55</v>
      </c>
      <c r="S30" s="1">
        <v>80</v>
      </c>
      <c r="T30" s="1" t="s">
        <v>42</v>
      </c>
      <c r="W30" s="2"/>
    </row>
    <row r="31" spans="2:23" x14ac:dyDescent="0.25">
      <c r="C31" s="36" t="s">
        <v>164</v>
      </c>
      <c r="D31" s="8"/>
      <c r="E31" s="8"/>
      <c r="F31" s="49">
        <f>F29/F30</f>
        <v>0.26</v>
      </c>
      <c r="G31" s="49"/>
      <c r="H31" s="30" t="s">
        <v>163</v>
      </c>
      <c r="I31" s="30"/>
      <c r="J31" s="30"/>
      <c r="K31" s="240">
        <f>MIN(F14,K26*F31/(1-F31))</f>
        <v>25</v>
      </c>
      <c r="L31" s="20" t="s">
        <v>15</v>
      </c>
      <c r="M31" s="54"/>
      <c r="O31" s="1"/>
      <c r="P31" s="1"/>
      <c r="Q31" s="1"/>
      <c r="R31" s="1"/>
      <c r="S31" s="1"/>
      <c r="T31" s="1"/>
      <c r="W31" s="2"/>
    </row>
    <row r="32" spans="2:23" x14ac:dyDescent="0.25">
      <c r="C32" s="36" t="s">
        <v>162</v>
      </c>
      <c r="D32" s="8"/>
      <c r="E32" s="8"/>
      <c r="F32" s="49">
        <f>F27*K28/3600</f>
        <v>6.4457070707070699E-2</v>
      </c>
      <c r="G32" s="241" t="s">
        <v>12</v>
      </c>
      <c r="H32" s="228" t="s">
        <v>161</v>
      </c>
      <c r="I32" s="8"/>
      <c r="J32" s="8"/>
      <c r="K32" s="242">
        <f>F13/3600*K28</f>
        <v>9.7853535353535359E-2</v>
      </c>
      <c r="L32" s="20" t="s">
        <v>12</v>
      </c>
      <c r="M32" s="54"/>
      <c r="O32" s="1"/>
      <c r="P32" s="1"/>
      <c r="Q32" s="1"/>
      <c r="R32" s="1"/>
      <c r="S32" s="1"/>
      <c r="T32" s="1"/>
      <c r="W32" s="2"/>
    </row>
    <row r="33" spans="3:23" x14ac:dyDescent="0.25">
      <c r="C33" s="36"/>
      <c r="D33" s="8"/>
      <c r="E33" s="8"/>
      <c r="F33" s="49"/>
      <c r="G33" s="241"/>
      <c r="H33" s="30" t="s">
        <v>160</v>
      </c>
      <c r="I33" s="30"/>
      <c r="J33" s="30"/>
      <c r="K33" s="240">
        <f>MIN(F16,K26*F10/F13/(1-F10/F13))</f>
        <v>4.3220338983050848</v>
      </c>
      <c r="L33" s="20"/>
      <c r="M33" s="54"/>
      <c r="O33" s="1"/>
      <c r="P33" s="1"/>
      <c r="Q33" s="1"/>
      <c r="R33" s="1"/>
      <c r="S33" s="1"/>
      <c r="T33" s="1"/>
      <c r="W33" s="2"/>
    </row>
    <row r="34" spans="3:23" x14ac:dyDescent="0.25">
      <c r="C34" s="36" t="s">
        <v>159</v>
      </c>
      <c r="D34" s="8"/>
      <c r="E34" s="8"/>
      <c r="F34" s="239">
        <f>F31/K28</f>
        <v>1.1440000000000001</v>
      </c>
      <c r="G34" s="49"/>
      <c r="H34" s="228" t="s">
        <v>158</v>
      </c>
      <c r="I34" s="8"/>
      <c r="J34" s="8"/>
      <c r="K34" s="20">
        <f>(F10/F13)/(F16/F15)</f>
        <v>0.2129032258064516</v>
      </c>
      <c r="L34" s="20"/>
      <c r="M34" s="54">
        <f>IF(K34&gt;1,1,0)</f>
        <v>0</v>
      </c>
      <c r="O34" s="16">
        <f t="shared" ref="O34:T34" si="0">IF($L$38&lt;=O30,1,0)</f>
        <v>0</v>
      </c>
      <c r="P34" s="16">
        <f t="shared" si="0"/>
        <v>0</v>
      </c>
      <c r="Q34" s="16">
        <f t="shared" si="0"/>
        <v>0</v>
      </c>
      <c r="R34" s="16">
        <f t="shared" si="0"/>
        <v>0</v>
      </c>
      <c r="S34" s="16">
        <f t="shared" si="0"/>
        <v>0</v>
      </c>
      <c r="T34" s="16">
        <f t="shared" si="0"/>
        <v>1</v>
      </c>
      <c r="W34" s="2"/>
    </row>
    <row r="35" spans="3:23" x14ac:dyDescent="0.25">
      <c r="C35" s="36" t="s">
        <v>157</v>
      </c>
      <c r="D35" s="8"/>
      <c r="E35" s="8"/>
      <c r="F35" s="49">
        <f>0.5*F15*(1-K28)^2/(1-K28*MIN(1,F34))+225*(F34-1+SQRT((F34-1)^2+16*F34/(F32*3600)))</f>
        <v>145.91489656255516</v>
      </c>
      <c r="G35" s="49" t="s">
        <v>15</v>
      </c>
      <c r="H35" s="30" t="s">
        <v>156</v>
      </c>
      <c r="I35" s="8"/>
      <c r="J35" s="8"/>
      <c r="K35" s="20">
        <f>0.5*F15*(1-F16/F15)^2/(1-F16/F15*MIN(1,K34))+225*(K34-1+SQRT((K34-1)^2+16*K34/(F13*F16/F15)))</f>
        <v>35.887560069201569</v>
      </c>
      <c r="L35" s="20"/>
      <c r="M35" s="49"/>
      <c r="O35" s="16">
        <f>O34-N38</f>
        <v>0</v>
      </c>
      <c r="P35" s="16">
        <f>P34-O34</f>
        <v>0</v>
      </c>
      <c r="Q35" s="16">
        <f>Q34-P34</f>
        <v>0</v>
      </c>
      <c r="R35" s="16">
        <f>R34-Q34</f>
        <v>0</v>
      </c>
      <c r="S35" s="16">
        <f>S34-R34</f>
        <v>0</v>
      </c>
      <c r="T35" s="16">
        <f>T34-S34</f>
        <v>1</v>
      </c>
      <c r="W35" s="2"/>
    </row>
    <row r="36" spans="3:23" x14ac:dyDescent="0.25">
      <c r="C36" s="36"/>
      <c r="D36" s="8"/>
      <c r="E36" s="8"/>
      <c r="F36" s="49"/>
      <c r="G36" s="49"/>
      <c r="H36" s="30" t="s">
        <v>155</v>
      </c>
      <c r="I36" s="8"/>
      <c r="J36" s="8"/>
      <c r="K36" s="20">
        <f>(F9/F12)/(F16/F14)</f>
        <v>0.2361111111111111</v>
      </c>
      <c r="L36" s="20"/>
      <c r="M36" s="49"/>
      <c r="O36" s="16"/>
      <c r="P36" s="16"/>
      <c r="Q36" s="16"/>
      <c r="R36" s="16"/>
      <c r="S36" s="16"/>
      <c r="T36" s="16"/>
      <c r="W36" s="2"/>
    </row>
    <row r="37" spans="3:23" ht="15.75" thickBot="1" x14ac:dyDescent="0.3">
      <c r="C37" s="69"/>
      <c r="D37" s="23"/>
      <c r="E37" s="23"/>
      <c r="F37" s="130"/>
      <c r="G37" s="130"/>
      <c r="H37" s="70" t="s">
        <v>154</v>
      </c>
      <c r="I37" s="23"/>
      <c r="J37" s="23"/>
      <c r="K37" s="22">
        <f>0.5*F15*(1-F16/F15)^2/(1-F16/F15*MIN(1,K36))+225*(K36-1+SQRT((K36-1)^2+16*K36/(F12*F16/F15)))</f>
        <v>36.057796928220661</v>
      </c>
      <c r="L37" s="22"/>
      <c r="M37" s="49"/>
      <c r="O37" s="16"/>
      <c r="P37" s="16"/>
      <c r="Q37" s="16"/>
      <c r="R37" s="16"/>
      <c r="S37" s="16"/>
      <c r="T37" s="16"/>
      <c r="W37" s="2"/>
    </row>
    <row r="38" spans="3:23" ht="19.5" thickBot="1" x14ac:dyDescent="0.35">
      <c r="C38" s="69" t="s">
        <v>31</v>
      </c>
      <c r="D38" s="237">
        <f>0.5*F15*(1-K28)^2/(1-MIN(1,K29)*K28)</f>
        <v>42.499999999999993</v>
      </c>
      <c r="E38" s="23"/>
      <c r="F38" s="130"/>
      <c r="G38" s="238" t="s">
        <v>11</v>
      </c>
      <c r="H38" s="237">
        <f>225*((K29-1)+SQRT((K29-1)^2+16*K29/(K25*3600)))</f>
        <v>104.23589327445042</v>
      </c>
      <c r="I38" s="23"/>
      <c r="J38" s="23"/>
      <c r="K38" s="69" t="s">
        <v>32</v>
      </c>
      <c r="L38" s="236">
        <f>H38+D38</f>
        <v>146.7358932744504</v>
      </c>
      <c r="M38" s="38" t="s">
        <v>33</v>
      </c>
      <c r="O38" s="235">
        <f t="shared" ref="O38:T38" si="1">IF(O35=1,O28,0)</f>
        <v>0</v>
      </c>
      <c r="P38" s="235">
        <f t="shared" si="1"/>
        <v>0</v>
      </c>
      <c r="Q38" s="235">
        <f t="shared" si="1"/>
        <v>0</v>
      </c>
      <c r="R38" s="67">
        <f t="shared" si="1"/>
        <v>0</v>
      </c>
      <c r="S38" s="67">
        <f t="shared" si="1"/>
        <v>0</v>
      </c>
      <c r="T38" s="67" t="str">
        <f t="shared" si="1"/>
        <v>F</v>
      </c>
    </row>
    <row r="39" spans="3:23" ht="19.5" thickBot="1" x14ac:dyDescent="0.35">
      <c r="C39" s="234" t="s">
        <v>153</v>
      </c>
      <c r="D39">
        <f>0.5*F15*(1-F16/F15)^2/(1-F16/F15*MIN(1,K34))</f>
        <v>34.510785824345142</v>
      </c>
      <c r="F39" s="49"/>
      <c r="G39" s="49" t="s">
        <v>152</v>
      </c>
      <c r="H39" s="228">
        <f>225*(K34-1+SQRT((K34-1)^2+16*K34/(K32*3600)))</f>
        <v>1.3767742448564242</v>
      </c>
      <c r="K39" t="s">
        <v>151</v>
      </c>
      <c r="L39" s="233">
        <f>D39+H39</f>
        <v>35.887560069201569</v>
      </c>
      <c r="M39" s="49" t="s">
        <v>33</v>
      </c>
    </row>
    <row r="40" spans="3:23" ht="19.5" thickBot="1" x14ac:dyDescent="0.35">
      <c r="C40" s="52" t="s">
        <v>7</v>
      </c>
      <c r="D40" s="59">
        <f>K30*F27/3600</f>
        <v>7.0902777777777777</v>
      </c>
      <c r="E40" s="26" t="s">
        <v>8</v>
      </c>
      <c r="F40" s="38"/>
      <c r="G40" s="232" t="s">
        <v>9</v>
      </c>
      <c r="H40" s="59">
        <f>K25*H38</f>
        <v>6.7187403430059254</v>
      </c>
      <c r="I40" s="26" t="s">
        <v>8</v>
      </c>
      <c r="J40" s="26"/>
      <c r="K40" s="40" t="s">
        <v>13</v>
      </c>
      <c r="L40" s="231">
        <f>H40+D40</f>
        <v>13.809018120783703</v>
      </c>
      <c r="M40" s="38" t="s">
        <v>34</v>
      </c>
    </row>
    <row r="41" spans="3:23" ht="19.5" thickBot="1" x14ac:dyDescent="0.35">
      <c r="C41" s="25" t="s">
        <v>150</v>
      </c>
      <c r="D41" s="59">
        <f>K33*F13/3600</f>
        <v>1.8608757062146895</v>
      </c>
      <c r="E41" s="26" t="s">
        <v>8</v>
      </c>
      <c r="F41" s="38"/>
      <c r="G41" s="38" t="s">
        <v>149</v>
      </c>
      <c r="H41" s="26">
        <f>H39*K32</f>
        <v>0.13472222724289507</v>
      </c>
      <c r="I41" s="26"/>
      <c r="J41" s="26"/>
      <c r="K41" s="26" t="s">
        <v>148</v>
      </c>
      <c r="L41" s="231">
        <f>D41+H41</f>
        <v>1.9955979334575846</v>
      </c>
      <c r="M41" s="230" t="s">
        <v>34</v>
      </c>
    </row>
    <row r="43" spans="3:23" ht="15.75" x14ac:dyDescent="0.25">
      <c r="C43" s="43" t="s">
        <v>17</v>
      </c>
      <c r="D43" s="43"/>
      <c r="E43" s="229" t="s">
        <v>22</v>
      </c>
      <c r="F43" s="43"/>
      <c r="G43" s="43" t="s">
        <v>23</v>
      </c>
      <c r="H43" s="43"/>
      <c r="I43" s="43"/>
      <c r="J43" s="43"/>
      <c r="K43" s="43" t="s">
        <v>24</v>
      </c>
      <c r="L43" s="43" t="s">
        <v>25</v>
      </c>
      <c r="M43" s="43"/>
      <c r="N43" s="43" t="s">
        <v>26</v>
      </c>
      <c r="O43" s="43"/>
      <c r="P43" s="43"/>
      <c r="Q43" s="43" t="s">
        <v>27</v>
      </c>
      <c r="R43" s="2"/>
    </row>
    <row r="44" spans="3:23" x14ac:dyDescent="0.25">
      <c r="C44" s="45" t="s">
        <v>146</v>
      </c>
      <c r="D44" s="4"/>
      <c r="E44" s="4">
        <v>1.04</v>
      </c>
      <c r="F44" s="4"/>
      <c r="G44" s="5">
        <f>E44*SQRT(1/L40)</f>
        <v>0.27986715922785632</v>
      </c>
      <c r="H44" s="4"/>
      <c r="I44" s="4"/>
      <c r="J44" s="4"/>
      <c r="K44" s="5">
        <f>$M$30*MIN(1.8,1+G44+0.6*E44^0.24*$K$28^0.33*(1-EXP(2-2*$K$29)))</f>
        <v>1.3741113034386314</v>
      </c>
      <c r="L44" s="6">
        <f>(1-$M$30)*MIN(1.8, 1+G44)</f>
        <v>0</v>
      </c>
      <c r="M44" s="4"/>
      <c r="N44" s="4">
        <f>MAX(K44,L44)*$L$40</f>
        <v>18.975127889157775</v>
      </c>
      <c r="O44" s="4"/>
      <c r="P44" s="4"/>
      <c r="Q44" s="7">
        <f>ROUND(N44*$F$17/10,0)*10</f>
        <v>470</v>
      </c>
    </row>
    <row r="45" spans="3:23" x14ac:dyDescent="0.25">
      <c r="C45" s="46" t="s">
        <v>19</v>
      </c>
      <c r="D45" s="8"/>
      <c r="E45" s="8">
        <v>1.28</v>
      </c>
      <c r="F45" s="8"/>
      <c r="G45" s="9">
        <f>E45*SQRT(1/L40)</f>
        <v>0.34445188828043855</v>
      </c>
      <c r="H45" s="8"/>
      <c r="I45" s="8"/>
      <c r="J45" s="8"/>
      <c r="K45" s="9">
        <f>$M$30*MIN(1.8,1+G45+0.6*E45^0.24*$K$28^0.33*(1-EXP(2-2*$K$29)))</f>
        <v>1.4435115330910422</v>
      </c>
      <c r="L45" s="10">
        <f>(1-$M$30)*MIN(1.8, 1+G45)</f>
        <v>0</v>
      </c>
      <c r="M45" s="8"/>
      <c r="N45" s="8">
        <f>MAX(K45,L45)*$L$40</f>
        <v>19.933476918014467</v>
      </c>
      <c r="O45" s="8"/>
      <c r="P45" s="8"/>
      <c r="Q45" s="11">
        <f>ROUND(N45*$F$17/10,0)*10</f>
        <v>500</v>
      </c>
    </row>
    <row r="46" spans="3:23" x14ac:dyDescent="0.25">
      <c r="C46" s="47" t="s">
        <v>20</v>
      </c>
      <c r="D46" s="12"/>
      <c r="E46" s="12">
        <v>1.64</v>
      </c>
      <c r="F46" s="12"/>
      <c r="G46" s="13">
        <f>E46*SQRT(1/L40)</f>
        <v>0.44132898185931185</v>
      </c>
      <c r="H46" s="12"/>
      <c r="I46" s="12"/>
      <c r="J46" s="12"/>
      <c r="K46" s="13">
        <f>$M$30*MIN(1.8,1+G46+0.6*E46^0.24*$K$28^0.33*(1-EXP(2-2*$K$29)))</f>
        <v>1.5464595223660362</v>
      </c>
      <c r="L46" s="14">
        <f>(1-$M$30)*MIN(1.8, 1+G46)</f>
        <v>0</v>
      </c>
      <c r="M46" s="12"/>
      <c r="N46" s="12">
        <f>MAX(K46,L46)*$L$40</f>
        <v>21.355087567411104</v>
      </c>
      <c r="O46" s="12"/>
      <c r="P46" s="12"/>
      <c r="Q46" s="15">
        <f>ROUND(N46*$F$17/10,0)*10</f>
        <v>530</v>
      </c>
    </row>
    <row r="47" spans="3:23" x14ac:dyDescent="0.25">
      <c r="C47" s="228" t="s">
        <v>147</v>
      </c>
    </row>
    <row r="48" spans="3:23" x14ac:dyDescent="0.25">
      <c r="C48" s="45" t="s">
        <v>146</v>
      </c>
      <c r="D48" s="4"/>
      <c r="E48" s="4">
        <v>1.04</v>
      </c>
      <c r="F48" s="4"/>
      <c r="G48" s="5">
        <f>E48*SQRT(1/($L$41))</f>
        <v>0.73620170096490023</v>
      </c>
      <c r="H48" s="4"/>
      <c r="I48" s="4"/>
      <c r="J48" s="4"/>
      <c r="K48" s="5">
        <f>$M$34*MIN(1.8,1+G48+0.6*E48^0.24*$K$28^0.33*(1-EXP(2-2*$K$34)))</f>
        <v>0</v>
      </c>
      <c r="L48" s="6">
        <f>(1-$M$34)*MIN(1.8, 1+G48)</f>
        <v>1.7362017009649002</v>
      </c>
      <c r="M48" s="4"/>
      <c r="N48" s="4">
        <f>MAX(K48,L48)*$L$41</f>
        <v>3.4647605265110983</v>
      </c>
      <c r="O48" s="4"/>
      <c r="P48" s="4"/>
      <c r="Q48" s="7">
        <f>ROUND(N48*$F$17/10,0)*10</f>
        <v>90</v>
      </c>
    </row>
    <row r="49" spans="3:17" x14ac:dyDescent="0.25">
      <c r="C49" s="46" t="s">
        <v>19</v>
      </c>
      <c r="D49" s="8"/>
      <c r="E49" s="8">
        <v>1.28</v>
      </c>
      <c r="F49" s="8"/>
      <c r="G49" s="9">
        <f>E49*SQRT(1/($L$41))</f>
        <v>0.90609440118756956</v>
      </c>
      <c r="H49" s="8"/>
      <c r="I49" s="8"/>
      <c r="J49" s="8"/>
      <c r="K49" s="9">
        <f>$M$34*MIN(1.8,1+G49+0.6*E49^0.24*$K$28^0.33*(1-EXP(2-2*$K$34)))</f>
        <v>0</v>
      </c>
      <c r="L49" s="10">
        <f>(1-$M$34)*MIN(1.8, 1+G49)</f>
        <v>1.8</v>
      </c>
      <c r="M49" s="8"/>
      <c r="N49" s="8">
        <f>MAX(K49,L49)*$L$41</f>
        <v>3.5920762802236523</v>
      </c>
      <c r="O49" s="8"/>
      <c r="P49" s="8"/>
      <c r="Q49" s="11">
        <f>ROUND(N49*$F$17/10,0)*10</f>
        <v>90</v>
      </c>
    </row>
    <row r="50" spans="3:17" x14ac:dyDescent="0.25">
      <c r="C50" s="47" t="s">
        <v>20</v>
      </c>
      <c r="D50" s="12"/>
      <c r="E50" s="12">
        <v>1.64</v>
      </c>
      <c r="F50" s="12"/>
      <c r="G50" s="13">
        <f>E50*SQRT(1/($L$41))</f>
        <v>1.1609334515215735</v>
      </c>
      <c r="H50" s="12"/>
      <c r="I50" s="12"/>
      <c r="J50" s="12"/>
      <c r="K50" s="13">
        <f>$M$34*MIN(1.8,1+G50+0.6*E50^0.24*$K$28^0.33*(1-EXP(2-2*$K$34)))</f>
        <v>0</v>
      </c>
      <c r="L50" s="14">
        <f>(1-$M$34)*MIN(1.8, 1+G50)</f>
        <v>1.8</v>
      </c>
      <c r="M50" s="12"/>
      <c r="N50" s="12">
        <f>MAX(K50,L50)*$L$41</f>
        <v>3.5920762802236523</v>
      </c>
      <c r="O50" s="12"/>
      <c r="P50" s="12"/>
      <c r="Q50" s="15">
        <f>ROUND(N50*$F$17/10,0)*10</f>
        <v>90</v>
      </c>
    </row>
    <row r="61" spans="3:17" x14ac:dyDescent="0.25">
      <c r="G61" s="227"/>
    </row>
  </sheetData>
  <conditionalFormatting sqref="O38:T38">
    <cfRule type="cellIs" dxfId="146" priority="1" operator="equal">
      <formula>0</formula>
    </cfRule>
    <cfRule type="cellIs" dxfId="145" priority="2" operator="equal">
      <formula>0</formula>
    </cfRule>
    <cfRule type="cellIs" dxfId="144" priority="3" operator="equal">
      <formula>0</formula>
    </cfRule>
  </conditionalFormatting>
  <pageMargins left="0.7" right="0.7" top="0.75" bottom="0.75" header="0.3" footer="0.3"/>
  <pageSetup orientation="portrait" horizontalDpi="300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W61"/>
  <sheetViews>
    <sheetView showGridLines="0" topLeftCell="A10" zoomScaleNormal="100" workbookViewId="0">
      <selection activeCell="F33" sqref="F33"/>
    </sheetView>
  </sheetViews>
  <sheetFormatPr defaultRowHeight="15" x14ac:dyDescent="0.25"/>
  <cols>
    <col min="1" max="1" width="6.5703125" style="497" customWidth="1"/>
    <col min="2" max="2" width="4.7109375" style="497" customWidth="1"/>
    <col min="3" max="4" width="9.140625" style="497"/>
    <col min="5" max="5" width="42.7109375" style="497" customWidth="1"/>
    <col min="6" max="6" width="9.140625" style="497"/>
    <col min="7" max="7" width="10" style="497" customWidth="1"/>
    <col min="8" max="8" width="9.140625" style="497"/>
    <col min="9" max="9" width="33.85546875" style="497" customWidth="1"/>
    <col min="10" max="10" width="13.140625" style="497" customWidth="1"/>
    <col min="11" max="11" width="9.140625" style="497"/>
    <col min="12" max="12" width="11.5703125" style="497" customWidth="1"/>
    <col min="13" max="13" width="11.28515625" style="497" customWidth="1"/>
    <col min="14" max="16" width="9.140625" style="497"/>
    <col min="17" max="17" width="13.140625" style="497" customWidth="1"/>
    <col min="18" max="18" width="9.140625" style="497"/>
    <col min="19" max="19" width="14" style="497" customWidth="1"/>
    <col min="20" max="16384" width="9.140625" style="497"/>
  </cols>
  <sheetData>
    <row r="1" spans="2:19" ht="21.75" thickBot="1" x14ac:dyDescent="0.4">
      <c r="E1" s="124" t="s">
        <v>189</v>
      </c>
      <c r="J1" s="277"/>
    </row>
    <row r="2" spans="2:19" ht="19.5" thickBot="1" x14ac:dyDescent="0.35">
      <c r="B2" s="307"/>
      <c r="C2" s="306" t="s">
        <v>188</v>
      </c>
      <c r="D2" s="306"/>
      <c r="E2" s="306"/>
      <c r="F2" s="306"/>
      <c r="G2" s="306"/>
      <c r="H2" s="305"/>
      <c r="I2" s="305"/>
      <c r="J2" s="277"/>
      <c r="K2" s="25"/>
      <c r="L2" s="41" t="s">
        <v>45</v>
      </c>
      <c r="M2" s="41"/>
      <c r="N2" s="41"/>
      <c r="O2" s="41"/>
      <c r="P2" s="41"/>
      <c r="Q2" s="41"/>
      <c r="R2" s="41"/>
      <c r="S2" s="27"/>
    </row>
    <row r="3" spans="2:19" ht="13.5" customHeight="1" x14ac:dyDescent="0.3">
      <c r="B3" s="304"/>
      <c r="C3" s="303"/>
      <c r="D3" s="273"/>
      <c r="E3" s="273"/>
      <c r="F3" s="273"/>
      <c r="G3" s="273"/>
      <c r="H3" s="271"/>
      <c r="I3" s="271"/>
      <c r="J3" s="277"/>
      <c r="K3" s="17"/>
      <c r="L3" s="91"/>
      <c r="M3" s="91"/>
      <c r="N3" s="91"/>
      <c r="O3" s="91"/>
      <c r="P3" s="91"/>
      <c r="Q3" s="91"/>
      <c r="R3" s="91"/>
      <c r="S3" s="19"/>
    </row>
    <row r="4" spans="2:19" ht="24" customHeight="1" thickBot="1" x14ac:dyDescent="0.4">
      <c r="B4" s="271"/>
      <c r="C4" s="302" t="s">
        <v>187</v>
      </c>
      <c r="D4" s="300"/>
      <c r="E4" s="300"/>
      <c r="F4" s="300"/>
      <c r="G4" s="300"/>
      <c r="H4" s="301"/>
      <c r="I4" s="300"/>
      <c r="J4" s="277"/>
      <c r="K4" s="36" t="s">
        <v>48</v>
      </c>
      <c r="L4" s="30"/>
      <c r="M4" s="30"/>
      <c r="N4" s="299">
        <f>ROUND((F9+F10)/(F9/F12+F10/F13)/10,0)*10</f>
        <v>1760</v>
      </c>
      <c r="O4" s="8" t="s">
        <v>14</v>
      </c>
      <c r="P4" s="8" t="s">
        <v>63</v>
      </c>
      <c r="Q4" s="8"/>
      <c r="R4" s="8"/>
      <c r="S4" s="21"/>
    </row>
    <row r="5" spans="2:19" ht="21.75" thickBot="1" x14ac:dyDescent="0.4">
      <c r="B5" s="271"/>
      <c r="C5" s="298" t="s">
        <v>186</v>
      </c>
      <c r="D5" s="297"/>
      <c r="E5" s="297"/>
      <c r="F5" s="296"/>
      <c r="G5" s="207"/>
      <c r="H5" s="273"/>
      <c r="I5" s="271"/>
      <c r="J5" s="277"/>
      <c r="K5" s="36" t="s">
        <v>46</v>
      </c>
      <c r="L5" s="30"/>
      <c r="M5" s="30"/>
      <c r="N5" s="285">
        <f>F9/(F12*K28)</f>
        <v>1.038888888888889</v>
      </c>
      <c r="O5" s="8"/>
      <c r="P5" s="8" t="s">
        <v>57</v>
      </c>
      <c r="Q5" s="8"/>
      <c r="R5" s="8"/>
      <c r="S5" s="21"/>
    </row>
    <row r="6" spans="2:19" ht="19.5" thickBot="1" x14ac:dyDescent="0.35">
      <c r="B6" s="295">
        <v>1</v>
      </c>
      <c r="C6" s="294" t="s">
        <v>185</v>
      </c>
      <c r="D6" s="293"/>
      <c r="E6" s="293"/>
      <c r="F6" s="292"/>
      <c r="G6" s="214" t="str">
        <f>'COMBINED INPUT'!H7</f>
        <v>HYPOTHETICAL SITE</v>
      </c>
      <c r="H6" s="291"/>
      <c r="I6" s="290"/>
      <c r="J6" s="277"/>
      <c r="K6" s="36"/>
      <c r="L6" s="30"/>
      <c r="M6" s="30"/>
      <c r="N6" s="285"/>
      <c r="O6" s="8"/>
      <c r="P6" s="8"/>
      <c r="Q6" s="8"/>
      <c r="R6" s="8"/>
      <c r="S6" s="21"/>
    </row>
    <row r="7" spans="2:19" ht="18.75" x14ac:dyDescent="0.3">
      <c r="B7" s="266">
        <v>2</v>
      </c>
      <c r="C7" s="269" t="s">
        <v>90</v>
      </c>
      <c r="D7" s="289"/>
      <c r="E7" s="288"/>
      <c r="F7" s="283" t="str">
        <f>'COMBINED INPUT2'!G10</f>
        <v>N</v>
      </c>
      <c r="G7" s="287" t="s">
        <v>184</v>
      </c>
      <c r="H7" s="148"/>
      <c r="I7" s="286"/>
      <c r="J7" s="277">
        <f>IF(F7="Y",1,0)</f>
        <v>0</v>
      </c>
      <c r="K7" s="36"/>
      <c r="L7" s="30"/>
      <c r="M7" s="30"/>
      <c r="N7" s="285"/>
      <c r="O7" s="8"/>
      <c r="P7" s="8"/>
      <c r="Q7" s="8"/>
      <c r="R7" s="8"/>
      <c r="S7" s="21"/>
    </row>
    <row r="8" spans="2:19" ht="19.5" thickBot="1" x14ac:dyDescent="0.35">
      <c r="B8" s="266">
        <v>3</v>
      </c>
      <c r="C8" s="150" t="s">
        <v>183</v>
      </c>
      <c r="D8" s="178"/>
      <c r="E8" s="284"/>
      <c r="F8" s="283" t="str">
        <f>'COMBINED INPUT2'!G11</f>
        <v>N</v>
      </c>
      <c r="G8" s="282" t="s">
        <v>94</v>
      </c>
      <c r="H8" s="281"/>
      <c r="I8" s="280"/>
      <c r="J8" s="277">
        <f>IF(F8="Y",1,0)</f>
        <v>0</v>
      </c>
      <c r="K8" s="201" t="s">
        <v>182</v>
      </c>
      <c r="L8" s="202"/>
      <c r="M8" s="202"/>
      <c r="N8" s="279">
        <f>IF(F7="Y",MAX(0,ROUND(29.24+17.3*F9/100,0)),MAX(0,ROUND(29.24+17.3*F9/100-90.291*K34,0)))</f>
        <v>84</v>
      </c>
      <c r="O8" s="203" t="s">
        <v>14</v>
      </c>
      <c r="P8" s="8"/>
      <c r="Q8" s="8"/>
      <c r="R8" s="8"/>
      <c r="S8" s="21"/>
    </row>
    <row r="9" spans="2:19" ht="19.5" thickBot="1" x14ac:dyDescent="0.35">
      <c r="B9" s="266">
        <v>4</v>
      </c>
      <c r="C9" s="269" t="s">
        <v>50</v>
      </c>
      <c r="D9" s="269"/>
      <c r="E9" s="268"/>
      <c r="F9" s="492">
        <f>'COMBINED INPUT2'!G12</f>
        <v>425</v>
      </c>
      <c r="G9" s="146" t="s">
        <v>14</v>
      </c>
      <c r="H9" s="147"/>
      <c r="I9" s="278"/>
      <c r="J9" s="277">
        <f>J8+J7</f>
        <v>0</v>
      </c>
      <c r="K9" s="204" t="s">
        <v>59</v>
      </c>
      <c r="L9" s="205"/>
      <c r="M9" s="205"/>
      <c r="N9" s="276">
        <f>IF(F8="Y",N8,ROUND(MAX(0,0.5*(F9-F10*F12/(2*F13))),0))</f>
        <v>191</v>
      </c>
      <c r="O9" s="206" t="s">
        <v>14</v>
      </c>
      <c r="P9" s="23"/>
      <c r="Q9" s="275">
        <f>ROUND(MAX(0,0.5*(F9-F10*F12/(2*F13))),0)</f>
        <v>191</v>
      </c>
      <c r="R9" s="35" t="s">
        <v>181</v>
      </c>
      <c r="S9" s="274"/>
    </row>
    <row r="10" spans="2:19" ht="18.75" x14ac:dyDescent="0.3">
      <c r="B10" s="266">
        <v>5</v>
      </c>
      <c r="C10" s="145" t="s">
        <v>80</v>
      </c>
      <c r="D10" s="145"/>
      <c r="E10" s="265"/>
      <c r="F10" s="493">
        <f>'COMBINED INPUT2'!G14</f>
        <v>75</v>
      </c>
      <c r="G10" s="148" t="s">
        <v>14</v>
      </c>
      <c r="H10" s="273"/>
      <c r="I10" s="271"/>
      <c r="J10" s="227"/>
      <c r="K10" s="99" t="s">
        <v>60</v>
      </c>
      <c r="L10" s="99"/>
      <c r="M10" s="99"/>
      <c r="N10" s="100">
        <f>IF(F7="",0,MIN(N8,N9))</f>
        <v>84</v>
      </c>
      <c r="O10" s="101" t="s">
        <v>14</v>
      </c>
      <c r="P10" s="101"/>
      <c r="Q10" s="101"/>
      <c r="R10" s="101"/>
      <c r="S10" s="101"/>
    </row>
    <row r="11" spans="2:19" ht="18.75" x14ac:dyDescent="0.3">
      <c r="B11" s="266">
        <v>6</v>
      </c>
      <c r="C11" s="145" t="s">
        <v>103</v>
      </c>
      <c r="D11" s="145"/>
      <c r="E11" s="265"/>
      <c r="F11" s="493">
        <f>'COMBINED INPUT2'!G16</f>
        <v>35</v>
      </c>
      <c r="G11" s="148" t="s">
        <v>107</v>
      </c>
      <c r="H11" s="273"/>
      <c r="I11" s="271"/>
      <c r="J11" s="227"/>
      <c r="K11" s="99"/>
      <c r="L11" s="99"/>
      <c r="M11" s="99"/>
      <c r="N11" s="100"/>
      <c r="O11" s="101"/>
      <c r="P11" s="101"/>
      <c r="Q11" s="101"/>
      <c r="R11" s="101"/>
      <c r="S11" s="101"/>
    </row>
    <row r="12" spans="2:19" ht="18.75" x14ac:dyDescent="0.3">
      <c r="B12" s="266">
        <v>7</v>
      </c>
      <c r="C12" s="145" t="s">
        <v>180</v>
      </c>
      <c r="D12" s="145"/>
      <c r="E12" s="265"/>
      <c r="F12" s="493">
        <f>'COMBINED INPUT2'!G13</f>
        <v>1800</v>
      </c>
      <c r="G12" s="148" t="s">
        <v>14</v>
      </c>
      <c r="H12" s="271"/>
      <c r="I12" s="271"/>
      <c r="K12" s="99" t="s">
        <v>61</v>
      </c>
      <c r="L12" s="99"/>
      <c r="M12" s="99"/>
      <c r="N12" s="100">
        <f>F9-N10</f>
        <v>341</v>
      </c>
      <c r="O12" s="102" t="s">
        <v>14</v>
      </c>
      <c r="P12" s="101"/>
      <c r="Q12" s="101"/>
      <c r="R12" s="101"/>
      <c r="S12" s="101"/>
    </row>
    <row r="13" spans="2:19" ht="18.75" x14ac:dyDescent="0.3">
      <c r="B13" s="266">
        <v>8</v>
      </c>
      <c r="C13" s="145" t="s">
        <v>110</v>
      </c>
      <c r="D13" s="145"/>
      <c r="E13" s="265"/>
      <c r="F13" s="493">
        <f>IF(F10=0,1530,'COMBINED INPUT2'!G15)</f>
        <v>1550</v>
      </c>
      <c r="G13" s="148" t="s">
        <v>14</v>
      </c>
      <c r="H13" s="271"/>
      <c r="I13" s="272"/>
      <c r="J13" s="68"/>
    </row>
    <row r="14" spans="2:19" ht="18.75" x14ac:dyDescent="0.3">
      <c r="B14" s="266">
        <v>9</v>
      </c>
      <c r="C14" s="145" t="s">
        <v>51</v>
      </c>
      <c r="D14" s="145"/>
      <c r="E14" s="265"/>
      <c r="F14" s="493">
        <f>'COMBINED INPUT2'!G17</f>
        <v>25</v>
      </c>
      <c r="G14" s="148" t="s">
        <v>15</v>
      </c>
      <c r="H14" s="271"/>
      <c r="I14" s="271"/>
    </row>
    <row r="15" spans="2:19" ht="18.75" x14ac:dyDescent="0.3">
      <c r="B15" s="266">
        <v>10</v>
      </c>
      <c r="C15" s="145" t="s">
        <v>111</v>
      </c>
      <c r="D15" s="145"/>
      <c r="E15" s="265"/>
      <c r="F15" s="493">
        <f>'COMBINED INPUT2'!G18</f>
        <v>110</v>
      </c>
      <c r="G15" s="148" t="s">
        <v>15</v>
      </c>
      <c r="H15" s="271"/>
      <c r="I15" s="271"/>
    </row>
    <row r="16" spans="2:19" ht="19.5" thickBot="1" x14ac:dyDescent="0.35">
      <c r="B16" s="266">
        <v>11</v>
      </c>
      <c r="C16" s="145" t="s">
        <v>179</v>
      </c>
      <c r="D16" s="145"/>
      <c r="E16" s="265"/>
      <c r="F16" s="493">
        <f>F14</f>
        <v>25</v>
      </c>
      <c r="G16" s="148" t="s">
        <v>15</v>
      </c>
      <c r="H16" s="271"/>
      <c r="I16" s="270" t="s">
        <v>104</v>
      </c>
    </row>
    <row r="17" spans="2:23" ht="18.75" x14ac:dyDescent="0.3">
      <c r="B17" s="266">
        <v>12</v>
      </c>
      <c r="C17" s="269" t="s">
        <v>43</v>
      </c>
      <c r="D17" s="269"/>
      <c r="E17" s="268"/>
      <c r="F17" s="492">
        <f>'COMBINED INPUT2'!G19</f>
        <v>25</v>
      </c>
      <c r="G17" s="165" t="s">
        <v>16</v>
      </c>
      <c r="H17" s="165"/>
      <c r="I17" s="267">
        <v>20</v>
      </c>
    </row>
    <row r="18" spans="2:23" ht="18.75" x14ac:dyDescent="0.3">
      <c r="B18" s="266">
        <v>13</v>
      </c>
      <c r="C18" s="145" t="s">
        <v>178</v>
      </c>
      <c r="D18" s="145"/>
      <c r="E18" s="265"/>
      <c r="F18" s="493">
        <f>'COMBINED INPUT2'!G20</f>
        <v>10</v>
      </c>
      <c r="G18" s="148" t="s">
        <v>106</v>
      </c>
      <c r="H18" s="148"/>
      <c r="I18" s="264">
        <v>10</v>
      </c>
    </row>
    <row r="19" spans="2:23" ht="18.75" x14ac:dyDescent="0.3">
      <c r="B19" s="266">
        <v>14</v>
      </c>
      <c r="C19" s="145" t="s">
        <v>121</v>
      </c>
      <c r="D19" s="145"/>
      <c r="E19" s="265"/>
      <c r="F19" s="493">
        <f>'COMBINED INPUT2'!G21</f>
        <v>110</v>
      </c>
      <c r="G19" s="148" t="s">
        <v>16</v>
      </c>
      <c r="H19" s="148"/>
      <c r="I19" s="264">
        <v>40</v>
      </c>
    </row>
    <row r="20" spans="2:23" ht="18.75" x14ac:dyDescent="0.3">
      <c r="B20" s="266">
        <v>15</v>
      </c>
      <c r="C20" s="145" t="s">
        <v>177</v>
      </c>
      <c r="D20" s="145"/>
      <c r="E20" s="265"/>
      <c r="F20" s="493">
        <f>'COMBINED INPUT2'!G22</f>
        <v>6</v>
      </c>
      <c r="G20" s="148" t="s">
        <v>15</v>
      </c>
      <c r="H20" s="148"/>
      <c r="I20" s="264">
        <v>6</v>
      </c>
    </row>
    <row r="21" spans="2:23" ht="19.5" thickBot="1" x14ac:dyDescent="0.35">
      <c r="B21" s="263">
        <v>16</v>
      </c>
      <c r="C21" s="150" t="s">
        <v>176</v>
      </c>
      <c r="D21" s="174"/>
      <c r="E21" s="262"/>
      <c r="F21" s="494">
        <f>'COMBINED INPUT2'!G23</f>
        <v>1</v>
      </c>
      <c r="G21" s="174" t="s">
        <v>15</v>
      </c>
      <c r="H21" s="174"/>
      <c r="I21" s="261">
        <v>1</v>
      </c>
    </row>
    <row r="22" spans="2:23" ht="15.75" thickBot="1" x14ac:dyDescent="0.3">
      <c r="B22" s="260"/>
      <c r="C22" s="260"/>
      <c r="D22" s="260"/>
      <c r="E22" s="260"/>
      <c r="F22" s="260"/>
      <c r="G22" s="260"/>
      <c r="H22" s="260"/>
      <c r="I22" s="259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</row>
    <row r="23" spans="2:23" ht="19.5" thickBot="1" x14ac:dyDescent="0.35">
      <c r="C23" s="258" t="s">
        <v>87</v>
      </c>
      <c r="D23" s="257"/>
      <c r="E23" s="257"/>
      <c r="F23" s="256" t="str">
        <f>IF(J9=0,"III",IF(J9=2,"IV","II"))</f>
        <v>III</v>
      </c>
      <c r="G23" s="255"/>
      <c r="H23" s="255"/>
      <c r="I23" s="254" t="str">
        <f>IF(F23="III","2-CTL'S+SHARED ATL",IF(F23="II","NO ATL- 2-CTL'S+ RT LANE","2-CTL'S+ ATL+RT LANE"))</f>
        <v>2-CTL'S+SHARED ATL</v>
      </c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</row>
    <row r="24" spans="2:23" ht="15.75" thickBot="1" x14ac:dyDescent="0.3"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</row>
    <row r="25" spans="2:23" x14ac:dyDescent="0.25">
      <c r="C25" s="44" t="s">
        <v>175</v>
      </c>
      <c r="D25" s="29"/>
      <c r="E25" s="29"/>
      <c r="F25" s="48">
        <f>Q9</f>
        <v>191</v>
      </c>
      <c r="G25" s="48" t="s">
        <v>14</v>
      </c>
      <c r="H25" s="29" t="s">
        <v>174</v>
      </c>
      <c r="I25" s="29"/>
      <c r="J25" s="29"/>
      <c r="K25" s="253">
        <f>F27*(F14/F15)/3600</f>
        <v>6.4457070707070699E-2</v>
      </c>
      <c r="L25" s="17" t="s">
        <v>12</v>
      </c>
      <c r="M25" s="51"/>
    </row>
    <row r="26" spans="2:23" x14ac:dyDescent="0.25">
      <c r="C26" s="36" t="s">
        <v>173</v>
      </c>
      <c r="D26" s="30"/>
      <c r="E26" s="8"/>
      <c r="F26" s="49">
        <f>(Q9+F10)</f>
        <v>266</v>
      </c>
      <c r="G26" s="49" t="s">
        <v>14</v>
      </c>
      <c r="H26" s="30" t="s">
        <v>172</v>
      </c>
      <c r="I26" s="30"/>
      <c r="J26" s="30"/>
      <c r="K26" s="242">
        <f>F15-F14</f>
        <v>85</v>
      </c>
      <c r="L26" s="20" t="s">
        <v>15</v>
      </c>
      <c r="M26" s="49"/>
    </row>
    <row r="27" spans="2:23" ht="15.75" thickBot="1" x14ac:dyDescent="0.3">
      <c r="C27" s="36" t="s">
        <v>171</v>
      </c>
      <c r="D27" s="30"/>
      <c r="E27" s="8"/>
      <c r="F27" s="49">
        <f>IF(F5  &lt;&gt; "CTL",ROUND(F26/(F10/F13+2*Q9/F12),0),F12)</f>
        <v>1021</v>
      </c>
      <c r="G27" s="49" t="s">
        <v>14</v>
      </c>
      <c r="H27" s="30" t="s">
        <v>170</v>
      </c>
      <c r="I27" s="30"/>
      <c r="J27" s="30"/>
      <c r="K27" s="240">
        <f>F26/F27</f>
        <v>0.26052889324191969</v>
      </c>
      <c r="L27" s="20"/>
      <c r="M27" s="49"/>
      <c r="Q27" s="2" t="s">
        <v>41</v>
      </c>
      <c r="R27" s="2"/>
    </row>
    <row r="28" spans="2:23" ht="19.5" thickBot="1" x14ac:dyDescent="0.35">
      <c r="C28" s="36" t="s">
        <v>169</v>
      </c>
      <c r="D28" s="30"/>
      <c r="E28" s="8"/>
      <c r="F28" s="252">
        <f>F10/(F10+Q9)</f>
        <v>0.28195488721804512</v>
      </c>
      <c r="G28" s="49"/>
      <c r="H28" s="30" t="s">
        <v>3</v>
      </c>
      <c r="I28" s="30"/>
      <c r="J28" s="30"/>
      <c r="K28" s="240">
        <f>F14/F15</f>
        <v>0.22727272727272727</v>
      </c>
      <c r="L28" s="20"/>
      <c r="M28" s="251" t="s">
        <v>21</v>
      </c>
      <c r="O28" s="80" t="s">
        <v>35</v>
      </c>
      <c r="P28" s="81" t="s">
        <v>36</v>
      </c>
      <c r="Q28" s="82" t="s">
        <v>37</v>
      </c>
      <c r="R28" s="83" t="s">
        <v>38</v>
      </c>
      <c r="S28" s="84" t="s">
        <v>39</v>
      </c>
      <c r="T28" s="85" t="s">
        <v>40</v>
      </c>
    </row>
    <row r="29" spans="2:23" ht="18.75" x14ac:dyDescent="0.3">
      <c r="C29" s="36" t="s">
        <v>168</v>
      </c>
      <c r="D29" s="30"/>
      <c r="E29" s="8"/>
      <c r="F29" s="250">
        <f>F9-Q9</f>
        <v>234</v>
      </c>
      <c r="G29" s="241" t="s">
        <v>14</v>
      </c>
      <c r="H29" s="30" t="s">
        <v>167</v>
      </c>
      <c r="I29" s="30"/>
      <c r="J29" s="30"/>
      <c r="K29" s="249">
        <f>K27/K28</f>
        <v>1.1463271302644467</v>
      </c>
      <c r="L29" s="20"/>
      <c r="M29" s="49"/>
      <c r="O29" s="248"/>
      <c r="P29" s="247"/>
      <c r="Q29" s="246"/>
      <c r="R29" s="245"/>
      <c r="S29" s="244"/>
      <c r="T29" s="243"/>
    </row>
    <row r="30" spans="2:23" x14ac:dyDescent="0.25">
      <c r="C30" s="36" t="s">
        <v>166</v>
      </c>
      <c r="D30" s="8"/>
      <c r="E30" s="8"/>
      <c r="F30" s="49">
        <f>F12/2</f>
        <v>900</v>
      </c>
      <c r="G30" s="241" t="s">
        <v>14</v>
      </c>
      <c r="H30" s="30" t="s">
        <v>165</v>
      </c>
      <c r="I30" s="30"/>
      <c r="J30" s="30"/>
      <c r="K30" s="240">
        <f>MIN(F14,K26*K27/(1-K27))</f>
        <v>25</v>
      </c>
      <c r="L30" s="20" t="s">
        <v>15</v>
      </c>
      <c r="M30" s="54">
        <f>IF(K29&gt;1,1,0)</f>
        <v>1</v>
      </c>
      <c r="N30" s="497" t="s">
        <v>85</v>
      </c>
      <c r="O30" s="1">
        <v>10</v>
      </c>
      <c r="P30" s="1">
        <v>20</v>
      </c>
      <c r="Q30" s="1">
        <v>35</v>
      </c>
      <c r="R30" s="1">
        <v>55</v>
      </c>
      <c r="S30" s="1">
        <v>80</v>
      </c>
      <c r="T30" s="1" t="s">
        <v>42</v>
      </c>
      <c r="W30" s="2"/>
    </row>
    <row r="31" spans="2:23" x14ac:dyDescent="0.25">
      <c r="C31" s="36" t="s">
        <v>164</v>
      </c>
      <c r="D31" s="8"/>
      <c r="E31" s="8"/>
      <c r="F31" s="49">
        <f>F29/F30</f>
        <v>0.26</v>
      </c>
      <c r="G31" s="49"/>
      <c r="H31" s="30" t="s">
        <v>163</v>
      </c>
      <c r="I31" s="30"/>
      <c r="J31" s="30"/>
      <c r="K31" s="240">
        <f>MIN(F14,K26*F31/(1-F31))</f>
        <v>25</v>
      </c>
      <c r="L31" s="20" t="s">
        <v>15</v>
      </c>
      <c r="M31" s="54"/>
      <c r="O31" s="1"/>
      <c r="P31" s="1"/>
      <c r="Q31" s="1"/>
      <c r="R31" s="1"/>
      <c r="S31" s="1"/>
      <c r="T31" s="1"/>
      <c r="W31" s="2"/>
    </row>
    <row r="32" spans="2:23" x14ac:dyDescent="0.25">
      <c r="C32" s="36" t="s">
        <v>162</v>
      </c>
      <c r="D32" s="8"/>
      <c r="E32" s="8"/>
      <c r="F32" s="49">
        <f>F27*K28/3600</f>
        <v>6.4457070707070699E-2</v>
      </c>
      <c r="G32" s="241" t="s">
        <v>12</v>
      </c>
      <c r="H32" s="228" t="s">
        <v>161</v>
      </c>
      <c r="I32" s="8"/>
      <c r="J32" s="8"/>
      <c r="K32" s="242">
        <f>F13/3600*K28</f>
        <v>9.7853535353535359E-2</v>
      </c>
      <c r="L32" s="20" t="s">
        <v>12</v>
      </c>
      <c r="M32" s="54"/>
      <c r="O32" s="1"/>
      <c r="P32" s="1"/>
      <c r="Q32" s="1"/>
      <c r="R32" s="1"/>
      <c r="S32" s="1"/>
      <c r="T32" s="1"/>
      <c r="W32" s="2"/>
    </row>
    <row r="33" spans="3:23" x14ac:dyDescent="0.25">
      <c r="C33" s="36"/>
      <c r="D33" s="8"/>
      <c r="E33" s="8"/>
      <c r="F33" s="49"/>
      <c r="G33" s="241"/>
      <c r="H33" s="30" t="s">
        <v>160</v>
      </c>
      <c r="I33" s="30"/>
      <c r="J33" s="30"/>
      <c r="K33" s="240">
        <f>MIN(F16,K26*F10/F13/(1-F10/F13))</f>
        <v>4.3220338983050848</v>
      </c>
      <c r="L33" s="20"/>
      <c r="M33" s="54"/>
      <c r="O33" s="1"/>
      <c r="P33" s="1"/>
      <c r="Q33" s="1"/>
      <c r="R33" s="1"/>
      <c r="S33" s="1"/>
      <c r="T33" s="1"/>
      <c r="W33" s="2"/>
    </row>
    <row r="34" spans="3:23" x14ac:dyDescent="0.25">
      <c r="C34" s="36" t="s">
        <v>159</v>
      </c>
      <c r="D34" s="8"/>
      <c r="E34" s="8"/>
      <c r="F34" s="239">
        <f>F31/K28</f>
        <v>1.1440000000000001</v>
      </c>
      <c r="G34" s="49"/>
      <c r="H34" s="228" t="s">
        <v>158</v>
      </c>
      <c r="I34" s="8"/>
      <c r="J34" s="8"/>
      <c r="K34" s="20">
        <f>(F10/F13)/(F16/F15)</f>
        <v>0.2129032258064516</v>
      </c>
      <c r="L34" s="20"/>
      <c r="M34" s="54">
        <f>IF(K34&gt;1,1,0)</f>
        <v>0</v>
      </c>
      <c r="O34" s="16">
        <f t="shared" ref="O34:T34" si="0">IF($L$38&lt;=O30,1,0)</f>
        <v>0</v>
      </c>
      <c r="P34" s="16">
        <f t="shared" si="0"/>
        <v>0</v>
      </c>
      <c r="Q34" s="16">
        <f t="shared" si="0"/>
        <v>0</v>
      </c>
      <c r="R34" s="16">
        <f t="shared" si="0"/>
        <v>0</v>
      </c>
      <c r="S34" s="16">
        <f t="shared" si="0"/>
        <v>0</v>
      </c>
      <c r="T34" s="16">
        <f t="shared" si="0"/>
        <v>1</v>
      </c>
      <c r="W34" s="2"/>
    </row>
    <row r="35" spans="3:23" x14ac:dyDescent="0.25">
      <c r="C35" s="36" t="s">
        <v>157</v>
      </c>
      <c r="D35" s="8"/>
      <c r="E35" s="8"/>
      <c r="F35" s="49">
        <f>0.5*F15*(1-K28)^2/(1-K28*MIN(1,F34))+225*(F34-1+SQRT((F34-1)^2+16*F34/(F32*3600)))</f>
        <v>145.91489656255516</v>
      </c>
      <c r="G35" s="49" t="s">
        <v>15</v>
      </c>
      <c r="H35" s="30" t="s">
        <v>156</v>
      </c>
      <c r="I35" s="8"/>
      <c r="J35" s="8"/>
      <c r="K35" s="20">
        <f>0.5*F15*(1-F16/F15)^2/(1-F16/F15*MIN(1,K34))+225*(K34-1+SQRT((K34-1)^2+16*K34/(F13*F16/F15)))</f>
        <v>35.887560069201569</v>
      </c>
      <c r="L35" s="20"/>
      <c r="M35" s="49"/>
      <c r="O35" s="16">
        <f>O34-N38</f>
        <v>0</v>
      </c>
      <c r="P35" s="16">
        <f>P34-O34</f>
        <v>0</v>
      </c>
      <c r="Q35" s="16">
        <f>Q34-P34</f>
        <v>0</v>
      </c>
      <c r="R35" s="16">
        <f>R34-Q34</f>
        <v>0</v>
      </c>
      <c r="S35" s="16">
        <f>S34-R34</f>
        <v>0</v>
      </c>
      <c r="T35" s="16">
        <f>T34-S34</f>
        <v>1</v>
      </c>
      <c r="W35" s="2"/>
    </row>
    <row r="36" spans="3:23" x14ac:dyDescent="0.25">
      <c r="C36" s="36"/>
      <c r="D36" s="8"/>
      <c r="E36" s="8"/>
      <c r="F36" s="49"/>
      <c r="G36" s="49"/>
      <c r="H36" s="30" t="s">
        <v>155</v>
      </c>
      <c r="I36" s="8"/>
      <c r="J36" s="8"/>
      <c r="K36" s="20">
        <f>(F9/F12)/(F16/F14)</f>
        <v>0.2361111111111111</v>
      </c>
      <c r="L36" s="20"/>
      <c r="M36" s="49"/>
      <c r="O36" s="16"/>
      <c r="P36" s="16"/>
      <c r="Q36" s="16"/>
      <c r="R36" s="16"/>
      <c r="S36" s="16"/>
      <c r="T36" s="16"/>
      <c r="W36" s="2"/>
    </row>
    <row r="37" spans="3:23" ht="15.75" thickBot="1" x14ac:dyDescent="0.3">
      <c r="C37" s="69"/>
      <c r="D37" s="23"/>
      <c r="E37" s="23"/>
      <c r="F37" s="130"/>
      <c r="G37" s="130"/>
      <c r="H37" s="70" t="s">
        <v>154</v>
      </c>
      <c r="I37" s="23"/>
      <c r="J37" s="23"/>
      <c r="K37" s="22">
        <f>0.5*F15*(1-F16/F15)^2/(1-F16/F15*MIN(1,K36))+225*(K36-1+SQRT((K36-1)^2+16*K36/(F12*F16/F15)))</f>
        <v>36.057796928220661</v>
      </c>
      <c r="L37" s="22"/>
      <c r="M37" s="49"/>
      <c r="O37" s="16"/>
      <c r="P37" s="16"/>
      <c r="Q37" s="16"/>
      <c r="R37" s="16"/>
      <c r="S37" s="16"/>
      <c r="T37" s="16"/>
      <c r="W37" s="2"/>
    </row>
    <row r="38" spans="3:23" ht="19.5" thickBot="1" x14ac:dyDescent="0.35">
      <c r="C38" s="69" t="s">
        <v>31</v>
      </c>
      <c r="D38" s="237">
        <f>0.5*F15*(1-K28)^2/(1-MIN(1,K29)*K28)</f>
        <v>42.499999999999993</v>
      </c>
      <c r="E38" s="23"/>
      <c r="F38" s="130"/>
      <c r="G38" s="238" t="s">
        <v>11</v>
      </c>
      <c r="H38" s="237">
        <f>225*((K29-1)+SQRT((K29-1)^2+16*K29/(K25*3600)))</f>
        <v>104.23589327445042</v>
      </c>
      <c r="I38" s="23"/>
      <c r="J38" s="23"/>
      <c r="K38" s="69" t="s">
        <v>32</v>
      </c>
      <c r="L38" s="236">
        <f>H38+D38</f>
        <v>146.7358932744504</v>
      </c>
      <c r="M38" s="38" t="s">
        <v>33</v>
      </c>
      <c r="O38" s="235">
        <f t="shared" ref="O38:T38" si="1">IF(O35=1,O28,0)</f>
        <v>0</v>
      </c>
      <c r="P38" s="235">
        <f t="shared" si="1"/>
        <v>0</v>
      </c>
      <c r="Q38" s="235">
        <f t="shared" si="1"/>
        <v>0</v>
      </c>
      <c r="R38" s="67">
        <f t="shared" si="1"/>
        <v>0</v>
      </c>
      <c r="S38" s="67">
        <f t="shared" si="1"/>
        <v>0</v>
      </c>
      <c r="T38" s="67" t="str">
        <f t="shared" si="1"/>
        <v>F</v>
      </c>
    </row>
    <row r="39" spans="3:23" ht="19.5" thickBot="1" x14ac:dyDescent="0.35">
      <c r="C39" s="234" t="s">
        <v>153</v>
      </c>
      <c r="D39" s="497">
        <f>0.5*F15*(1-F16/F15)^2/(1-F16/F15*MIN(1,K34))</f>
        <v>34.510785824345142</v>
      </c>
      <c r="F39" s="49"/>
      <c r="G39" s="49" t="s">
        <v>152</v>
      </c>
      <c r="H39" s="228">
        <f>225*(K34-1+SQRT((K34-1)^2+16*K34/(K32*3600)))</f>
        <v>1.3767742448564242</v>
      </c>
      <c r="K39" s="497" t="s">
        <v>151</v>
      </c>
      <c r="L39" s="233">
        <f>D39+H39</f>
        <v>35.887560069201569</v>
      </c>
      <c r="M39" s="49" t="s">
        <v>33</v>
      </c>
    </row>
    <row r="40" spans="3:23" ht="19.5" thickBot="1" x14ac:dyDescent="0.35">
      <c r="C40" s="52" t="s">
        <v>7</v>
      </c>
      <c r="D40" s="59">
        <f>K30*F27/3600</f>
        <v>7.0902777777777777</v>
      </c>
      <c r="E40" s="26" t="s">
        <v>8</v>
      </c>
      <c r="F40" s="38"/>
      <c r="G40" s="232" t="s">
        <v>9</v>
      </c>
      <c r="H40" s="59">
        <f>K25*H38</f>
        <v>6.7187403430059254</v>
      </c>
      <c r="I40" s="26" t="s">
        <v>8</v>
      </c>
      <c r="J40" s="26"/>
      <c r="K40" s="40" t="s">
        <v>13</v>
      </c>
      <c r="L40" s="231">
        <f>H40+D40</f>
        <v>13.809018120783703</v>
      </c>
      <c r="M40" s="38" t="s">
        <v>34</v>
      </c>
    </row>
    <row r="41" spans="3:23" ht="19.5" thickBot="1" x14ac:dyDescent="0.35">
      <c r="C41" s="25" t="s">
        <v>150</v>
      </c>
      <c r="D41" s="59">
        <f>K33*F13/3600</f>
        <v>1.8608757062146895</v>
      </c>
      <c r="E41" s="26" t="s">
        <v>8</v>
      </c>
      <c r="F41" s="38"/>
      <c r="G41" s="38" t="s">
        <v>149</v>
      </c>
      <c r="H41" s="26">
        <f>H39*K32</f>
        <v>0.13472222724289507</v>
      </c>
      <c r="I41" s="26"/>
      <c r="J41" s="26"/>
      <c r="K41" s="26" t="s">
        <v>148</v>
      </c>
      <c r="L41" s="231">
        <f>D41+H41</f>
        <v>1.9955979334575846</v>
      </c>
      <c r="M41" s="230" t="s">
        <v>34</v>
      </c>
    </row>
    <row r="43" spans="3:23" ht="15.75" x14ac:dyDescent="0.25">
      <c r="C43" s="43" t="s">
        <v>17</v>
      </c>
      <c r="D43" s="43"/>
      <c r="E43" s="229" t="s">
        <v>22</v>
      </c>
      <c r="F43" s="43"/>
      <c r="G43" s="43" t="s">
        <v>23</v>
      </c>
      <c r="H43" s="43"/>
      <c r="I43" s="43"/>
      <c r="J43" s="43"/>
      <c r="K43" s="43" t="s">
        <v>24</v>
      </c>
      <c r="L43" s="43" t="s">
        <v>25</v>
      </c>
      <c r="M43" s="43"/>
      <c r="N43" s="43" t="s">
        <v>26</v>
      </c>
      <c r="O43" s="43"/>
      <c r="P43" s="43"/>
      <c r="Q43" s="43" t="s">
        <v>27</v>
      </c>
      <c r="R43" s="2"/>
    </row>
    <row r="44" spans="3:23" x14ac:dyDescent="0.25">
      <c r="C44" s="45" t="s">
        <v>146</v>
      </c>
      <c r="D44" s="4"/>
      <c r="E44" s="4">
        <v>1.04</v>
      </c>
      <c r="F44" s="4"/>
      <c r="G44" s="5">
        <f>E44*SQRT(1/L40)</f>
        <v>0.27986715922785632</v>
      </c>
      <c r="H44" s="4"/>
      <c r="I44" s="4"/>
      <c r="J44" s="4"/>
      <c r="K44" s="5">
        <f>$M$30*MIN(1.8,1+G44+0.6*E44^0.24*$K$28^0.33*(1-EXP(2-2*$K$29)))</f>
        <v>1.3741113034386314</v>
      </c>
      <c r="L44" s="6">
        <f>(1-$M$30)*MIN(1.8, 1+G44)</f>
        <v>0</v>
      </c>
      <c r="M44" s="4"/>
      <c r="N44" s="4">
        <f>MAX(K44,L44)*$L$40</f>
        <v>18.975127889157775</v>
      </c>
      <c r="O44" s="4"/>
      <c r="P44" s="4"/>
      <c r="Q44" s="7">
        <f>ROUND(N44*$F$17/10,0)*10</f>
        <v>470</v>
      </c>
    </row>
    <row r="45" spans="3:23" x14ac:dyDescent="0.25">
      <c r="C45" s="46" t="s">
        <v>19</v>
      </c>
      <c r="D45" s="8"/>
      <c r="E45" s="8">
        <v>1.28</v>
      </c>
      <c r="F45" s="8"/>
      <c r="G45" s="9">
        <f>E45*SQRT(1/L40)</f>
        <v>0.34445188828043855</v>
      </c>
      <c r="H45" s="8"/>
      <c r="I45" s="8"/>
      <c r="J45" s="8"/>
      <c r="K45" s="9">
        <f>$M$30*MIN(1.8,1+G45+0.6*E45^0.24*$K$28^0.33*(1-EXP(2-2*$K$29)))</f>
        <v>1.4435115330910422</v>
      </c>
      <c r="L45" s="10">
        <f>(1-$M$30)*MIN(1.8, 1+G45)</f>
        <v>0</v>
      </c>
      <c r="M45" s="8"/>
      <c r="N45" s="8">
        <f>MAX(K45,L45)*$L$40</f>
        <v>19.933476918014467</v>
      </c>
      <c r="O45" s="8"/>
      <c r="P45" s="8"/>
      <c r="Q45" s="11">
        <f>ROUND(N45*$F$17/10,0)*10</f>
        <v>500</v>
      </c>
    </row>
    <row r="46" spans="3:23" x14ac:dyDescent="0.25">
      <c r="C46" s="47" t="s">
        <v>20</v>
      </c>
      <c r="D46" s="12"/>
      <c r="E46" s="12">
        <v>1.64</v>
      </c>
      <c r="F46" s="12"/>
      <c r="G46" s="13">
        <f>E46*SQRT(1/L40)</f>
        <v>0.44132898185931185</v>
      </c>
      <c r="H46" s="12"/>
      <c r="I46" s="12"/>
      <c r="J46" s="12"/>
      <c r="K46" s="13">
        <f>$M$30*MIN(1.8,1+G46+0.6*E46^0.24*$K$28^0.33*(1-EXP(2-2*$K$29)))</f>
        <v>1.5464595223660362</v>
      </c>
      <c r="L46" s="14">
        <f>(1-$M$30)*MIN(1.8, 1+G46)</f>
        <v>0</v>
      </c>
      <c r="M46" s="12"/>
      <c r="N46" s="12">
        <f>MAX(K46,L46)*$L$40</f>
        <v>21.355087567411104</v>
      </c>
      <c r="O46" s="12"/>
      <c r="P46" s="12"/>
      <c r="Q46" s="15">
        <f>ROUND(N46*$F$17/10,0)*10</f>
        <v>530</v>
      </c>
    </row>
    <row r="47" spans="3:23" x14ac:dyDescent="0.25">
      <c r="C47" s="228" t="s">
        <v>147</v>
      </c>
    </row>
    <row r="48" spans="3:23" x14ac:dyDescent="0.25">
      <c r="C48" s="45" t="s">
        <v>146</v>
      </c>
      <c r="D48" s="4"/>
      <c r="E48" s="4">
        <v>1.04</v>
      </c>
      <c r="F48" s="4"/>
      <c r="G48" s="5">
        <f>E48*SQRT(1/($L$41))</f>
        <v>0.73620170096490023</v>
      </c>
      <c r="H48" s="4"/>
      <c r="I48" s="4"/>
      <c r="J48" s="4"/>
      <c r="K48" s="5">
        <f>$M$34*MIN(1.8,1+G48+0.6*E48^0.24*$K$28^0.33*(1-EXP(2-2*$K$34)))</f>
        <v>0</v>
      </c>
      <c r="L48" s="6">
        <f>(1-$M$34)*MIN(1.8, 1+G48)</f>
        <v>1.7362017009649002</v>
      </c>
      <c r="M48" s="4"/>
      <c r="N48" s="4">
        <f>MAX(K48,L48)*$L$41</f>
        <v>3.4647605265110983</v>
      </c>
      <c r="O48" s="4"/>
      <c r="P48" s="4"/>
      <c r="Q48" s="7">
        <f>ROUND(N48*$F$17/10,0)*10</f>
        <v>90</v>
      </c>
    </row>
    <row r="49" spans="3:17" x14ac:dyDescent="0.25">
      <c r="C49" s="46" t="s">
        <v>19</v>
      </c>
      <c r="D49" s="8"/>
      <c r="E49" s="8">
        <v>1.28</v>
      </c>
      <c r="F49" s="8"/>
      <c r="G49" s="9">
        <f>E49*SQRT(1/($L$41))</f>
        <v>0.90609440118756956</v>
      </c>
      <c r="H49" s="8"/>
      <c r="I49" s="8"/>
      <c r="J49" s="8"/>
      <c r="K49" s="9">
        <f>$M$34*MIN(1.8,1+G49+0.6*E49^0.24*$K$28^0.33*(1-EXP(2-2*$K$34)))</f>
        <v>0</v>
      </c>
      <c r="L49" s="10">
        <f>(1-$M$34)*MIN(1.8, 1+G49)</f>
        <v>1.8</v>
      </c>
      <c r="M49" s="8"/>
      <c r="N49" s="8">
        <f>MAX(K49,L49)*$L$41</f>
        <v>3.5920762802236523</v>
      </c>
      <c r="O49" s="8"/>
      <c r="P49" s="8"/>
      <c r="Q49" s="11">
        <f>ROUND(N49*$F$17/10,0)*10</f>
        <v>90</v>
      </c>
    </row>
    <row r="50" spans="3:17" x14ac:dyDescent="0.25">
      <c r="C50" s="47" t="s">
        <v>20</v>
      </c>
      <c r="D50" s="12"/>
      <c r="E50" s="12">
        <v>1.64</v>
      </c>
      <c r="F50" s="12"/>
      <c r="G50" s="13">
        <f>E50*SQRT(1/($L$41))</f>
        <v>1.1609334515215735</v>
      </c>
      <c r="H50" s="12"/>
      <c r="I50" s="12"/>
      <c r="J50" s="12"/>
      <c r="K50" s="13">
        <f>$M$34*MIN(1.8,1+G50+0.6*E50^0.24*$K$28^0.33*(1-EXP(2-2*$K$34)))</f>
        <v>0</v>
      </c>
      <c r="L50" s="14">
        <f>(1-$M$34)*MIN(1.8, 1+G50)</f>
        <v>1.8</v>
      </c>
      <c r="M50" s="12"/>
      <c r="N50" s="12">
        <f>MAX(K50,L50)*$L$41</f>
        <v>3.5920762802236523</v>
      </c>
      <c r="O50" s="12"/>
      <c r="P50" s="12"/>
      <c r="Q50" s="15">
        <f>ROUND(N50*$F$17/10,0)*10</f>
        <v>90</v>
      </c>
    </row>
    <row r="61" spans="3:17" x14ac:dyDescent="0.25">
      <c r="G61" s="227"/>
    </row>
  </sheetData>
  <conditionalFormatting sqref="O38:T38">
    <cfRule type="cellIs" dxfId="143" priority="1" operator="equal">
      <formula>0</formula>
    </cfRule>
    <cfRule type="cellIs" dxfId="142" priority="2" operator="equal">
      <formula>0</formula>
    </cfRule>
    <cfRule type="cellIs" dxfId="141" priority="3" operator="equal">
      <formula>0</formula>
    </cfRule>
  </conditionalFormatting>
  <pageMargins left="0.7" right="0.7" top="0.75" bottom="0.75" header="0.3" footer="0.3"/>
  <pageSetup orientation="portrait" horizontalDpi="300" verticalDpi="3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V27"/>
  <sheetViews>
    <sheetView topLeftCell="E1" zoomScale="69" zoomScaleNormal="69" workbookViewId="0">
      <selection activeCell="P25" sqref="P25"/>
    </sheetView>
  </sheetViews>
  <sheetFormatPr defaultRowHeight="15" x14ac:dyDescent="0.25"/>
  <cols>
    <col min="1" max="2" width="0" style="497" hidden="1" customWidth="1"/>
    <col min="3" max="3" width="3.140625" style="497" hidden="1" customWidth="1"/>
    <col min="4" max="4" width="4.140625" style="497" hidden="1" customWidth="1"/>
    <col min="5" max="5" width="1.140625" style="497" customWidth="1"/>
    <col min="6" max="6" width="9.28515625" style="497" customWidth="1"/>
    <col min="7" max="7" width="16.28515625" style="497" customWidth="1"/>
    <col min="8" max="8" width="12.28515625" style="497" customWidth="1"/>
    <col min="9" max="9" width="14.42578125" style="497" customWidth="1"/>
    <col min="10" max="10" width="11" style="497" customWidth="1"/>
    <col min="11" max="11" width="11.7109375" style="497" customWidth="1"/>
    <col min="12" max="12" width="16.28515625" style="497" customWidth="1"/>
    <col min="13" max="13" width="0" style="497" hidden="1" customWidth="1"/>
    <col min="14" max="14" width="9.140625" style="497"/>
    <col min="15" max="15" width="11.5703125" style="497" customWidth="1"/>
    <col min="16" max="16" width="11.85546875" style="497" customWidth="1"/>
    <col min="17" max="17" width="10.5703125" style="497" bestFit="1" customWidth="1"/>
    <col min="18" max="18" width="13.85546875" style="497" customWidth="1"/>
    <col min="19" max="19" width="7.7109375" style="497" customWidth="1"/>
    <col min="20" max="20" width="18.7109375" style="497" customWidth="1"/>
    <col min="21" max="21" width="24.140625" style="497" customWidth="1"/>
    <col min="22" max="22" width="28.42578125" style="497" customWidth="1"/>
    <col min="23" max="16384" width="9.140625" style="497"/>
  </cols>
  <sheetData>
    <row r="1" spans="6:22" ht="15.75" thickBot="1" x14ac:dyDescent="0.3"/>
    <row r="2" spans="6:22" ht="19.5" thickBot="1" x14ac:dyDescent="0.35">
      <c r="K2" s="215" t="str">
        <f>'BASELINE-APP2'!F6</f>
        <v>HYPOTHETICAL SITE</v>
      </c>
      <c r="L2" s="216"/>
      <c r="M2" s="216"/>
      <c r="N2" s="216"/>
      <c r="O2" s="217"/>
    </row>
    <row r="3" spans="6:22" ht="15.75" thickBot="1" x14ac:dyDescent="0.3"/>
    <row r="4" spans="6:22" ht="19.5" thickBot="1" x14ac:dyDescent="0.35">
      <c r="J4" s="104" t="s">
        <v>88</v>
      </c>
      <c r="K4" s="105"/>
      <c r="L4" s="105"/>
      <c r="M4" s="105"/>
      <c r="N4" s="106" t="str">
        <f>'BASELINE-APP2'!E23</f>
        <v>III</v>
      </c>
      <c r="O4" s="106" t="str">
        <f>'BASELINE-APP2'!H23</f>
        <v>1-CTL+SHARED ATL</v>
      </c>
      <c r="P4" s="26"/>
      <c r="Q4" s="27"/>
    </row>
    <row r="5" spans="6:22" ht="15.75" thickBot="1" x14ac:dyDescent="0.3"/>
    <row r="6" spans="6:22" ht="15.75" x14ac:dyDescent="0.25">
      <c r="F6" s="44"/>
      <c r="G6" s="29"/>
      <c r="H6" s="29"/>
      <c r="I6" s="86" t="s">
        <v>97</v>
      </c>
      <c r="J6" s="44"/>
      <c r="K6" s="29"/>
      <c r="L6" s="29"/>
      <c r="M6" s="29"/>
      <c r="N6" s="29"/>
      <c r="O6" s="29"/>
      <c r="P6" s="29"/>
      <c r="Q6" s="86" t="s">
        <v>225</v>
      </c>
      <c r="R6" s="86" t="s">
        <v>74</v>
      </c>
      <c r="S6" s="18"/>
      <c r="T6" s="141" t="s">
        <v>127</v>
      </c>
      <c r="U6" s="142" t="s">
        <v>126</v>
      </c>
      <c r="V6" s="142" t="s">
        <v>126</v>
      </c>
    </row>
    <row r="7" spans="6:22" ht="15.75" x14ac:dyDescent="0.25">
      <c r="F7" s="71" t="s">
        <v>67</v>
      </c>
      <c r="G7" s="30"/>
      <c r="H7" s="30"/>
      <c r="I7" s="75" t="s">
        <v>95</v>
      </c>
      <c r="J7" s="107" t="s">
        <v>65</v>
      </c>
      <c r="K7" s="108" t="s">
        <v>66</v>
      </c>
      <c r="L7" s="108" t="s">
        <v>73</v>
      </c>
      <c r="M7" s="108" t="s">
        <v>68</v>
      </c>
      <c r="N7" s="108" t="s">
        <v>69</v>
      </c>
      <c r="O7" s="108" t="s">
        <v>70</v>
      </c>
      <c r="P7" s="108" t="s">
        <v>71</v>
      </c>
      <c r="Q7" s="75" t="s">
        <v>72</v>
      </c>
      <c r="R7" s="75" t="s">
        <v>75</v>
      </c>
      <c r="S7" s="129" t="s">
        <v>71</v>
      </c>
      <c r="T7" s="137" t="s">
        <v>113</v>
      </c>
      <c r="U7" s="137" t="s">
        <v>113</v>
      </c>
      <c r="V7" s="137" t="s">
        <v>288</v>
      </c>
    </row>
    <row r="8" spans="6:22" ht="15.75" thickBot="1" x14ac:dyDescent="0.3">
      <c r="F8" s="69"/>
      <c r="G8" s="70"/>
      <c r="H8" s="70"/>
      <c r="I8" s="76" t="s">
        <v>76</v>
      </c>
      <c r="J8" s="69"/>
      <c r="K8" s="70"/>
      <c r="L8" s="70"/>
      <c r="M8" s="70"/>
      <c r="N8" s="70"/>
      <c r="O8" s="70"/>
      <c r="P8" s="70"/>
      <c r="Q8" s="76" t="s">
        <v>77</v>
      </c>
      <c r="R8" s="76" t="s">
        <v>76</v>
      </c>
      <c r="S8" s="23"/>
      <c r="T8" s="138" t="s">
        <v>112</v>
      </c>
      <c r="U8" s="139" t="s">
        <v>124</v>
      </c>
      <c r="V8" s="138" t="s">
        <v>125</v>
      </c>
    </row>
    <row r="9" spans="6:22" ht="15.75" thickBot="1" x14ac:dyDescent="0.3">
      <c r="F9" s="20"/>
      <c r="G9" s="8"/>
      <c r="H9" s="8"/>
      <c r="I9" s="8"/>
      <c r="J9" s="20"/>
      <c r="K9" s="8"/>
      <c r="L9" s="8"/>
      <c r="M9" s="8"/>
      <c r="N9" s="8"/>
      <c r="O9" s="8"/>
      <c r="P9" s="8"/>
      <c r="Q9" s="51"/>
      <c r="R9" s="44"/>
      <c r="S9" s="74"/>
      <c r="T9" s="74"/>
      <c r="U9" s="51"/>
      <c r="V9" s="49"/>
    </row>
    <row r="10" spans="6:22" ht="19.5" thickBot="1" x14ac:dyDescent="0.35">
      <c r="F10" s="89" t="s">
        <v>89</v>
      </c>
      <c r="G10" s="90"/>
      <c r="H10" s="90"/>
      <c r="I10" s="118">
        <f>'BASELINE-APP2'!E14</f>
        <v>25</v>
      </c>
      <c r="J10" s="131">
        <f>'BASELINE-APP2'!E9</f>
        <v>425</v>
      </c>
      <c r="K10" s="117">
        <f>'BASELINE-APP2'!E10</f>
        <v>75</v>
      </c>
      <c r="L10" s="117">
        <f>J10+K10</f>
        <v>500</v>
      </c>
      <c r="M10" s="117">
        <f>'BASELINE-APP2'!M5</f>
        <v>1.038888888888889</v>
      </c>
      <c r="N10" s="132">
        <f>'BASELINE-APP2'!J29</f>
        <v>1.2500000000000002</v>
      </c>
      <c r="O10" s="140">
        <f>'BASELINE-APP2'!K32</f>
        <v>174.217294240618</v>
      </c>
      <c r="P10" s="219" t="str">
        <f>IF('SUMMARY 12'!O10&gt;'LOS Lookup'!$C$7,'LOS Lookup'!$B$8,IF('SUMMARY 12'!O10&gt;'LOS Lookup'!$C$6,'LOS Lookup'!$B$7,IF('SUMMARY 12'!O10&gt;'LOS Lookup'!$C$5,'LOS Lookup'!$B$6,IF('SUMMARY 12'!O10&gt;'LOS Lookup'!$C$4,'LOS Lookup'!$B$5,IF('SUMMARY 12'!O10&gt;'LOS Lookup'!$C$3,'LOS Lookup'!$B$4,'LOS Lookup'!$B$3)))))</f>
        <v>F</v>
      </c>
      <c r="Q10" s="79">
        <f>'BASELINE-APP2'!P40</f>
        <v>1000</v>
      </c>
      <c r="R10" s="192">
        <f>O10</f>
        <v>174.217294240618</v>
      </c>
      <c r="S10" s="219" t="str">
        <f>IF('SUMMARY 12'!R10&gt;'LOS Lookup'!$C$7,'LOS Lookup'!$B$8,IF('SUMMARY 12'!R10&gt;'LOS Lookup'!$C$6,'LOS Lookup'!$B$7,IF('SUMMARY 12'!R10&gt;'LOS Lookup'!$C$5,'LOS Lookup'!$B$6,IF('SUMMARY 12'!R10&gt;'LOS Lookup'!$C$4,'LOS Lookup'!$B$5,IF('SUMMARY 12'!R10&gt;'LOS Lookup'!$C$3,'LOS Lookup'!$B$4,'LOS Lookup'!$B$3)))))</f>
        <v>F</v>
      </c>
      <c r="T10" s="194">
        <f>Q10</f>
        <v>1000</v>
      </c>
      <c r="U10" s="49"/>
      <c r="V10" s="49"/>
    </row>
    <row r="11" spans="6:22" ht="16.5" thickBot="1" x14ac:dyDescent="0.3">
      <c r="F11" s="89"/>
      <c r="G11" s="90"/>
      <c r="H11" s="90"/>
      <c r="I11" s="117"/>
      <c r="J11" s="131"/>
      <c r="K11" s="117"/>
      <c r="L11" s="117"/>
      <c r="M11" s="117"/>
      <c r="N11" s="132"/>
      <c r="O11" s="133"/>
      <c r="P11" s="79"/>
      <c r="Q11" s="79"/>
      <c r="R11" s="78"/>
      <c r="S11" s="77"/>
      <c r="T11" s="75"/>
      <c r="U11" s="49"/>
      <c r="V11" s="49"/>
    </row>
    <row r="12" spans="6:22" ht="16.5" thickBot="1" x14ac:dyDescent="0.3">
      <c r="F12" s="52" t="str">
        <f>IF('BASELINE-APP2'!I9=2,'RT+ATL2'!I13,"")</f>
        <v/>
      </c>
      <c r="G12" s="40"/>
      <c r="H12" s="98"/>
      <c r="I12" s="117">
        <f>IF('BASELINE-APP2'!I9=2,'RT+ATL2'!E10,0)</f>
        <v>0</v>
      </c>
      <c r="J12" s="131"/>
      <c r="K12" s="117">
        <f>IF('BASELINE-APP2'!I9=2,'RT+ATL2'!E16,0)</f>
        <v>0</v>
      </c>
      <c r="L12" s="117">
        <f>IF('BASELINE-APP2'!I9=2,'RT+ATL2'!E16,0)</f>
        <v>0</v>
      </c>
      <c r="M12" s="117">
        <f>IF('BASELINE-APP2'!I9=2,'BASELINE-APP2'!M5,0)</f>
        <v>0</v>
      </c>
      <c r="N12" s="132">
        <f>IF('BASELINE-APP2'!I9=2,'RT+ATL2'!I19,0)</f>
        <v>0</v>
      </c>
      <c r="O12" s="133">
        <f>IF('BASELINE-APP2'!I9=2,'RT+ATL2'!J22,0)</f>
        <v>0</v>
      </c>
      <c r="P12" s="219" t="str">
        <f>IF(L12=0,"",IF('SUMMARY 12'!O12&gt;'LOS Lookup'!$C$7,'LOS Lookup'!$B$8,IF('SUMMARY 12'!O12&gt;'LOS Lookup'!$C$6,'LOS Lookup'!$B$7,IF('SUMMARY 12'!O12&gt;'LOS Lookup'!$C$5,'LOS Lookup'!$B$6,IF('SUMMARY 12'!O12&gt;'LOS Lookup'!$C$4,'LOS Lookup'!$B$5,IF('SUMMARY 12'!O12&gt;'LOS Lookup'!$C$3,'LOS Lookup'!$B$4,'LOS Lookup'!$B$3))))))</f>
        <v/>
      </c>
      <c r="Q12" s="54" t="str">
        <f>IF(L12=0,"",IF('BASELINE-APP2'!I9=2,'RT+ATL2'!O30,0))</f>
        <v/>
      </c>
      <c r="S12" s="77"/>
      <c r="T12" s="49"/>
      <c r="U12" s="49"/>
      <c r="V12" s="49"/>
    </row>
    <row r="13" spans="6:22" ht="16.5" thickBot="1" x14ac:dyDescent="0.3">
      <c r="F13" s="114" t="str">
        <f>IF('BASELINE-APP2'!E23="II", "NO- ATL2","ATL2")</f>
        <v>ATL2</v>
      </c>
      <c r="G13" s="91" t="str">
        <f>IF(J13=0," RT ONLY","")</f>
        <v/>
      </c>
      <c r="H13" s="115" t="str">
        <f>IF('BASELINE-APP2'!I7=0,"",IF('BASELINE-APP2'!I8=1,"THRU-ONLY",""))</f>
        <v/>
      </c>
      <c r="I13" s="118">
        <f>'ATL2'!E10</f>
        <v>25</v>
      </c>
      <c r="J13" s="131">
        <f>'ATL2'!E16</f>
        <v>138</v>
      </c>
      <c r="K13" s="117">
        <f>'ATL2'!E7</f>
        <v>75</v>
      </c>
      <c r="L13" s="117">
        <f t="shared" ref="L13:L14" si="0">J13+K13</f>
        <v>213</v>
      </c>
      <c r="M13" s="117">
        <f>'ATL2'!L7</f>
        <v>1.038888888888889</v>
      </c>
      <c r="N13" s="132">
        <f>'ATL2'!I20</f>
        <v>0.55129411764705893</v>
      </c>
      <c r="O13" s="133">
        <f>'ATL2'!J23</f>
        <v>43.115396139049885</v>
      </c>
      <c r="P13" s="219" t="str">
        <f>IF('SUMMARY 12'!O13&gt;'LOS Lookup'!$C$7,'LOS Lookup'!$B$8,IF('SUMMARY 12'!O13&gt;'LOS Lookup'!$C$6,'LOS Lookup'!$B$7,IF('SUMMARY 12'!O13&gt;'LOS Lookup'!$C$5,'LOS Lookup'!$B$6,IF('SUMMARY 12'!O13&gt;'LOS Lookup'!$C$4,'LOS Lookup'!$B$5,IF('SUMMARY 12'!O13&gt;'LOS Lookup'!$C$3,'LOS Lookup'!$B$4,'LOS Lookup'!$B$3)))))</f>
        <v>D</v>
      </c>
      <c r="Q13" s="79">
        <f>'ATL2'!O31</f>
        <v>300</v>
      </c>
      <c r="S13" s="77"/>
      <c r="T13" s="49"/>
      <c r="U13" s="49"/>
      <c r="V13" s="49"/>
    </row>
    <row r="14" spans="6:22" ht="16.5" thickBot="1" x14ac:dyDescent="0.3">
      <c r="F14" s="89" t="s">
        <v>289</v>
      </c>
      <c r="G14" s="90"/>
      <c r="H14" s="116"/>
      <c r="I14" s="117">
        <f>'CTL2'!E9</f>
        <v>25</v>
      </c>
      <c r="J14" s="131">
        <f>'CTL2'!E16</f>
        <v>287</v>
      </c>
      <c r="K14" s="117">
        <v>0</v>
      </c>
      <c r="L14" s="117">
        <f t="shared" si="0"/>
        <v>287</v>
      </c>
      <c r="M14" s="117">
        <f>'CTL2'!L6</f>
        <v>1.038888888888889</v>
      </c>
      <c r="N14" s="132">
        <f>'CTL2'!I20</f>
        <v>0.7015555555555556</v>
      </c>
      <c r="O14" s="133">
        <f>'CTL2'!J23</f>
        <v>48.720235940702985</v>
      </c>
      <c r="P14" s="219" t="str">
        <f>IF('SUMMARY 12'!O14&gt;'LOS Lookup'!$C$7,'LOS Lookup'!$B$8,IF('SUMMARY 12'!O14&gt;'LOS Lookup'!$C$6,'LOS Lookup'!$B$7,IF('SUMMARY 12'!O14&gt;'LOS Lookup'!$C$5,'LOS Lookup'!$B$6,IF('SUMMARY 12'!O14&gt;'LOS Lookup'!$C$4,'LOS Lookup'!$B$5,IF('SUMMARY 12'!O14&gt;'LOS Lookup'!$C$3,'LOS Lookup'!$B$4,'LOS Lookup'!$B$3)))))</f>
        <v>D</v>
      </c>
      <c r="Q14" s="79">
        <f>'CTL2'!O32</f>
        <v>400</v>
      </c>
      <c r="R14" s="20"/>
      <c r="S14" s="77"/>
      <c r="T14" s="49"/>
      <c r="U14" s="49"/>
      <c r="V14" s="49"/>
    </row>
    <row r="15" spans="6:22" ht="15.75" thickBot="1" x14ac:dyDescent="0.3">
      <c r="R15" s="20"/>
      <c r="S15" s="49"/>
      <c r="T15" s="130"/>
      <c r="U15" s="49"/>
      <c r="V15" s="49"/>
    </row>
    <row r="16" spans="6:22" ht="21.75" thickBot="1" x14ac:dyDescent="0.4">
      <c r="F16" s="110" t="s">
        <v>93</v>
      </c>
      <c r="G16" s="111"/>
      <c r="H16" s="111"/>
      <c r="I16" s="111"/>
      <c r="J16" s="112"/>
      <c r="K16" s="112"/>
      <c r="L16" s="112"/>
      <c r="M16" s="112"/>
      <c r="N16" s="112"/>
      <c r="O16" s="112"/>
      <c r="P16" s="113"/>
      <c r="Q16" s="27"/>
      <c r="R16" s="136">
        <f>(L13*O13+L14*O14+L12*O12)/L10</f>
        <v>46.332574185198766</v>
      </c>
      <c r="S16" s="219" t="str">
        <f>IF('SUMMARY 12'!R16&gt;'LOS Lookup'!$C$7,'LOS Lookup'!$B$8,IF('SUMMARY 12'!R16&gt;'LOS Lookup'!$C$6,'LOS Lookup'!$B$7,IF('SUMMARY 12'!R16&gt;'LOS Lookup'!$C$5,'LOS Lookup'!$B$6,IF('SUMMARY 12'!R16&gt;'LOS Lookup'!$C$4,'LOS Lookup'!$B$5,IF('SUMMARY 12'!R16&gt;'LOS Lookup'!$C$3,'LOS Lookup'!$B$4,'LOS Lookup'!$B$3)))))</f>
        <v>D</v>
      </c>
      <c r="T16" s="135">
        <f>MAX(Q12:Q14)</f>
        <v>400</v>
      </c>
      <c r="U16" s="135">
        <f>ROUND(('ATL2'!L13+('BASELINE-APP2'!E17+'ATL2'!L14)*('ATL2'!L12-1)-'BASELINE-APP2'!E19)/10,0)*10</f>
        <v>230</v>
      </c>
      <c r="V16" s="135">
        <f>ROUND('CTL2'!L15*'BASELINE-APP2'!E11*22/15/10,0)*10</f>
        <v>190</v>
      </c>
    </row>
    <row r="17" spans="6:22" ht="15.75" thickBot="1" x14ac:dyDescent="0.3">
      <c r="F17" s="36"/>
      <c r="G17" s="30"/>
      <c r="H17" s="30"/>
      <c r="I17" s="30"/>
      <c r="J17" s="8"/>
      <c r="K17" s="8"/>
      <c r="L17" s="8"/>
      <c r="M17" s="8"/>
      <c r="N17" s="8"/>
      <c r="O17" s="8"/>
      <c r="P17" s="8"/>
      <c r="Q17" s="49"/>
      <c r="R17" s="20"/>
      <c r="S17" s="49"/>
      <c r="T17" s="49"/>
      <c r="U17" s="49"/>
      <c r="V17" s="49"/>
    </row>
    <row r="18" spans="6:22" ht="19.5" thickBot="1" x14ac:dyDescent="0.35">
      <c r="F18" s="52" t="s">
        <v>286</v>
      </c>
      <c r="G18" s="40"/>
      <c r="H18" s="40"/>
      <c r="I18" s="40"/>
      <c r="J18" s="26"/>
      <c r="K18" s="26"/>
      <c r="L18" s="26"/>
      <c r="M18" s="26"/>
      <c r="N18" s="26"/>
      <c r="O18" s="26"/>
      <c r="P18" s="26"/>
      <c r="Q18" s="38" t="s">
        <v>79</v>
      </c>
      <c r="R18" s="125">
        <f>L10*(O10-R16)/3600</f>
        <v>17.761766674363784</v>
      </c>
      <c r="S18" s="38"/>
      <c r="T18" s="38"/>
      <c r="U18" s="130"/>
      <c r="V18" s="130"/>
    </row>
    <row r="19" spans="6:22" ht="15.75" thickBot="1" x14ac:dyDescent="0.3"/>
    <row r="20" spans="6:22" ht="15.75" thickBot="1" x14ac:dyDescent="0.3">
      <c r="F20" s="17" t="s">
        <v>137</v>
      </c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 t="s">
        <v>79</v>
      </c>
      <c r="R20" s="193">
        <f>R18*2*5*50</f>
        <v>8880.8833371818928</v>
      </c>
    </row>
    <row r="21" spans="6:22" ht="19.5" thickBot="1" x14ac:dyDescent="0.35">
      <c r="F21" s="109" t="s">
        <v>81</v>
      </c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182">
        <v>10</v>
      </c>
      <c r="R21" s="93">
        <f>Q21*R20</f>
        <v>88808.833371818924</v>
      </c>
    </row>
    <row r="22" spans="6:22" x14ac:dyDescent="0.25">
      <c r="F22" s="497" t="s">
        <v>287</v>
      </c>
      <c r="J22" s="497" t="s">
        <v>101</v>
      </c>
    </row>
    <row r="24" spans="6:22" x14ac:dyDescent="0.25">
      <c r="I24" s="103">
        <f>'BASELINE-APP2'!M8</f>
        <v>138</v>
      </c>
    </row>
    <row r="27" spans="6:22" x14ac:dyDescent="0.25">
      <c r="S27" s="92"/>
    </row>
  </sheetData>
  <conditionalFormatting sqref="J13">
    <cfRule type="expression" dxfId="140" priority="37">
      <formula>$J$13=$I$24</formula>
    </cfRule>
  </conditionalFormatting>
  <conditionalFormatting sqref="P10">
    <cfRule type="cellIs" dxfId="139" priority="31" operator="equal">
      <formula>"A"</formula>
    </cfRule>
    <cfRule type="cellIs" dxfId="138" priority="32" operator="equal">
      <formula>"B"</formula>
    </cfRule>
    <cfRule type="cellIs" dxfId="137" priority="33" operator="equal">
      <formula>"C"</formula>
    </cfRule>
    <cfRule type="cellIs" dxfId="136" priority="34" operator="equal">
      <formula>"D"</formula>
    </cfRule>
    <cfRule type="cellIs" dxfId="135" priority="35" operator="equal">
      <formula>"E"</formula>
    </cfRule>
    <cfRule type="cellIs" dxfId="134" priority="36" operator="equal">
      <formula>"F"</formula>
    </cfRule>
  </conditionalFormatting>
  <conditionalFormatting sqref="P12">
    <cfRule type="cellIs" dxfId="133" priority="25" operator="equal">
      <formula>"A"</formula>
    </cfRule>
    <cfRule type="cellIs" dxfId="132" priority="26" operator="equal">
      <formula>"B"</formula>
    </cfRule>
    <cfRule type="cellIs" dxfId="131" priority="27" operator="equal">
      <formula>"C"</formula>
    </cfRule>
    <cfRule type="cellIs" dxfId="130" priority="28" operator="equal">
      <formula>"D"</formula>
    </cfRule>
    <cfRule type="cellIs" dxfId="129" priority="29" operator="equal">
      <formula>"E"</formula>
    </cfRule>
    <cfRule type="cellIs" dxfId="128" priority="30" operator="equal">
      <formula>"F"</formula>
    </cfRule>
  </conditionalFormatting>
  <conditionalFormatting sqref="P13">
    <cfRule type="cellIs" dxfId="127" priority="19" operator="equal">
      <formula>"A"</formula>
    </cfRule>
    <cfRule type="cellIs" dxfId="126" priority="20" operator="equal">
      <formula>"B"</formula>
    </cfRule>
    <cfRule type="cellIs" dxfId="125" priority="21" operator="equal">
      <formula>"C"</formula>
    </cfRule>
    <cfRule type="cellIs" dxfId="124" priority="22" operator="equal">
      <formula>"D"</formula>
    </cfRule>
    <cfRule type="cellIs" dxfId="123" priority="23" operator="equal">
      <formula>"E"</formula>
    </cfRule>
    <cfRule type="cellIs" dxfId="122" priority="24" operator="equal">
      <formula>"F"</formula>
    </cfRule>
  </conditionalFormatting>
  <conditionalFormatting sqref="P14">
    <cfRule type="cellIs" dxfId="121" priority="13" operator="equal">
      <formula>"A"</formula>
    </cfRule>
    <cfRule type="cellIs" dxfId="120" priority="14" operator="equal">
      <formula>"B"</formula>
    </cfRule>
    <cfRule type="cellIs" dxfId="119" priority="15" operator="equal">
      <formula>"C"</formula>
    </cfRule>
    <cfRule type="cellIs" dxfId="118" priority="16" operator="equal">
      <formula>"D"</formula>
    </cfRule>
    <cfRule type="cellIs" dxfId="117" priority="17" operator="equal">
      <formula>"E"</formula>
    </cfRule>
    <cfRule type="cellIs" dxfId="116" priority="18" operator="equal">
      <formula>"F"</formula>
    </cfRule>
  </conditionalFormatting>
  <conditionalFormatting sqref="S16">
    <cfRule type="cellIs" dxfId="115" priority="7" operator="equal">
      <formula>"A"</formula>
    </cfRule>
    <cfRule type="cellIs" dxfId="114" priority="8" operator="equal">
      <formula>"B"</formula>
    </cfRule>
    <cfRule type="cellIs" dxfId="113" priority="9" operator="equal">
      <formula>"C"</formula>
    </cfRule>
    <cfRule type="cellIs" dxfId="112" priority="10" operator="equal">
      <formula>"D"</formula>
    </cfRule>
    <cfRule type="cellIs" dxfId="111" priority="11" operator="equal">
      <formula>"E"</formula>
    </cfRule>
    <cfRule type="cellIs" dxfId="110" priority="12" operator="equal">
      <formula>"F"</formula>
    </cfRule>
  </conditionalFormatting>
  <conditionalFormatting sqref="S10">
    <cfRule type="cellIs" dxfId="109" priority="1" operator="equal">
      <formula>"A"</formula>
    </cfRule>
    <cfRule type="cellIs" dxfId="108" priority="2" operator="equal">
      <formula>"B"</formula>
    </cfRule>
    <cfRule type="cellIs" dxfId="107" priority="3" operator="equal">
      <formula>"C"</formula>
    </cfRule>
    <cfRule type="cellIs" dxfId="106" priority="4" operator="equal">
      <formula>"D"</formula>
    </cfRule>
    <cfRule type="cellIs" dxfId="105" priority="5" operator="equal">
      <formula>"E"</formula>
    </cfRule>
    <cfRule type="cellIs" dxfId="104" priority="6" operator="equal">
      <formula>"F"</formula>
    </cfRule>
  </conditionalFormatting>
  <pageMargins left="0.7" right="0.7" top="0.75" bottom="0.75" header="0.3" footer="0.3"/>
  <pageSetup orientation="portrait" horizontalDpi="300" verticalDpi="300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V28"/>
  <sheetViews>
    <sheetView showGridLines="0" topLeftCell="E1" zoomScaleNormal="100" workbookViewId="0">
      <selection activeCell="N15" sqref="N15"/>
    </sheetView>
  </sheetViews>
  <sheetFormatPr defaultRowHeight="15" x14ac:dyDescent="0.25"/>
  <cols>
    <col min="1" max="2" width="0" hidden="1" customWidth="1"/>
    <col min="3" max="3" width="3.140625" hidden="1" customWidth="1"/>
    <col min="4" max="4" width="4.140625" hidden="1" customWidth="1"/>
    <col min="5" max="5" width="2.42578125" customWidth="1"/>
    <col min="6" max="6" width="11.5703125" customWidth="1"/>
    <col min="7" max="7" width="11" customWidth="1"/>
    <col min="8" max="8" width="21.28515625" customWidth="1"/>
    <col min="9" max="9" width="12.42578125" customWidth="1"/>
    <col min="10" max="10" width="11" customWidth="1"/>
    <col min="11" max="11" width="11.7109375" customWidth="1"/>
    <col min="12" max="12" width="16.28515625" customWidth="1"/>
    <col min="13" max="13" width="0" hidden="1" customWidth="1"/>
    <col min="15" max="15" width="10.28515625" customWidth="1"/>
    <col min="16" max="16" width="11.85546875" customWidth="1"/>
    <col min="18" max="18" width="15.7109375" customWidth="1"/>
    <col min="19" max="19" width="8.85546875" customWidth="1"/>
    <col min="20" max="20" width="23.28515625" customWidth="1"/>
    <col min="21" max="21" width="18.28515625" customWidth="1"/>
    <col min="22" max="22" width="20.85546875" customWidth="1"/>
  </cols>
  <sheetData>
    <row r="1" spans="6:22" ht="15.75" thickBot="1" x14ac:dyDescent="0.3"/>
    <row r="2" spans="6:22" ht="21.75" thickBot="1" x14ac:dyDescent="0.4">
      <c r="K2" s="349" t="str">
        <f>'APP-BASELINE'!G6</f>
        <v>HYPOTHETICAL SITE</v>
      </c>
      <c r="L2" s="348"/>
      <c r="M2" s="348"/>
      <c r="N2" s="348"/>
      <c r="O2" s="348"/>
      <c r="P2" s="347"/>
    </row>
    <row r="3" spans="6:22" ht="15.75" thickBot="1" x14ac:dyDescent="0.3"/>
    <row r="4" spans="6:22" ht="19.5" thickBot="1" x14ac:dyDescent="0.35">
      <c r="J4" s="104" t="s">
        <v>88</v>
      </c>
      <c r="K4" s="105"/>
      <c r="L4" s="105"/>
      <c r="M4" s="105"/>
      <c r="N4" s="106" t="str">
        <f>'APP-BASELINE'!F23</f>
        <v>II</v>
      </c>
      <c r="O4" s="106" t="str">
        <f>'APP-BASELINE'!I23</f>
        <v>NO ATL- 2-CTL'S+ RT LANE</v>
      </c>
      <c r="P4" s="26"/>
      <c r="Q4" s="27"/>
    </row>
    <row r="5" spans="6:22" ht="15.75" thickBot="1" x14ac:dyDescent="0.3"/>
    <row r="6" spans="6:22" x14ac:dyDescent="0.25">
      <c r="F6" s="44"/>
      <c r="G6" s="29"/>
      <c r="H6" s="29"/>
      <c r="I6" s="86" t="s">
        <v>97</v>
      </c>
      <c r="J6" s="44"/>
      <c r="K6" s="29"/>
      <c r="L6" s="29"/>
      <c r="M6" s="29"/>
      <c r="N6" s="29"/>
      <c r="O6" s="29"/>
      <c r="P6" s="29"/>
      <c r="Q6" s="86" t="s">
        <v>226</v>
      </c>
      <c r="R6" s="18"/>
      <c r="S6" s="18"/>
      <c r="T6" s="86" t="s">
        <v>127</v>
      </c>
      <c r="U6" s="86" t="s">
        <v>126</v>
      </c>
      <c r="V6" s="346" t="s">
        <v>126</v>
      </c>
    </row>
    <row r="7" spans="6:22" ht="16.5" thickBot="1" x14ac:dyDescent="0.3">
      <c r="F7" s="71" t="s">
        <v>67</v>
      </c>
      <c r="G7" s="30"/>
      <c r="H7" s="30"/>
      <c r="I7" s="75" t="s">
        <v>95</v>
      </c>
      <c r="J7" s="107" t="s">
        <v>65</v>
      </c>
      <c r="K7" s="108" t="s">
        <v>66</v>
      </c>
      <c r="L7" s="108" t="s">
        <v>73</v>
      </c>
      <c r="M7" s="108" t="s">
        <v>68</v>
      </c>
      <c r="N7" s="108" t="s">
        <v>69</v>
      </c>
      <c r="O7" s="108" t="s">
        <v>70</v>
      </c>
      <c r="P7" s="108" t="s">
        <v>71</v>
      </c>
      <c r="Q7" s="75" t="s">
        <v>72</v>
      </c>
      <c r="R7" s="78" t="s">
        <v>74</v>
      </c>
      <c r="S7" s="8"/>
      <c r="T7" s="345" t="s">
        <v>198</v>
      </c>
      <c r="U7" s="345" t="s">
        <v>113</v>
      </c>
      <c r="V7" s="344" t="s">
        <v>197</v>
      </c>
    </row>
    <row r="8" spans="6:22" ht="16.5" thickBot="1" x14ac:dyDescent="0.3">
      <c r="F8" s="69"/>
      <c r="G8" s="343"/>
      <c r="H8" s="70"/>
      <c r="I8" s="76" t="s">
        <v>76</v>
      </c>
      <c r="J8" s="69"/>
      <c r="K8" s="70"/>
      <c r="L8" s="70"/>
      <c r="M8" s="70"/>
      <c r="N8" s="70"/>
      <c r="O8" s="70"/>
      <c r="P8" s="70"/>
      <c r="Q8" s="76" t="s">
        <v>77</v>
      </c>
      <c r="R8" s="78" t="s">
        <v>75</v>
      </c>
      <c r="S8" s="339" t="s">
        <v>71</v>
      </c>
      <c r="T8" s="342" t="s">
        <v>112</v>
      </c>
      <c r="U8" s="342" t="s">
        <v>124</v>
      </c>
      <c r="V8" s="341" t="s">
        <v>124</v>
      </c>
    </row>
    <row r="9" spans="6:22" ht="15.75" thickBot="1" x14ac:dyDescent="0.3">
      <c r="F9" s="20"/>
      <c r="G9" s="8"/>
      <c r="H9" s="8"/>
      <c r="I9" s="8"/>
      <c r="J9" s="242"/>
      <c r="K9" s="299"/>
      <c r="L9" s="299"/>
      <c r="M9" s="299"/>
      <c r="N9" s="299"/>
      <c r="O9" s="299"/>
      <c r="P9" s="299"/>
      <c r="Q9" s="53"/>
      <c r="R9" s="44"/>
      <c r="S9" s="74"/>
      <c r="T9" s="51"/>
      <c r="U9" s="21"/>
      <c r="V9" s="51"/>
    </row>
    <row r="10" spans="6:22" ht="16.5" thickBot="1" x14ac:dyDescent="0.3">
      <c r="F10" s="89" t="s">
        <v>196</v>
      </c>
      <c r="G10" s="90"/>
      <c r="H10" s="340" t="s">
        <v>194</v>
      </c>
      <c r="I10" s="339">
        <f>'APP-BASELINE'!F14</f>
        <v>25</v>
      </c>
      <c r="J10" s="319">
        <f>'APP-BASELINE'!F29</f>
        <v>234</v>
      </c>
      <c r="K10" s="318">
        <v>0</v>
      </c>
      <c r="L10" s="318">
        <f>J10+K10</f>
        <v>234</v>
      </c>
      <c r="M10" s="318">
        <f>'APP-BASELINE'!N5</f>
        <v>1.038888888888889</v>
      </c>
      <c r="N10" s="317">
        <f>L10/('APP-BASELINE'!F12*0.5*'APP-BASELINE'!F14/'APP-BASELINE'!F15)</f>
        <v>1.1440000000000001</v>
      </c>
      <c r="O10" s="316">
        <f>'APP-BASELINE'!F35</f>
        <v>145.91489656255516</v>
      </c>
      <c r="P10" s="219" t="e">
        <f>IF('SUMMARY 2'!O10&gt;#REF!,#REF!,IF('SUMMARY 2'!O10&gt;#REF!,#REF!,IF('SUMMARY 2'!O10&gt;#REF!,#REF!,IF('SUMMARY 2'!O10&gt;#REF!,#REF!,IF('SUMMARY 2'!O10&gt;#REF!,#REF!,#REF!)))))</f>
        <v>#REF!</v>
      </c>
      <c r="Q10" s="225">
        <f>'APP-BASELINE'!Q46</f>
        <v>530</v>
      </c>
      <c r="S10" s="49"/>
      <c r="T10" s="49"/>
      <c r="U10" s="21"/>
      <c r="V10" s="49"/>
    </row>
    <row r="11" spans="6:22" ht="19.5" thickBot="1" x14ac:dyDescent="0.35">
      <c r="F11" s="44" t="s">
        <v>195</v>
      </c>
      <c r="G11" s="29"/>
      <c r="H11" s="338" t="s">
        <v>194</v>
      </c>
      <c r="I11" s="337">
        <f>'APP-BASELINE'!F14</f>
        <v>25</v>
      </c>
      <c r="J11" s="336">
        <f>'APP-BASELINE'!Q9</f>
        <v>191</v>
      </c>
      <c r="K11" s="335">
        <f>'APP-BASELINE'!F10</f>
        <v>75</v>
      </c>
      <c r="L11" s="335">
        <f>J11+K11</f>
        <v>266</v>
      </c>
      <c r="M11" s="335">
        <f>IF('APP-BASELINE'!J9=2,'APP-BASELINE'!N5,0)</f>
        <v>0</v>
      </c>
      <c r="N11" s="334">
        <f>'APP-BASELINE'!K29</f>
        <v>1.1463271302644467</v>
      </c>
      <c r="O11" s="333">
        <f>'APP-BASELINE'!L38</f>
        <v>146.7358932744504</v>
      </c>
      <c r="P11" s="219" t="e">
        <f>IF('SUMMARY 2'!O11&gt;#REF!,#REF!,IF('SUMMARY 2'!O11&gt;#REF!,#REF!,IF('SUMMARY 2'!O11&gt;#REF!,#REF!,IF('SUMMARY 2'!O11&gt;#REF!,#REF!,IF('SUMMARY 2'!O11&gt;#REF!,#REF!,#REF!)))))</f>
        <v>#REF!</v>
      </c>
      <c r="Q11" s="225">
        <f>Q10</f>
        <v>530</v>
      </c>
      <c r="R11" s="332">
        <f>(L10*O10+L11*O11)/(L11+L10)</f>
        <v>146.3516668132834</v>
      </c>
      <c r="S11" s="219" t="e">
        <f>IF('SUMMARY 2'!R11&gt;#REF!,#REF!,IF('SUMMARY 2'!R11&gt;#REF!,#REF!,IF('SUMMARY 2'!R11&gt;#REF!,#REF!,IF('SUMMARY 2'!R11&gt;#REF!,#REF!,IF('SUMMARY 2'!R11&gt;#REF!,#REF!,#REF!)))))</f>
        <v>#REF!</v>
      </c>
      <c r="T11" s="331">
        <f>MAX(Q10:Q11)</f>
        <v>530</v>
      </c>
      <c r="U11" s="21"/>
      <c r="V11" s="49"/>
    </row>
    <row r="12" spans="6:22" ht="16.5" thickBot="1" x14ac:dyDescent="0.3">
      <c r="F12" s="330"/>
      <c r="G12" s="40"/>
      <c r="H12" s="40"/>
      <c r="I12" s="315"/>
      <c r="J12" s="329">
        <f>IF('APP-BASELINE'!$J$7=0,0,1)</f>
        <v>1</v>
      </c>
      <c r="K12" s="329">
        <f>IF('APP-BASELINE'!$J$7=0,0,1)</f>
        <v>1</v>
      </c>
      <c r="L12" s="329">
        <f>IF('APP-BASELINE'!$J$7=0,0,1)</f>
        <v>1</v>
      </c>
      <c r="M12" s="329">
        <f>IF('APP-BASELINE'!$J$7=0,0,1)</f>
        <v>1</v>
      </c>
      <c r="N12" s="329">
        <f>IF('APP-BASELINE'!$J$7=0,0,1)</f>
        <v>1</v>
      </c>
      <c r="O12" s="328">
        <f>IF('APP-BASELINE'!$J$7=0,0,1)</f>
        <v>1</v>
      </c>
      <c r="P12" s="79"/>
      <c r="Q12" s="75"/>
      <c r="R12" s="78"/>
      <c r="S12" s="323"/>
      <c r="T12" s="75"/>
      <c r="U12" s="21"/>
      <c r="V12" s="49"/>
    </row>
    <row r="13" spans="6:22" ht="16.5" thickBot="1" x14ac:dyDescent="0.3">
      <c r="F13" s="71" t="str">
        <f>IF('APP-BASELINE'!J7=1,"RT-EXCLUSIVE POCKET", "NO EXCLUSIVE RT- POCKET")</f>
        <v>RT-EXCLUSIVE POCKET</v>
      </c>
      <c r="G13" s="30"/>
      <c r="H13" s="30"/>
      <c r="I13" s="327">
        <f>IF('APP-BASELINE'!J7=1,'ATL 2'!E10," ")</f>
        <v>25</v>
      </c>
      <c r="J13" s="78"/>
      <c r="K13" s="326">
        <f>IF('APP-BASELINE'!J9 &gt;= 1,'APP-BASELINE'!F10, 0)</f>
        <v>75</v>
      </c>
      <c r="L13" s="326">
        <f>IF('APP-BASELINE'!J9&gt;=1,J13+K13,0)</f>
        <v>75</v>
      </c>
      <c r="M13" s="326"/>
      <c r="N13" s="325">
        <f>IF('APP-BASELINE'!J9&gt;=1,'APP-BASELINE'!F10/('APP-BASELINE'!F13*'ATL 2'!I21),0)</f>
        <v>0.21290322580645163</v>
      </c>
      <c r="O13" s="324">
        <f>IF('APP-BASELINE'!J9&gt;=1,'APP-BASELINE'!K35,0)</f>
        <v>35.887560069201569</v>
      </c>
      <c r="P13" s="219" t="e">
        <f>IF(L13=0,"",IF('SUMMARY 2'!O13&gt;#REF!,#REF!,IF('SUMMARY 2'!O13&gt;#REF!,#REF!,IF('SUMMARY 2'!O13&gt;#REF!,#REF!,IF('SUMMARY 2'!O13&gt;#REF!,#REF!,IF('SUMMARY 2'!O13&gt;#REF!,#REF!,#REF!))))))</f>
        <v>#REF!</v>
      </c>
      <c r="Q13" s="225">
        <f>IF(L13=0,"",IF('APP-BASELINE'!J9&gt;=1,'APP-BASELINE'!Q50," "))</f>
        <v>90</v>
      </c>
      <c r="R13" s="78"/>
      <c r="S13" s="323"/>
      <c r="T13" s="75"/>
      <c r="U13" s="21"/>
      <c r="V13" s="49"/>
    </row>
    <row r="14" spans="6:22" ht="16.5" thickBot="1" x14ac:dyDescent="0.3">
      <c r="F14" s="114" t="str">
        <f>IF('COMBINED INPUT'!G9="N","ATL",IF('APP-BASELINE'!F23="II", "NO- ATL","ATL"))</f>
        <v>NO- ATL</v>
      </c>
      <c r="G14" s="322" t="str">
        <f>IF('APP-BASELINE'!J9=0,"SHARED** "," ")</f>
        <v xml:space="preserve"> </v>
      </c>
      <c r="H14" s="321" t="str">
        <f>IF('APP-BASELINE'!J9=2,"EXCLUSIVE ", " ")</f>
        <v xml:space="preserve"> </v>
      </c>
      <c r="I14" s="320" t="str">
        <f>IF('APP-BASELINE'!J9=1," ",'APP-BASELINE'!F15)</f>
        <v xml:space="preserve"> </v>
      </c>
      <c r="J14" s="319">
        <f>IF('COMBINED INPUT'!G9="N",'ATL 2'!E18,IF('APP-BASELINE'!J9=1,0, 'ATL 2'!E18))</f>
        <v>0</v>
      </c>
      <c r="K14" s="318">
        <f>IF('COMBINED INPUT'!G9="N",'ATL 2'!E7,IF('APP-BASELINE'!J7=1,0, 'ATL 2'!E7))</f>
        <v>0</v>
      </c>
      <c r="L14" s="318">
        <f>IF('COMBINED INPUT'!G9="N",'SUMMARY 2'!J14+'SUMMARY 2'!K14,IF('APP-BASELINE'!J9=1,0, J14+K14))</f>
        <v>0</v>
      </c>
      <c r="M14" s="318">
        <f>IF('APP-BASELINE'!M9=1," ", 0)</f>
        <v>0</v>
      </c>
      <c r="N14" s="317">
        <f>IF('APP-BASELINE'!J9=1,0,'ATL 2'!I22)</f>
        <v>0</v>
      </c>
      <c r="O14" s="316">
        <f>IF('COMBINED INPUT'!G9="N",'ATL 2'!J25,IF('APP-BASELINE'!J9=1,0,'ATL 2'!J25))</f>
        <v>0</v>
      </c>
      <c r="P14" s="219" t="str">
        <f>IF(L14=0,"",IF('SUMMARY 2'!O14&gt;#REF!,#REF!,IF('SUMMARY 2'!O14&gt;#REF!,#REF!,IF('SUMMARY 2'!O14&gt;#REF!,#REF!,IF('SUMMARY 2'!O14&gt;#REF!,#REF!,IF('SUMMARY 2'!O14&gt;#REF!,#REF!,#REF!))))))</f>
        <v/>
      </c>
      <c r="Q14" s="225" t="str">
        <f>IF('COMBINED INPUT'!G9="N",'ATL 2'!O33,IF('APP-BASELINE'!J9=1," ",'ATL 2'!O33))</f>
        <v xml:space="preserve"> </v>
      </c>
      <c r="R14" s="314"/>
      <c r="S14" s="238"/>
      <c r="T14" s="75"/>
      <c r="U14" s="21"/>
      <c r="V14" s="49"/>
    </row>
    <row r="15" spans="6:22" ht="16.5" thickBot="1" x14ac:dyDescent="0.3">
      <c r="F15" s="89" t="s">
        <v>193</v>
      </c>
      <c r="G15" s="90"/>
      <c r="H15" s="116"/>
      <c r="I15" s="315">
        <f>'2-CTL'!E9</f>
        <v>25</v>
      </c>
      <c r="J15" s="314">
        <f>'2-CTL'!E16</f>
        <v>425</v>
      </c>
      <c r="K15" s="313">
        <v>0</v>
      </c>
      <c r="L15" s="313">
        <f>J15+K15</f>
        <v>425</v>
      </c>
      <c r="M15" s="313">
        <f>'2-CTL'!L6</f>
        <v>1.038888888888889</v>
      </c>
      <c r="N15" s="312">
        <f>'2-CTL'!I20</f>
        <v>1.091015169194866</v>
      </c>
      <c r="O15" s="311">
        <f>'2-CTL'!J23</f>
        <v>114.82399184222837</v>
      </c>
      <c r="P15" s="219" t="e">
        <f>IF('SUMMARY 2'!O15&gt;#REF!,#REF!,IF('SUMMARY 2'!O15&gt;#REF!,#REF!,IF('SUMMARY 2'!O15&gt;#REF!,#REF!,IF('SUMMARY 2'!O15&gt;#REF!,#REF!,IF('SUMMARY 2'!O15&gt;#REF!,#REF!,#REF!)))))</f>
        <v>#REF!</v>
      </c>
      <c r="Q15" s="225">
        <f>'2-CTL'!O31</f>
        <v>400</v>
      </c>
      <c r="R15" s="20"/>
      <c r="S15" s="49"/>
      <c r="T15" s="49"/>
      <c r="U15" s="21"/>
      <c r="V15" s="49"/>
    </row>
    <row r="16" spans="6:22" ht="15.75" thickBot="1" x14ac:dyDescent="0.3">
      <c r="J16" s="1"/>
      <c r="K16" s="1"/>
      <c r="L16" s="1"/>
      <c r="M16" s="1"/>
      <c r="N16" s="1"/>
      <c r="O16" s="1"/>
      <c r="P16" s="1"/>
      <c r="Q16" s="1"/>
      <c r="R16" s="20"/>
      <c r="S16" s="49"/>
      <c r="T16" s="130"/>
      <c r="U16" s="21"/>
      <c r="V16" s="49"/>
    </row>
    <row r="17" spans="6:22" ht="19.5" thickBot="1" x14ac:dyDescent="0.35">
      <c r="F17" s="110" t="s">
        <v>93</v>
      </c>
      <c r="G17" s="111"/>
      <c r="H17" s="111"/>
      <c r="I17" s="111"/>
      <c r="J17" s="112"/>
      <c r="K17" s="112"/>
      <c r="L17" s="112"/>
      <c r="M17" s="112"/>
      <c r="N17" s="112"/>
      <c r="O17" s="112"/>
      <c r="P17" s="113"/>
      <c r="Q17" s="27"/>
      <c r="R17" s="310">
        <f>(L14*O14+L15*O15+L12*L13*O13)/(L12*L13+L14+L15)</f>
        <v>102.98352707627434</v>
      </c>
      <c r="S17" s="219" t="e">
        <f>IF('SUMMARY 2'!R17&gt;#REF!,#REF!,IF('SUMMARY 2'!R17&gt;#REF!,#REF!,IF('SUMMARY 2'!R17&gt;#REF!,#REF!,IF('SUMMARY 2'!R17&gt;#REF!,#REF!,IF('SUMMARY 2'!R17&gt;#REF!,#REF!,#REF!)))))</f>
        <v>#REF!</v>
      </c>
      <c r="T17" s="309">
        <f>MAX(Q13:Q15)</f>
        <v>400</v>
      </c>
      <c r="U17" s="309" t="e">
        <f>ROUND(('ATL 2'!L15+('APP-BASELINE'!F17+'ATL 2'!L16)*('ATL 2'!L14-1)-'APP-BASELINE'!F19)/10,0)*10</f>
        <v>#DIV/0!</v>
      </c>
      <c r="V17" s="309">
        <f>ROUND(('APP-BASELINE'!F11*22/15*'2-CTL'!L15)/10,0)*10</f>
        <v>130</v>
      </c>
    </row>
    <row r="18" spans="6:22" ht="15.75" thickBot="1" x14ac:dyDescent="0.3">
      <c r="F18" s="36"/>
      <c r="G18" s="30"/>
      <c r="H18" s="30"/>
      <c r="I18" s="30"/>
      <c r="J18" s="8"/>
      <c r="K18" s="8"/>
      <c r="L18" s="8"/>
      <c r="M18" s="8"/>
      <c r="N18" s="8"/>
      <c r="O18" s="8"/>
      <c r="P18" s="8"/>
      <c r="Q18" s="49"/>
      <c r="R18" s="20"/>
      <c r="S18" s="49"/>
      <c r="T18" s="49"/>
      <c r="U18" s="49"/>
      <c r="V18" s="49"/>
    </row>
    <row r="19" spans="6:22" ht="19.5" thickBot="1" x14ac:dyDescent="0.35">
      <c r="F19" s="52" t="s">
        <v>78</v>
      </c>
      <c r="G19" s="40"/>
      <c r="H19" s="40"/>
      <c r="I19" s="40"/>
      <c r="J19" s="26"/>
      <c r="K19" s="26"/>
      <c r="L19" s="26"/>
      <c r="M19" s="26"/>
      <c r="N19" s="26"/>
      <c r="O19" s="26"/>
      <c r="P19" s="26"/>
      <c r="Q19" s="38" t="s">
        <v>79</v>
      </c>
      <c r="R19" s="125">
        <f>(L10*O10+L11*O11-SUM(L10:L11)*R17)/3600</f>
        <v>6.0233527412512577</v>
      </c>
      <c r="S19" s="38"/>
      <c r="T19" s="38"/>
      <c r="U19" s="130"/>
      <c r="V19" s="130"/>
    </row>
    <row r="20" spans="6:22" ht="15.75" thickBot="1" x14ac:dyDescent="0.3"/>
    <row r="21" spans="6:22" ht="19.5" thickBot="1" x14ac:dyDescent="0.35">
      <c r="F21" s="17" t="s">
        <v>137</v>
      </c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 t="s">
        <v>79</v>
      </c>
      <c r="R21" s="308">
        <f>R19*2*5*50</f>
        <v>3011.6763706256288</v>
      </c>
    </row>
    <row r="22" spans="6:22" ht="19.5" thickBot="1" x14ac:dyDescent="0.35">
      <c r="F22" s="109" t="s">
        <v>81</v>
      </c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>
        <v>10</v>
      </c>
      <c r="R22" s="93">
        <f>Q22*R21</f>
        <v>30116.763706256286</v>
      </c>
    </row>
    <row r="23" spans="6:22" x14ac:dyDescent="0.25">
      <c r="F23" t="s">
        <v>192</v>
      </c>
      <c r="I23" t="s">
        <v>191</v>
      </c>
    </row>
    <row r="24" spans="6:22" x14ac:dyDescent="0.25">
      <c r="I24" s="103">
        <f>'ATL 2'!L8</f>
        <v>103</v>
      </c>
    </row>
    <row r="25" spans="6:22" x14ac:dyDescent="0.25">
      <c r="F25" t="s">
        <v>190</v>
      </c>
    </row>
    <row r="28" spans="6:22" x14ac:dyDescent="0.25">
      <c r="S28" s="92"/>
    </row>
  </sheetData>
  <conditionalFormatting sqref="J14">
    <cfRule type="expression" dxfId="103" priority="43">
      <formula>$J$14=$I$24</formula>
    </cfRule>
  </conditionalFormatting>
  <conditionalFormatting sqref="P10">
    <cfRule type="cellIs" dxfId="102" priority="37" operator="equal">
      <formula>"A"</formula>
    </cfRule>
    <cfRule type="cellIs" dxfId="101" priority="38" operator="equal">
      <formula>"B"</formula>
    </cfRule>
    <cfRule type="cellIs" dxfId="100" priority="39" operator="equal">
      <formula>"C"</formula>
    </cfRule>
    <cfRule type="cellIs" dxfId="99" priority="40" operator="equal">
      <formula>"D"</formula>
    </cfRule>
    <cfRule type="cellIs" dxfId="98" priority="41" operator="equal">
      <formula>"E"</formula>
    </cfRule>
    <cfRule type="cellIs" dxfId="97" priority="42" operator="equal">
      <formula>"F"</formula>
    </cfRule>
  </conditionalFormatting>
  <conditionalFormatting sqref="P11">
    <cfRule type="cellIs" dxfId="96" priority="31" operator="equal">
      <formula>"A"</formula>
    </cfRule>
    <cfRule type="cellIs" dxfId="95" priority="32" operator="equal">
      <formula>"B"</formula>
    </cfRule>
    <cfRule type="cellIs" dxfId="94" priority="33" operator="equal">
      <formula>"C"</formula>
    </cfRule>
    <cfRule type="cellIs" dxfId="93" priority="34" operator="equal">
      <formula>"D"</formula>
    </cfRule>
    <cfRule type="cellIs" dxfId="92" priority="35" operator="equal">
      <formula>"E"</formula>
    </cfRule>
    <cfRule type="cellIs" dxfId="91" priority="36" operator="equal">
      <formula>"F"</formula>
    </cfRule>
  </conditionalFormatting>
  <conditionalFormatting sqref="P13">
    <cfRule type="cellIs" dxfId="90" priority="25" operator="equal">
      <formula>"A"</formula>
    </cfRule>
    <cfRule type="cellIs" dxfId="89" priority="26" operator="equal">
      <formula>"B"</formula>
    </cfRule>
    <cfRule type="cellIs" dxfId="88" priority="27" operator="equal">
      <formula>"C"</formula>
    </cfRule>
    <cfRule type="cellIs" dxfId="87" priority="28" operator="equal">
      <formula>"D"</formula>
    </cfRule>
    <cfRule type="cellIs" dxfId="86" priority="29" operator="equal">
      <formula>"E"</formula>
    </cfRule>
    <cfRule type="cellIs" dxfId="85" priority="30" operator="equal">
      <formula>"F"</formula>
    </cfRule>
  </conditionalFormatting>
  <conditionalFormatting sqref="P14">
    <cfRule type="cellIs" dxfId="84" priority="19" operator="equal">
      <formula>"A"</formula>
    </cfRule>
    <cfRule type="cellIs" dxfId="83" priority="20" operator="equal">
      <formula>"B"</formula>
    </cfRule>
    <cfRule type="cellIs" dxfId="82" priority="21" operator="equal">
      <formula>"C"</formula>
    </cfRule>
    <cfRule type="cellIs" dxfId="81" priority="22" operator="equal">
      <formula>"D"</formula>
    </cfRule>
    <cfRule type="cellIs" dxfId="80" priority="23" operator="equal">
      <formula>"E"</formula>
    </cfRule>
    <cfRule type="cellIs" dxfId="79" priority="24" operator="equal">
      <formula>"F"</formula>
    </cfRule>
  </conditionalFormatting>
  <conditionalFormatting sqref="P15">
    <cfRule type="cellIs" dxfId="78" priority="13" operator="equal">
      <formula>"A"</formula>
    </cfRule>
    <cfRule type="cellIs" dxfId="77" priority="14" operator="equal">
      <formula>"B"</formula>
    </cfRule>
    <cfRule type="cellIs" dxfId="76" priority="15" operator="equal">
      <formula>"C"</formula>
    </cfRule>
    <cfRule type="cellIs" dxfId="75" priority="16" operator="equal">
      <formula>"D"</formula>
    </cfRule>
    <cfRule type="cellIs" dxfId="74" priority="17" operator="equal">
      <formula>"E"</formula>
    </cfRule>
    <cfRule type="cellIs" dxfId="73" priority="18" operator="equal">
      <formula>"F"</formula>
    </cfRule>
  </conditionalFormatting>
  <conditionalFormatting sqref="S11">
    <cfRule type="cellIs" dxfId="72" priority="7" operator="equal">
      <formula>"A"</formula>
    </cfRule>
    <cfRule type="cellIs" dxfId="71" priority="8" operator="equal">
      <formula>"B"</formula>
    </cfRule>
    <cfRule type="cellIs" dxfId="70" priority="9" operator="equal">
      <formula>"C"</formula>
    </cfRule>
    <cfRule type="cellIs" dxfId="69" priority="10" operator="equal">
      <formula>"D"</formula>
    </cfRule>
    <cfRule type="cellIs" dxfId="68" priority="11" operator="equal">
      <formula>"E"</formula>
    </cfRule>
    <cfRule type="cellIs" dxfId="67" priority="12" operator="equal">
      <formula>"F"</formula>
    </cfRule>
  </conditionalFormatting>
  <conditionalFormatting sqref="S17">
    <cfRule type="cellIs" dxfId="66" priority="1" operator="equal">
      <formula>"A"</formula>
    </cfRule>
    <cfRule type="cellIs" dxfId="65" priority="2" operator="equal">
      <formula>"B"</formula>
    </cfRule>
    <cfRule type="cellIs" dxfId="64" priority="3" operator="equal">
      <formula>"C"</formula>
    </cfRule>
    <cfRule type="cellIs" dxfId="63" priority="4" operator="equal">
      <formula>"D"</formula>
    </cfRule>
    <cfRule type="cellIs" dxfId="62" priority="5" operator="equal">
      <formula>"E"</formula>
    </cfRule>
    <cfRule type="cellIs" dxfId="61" priority="6" operator="equal">
      <formula>"F"</formula>
    </cfRule>
  </conditionalFormatting>
  <pageMargins left="0.7" right="0.7" top="0.75" bottom="0.75" header="0.3" footer="0.3"/>
  <pageSetup orientation="portrait" horizontalDpi="300" verticalDpi="300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W45"/>
  <sheetViews>
    <sheetView workbookViewId="0">
      <selection activeCell="B3" sqref="B3"/>
    </sheetView>
  </sheetViews>
  <sheetFormatPr defaultRowHeight="15" x14ac:dyDescent="0.25"/>
  <sheetData>
    <row r="2" spans="2:23" x14ac:dyDescent="0.25">
      <c r="B2" s="530" t="s">
        <v>138</v>
      </c>
      <c r="C2" s="530"/>
    </row>
    <row r="3" spans="2:23" x14ac:dyDescent="0.25">
      <c r="B3" s="218" t="s">
        <v>35</v>
      </c>
      <c r="C3" s="218">
        <v>10</v>
      </c>
    </row>
    <row r="4" spans="2:23" x14ac:dyDescent="0.25">
      <c r="B4" s="218" t="s">
        <v>36</v>
      </c>
      <c r="C4" s="218">
        <v>20</v>
      </c>
    </row>
    <row r="5" spans="2:23" x14ac:dyDescent="0.25">
      <c r="B5" s="218" t="s">
        <v>37</v>
      </c>
      <c r="C5" s="218">
        <v>35</v>
      </c>
    </row>
    <row r="6" spans="2:23" x14ac:dyDescent="0.25">
      <c r="B6" s="218" t="s">
        <v>38</v>
      </c>
      <c r="C6" s="218">
        <v>55</v>
      </c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</row>
    <row r="7" spans="2:23" x14ac:dyDescent="0.25">
      <c r="B7" s="218" t="s">
        <v>39</v>
      </c>
      <c r="C7" s="218">
        <v>80</v>
      </c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</row>
    <row r="8" spans="2:23" x14ac:dyDescent="0.25">
      <c r="B8" s="218" t="s">
        <v>40</v>
      </c>
      <c r="C8" s="218" t="s">
        <v>42</v>
      </c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</row>
    <row r="9" spans="2:23" x14ac:dyDescent="0.25"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</row>
    <row r="10" spans="2:23" x14ac:dyDescent="0.25"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</row>
    <row r="11" spans="2:23" x14ac:dyDescent="0.25"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</row>
    <row r="12" spans="2:23" x14ac:dyDescent="0.25"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</row>
    <row r="13" spans="2:23" x14ac:dyDescent="0.25"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</row>
    <row r="14" spans="2:23" x14ac:dyDescent="0.25"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</row>
    <row r="15" spans="2:23" x14ac:dyDescent="0.25"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</row>
    <row r="16" spans="2:23" x14ac:dyDescent="0.25"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</row>
    <row r="17" spans="3:23" x14ac:dyDescent="0.25"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</row>
    <row r="18" spans="3:23" x14ac:dyDescent="0.25"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</row>
    <row r="19" spans="3:23" ht="15.75" x14ac:dyDescent="0.25">
      <c r="C19" s="8"/>
      <c r="D19" s="8"/>
      <c r="E19" s="126"/>
      <c r="F19" s="126"/>
      <c r="G19" s="126"/>
      <c r="H19" s="126"/>
      <c r="I19" s="126"/>
      <c r="J19" s="126"/>
      <c r="K19" s="126"/>
      <c r="L19" s="126"/>
      <c r="M19" s="126"/>
      <c r="N19" s="126"/>
      <c r="O19" s="126"/>
      <c r="P19" s="126"/>
      <c r="Q19" s="126"/>
      <c r="R19" s="126"/>
      <c r="S19" s="126"/>
      <c r="T19" s="8"/>
      <c r="U19" s="8"/>
      <c r="V19" s="8"/>
      <c r="W19" s="8"/>
    </row>
    <row r="20" spans="3:23" ht="15.75" x14ac:dyDescent="0.25">
      <c r="C20" s="8"/>
      <c r="D20" s="8"/>
      <c r="E20" s="126"/>
      <c r="F20" s="126"/>
      <c r="G20" s="126"/>
      <c r="H20" s="126"/>
      <c r="I20" s="126"/>
      <c r="J20" s="126"/>
      <c r="K20" s="126"/>
      <c r="L20" s="126"/>
      <c r="M20" s="126"/>
      <c r="N20" s="126"/>
      <c r="O20" s="126"/>
      <c r="P20" s="126"/>
      <c r="Q20" s="126"/>
      <c r="R20" s="126"/>
      <c r="S20" s="126"/>
      <c r="T20" s="8"/>
      <c r="U20" s="8"/>
      <c r="V20" s="8"/>
      <c r="W20" s="8"/>
    </row>
    <row r="21" spans="3:23" ht="15.75" x14ac:dyDescent="0.25">
      <c r="C21" s="8"/>
      <c r="D21" s="8"/>
      <c r="E21" s="126"/>
      <c r="F21" s="126"/>
      <c r="G21" s="126"/>
      <c r="H21" s="126"/>
      <c r="I21" s="126"/>
      <c r="J21" s="126"/>
      <c r="K21" s="126"/>
      <c r="L21" s="126"/>
      <c r="M21" s="126"/>
      <c r="N21" s="126"/>
      <c r="O21" s="126"/>
      <c r="P21" s="126"/>
      <c r="Q21" s="126"/>
      <c r="R21" s="126"/>
      <c r="S21" s="126"/>
      <c r="T21" s="8"/>
      <c r="U21" s="8"/>
      <c r="V21" s="8"/>
      <c r="W21" s="8"/>
    </row>
    <row r="22" spans="3:23" ht="15.75" x14ac:dyDescent="0.25">
      <c r="C22" s="8"/>
      <c r="D22" s="8"/>
      <c r="E22" s="126"/>
      <c r="F22" s="126"/>
      <c r="G22" s="126"/>
      <c r="H22" s="126"/>
      <c r="I22" s="126"/>
      <c r="J22" s="126"/>
      <c r="K22" s="126"/>
      <c r="L22" s="126"/>
      <c r="M22" s="126"/>
      <c r="N22" s="126"/>
      <c r="O22" s="126"/>
      <c r="P22" s="126"/>
      <c r="Q22" s="126"/>
      <c r="R22" s="126"/>
      <c r="S22" s="126"/>
      <c r="T22" s="8"/>
      <c r="U22" s="8"/>
      <c r="V22" s="8"/>
      <c r="W22" s="8"/>
    </row>
    <row r="23" spans="3:23" x14ac:dyDescent="0.25"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</row>
    <row r="24" spans="3:23" x14ac:dyDescent="0.25"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</row>
    <row r="25" spans="3:23" x14ac:dyDescent="0.25"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</row>
    <row r="26" spans="3:23" x14ac:dyDescent="0.25"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</row>
    <row r="27" spans="3:23" x14ac:dyDescent="0.25"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</row>
    <row r="28" spans="3:23" x14ac:dyDescent="0.25"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</row>
    <row r="29" spans="3:23" x14ac:dyDescent="0.25"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</row>
    <row r="30" spans="3:23" x14ac:dyDescent="0.25"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</row>
    <row r="31" spans="3:23" x14ac:dyDescent="0.25"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</row>
    <row r="32" spans="3:23" x14ac:dyDescent="0.25"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</row>
    <row r="33" spans="3:23" x14ac:dyDescent="0.25"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</row>
    <row r="34" spans="3:23" x14ac:dyDescent="0.25"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</row>
    <row r="35" spans="3:23" ht="15.75" x14ac:dyDescent="0.25">
      <c r="C35" s="8"/>
      <c r="D35" s="8"/>
      <c r="E35" s="126"/>
      <c r="F35" s="126"/>
      <c r="G35" s="126"/>
      <c r="H35" s="126"/>
      <c r="I35" s="126"/>
      <c r="J35" s="126"/>
      <c r="K35" s="126"/>
      <c r="L35" s="126"/>
      <c r="M35" s="126"/>
      <c r="N35" s="126"/>
      <c r="O35" s="126"/>
      <c r="P35" s="126"/>
      <c r="Q35" s="126"/>
      <c r="R35" s="8"/>
      <c r="S35" s="8"/>
      <c r="T35" s="8"/>
      <c r="U35" s="8"/>
      <c r="V35" s="8"/>
      <c r="W35" s="8"/>
    </row>
    <row r="36" spans="3:23" ht="15.75" x14ac:dyDescent="0.25">
      <c r="C36" s="8"/>
      <c r="D36" s="8"/>
      <c r="E36" s="126"/>
      <c r="F36" s="126"/>
      <c r="G36" s="126"/>
      <c r="H36" s="126"/>
      <c r="I36" s="126"/>
      <c r="J36" s="126"/>
      <c r="K36" s="126"/>
      <c r="L36" s="126"/>
      <c r="M36" s="126"/>
      <c r="N36" s="126"/>
      <c r="O36" s="126"/>
      <c r="P36" s="126"/>
      <c r="Q36" s="126"/>
      <c r="R36" s="8"/>
      <c r="S36" s="8"/>
      <c r="T36" s="8"/>
      <c r="U36" s="8"/>
      <c r="V36" s="8"/>
      <c r="W36" s="8"/>
    </row>
    <row r="37" spans="3:23" ht="15.75" x14ac:dyDescent="0.25">
      <c r="C37" s="8"/>
      <c r="D37" s="8"/>
      <c r="E37" s="126"/>
      <c r="F37" s="126"/>
      <c r="G37" s="126"/>
      <c r="H37" s="126"/>
      <c r="I37" s="126"/>
      <c r="J37" s="126"/>
      <c r="K37" s="126"/>
      <c r="L37" s="126"/>
      <c r="M37" s="126"/>
      <c r="N37" s="126"/>
      <c r="O37" s="126"/>
      <c r="P37" s="126"/>
      <c r="Q37" s="126"/>
      <c r="R37" s="8"/>
      <c r="S37" s="8"/>
      <c r="T37" s="8"/>
      <c r="U37" s="8"/>
      <c r="V37" s="8"/>
      <c r="W37" s="8"/>
    </row>
    <row r="38" spans="3:23" ht="15.75" x14ac:dyDescent="0.25">
      <c r="C38" s="8"/>
      <c r="D38" s="8"/>
      <c r="E38" s="126"/>
      <c r="F38" s="126"/>
      <c r="G38" s="126"/>
      <c r="H38" s="126"/>
      <c r="I38" s="126"/>
      <c r="J38" s="126"/>
      <c r="K38" s="126"/>
      <c r="L38" s="126"/>
      <c r="M38" s="126"/>
      <c r="N38" s="126"/>
      <c r="O38" s="126"/>
      <c r="P38" s="126"/>
      <c r="Q38" s="126"/>
      <c r="R38" s="8"/>
      <c r="S38" s="8"/>
      <c r="T38" s="8"/>
      <c r="U38" s="8"/>
      <c r="V38" s="8"/>
      <c r="W38" s="8"/>
    </row>
    <row r="39" spans="3:23" ht="15.75" x14ac:dyDescent="0.25">
      <c r="C39" s="8"/>
      <c r="D39" s="8"/>
      <c r="E39" s="126"/>
      <c r="F39" s="126"/>
      <c r="G39" s="126"/>
      <c r="H39" s="126"/>
      <c r="I39" s="126"/>
      <c r="J39" s="126"/>
      <c r="K39" s="126"/>
      <c r="L39" s="126"/>
      <c r="M39" s="126"/>
      <c r="N39" s="126"/>
      <c r="O39" s="126"/>
      <c r="P39" s="126"/>
      <c r="Q39" s="126"/>
      <c r="R39" s="8"/>
      <c r="S39" s="8"/>
      <c r="T39" s="8"/>
      <c r="U39" s="8"/>
      <c r="V39" s="8"/>
      <c r="W39" s="8"/>
    </row>
    <row r="40" spans="3:23" x14ac:dyDescent="0.25"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</row>
    <row r="41" spans="3:23" x14ac:dyDescent="0.25"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</row>
    <row r="42" spans="3:23" x14ac:dyDescent="0.25"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</row>
    <row r="43" spans="3:23" x14ac:dyDescent="0.25"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</row>
    <row r="44" spans="3:23" x14ac:dyDescent="0.25"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</row>
    <row r="45" spans="3:23" x14ac:dyDescent="0.25"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</row>
  </sheetData>
  <mergeCells count="1">
    <mergeCell ref="B2:C2"/>
  </mergeCells>
  <pageMargins left="0.7" right="0.7" top="0.75" bottom="0.75" header="0.3" footer="0.3"/>
  <pageSetup orientation="portrait" horizontalDpi="300" verticalDpi="30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3"/>
  <sheetViews>
    <sheetView workbookViewId="0">
      <selection activeCell="E19" sqref="E19"/>
    </sheetView>
  </sheetViews>
  <sheetFormatPr defaultRowHeight="15" x14ac:dyDescent="0.25"/>
  <cols>
    <col min="1" max="1" width="9.140625" customWidth="1"/>
    <col min="3" max="3" width="11.85546875" customWidth="1"/>
    <col min="4" max="4" width="22.28515625" customWidth="1"/>
    <col min="6" max="6" width="10" customWidth="1"/>
    <col min="8" max="8" width="15.7109375" customWidth="1"/>
    <col min="10" max="10" width="11.5703125" customWidth="1"/>
    <col min="11" max="11" width="24.140625" customWidth="1"/>
    <col min="12" max="12" width="9.5703125" bestFit="1" customWidth="1"/>
    <col min="15" max="15" width="13.140625" customWidth="1"/>
  </cols>
  <sheetData>
    <row r="1" spans="1:20" ht="15.75" thickBot="1" x14ac:dyDescent="0.3"/>
    <row r="2" spans="1:20" ht="19.5" thickBot="1" x14ac:dyDescent="0.35">
      <c r="A2" s="39" t="s">
        <v>211</v>
      </c>
      <c r="B2" s="43" t="s">
        <v>55</v>
      </c>
      <c r="C2" s="2"/>
      <c r="D2" s="2"/>
      <c r="E2" s="2"/>
      <c r="F2" s="2"/>
      <c r="I2" s="25"/>
      <c r="J2" s="41" t="s">
        <v>210</v>
      </c>
      <c r="K2" s="41"/>
      <c r="L2" s="41"/>
      <c r="M2" s="41"/>
      <c r="N2" s="41"/>
      <c r="O2" s="41"/>
      <c r="P2" s="41"/>
      <c r="Q2" s="27"/>
    </row>
    <row r="3" spans="1:20" x14ac:dyDescent="0.25">
      <c r="G3" s="2"/>
      <c r="I3" s="17"/>
      <c r="J3" s="18"/>
      <c r="K3" s="18"/>
      <c r="L3" s="18"/>
      <c r="M3" s="18"/>
      <c r="N3" s="18"/>
      <c r="O3" s="18"/>
      <c r="P3" s="18"/>
      <c r="Q3" s="19"/>
    </row>
    <row r="4" spans="1:20" ht="15.75" thickBot="1" x14ac:dyDescent="0.3">
      <c r="G4" s="2"/>
      <c r="I4" s="20"/>
      <c r="J4" s="8"/>
      <c r="K4" s="8"/>
      <c r="L4" s="8"/>
      <c r="M4" s="8"/>
      <c r="N4" s="8"/>
      <c r="O4" s="8"/>
      <c r="P4" s="8"/>
      <c r="Q4" s="21"/>
    </row>
    <row r="5" spans="1:20" ht="19.5" thickBot="1" x14ac:dyDescent="0.35">
      <c r="B5" s="122" t="s">
        <v>54</v>
      </c>
      <c r="C5" s="119"/>
      <c r="D5" s="119"/>
      <c r="E5" s="121" t="s">
        <v>47</v>
      </c>
      <c r="F5" s="120">
        <f>IF(E5="APP",1,0)</f>
        <v>0</v>
      </c>
      <c r="G5" s="2"/>
      <c r="I5" s="20"/>
      <c r="J5" s="8"/>
      <c r="K5" s="8"/>
      <c r="L5" s="8"/>
      <c r="M5" s="8"/>
      <c r="N5" s="8"/>
      <c r="O5" s="8"/>
      <c r="P5" s="8"/>
      <c r="Q5" s="21"/>
    </row>
    <row r="6" spans="1:20" ht="18.75" x14ac:dyDescent="0.3">
      <c r="B6" s="33" t="s">
        <v>50</v>
      </c>
      <c r="C6" s="32"/>
      <c r="D6" s="32"/>
      <c r="E6" s="127">
        <f>'APP-BASELINE'!F9</f>
        <v>425</v>
      </c>
      <c r="F6" s="97" t="s">
        <v>14</v>
      </c>
      <c r="G6" s="2"/>
      <c r="I6" s="36" t="s">
        <v>48</v>
      </c>
      <c r="J6" s="30"/>
      <c r="K6" s="30"/>
      <c r="L6" s="8">
        <f>ROUND((E6+E7)/(E6/E8+E7/E9)/10,0)*10</f>
        <v>1800</v>
      </c>
      <c r="M6" s="8" t="s">
        <v>14</v>
      </c>
      <c r="N6" s="8" t="s">
        <v>63</v>
      </c>
      <c r="O6" s="8"/>
      <c r="P6" s="8"/>
      <c r="Q6" s="21"/>
    </row>
    <row r="7" spans="1:20" ht="18.75" x14ac:dyDescent="0.3">
      <c r="B7" s="33" t="s">
        <v>209</v>
      </c>
      <c r="C7" s="32"/>
      <c r="D7" s="32"/>
      <c r="E7" s="72">
        <f>IF('APP-BASELINE'!J7=1,0,'APP-BASELINE'!F10)</f>
        <v>0</v>
      </c>
      <c r="F7" s="21" t="s">
        <v>14</v>
      </c>
      <c r="G7" s="2"/>
      <c r="I7" s="36" t="s">
        <v>46</v>
      </c>
      <c r="J7" s="30"/>
      <c r="K7" s="30"/>
      <c r="L7" s="8">
        <f>E6/(E8*'APP-BASELINE'!K28)</f>
        <v>1.038888888888889</v>
      </c>
      <c r="M7" s="8"/>
      <c r="N7" s="8" t="s">
        <v>57</v>
      </c>
      <c r="O7" s="8"/>
      <c r="P7" s="8"/>
      <c r="Q7" s="21"/>
    </row>
    <row r="8" spans="1:20" ht="18.75" x14ac:dyDescent="0.3">
      <c r="B8" s="33" t="s">
        <v>28</v>
      </c>
      <c r="C8" s="32"/>
      <c r="D8" s="32"/>
      <c r="E8" s="72">
        <f>'APP-BASELINE'!F12</f>
        <v>1800</v>
      </c>
      <c r="F8" s="21" t="s">
        <v>14</v>
      </c>
      <c r="H8" s="68"/>
      <c r="I8" s="36" t="s">
        <v>182</v>
      </c>
      <c r="J8" s="30"/>
      <c r="K8" s="30"/>
      <c r="L8" s="8">
        <f>'APP-BASELINE'!N8</f>
        <v>103</v>
      </c>
      <c r="M8" s="8" t="s">
        <v>14</v>
      </c>
      <c r="N8" s="8"/>
      <c r="O8" s="8"/>
      <c r="P8" s="8"/>
      <c r="Q8" s="21"/>
    </row>
    <row r="9" spans="1:20" ht="18.75" x14ac:dyDescent="0.3">
      <c r="B9" s="33" t="s">
        <v>30</v>
      </c>
      <c r="C9" s="32"/>
      <c r="D9" s="32"/>
      <c r="E9" s="72">
        <f>'APP-BASELINE'!F13</f>
        <v>1550</v>
      </c>
      <c r="F9" s="21" t="s">
        <v>14</v>
      </c>
      <c r="I9" s="36" t="s">
        <v>208</v>
      </c>
      <c r="J9" s="30"/>
      <c r="K9" s="30"/>
      <c r="L9" s="8">
        <f>MAX(0,ROUND((0.344353*'APP-BASELINE'!F9-0.32784*'APP-BASELINE'!F10*'APP-BASELINE'!F12/('APP-BASELINE'!F13)),0))</f>
        <v>118</v>
      </c>
      <c r="M9" s="8" t="s">
        <v>14</v>
      </c>
      <c r="N9" s="8">
        <f>'APP-BASELINE'!F9/2</f>
        <v>212.5</v>
      </c>
      <c r="O9" s="8" t="s">
        <v>207</v>
      </c>
      <c r="P9" s="8"/>
      <c r="Q9" s="21"/>
    </row>
    <row r="10" spans="1:20" ht="18.75" x14ac:dyDescent="0.3">
      <c r="B10" s="33" t="s">
        <v>51</v>
      </c>
      <c r="C10" s="32"/>
      <c r="D10" s="32"/>
      <c r="E10" s="351">
        <f>'APP-BASELINE'!F16</f>
        <v>25</v>
      </c>
      <c r="F10" s="21" t="s">
        <v>15</v>
      </c>
      <c r="I10" s="36" t="s">
        <v>206</v>
      </c>
      <c r="J10" s="30"/>
      <c r="K10" s="30"/>
      <c r="L10" s="8">
        <f>IF('APP-BASELINE'!J9=1,'APP-BASELINE'!F9/2*0.952,'APP-BASELINE'!F9/3*0.908)</f>
        <v>202.29999999999998</v>
      </c>
      <c r="M10" s="8" t="s">
        <v>14</v>
      </c>
      <c r="N10" s="8">
        <f>IF('APP-BASELINE'!J7=0,0,IF('APP-BASELINE'!J8=0,1,0))</f>
        <v>1</v>
      </c>
      <c r="O10" s="8" t="s">
        <v>86</v>
      </c>
      <c r="P10" s="8"/>
      <c r="Q10" s="21"/>
    </row>
    <row r="11" spans="1:20" ht="18.75" x14ac:dyDescent="0.3">
      <c r="B11" s="33" t="s">
        <v>52</v>
      </c>
      <c r="C11" s="32"/>
      <c r="D11" s="32"/>
      <c r="E11" s="72">
        <f>'APP-BASELINE'!F15</f>
        <v>110</v>
      </c>
      <c r="F11" s="21" t="s">
        <v>15</v>
      </c>
      <c r="I11" s="36" t="s">
        <v>205</v>
      </c>
      <c r="J11" s="30"/>
      <c r="K11" s="30"/>
      <c r="L11">
        <f>IF('APP-BASELINE'!J9=2,'ATL 2'!L10,'ATL 2'!L9)</f>
        <v>118</v>
      </c>
      <c r="M11" s="28" t="s">
        <v>14</v>
      </c>
      <c r="N11" s="8"/>
      <c r="O11" s="8"/>
      <c r="P11" s="8"/>
      <c r="Q11" s="21"/>
      <c r="T11" s="64"/>
    </row>
    <row r="12" spans="1:20" ht="19.5" thickBot="1" x14ac:dyDescent="0.35">
      <c r="B12" s="34" t="s">
        <v>43</v>
      </c>
      <c r="C12" s="35"/>
      <c r="D12" s="35"/>
      <c r="E12" s="73">
        <f>'APP-BASELINE'!F17</f>
        <v>25</v>
      </c>
      <c r="F12" s="24" t="s">
        <v>16</v>
      </c>
      <c r="I12" s="36" t="s">
        <v>204</v>
      </c>
      <c r="J12" s="8"/>
      <c r="K12" s="8"/>
      <c r="L12" s="8">
        <f>IF('COMBINED INPUT'!G9="N",MIN('ATL 2'!L8,'ATL 2'!L11),IF('APP-BASELINE'!J9=1,0,MIN(L8,L11)))</f>
        <v>0</v>
      </c>
      <c r="M12" s="28" t="s">
        <v>14</v>
      </c>
      <c r="N12" s="8"/>
      <c r="O12" s="8"/>
      <c r="P12" s="8"/>
      <c r="Q12" s="21"/>
    </row>
    <row r="13" spans="1:20" x14ac:dyDescent="0.25">
      <c r="I13" s="36" t="s">
        <v>203</v>
      </c>
      <c r="J13" s="8"/>
      <c r="K13" s="8"/>
      <c r="L13" s="8">
        <f>'APP-BASELINE'!F9-'ATL 2'!L12</f>
        <v>425</v>
      </c>
      <c r="M13" s="28" t="s">
        <v>14</v>
      </c>
      <c r="N13" s="8"/>
      <c r="O13" s="8"/>
      <c r="P13" s="8"/>
      <c r="Q13" s="21"/>
    </row>
    <row r="14" spans="1:20" x14ac:dyDescent="0.25">
      <c r="I14" s="36" t="s">
        <v>114</v>
      </c>
      <c r="J14" s="8"/>
      <c r="K14" s="8"/>
      <c r="L14" s="350" t="e">
        <f>J28</f>
        <v>#DIV/0!</v>
      </c>
      <c r="M14" s="28" t="s">
        <v>8</v>
      </c>
      <c r="N14" s="8"/>
      <c r="O14" s="8"/>
      <c r="P14" s="8"/>
      <c r="Q14" s="21"/>
    </row>
    <row r="15" spans="1:20" x14ac:dyDescent="0.25">
      <c r="I15" s="36" t="s">
        <v>202</v>
      </c>
      <c r="J15" s="8"/>
      <c r="K15" s="8"/>
      <c r="L15" s="134">
        <f>('APP-BASELINE'!F11*22/15)^2/(2*'APP-BASELINE'!F18)</f>
        <v>131.75555555555556</v>
      </c>
      <c r="M15" s="28" t="s">
        <v>16</v>
      </c>
      <c r="N15" s="8"/>
      <c r="O15" s="8"/>
      <c r="P15" s="8"/>
      <c r="Q15" s="21"/>
    </row>
    <row r="16" spans="1:20" ht="15.75" thickBot="1" x14ac:dyDescent="0.3">
      <c r="I16" s="36" t="s">
        <v>201</v>
      </c>
      <c r="J16" s="8"/>
      <c r="K16" s="8"/>
      <c r="L16" s="134">
        <f>'APP-BASELINE'!F11*22/15*'APP-BASELINE'!F21</f>
        <v>51.333333333333336</v>
      </c>
      <c r="M16" s="28" t="s">
        <v>16</v>
      </c>
      <c r="N16" s="8"/>
      <c r="O16" s="8"/>
      <c r="P16" s="8"/>
      <c r="Q16" s="21"/>
    </row>
    <row r="17" spans="2:22" ht="15.75" thickBot="1" x14ac:dyDescent="0.3">
      <c r="I17" s="20"/>
      <c r="J17" s="8"/>
      <c r="K17" s="8"/>
      <c r="L17" s="23"/>
      <c r="M17" s="23"/>
      <c r="N17" s="25" t="s">
        <v>200</v>
      </c>
      <c r="O17" s="26"/>
      <c r="P17" s="26"/>
      <c r="Q17" s="27"/>
    </row>
    <row r="18" spans="2:22" x14ac:dyDescent="0.25">
      <c r="B18" s="44" t="s">
        <v>44</v>
      </c>
      <c r="C18" s="29"/>
      <c r="D18" s="29"/>
      <c r="E18" s="48">
        <f>L12</f>
        <v>0</v>
      </c>
      <c r="F18" s="42" t="s">
        <v>14</v>
      </c>
      <c r="G18" s="29" t="s">
        <v>10</v>
      </c>
      <c r="H18" s="29"/>
      <c r="I18" s="53" t="e">
        <f>E20*(E10/E11)/3600</f>
        <v>#DIV/0!</v>
      </c>
      <c r="J18" s="18" t="s">
        <v>12</v>
      </c>
      <c r="K18" s="19"/>
      <c r="L18" t="e">
        <f>I18*3600</f>
        <v>#DIV/0!</v>
      </c>
    </row>
    <row r="19" spans="2:22" x14ac:dyDescent="0.25">
      <c r="B19" s="36" t="s">
        <v>0</v>
      </c>
      <c r="C19" s="30"/>
      <c r="D19" s="8"/>
      <c r="E19" s="49">
        <f>E18+IF(E5="CTL",0,E7)</f>
        <v>0</v>
      </c>
      <c r="F19" s="8" t="s">
        <v>14</v>
      </c>
      <c r="G19" s="30" t="s">
        <v>5</v>
      </c>
      <c r="H19" s="30"/>
      <c r="I19" s="54">
        <f>E11-E10</f>
        <v>85</v>
      </c>
      <c r="J19" s="8" t="s">
        <v>15</v>
      </c>
      <c r="K19" s="21"/>
    </row>
    <row r="20" spans="2:22" ht="15.75" thickBot="1" x14ac:dyDescent="0.3">
      <c r="B20" s="36" t="s">
        <v>1</v>
      </c>
      <c r="C20" s="30"/>
      <c r="D20" s="8"/>
      <c r="E20" s="49" t="e">
        <f>ROUND(E19/(E7/E9+E18/(0.5*E8))/10,0)*10</f>
        <v>#DIV/0!</v>
      </c>
      <c r="F20" s="8" t="s">
        <v>14</v>
      </c>
      <c r="G20" s="30" t="s">
        <v>2</v>
      </c>
      <c r="H20" s="30"/>
      <c r="I20" s="55" t="e">
        <f>E19/E20</f>
        <v>#DIV/0!</v>
      </c>
      <c r="J20" s="8"/>
      <c r="K20" s="21"/>
      <c r="O20" s="2" t="s">
        <v>41</v>
      </c>
      <c r="P20" s="2"/>
    </row>
    <row r="21" spans="2:22" ht="16.5" thickBot="1" x14ac:dyDescent="0.3">
      <c r="B21" s="36" t="s">
        <v>82</v>
      </c>
      <c r="C21" s="30"/>
      <c r="D21" s="8"/>
      <c r="E21" s="50" t="e">
        <f>E7/E19</f>
        <v>#DIV/0!</v>
      </c>
      <c r="F21" s="8"/>
      <c r="G21" s="30" t="s">
        <v>3</v>
      </c>
      <c r="H21" s="30"/>
      <c r="I21" s="55">
        <f>E10/E11</f>
        <v>0.22727272727272727</v>
      </c>
      <c r="J21" s="8"/>
      <c r="K21" s="21" t="s">
        <v>21</v>
      </c>
      <c r="M21" s="61" t="s">
        <v>35</v>
      </c>
      <c r="N21" s="62" t="s">
        <v>36</v>
      </c>
      <c r="O21" s="63" t="s">
        <v>37</v>
      </c>
      <c r="P21" s="65" t="s">
        <v>38</v>
      </c>
      <c r="Q21" s="60" t="s">
        <v>39</v>
      </c>
      <c r="R21" s="66" t="s">
        <v>40</v>
      </c>
    </row>
    <row r="22" spans="2:22" x14ac:dyDescent="0.25">
      <c r="B22" s="36" t="s">
        <v>199</v>
      </c>
      <c r="C22" s="8"/>
      <c r="D22" s="9" t="e">
        <f>E18/(3600*I18)</f>
        <v>#DIV/0!</v>
      </c>
      <c r="E22" s="8"/>
      <c r="F22" s="8"/>
      <c r="G22" s="30" t="s">
        <v>4</v>
      </c>
      <c r="H22" s="30"/>
      <c r="I22" s="56" t="e">
        <f>I20/I21</f>
        <v>#DIV/0!</v>
      </c>
      <c r="J22" s="8"/>
      <c r="K22" s="21" t="e">
        <f>IF(I22&gt;1,1,0)</f>
        <v>#DIV/0!</v>
      </c>
      <c r="L22" s="1" t="s">
        <v>64</v>
      </c>
      <c r="M22" s="1">
        <v>10</v>
      </c>
      <c r="N22" s="1">
        <v>20</v>
      </c>
      <c r="O22" s="1">
        <v>35</v>
      </c>
      <c r="P22" s="1">
        <v>55</v>
      </c>
      <c r="Q22" s="1">
        <v>80</v>
      </c>
      <c r="R22" s="1" t="s">
        <v>42</v>
      </c>
      <c r="V22" s="2"/>
    </row>
    <row r="23" spans="2:22" ht="15.75" thickBot="1" x14ac:dyDescent="0.3">
      <c r="B23" s="20"/>
      <c r="C23" s="8"/>
      <c r="D23" s="8"/>
      <c r="E23" s="8"/>
      <c r="F23" s="8"/>
      <c r="G23" s="30" t="s">
        <v>6</v>
      </c>
      <c r="H23" s="30"/>
      <c r="I23" s="57" t="e">
        <f>MIN(E10,I19*I20/(1-I20))</f>
        <v>#DIV/0!</v>
      </c>
      <c r="J23" s="8" t="s">
        <v>15</v>
      </c>
      <c r="K23" s="21"/>
      <c r="M23" s="16" t="e">
        <f t="shared" ref="M23:R23" si="0">IF($J$25&lt;=M22,1,0)</f>
        <v>#DIV/0!</v>
      </c>
      <c r="N23" s="16" t="e">
        <f t="shared" si="0"/>
        <v>#DIV/0!</v>
      </c>
      <c r="O23" s="16" t="e">
        <f t="shared" si="0"/>
        <v>#DIV/0!</v>
      </c>
      <c r="P23" s="16" t="e">
        <f t="shared" si="0"/>
        <v>#DIV/0!</v>
      </c>
      <c r="Q23" s="16" t="e">
        <f t="shared" si="0"/>
        <v>#DIV/0!</v>
      </c>
      <c r="R23" s="16" t="e">
        <f t="shared" si="0"/>
        <v>#DIV/0!</v>
      </c>
      <c r="V23" s="2"/>
    </row>
    <row r="24" spans="2:22" ht="15.75" thickBot="1" x14ac:dyDescent="0.3">
      <c r="B24" s="22"/>
      <c r="C24" s="23"/>
      <c r="D24" s="23"/>
      <c r="E24" s="23"/>
      <c r="F24" s="23"/>
      <c r="G24" s="23"/>
      <c r="H24" s="23"/>
      <c r="I24" s="23"/>
      <c r="J24" s="23"/>
      <c r="K24" s="24"/>
      <c r="M24" s="16" t="e">
        <f>M23-L25</f>
        <v>#DIV/0!</v>
      </c>
      <c r="N24" s="16" t="e">
        <f>N23-M23</f>
        <v>#DIV/0!</v>
      </c>
      <c r="O24" s="16" t="e">
        <f>O23-N23</f>
        <v>#DIV/0!</v>
      </c>
      <c r="P24" s="16" t="e">
        <f>P23-O23</f>
        <v>#DIV/0!</v>
      </c>
      <c r="Q24" s="16" t="e">
        <f>Q23-P23</f>
        <v>#DIV/0!</v>
      </c>
      <c r="R24" s="16" t="e">
        <f>R23-Q23</f>
        <v>#DIV/0!</v>
      </c>
      <c r="V24" s="2"/>
    </row>
    <row r="25" spans="2:22" ht="19.5" thickBot="1" x14ac:dyDescent="0.35">
      <c r="B25" s="52" t="s">
        <v>31</v>
      </c>
      <c r="C25" s="58" t="e">
        <f>0.5*E11*(1-I21)^2/(1-MIN(1,I22)*I21)</f>
        <v>#DIV/0!</v>
      </c>
      <c r="D25" s="26"/>
      <c r="E25" s="26"/>
      <c r="F25" s="40" t="s">
        <v>11</v>
      </c>
      <c r="G25" s="58" t="e">
        <f>225*((I22-1)+SQRT((I22-1)^2+16*I22/(I18*3600)))</f>
        <v>#DIV/0!</v>
      </c>
      <c r="H25" s="26"/>
      <c r="I25" s="40" t="s">
        <v>32</v>
      </c>
      <c r="J25" s="58" t="e">
        <f>G25+C25</f>
        <v>#DIV/0!</v>
      </c>
      <c r="K25" s="27" t="s">
        <v>33</v>
      </c>
      <c r="M25" s="67" t="e">
        <f t="shared" ref="M25:R25" si="1">IF(M24=1,M21,0)</f>
        <v>#DIV/0!</v>
      </c>
      <c r="N25" s="67" t="e">
        <f t="shared" si="1"/>
        <v>#DIV/0!</v>
      </c>
      <c r="O25" s="67" t="e">
        <f t="shared" si="1"/>
        <v>#DIV/0!</v>
      </c>
      <c r="P25" s="67" t="e">
        <f t="shared" si="1"/>
        <v>#DIV/0!</v>
      </c>
      <c r="Q25" s="67" t="e">
        <f t="shared" si="1"/>
        <v>#DIV/0!</v>
      </c>
      <c r="R25" s="67" t="e">
        <f t="shared" si="1"/>
        <v>#DIV/0!</v>
      </c>
    </row>
    <row r="26" spans="2:22" ht="15.75" thickBot="1" x14ac:dyDescent="0.3"/>
    <row r="27" spans="2:22" ht="15.75" x14ac:dyDescent="0.25">
      <c r="B27" s="44" t="s">
        <v>7</v>
      </c>
      <c r="C27" s="196" t="e">
        <f>I23*E20/3600</f>
        <v>#DIV/0!</v>
      </c>
      <c r="D27" s="18" t="s">
        <v>8</v>
      </c>
      <c r="E27" s="18"/>
      <c r="F27" s="29" t="s">
        <v>9</v>
      </c>
      <c r="G27" s="196" t="e">
        <f>I18*G25</f>
        <v>#DIV/0!</v>
      </c>
      <c r="H27" s="18" t="s">
        <v>8</v>
      </c>
      <c r="I27" s="29" t="s">
        <v>13</v>
      </c>
      <c r="J27" s="196" t="e">
        <f>G27+C27</f>
        <v>#DIV/0!</v>
      </c>
      <c r="K27" s="19" t="s">
        <v>8</v>
      </c>
    </row>
    <row r="28" spans="2:22" ht="16.5" thickBot="1" x14ac:dyDescent="0.3">
      <c r="B28" s="69" t="s">
        <v>132</v>
      </c>
      <c r="C28" s="197">
        <f>(E11-E10)*E18/3600/(1-E18/(E8/2))</f>
        <v>0</v>
      </c>
      <c r="D28" s="23" t="s">
        <v>8</v>
      </c>
      <c r="E28" s="23"/>
      <c r="F28" s="70" t="s">
        <v>133</v>
      </c>
      <c r="G28" s="197" t="e">
        <f>225*(D22-1+SQRT((D22-1)^2+16*D22/(3600*I18)))*I18</f>
        <v>#DIV/0!</v>
      </c>
      <c r="H28" s="23" t="s">
        <v>8</v>
      </c>
      <c r="I28" s="70" t="s">
        <v>134</v>
      </c>
      <c r="J28" s="197" t="e">
        <f>G28+C28</f>
        <v>#DIV/0!</v>
      </c>
      <c r="K28" s="24" t="s">
        <v>8</v>
      </c>
    </row>
    <row r="29" spans="2:22" x14ac:dyDescent="0.25">
      <c r="I29" s="95" t="s">
        <v>83</v>
      </c>
      <c r="J29" s="95"/>
    </row>
    <row r="30" spans="2:22" x14ac:dyDescent="0.25">
      <c r="B30" s="2" t="s">
        <v>17</v>
      </c>
      <c r="C30" s="2"/>
      <c r="D30" s="3" t="s">
        <v>22</v>
      </c>
      <c r="E30" s="2"/>
      <c r="F30" s="2" t="s">
        <v>23</v>
      </c>
      <c r="G30" s="2"/>
      <c r="H30" s="2"/>
      <c r="I30" s="2" t="s">
        <v>24</v>
      </c>
      <c r="J30" s="2" t="s">
        <v>25</v>
      </c>
      <c r="K30" s="2"/>
      <c r="L30" s="2" t="s">
        <v>26</v>
      </c>
      <c r="M30" s="2"/>
      <c r="N30" s="2"/>
      <c r="O30" s="2" t="s">
        <v>27</v>
      </c>
      <c r="P30" s="2"/>
    </row>
    <row r="31" spans="2:22" x14ac:dyDescent="0.25">
      <c r="B31" s="45" t="s">
        <v>146</v>
      </c>
      <c r="C31" s="4"/>
      <c r="D31" s="4">
        <v>1.04</v>
      </c>
      <c r="E31" s="4"/>
      <c r="F31" s="5" t="e">
        <f>D31*SQRT(1/J27)</f>
        <v>#DIV/0!</v>
      </c>
      <c r="G31" s="4"/>
      <c r="H31" s="4"/>
      <c r="I31" s="5" t="e">
        <f>$K$22*MIN(1.8,1+F31+0.6*D31^0.24*$I$21^0.33*(1-EXP(2-2*$I$22)))</f>
        <v>#DIV/0!</v>
      </c>
      <c r="J31" s="6" t="e">
        <f>(1-$K$22)*MIN(1.8, 1+F31)</f>
        <v>#DIV/0!</v>
      </c>
      <c r="K31" s="4"/>
      <c r="L31" s="4" t="e">
        <f>MAX(I31,J31)*$J$27</f>
        <v>#DIV/0!</v>
      </c>
      <c r="M31" s="4"/>
      <c r="N31" s="4"/>
      <c r="O31" s="7" t="e">
        <f>ROUND(L31*$E$12/100,0)*100</f>
        <v>#DIV/0!</v>
      </c>
      <c r="Q31">
        <f>2+Q32</f>
        <v>3.0504201680672267</v>
      </c>
      <c r="S31">
        <f>Q32/Q31</f>
        <v>0.34435261707988984</v>
      </c>
    </row>
    <row r="32" spans="2:22" x14ac:dyDescent="0.25">
      <c r="B32" s="46" t="s">
        <v>19</v>
      </c>
      <c r="C32" s="8"/>
      <c r="D32" s="8">
        <v>1.28</v>
      </c>
      <c r="E32" s="8"/>
      <c r="F32" s="9" t="e">
        <f>D32*SQRT(1/J27)</f>
        <v>#DIV/0!</v>
      </c>
      <c r="G32" s="8"/>
      <c r="H32" s="8"/>
      <c r="I32" s="9" t="e">
        <f>$K$22*MIN(1.8,1+F32+0.6*D32^0.24*$I$21^0.33*(1-EXP(2-2*$I$22)))</f>
        <v>#DIV/0!</v>
      </c>
      <c r="J32" s="10" t="e">
        <f>(1-$K$22)*MIN(1.8, 1+F32)</f>
        <v>#DIV/0!</v>
      </c>
      <c r="K32" s="8"/>
      <c r="L32" s="8" t="e">
        <f>MAX(I32,J32)*$J$27</f>
        <v>#DIV/0!</v>
      </c>
      <c r="M32" s="8"/>
      <c r="N32" s="8"/>
      <c r="O32" s="11" t="e">
        <f>ROUND(L32*$E$12/100,0)*100</f>
        <v>#DIV/0!</v>
      </c>
      <c r="Q32">
        <f>1/0.952</f>
        <v>1.0504201680672269</v>
      </c>
      <c r="S32">
        <f>1/Q31</f>
        <v>0.32782369146005513</v>
      </c>
    </row>
    <row r="33" spans="2:15" x14ac:dyDescent="0.25">
      <c r="B33" s="47" t="s">
        <v>20</v>
      </c>
      <c r="C33" s="12"/>
      <c r="D33" s="12">
        <v>1.64</v>
      </c>
      <c r="E33" s="12"/>
      <c r="F33" s="13" t="e">
        <f>D33*SQRT(1/J27)</f>
        <v>#DIV/0!</v>
      </c>
      <c r="G33" s="12"/>
      <c r="H33" s="12"/>
      <c r="I33" s="13" t="e">
        <f>$K$22*MIN(1.8,1+F33+0.6*D33^0.24*$I$21^0.33*(1-EXP(2-2*$I$22)))</f>
        <v>#DIV/0!</v>
      </c>
      <c r="J33" s="14" t="e">
        <f>(1-$K$22)*MIN(1.8, 1+F33)</f>
        <v>#DIV/0!</v>
      </c>
      <c r="K33" s="12"/>
      <c r="L33" s="12" t="e">
        <f>MAX(I33,J33)*$J$27</f>
        <v>#DIV/0!</v>
      </c>
      <c r="M33" s="12"/>
      <c r="N33" s="12"/>
      <c r="O33" s="15" t="e">
        <f>ROUND(L33*$E$12/100,0)*100</f>
        <v>#DIV/0!</v>
      </c>
    </row>
  </sheetData>
  <conditionalFormatting sqref="M25:R25">
    <cfRule type="cellIs" dxfId="60" priority="1" operator="equal">
      <formula>0</formula>
    </cfRule>
    <cfRule type="cellIs" dxfId="59" priority="2" operator="equal">
      <formula>0</formula>
    </cfRule>
    <cfRule type="cellIs" dxfId="58" priority="3" operator="equal">
      <formula>0</formula>
    </cfRule>
  </conditionalFormatting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31"/>
  <sheetViews>
    <sheetView topLeftCell="A4" zoomScaleNormal="100" workbookViewId="0">
      <selection activeCell="G8" sqref="G8"/>
    </sheetView>
  </sheetViews>
  <sheetFormatPr defaultRowHeight="15" x14ac:dyDescent="0.25"/>
  <cols>
    <col min="1" max="3" width="9.140625" style="497"/>
    <col min="4" max="4" width="61.28515625" style="497" customWidth="1"/>
    <col min="5" max="5" width="14.28515625" style="497" customWidth="1"/>
    <col min="6" max="6" width="13.5703125" style="497" customWidth="1"/>
    <col min="7" max="7" width="9.28515625" style="497" bestFit="1" customWidth="1"/>
    <col min="8" max="8" width="9.140625" style="497"/>
    <col min="9" max="9" width="9.85546875" style="497" customWidth="1"/>
    <col min="10" max="10" width="41" style="497" customWidth="1"/>
    <col min="11" max="16384" width="9.140625" style="497"/>
  </cols>
  <sheetData>
    <row r="1" spans="2:11" ht="15.75" thickBot="1" x14ac:dyDescent="0.3"/>
    <row r="2" spans="2:11" ht="18.75" x14ac:dyDescent="0.3">
      <c r="D2" s="452" t="s">
        <v>232</v>
      </c>
      <c r="E2" s="453"/>
      <c r="F2" s="453"/>
      <c r="G2" s="18"/>
      <c r="H2" s="19"/>
    </row>
    <row r="3" spans="2:11" ht="19.5" thickBot="1" x14ac:dyDescent="0.35">
      <c r="D3" s="454" t="s">
        <v>233</v>
      </c>
      <c r="E3" s="455"/>
      <c r="F3" s="455"/>
      <c r="G3" s="23"/>
      <c r="H3" s="24"/>
    </row>
    <row r="5" spans="2:11" ht="21" x14ac:dyDescent="0.35">
      <c r="D5" s="355" t="s">
        <v>219</v>
      </c>
      <c r="E5" s="187"/>
      <c r="F5" s="187"/>
      <c r="G5" s="187"/>
      <c r="H5" s="187"/>
      <c r="I5" s="188"/>
      <c r="J5" s="189"/>
    </row>
    <row r="6" spans="2:11" ht="19.5" thickBot="1" x14ac:dyDescent="0.35">
      <c r="D6" s="356" t="s">
        <v>240</v>
      </c>
      <c r="E6" s="185"/>
      <c r="F6" s="185"/>
      <c r="G6" s="369" t="s">
        <v>53</v>
      </c>
      <c r="H6" s="370">
        <f>IF(G6="APP",1,0)</f>
        <v>1</v>
      </c>
      <c r="I6" s="367"/>
      <c r="J6" s="368"/>
    </row>
    <row r="7" spans="2:11" ht="19.5" thickBot="1" x14ac:dyDescent="0.35">
      <c r="D7" s="434" t="s">
        <v>230</v>
      </c>
      <c r="E7" s="361"/>
      <c r="F7" s="361"/>
      <c r="G7" s="213"/>
      <c r="H7" s="463" t="s">
        <v>228</v>
      </c>
      <c r="I7" s="464"/>
      <c r="J7" s="465"/>
    </row>
    <row r="8" spans="2:11" ht="30.75" customHeight="1" thickTop="1" x14ac:dyDescent="0.3">
      <c r="B8" s="519" t="s">
        <v>235</v>
      </c>
      <c r="C8" s="468">
        <v>1</v>
      </c>
      <c r="D8" s="164" t="s">
        <v>239</v>
      </c>
      <c r="E8" s="165"/>
      <c r="F8" s="166"/>
      <c r="G8" s="462">
        <f>MAIN!F16</f>
        <v>1</v>
      </c>
      <c r="H8" s="495" t="str">
        <f>IF(G9="Y","BASE CASE ASSUMES NO EXCLUSIVE RIGHT TURN POCKET"," ")</f>
        <v>BASE CASE ASSUMES NO EXCLUSIVE RIGHT TURN POCKET</v>
      </c>
      <c r="I8" s="363"/>
      <c r="J8" s="364"/>
    </row>
    <row r="9" spans="2:11" ht="24" customHeight="1" thickBot="1" x14ac:dyDescent="0.35">
      <c r="B9" s="520"/>
      <c r="C9" s="470">
        <v>2</v>
      </c>
      <c r="D9" s="168" t="s">
        <v>220</v>
      </c>
      <c r="E9" s="148"/>
      <c r="F9" s="169"/>
      <c r="G9" s="483" t="s">
        <v>242</v>
      </c>
      <c r="H9" s="365"/>
      <c r="I9" s="362"/>
      <c r="J9" s="359"/>
      <c r="K9" s="103">
        <f>IF(G9="Y",1,0)</f>
        <v>1</v>
      </c>
    </row>
    <row r="10" spans="2:11" ht="23.25" customHeight="1" thickTop="1" x14ac:dyDescent="0.3">
      <c r="B10" s="521" t="s">
        <v>236</v>
      </c>
      <c r="C10" s="468">
        <v>3</v>
      </c>
      <c r="D10" s="164" t="s">
        <v>237</v>
      </c>
      <c r="E10" s="289"/>
      <c r="F10" s="288" t="str">
        <f>IF(G9="N",IF(G10="Y","SET TO 'N' =&gt;"," ")," ")</f>
        <v xml:space="preserve"> </v>
      </c>
      <c r="G10" s="462" t="str">
        <f>IF(G8=1,IF(MAIN!F14="1B","N","Y"),IF(MAIN!F14="2B","N","Y"))</f>
        <v>N</v>
      </c>
      <c r="H10" s="380"/>
      <c r="I10" s="381"/>
      <c r="J10" s="382"/>
      <c r="K10" s="103">
        <f>IF(G10="Y",1,0)</f>
        <v>0</v>
      </c>
    </row>
    <row r="11" spans="2:11" ht="17.25" customHeight="1" thickBot="1" x14ac:dyDescent="0.35">
      <c r="B11" s="522"/>
      <c r="C11" s="469">
        <v>4</v>
      </c>
      <c r="D11" s="379" t="s">
        <v>238</v>
      </c>
      <c r="E11" s="178" t="str">
        <f>IF(G9="N", " ", IF(G10="N",IF(G11="Y","SET TO 'N' =&gt;"," ")," "))</f>
        <v xml:space="preserve"> </v>
      </c>
      <c r="F11" s="383" t="str">
        <f>IF(G9="N",IF(G11="N","SET TO 'Y' =&gt;"," "), " ")</f>
        <v xml:space="preserve"> </v>
      </c>
      <c r="G11" s="484" t="str">
        <f>IF(G8=1,IF(MAIN!F14="1A","Y","N"),IF(MAIN!F14="2A","Y","N"))</f>
        <v>N</v>
      </c>
      <c r="H11" s="366"/>
      <c r="I11" s="357"/>
      <c r="J11" s="360"/>
      <c r="K11" s="103">
        <f>IF(G11="Y",1,0)</f>
        <v>0</v>
      </c>
    </row>
    <row r="12" spans="2:11" ht="18.75" x14ac:dyDescent="0.3">
      <c r="B12" s="522"/>
      <c r="C12" s="470">
        <v>5</v>
      </c>
      <c r="D12" s="168" t="s">
        <v>50</v>
      </c>
      <c r="E12" s="145"/>
      <c r="F12" s="207"/>
      <c r="G12" s="466">
        <f>MAIN!E25</f>
        <v>425</v>
      </c>
      <c r="H12" s="146" t="s">
        <v>14</v>
      </c>
      <c r="I12" s="147"/>
      <c r="J12" s="170"/>
      <c r="K12" s="103">
        <f>K10+K11</f>
        <v>0</v>
      </c>
    </row>
    <row r="13" spans="2:11" ht="18.75" x14ac:dyDescent="0.3">
      <c r="B13" s="522"/>
      <c r="C13" s="470">
        <v>6</v>
      </c>
      <c r="D13" s="207" t="s">
        <v>224</v>
      </c>
      <c r="E13" s="145"/>
      <c r="F13" s="207"/>
      <c r="G13" s="466">
        <f>MAIN!E26</f>
        <v>1800</v>
      </c>
      <c r="H13" s="148" t="s">
        <v>14</v>
      </c>
      <c r="I13" s="148"/>
      <c r="J13" s="169"/>
    </row>
    <row r="14" spans="2:11" ht="18.75" x14ac:dyDescent="0.3">
      <c r="B14" s="522"/>
      <c r="C14" s="470">
        <v>7</v>
      </c>
      <c r="D14" s="168" t="s">
        <v>80</v>
      </c>
      <c r="E14" s="145"/>
      <c r="F14" s="207" t="str">
        <f>IF(G9="N",IF(G14=0, " ","SET TO 0 =&gt;")," ")</f>
        <v xml:space="preserve"> </v>
      </c>
      <c r="G14" s="466">
        <f>MAIN!E27</f>
        <v>75</v>
      </c>
      <c r="H14" s="148" t="s">
        <v>14</v>
      </c>
      <c r="I14" s="168"/>
      <c r="J14" s="169"/>
    </row>
    <row r="15" spans="2:11" ht="18.75" x14ac:dyDescent="0.3">
      <c r="B15" s="522"/>
      <c r="C15" s="470">
        <v>8</v>
      </c>
      <c r="D15" s="168" t="s">
        <v>222</v>
      </c>
      <c r="E15" s="145"/>
      <c r="F15" s="207" t="str">
        <f>IF(G9="N",IF(G15=0, " ","SET TO 0 =&gt;")," ")</f>
        <v xml:space="preserve"> </v>
      </c>
      <c r="G15" s="466">
        <f>MAIN!E28</f>
        <v>1550</v>
      </c>
      <c r="H15" s="148" t="s">
        <v>14</v>
      </c>
      <c r="I15" s="148" t="s">
        <v>246</v>
      </c>
      <c r="J15" s="496">
        <f>IF(G9="N",0,IF(G8=1,G13*0.85,G13*0.85/2))</f>
        <v>1530</v>
      </c>
    </row>
    <row r="16" spans="2:11" ht="18.75" x14ac:dyDescent="0.3">
      <c r="B16" s="522"/>
      <c r="C16" s="470">
        <v>9</v>
      </c>
      <c r="D16" s="168" t="s">
        <v>103</v>
      </c>
      <c r="E16" s="145"/>
      <c r="F16" s="145"/>
      <c r="G16" s="466">
        <f>MAIN!E29</f>
        <v>35</v>
      </c>
      <c r="H16" s="148" t="s">
        <v>107</v>
      </c>
      <c r="I16" s="168"/>
      <c r="J16" s="358"/>
    </row>
    <row r="17" spans="2:15" ht="18.75" x14ac:dyDescent="0.3">
      <c r="B17" s="522"/>
      <c r="C17" s="470">
        <v>10</v>
      </c>
      <c r="D17" s="168" t="s">
        <v>51</v>
      </c>
      <c r="E17" s="145"/>
      <c r="F17" s="145"/>
      <c r="G17" s="466">
        <f>MAIN!E19</f>
        <v>25</v>
      </c>
      <c r="H17" s="148" t="s">
        <v>15</v>
      </c>
      <c r="I17" s="148"/>
      <c r="J17" s="169"/>
    </row>
    <row r="18" spans="2:15" ht="19.5" thickBot="1" x14ac:dyDescent="0.35">
      <c r="B18" s="522"/>
      <c r="C18" s="470">
        <v>11</v>
      </c>
      <c r="D18" s="168" t="s">
        <v>111</v>
      </c>
      <c r="E18" s="145"/>
      <c r="F18" s="145"/>
      <c r="G18" s="466">
        <f>MAIN!E20</f>
        <v>110</v>
      </c>
      <c r="H18" s="148" t="s">
        <v>15</v>
      </c>
      <c r="I18" s="384" t="s">
        <v>104</v>
      </c>
      <c r="J18" s="169"/>
    </row>
    <row r="19" spans="2:15" ht="18.75" x14ac:dyDescent="0.3">
      <c r="B19" s="522"/>
      <c r="C19" s="468">
        <v>12</v>
      </c>
      <c r="D19" s="164" t="s">
        <v>43</v>
      </c>
      <c r="E19" s="269"/>
      <c r="F19" s="269"/>
      <c r="G19" s="467">
        <f>MAIN!E30</f>
        <v>25</v>
      </c>
      <c r="H19" s="165" t="s">
        <v>16</v>
      </c>
      <c r="I19" s="385">
        <v>20</v>
      </c>
      <c r="J19" s="169"/>
    </row>
    <row r="20" spans="2:15" ht="18.75" x14ac:dyDescent="0.3">
      <c r="B20" s="522"/>
      <c r="C20" s="470">
        <v>13</v>
      </c>
      <c r="D20" s="168" t="s">
        <v>105</v>
      </c>
      <c r="E20" s="145"/>
      <c r="F20" s="145"/>
      <c r="G20" s="466">
        <f>MAIN!E31</f>
        <v>10</v>
      </c>
      <c r="H20" s="148" t="s">
        <v>106</v>
      </c>
      <c r="I20" s="386">
        <v>10</v>
      </c>
      <c r="J20" s="169"/>
    </row>
    <row r="21" spans="2:15" ht="18.75" x14ac:dyDescent="0.3">
      <c r="B21" s="522"/>
      <c r="C21" s="470">
        <v>14</v>
      </c>
      <c r="D21" s="168" t="s">
        <v>121</v>
      </c>
      <c r="E21" s="145"/>
      <c r="F21" s="145"/>
      <c r="G21" s="466">
        <f>MAIN!E32</f>
        <v>110</v>
      </c>
      <c r="H21" s="148" t="s">
        <v>16</v>
      </c>
      <c r="I21" s="386">
        <v>40</v>
      </c>
      <c r="J21" s="169"/>
    </row>
    <row r="22" spans="2:15" ht="18.75" x14ac:dyDescent="0.3">
      <c r="B22" s="522"/>
      <c r="C22" s="470">
        <v>15</v>
      </c>
      <c r="D22" s="168" t="s">
        <v>108</v>
      </c>
      <c r="E22" s="145"/>
      <c r="F22" s="145"/>
      <c r="G22" s="466">
        <f>MAIN!E33</f>
        <v>6</v>
      </c>
      <c r="H22" s="148" t="s">
        <v>15</v>
      </c>
      <c r="I22" s="386">
        <v>6</v>
      </c>
      <c r="J22" s="169"/>
    </row>
    <row r="23" spans="2:15" ht="18.75" x14ac:dyDescent="0.3">
      <c r="B23" s="522"/>
      <c r="C23" s="470">
        <v>16</v>
      </c>
      <c r="D23" s="168" t="s">
        <v>109</v>
      </c>
      <c r="E23" s="145"/>
      <c r="F23" s="145"/>
      <c r="G23" s="466">
        <f>MAIN!E34</f>
        <v>1</v>
      </c>
      <c r="H23" s="148" t="s">
        <v>15</v>
      </c>
      <c r="I23" s="386">
        <v>1</v>
      </c>
      <c r="J23" s="169"/>
    </row>
    <row r="24" spans="2:15" ht="19.5" thickBot="1" x14ac:dyDescent="0.35">
      <c r="B24" s="523"/>
      <c r="C24" s="469">
        <v>17</v>
      </c>
      <c r="D24" s="168" t="s">
        <v>227</v>
      </c>
      <c r="E24" s="145"/>
      <c r="F24" s="145"/>
      <c r="G24" s="466">
        <f>MAIN!E35</f>
        <v>0.85</v>
      </c>
      <c r="H24" s="148"/>
      <c r="I24" s="386">
        <v>0.9</v>
      </c>
      <c r="J24" s="169"/>
    </row>
    <row r="25" spans="2:15" ht="20.25" thickTop="1" thickBot="1" x14ac:dyDescent="0.35">
      <c r="D25" s="424" t="s">
        <v>244</v>
      </c>
      <c r="E25" s="425"/>
      <c r="F25" s="425"/>
      <c r="G25" s="432" t="str">
        <f>IF(G8=1,"1A","2A")</f>
        <v>1A</v>
      </c>
      <c r="H25" s="426"/>
      <c r="I25" s="426"/>
      <c r="J25" s="427" t="str">
        <f>IF(G8=1,IF(G9="N","1 THROUGH LANE","SINGLE SHARED LANE"),IF(G9="N","2 THROUGH LANES","THROUGH LANE + SHARED LANE"))</f>
        <v>SINGLE SHARED LANE</v>
      </c>
    </row>
    <row r="26" spans="2:15" ht="19.5" thickBot="1" x14ac:dyDescent="0.35">
      <c r="D26" s="428" t="s">
        <v>229</v>
      </c>
      <c r="E26" s="429"/>
      <c r="F26" s="429"/>
      <c r="G26" s="433" t="str">
        <f>IF(G8=1,(IF(G9="N","1C",IF(K12=0,"1C",IF(K12=2,"1D","1B")))),IF(G9="N","2C",(IF(K12=0,"2C",IF(K12=2,"2D","2B")))))</f>
        <v>1C</v>
      </c>
      <c r="H26" s="430"/>
      <c r="I26" s="430"/>
      <c r="J26" s="431" t="str">
        <f>IF(G9="N",IF(G8=1,"1-CTL + ATL (NO RIGHT TURNS)","2-CTL + ATL (NO RIGHT TURNS)"),IF(G26="1B",("1-CTL + RT LANE"),IF(G26="1C",("1-CTL + SHARED ATL"),IF(G26="1D",("1-CTL + ATL + RT LANE"),IF(G26="2B",("2-CTL + RT LANE"),IF(G26="2C",("2-CTL + SHARED ATL"),"2-CTL + ATL + RT LANE"))))))</f>
        <v>1-CTL + SHARED ATL</v>
      </c>
      <c r="L26" s="227"/>
      <c r="M26" s="227"/>
      <c r="N26" s="227"/>
      <c r="O26" s="227"/>
    </row>
    <row r="30" spans="2:15" x14ac:dyDescent="0.25">
      <c r="D30" s="456" t="s">
        <v>243</v>
      </c>
    </row>
    <row r="31" spans="2:15" ht="18.75" x14ac:dyDescent="0.3">
      <c r="L31" s="388"/>
    </row>
  </sheetData>
  <mergeCells count="2">
    <mergeCell ref="B8:B9"/>
    <mergeCell ref="B10:B24"/>
  </mergeCells>
  <pageMargins left="0.7" right="0.7" top="0.75" bottom="0.75" header="0.3" footer="0.3"/>
  <pageSetup scale="65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3"/>
  <sheetViews>
    <sheetView workbookViewId="0">
      <selection activeCell="E12" sqref="E12"/>
    </sheetView>
  </sheetViews>
  <sheetFormatPr defaultRowHeight="15" x14ac:dyDescent="0.25"/>
  <cols>
    <col min="1" max="1" width="9.140625" style="497" customWidth="1"/>
    <col min="2" max="2" width="9.140625" style="497"/>
    <col min="3" max="3" width="11.85546875" style="497" customWidth="1"/>
    <col min="4" max="4" width="22.28515625" style="497" customWidth="1"/>
    <col min="5" max="5" width="9.140625" style="497"/>
    <col min="6" max="6" width="10" style="497" customWidth="1"/>
    <col min="7" max="7" width="9.140625" style="497"/>
    <col min="8" max="8" width="15.7109375" style="497" customWidth="1"/>
    <col min="9" max="9" width="9.140625" style="497"/>
    <col min="10" max="10" width="11.5703125" style="497" customWidth="1"/>
    <col min="11" max="11" width="24.140625" style="497" customWidth="1"/>
    <col min="12" max="12" width="9.5703125" style="497" bestFit="1" customWidth="1"/>
    <col min="13" max="14" width="9.140625" style="497"/>
    <col min="15" max="15" width="13.140625" style="497" customWidth="1"/>
    <col min="16" max="16384" width="9.140625" style="497"/>
  </cols>
  <sheetData>
    <row r="1" spans="1:20" ht="15.75" thickBot="1" x14ac:dyDescent="0.3"/>
    <row r="2" spans="1:20" ht="19.5" thickBot="1" x14ac:dyDescent="0.35">
      <c r="A2" s="39" t="s">
        <v>211</v>
      </c>
      <c r="B2" s="43" t="s">
        <v>55</v>
      </c>
      <c r="C2" s="2"/>
      <c r="D2" s="2"/>
      <c r="E2" s="2"/>
      <c r="F2" s="2"/>
      <c r="I2" s="25"/>
      <c r="J2" s="41" t="s">
        <v>210</v>
      </c>
      <c r="K2" s="41"/>
      <c r="L2" s="41"/>
      <c r="M2" s="41"/>
      <c r="N2" s="41"/>
      <c r="O2" s="41"/>
      <c r="P2" s="41"/>
      <c r="Q2" s="27"/>
    </row>
    <row r="3" spans="1:20" x14ac:dyDescent="0.25">
      <c r="G3" s="2"/>
      <c r="I3" s="17"/>
      <c r="J3" s="18"/>
      <c r="K3" s="18"/>
      <c r="L3" s="18"/>
      <c r="M3" s="18"/>
      <c r="N3" s="18"/>
      <c r="O3" s="18"/>
      <c r="P3" s="18"/>
      <c r="Q3" s="19"/>
    </row>
    <row r="4" spans="1:20" ht="15.75" thickBot="1" x14ac:dyDescent="0.3">
      <c r="G4" s="2"/>
      <c r="I4" s="20"/>
      <c r="J4" s="8"/>
      <c r="K4" s="8"/>
      <c r="L4" s="8"/>
      <c r="M4" s="8"/>
      <c r="N4" s="8"/>
      <c r="O4" s="8"/>
      <c r="P4" s="8"/>
      <c r="Q4" s="21"/>
    </row>
    <row r="5" spans="1:20" ht="19.5" thickBot="1" x14ac:dyDescent="0.35">
      <c r="B5" s="122" t="s">
        <v>54</v>
      </c>
      <c r="C5" s="119"/>
      <c r="D5" s="119"/>
      <c r="E5" s="121" t="s">
        <v>47</v>
      </c>
      <c r="F5" s="120">
        <f>IF(E5="APP",1,0)</f>
        <v>0</v>
      </c>
      <c r="G5" s="2"/>
      <c r="I5" s="20"/>
      <c r="J5" s="8"/>
      <c r="K5" s="8"/>
      <c r="L5" s="8"/>
      <c r="M5" s="8"/>
      <c r="N5" s="8"/>
      <c r="O5" s="8"/>
      <c r="P5" s="8"/>
      <c r="Q5" s="21"/>
    </row>
    <row r="6" spans="1:20" ht="18.75" x14ac:dyDescent="0.3">
      <c r="B6" s="33" t="s">
        <v>50</v>
      </c>
      <c r="C6" s="32"/>
      <c r="D6" s="32"/>
      <c r="E6" s="127">
        <f>'APP-BASELINE2'!F9</f>
        <v>425</v>
      </c>
      <c r="F6" s="97" t="s">
        <v>14</v>
      </c>
      <c r="G6" s="2"/>
      <c r="I6" s="36" t="s">
        <v>48</v>
      </c>
      <c r="J6" s="30"/>
      <c r="K6" s="30"/>
      <c r="L6" s="8">
        <f>ROUND((E6+E7)/(E6/E8+E7/E9)/10,0)*10</f>
        <v>1760</v>
      </c>
      <c r="M6" s="8" t="s">
        <v>14</v>
      </c>
      <c r="N6" s="8" t="s">
        <v>63</v>
      </c>
      <c r="O6" s="8"/>
      <c r="P6" s="8"/>
      <c r="Q6" s="21"/>
    </row>
    <row r="7" spans="1:20" ht="18.75" x14ac:dyDescent="0.3">
      <c r="B7" s="33" t="s">
        <v>209</v>
      </c>
      <c r="C7" s="32"/>
      <c r="D7" s="32"/>
      <c r="E7" s="72">
        <f>IF('APP-BASELINE2'!J7=1,0,'APP-BASELINE2'!F10)</f>
        <v>75</v>
      </c>
      <c r="F7" s="21" t="s">
        <v>14</v>
      </c>
      <c r="G7" s="2"/>
      <c r="I7" s="36" t="s">
        <v>46</v>
      </c>
      <c r="J7" s="30"/>
      <c r="K7" s="30"/>
      <c r="L7" s="8">
        <f>E6/(E8*'APP-BASELINE2'!K28)</f>
        <v>1.038888888888889</v>
      </c>
      <c r="M7" s="8"/>
      <c r="N7" s="8" t="s">
        <v>57</v>
      </c>
      <c r="O7" s="8"/>
      <c r="P7" s="8"/>
      <c r="Q7" s="21"/>
    </row>
    <row r="8" spans="1:20" ht="18.75" x14ac:dyDescent="0.3">
      <c r="B8" s="33" t="s">
        <v>28</v>
      </c>
      <c r="C8" s="32"/>
      <c r="D8" s="32"/>
      <c r="E8" s="72">
        <f>'APP-BASELINE2'!F12</f>
        <v>1800</v>
      </c>
      <c r="F8" s="21" t="s">
        <v>14</v>
      </c>
      <c r="H8" s="68"/>
      <c r="I8" s="36" t="s">
        <v>182</v>
      </c>
      <c r="J8" s="30"/>
      <c r="K8" s="30"/>
      <c r="L8" s="8">
        <f>'APP-BASELINE2'!N8</f>
        <v>84</v>
      </c>
      <c r="M8" s="8" t="s">
        <v>14</v>
      </c>
      <c r="N8" s="8"/>
      <c r="O8" s="8"/>
      <c r="P8" s="8"/>
      <c r="Q8" s="21"/>
    </row>
    <row r="9" spans="1:20" ht="18.75" x14ac:dyDescent="0.3">
      <c r="B9" s="33" t="s">
        <v>30</v>
      </c>
      <c r="C9" s="32"/>
      <c r="D9" s="32"/>
      <c r="E9" s="72">
        <f>'APP-BASELINE2'!F13</f>
        <v>1550</v>
      </c>
      <c r="F9" s="21" t="s">
        <v>14</v>
      </c>
      <c r="I9" s="36" t="s">
        <v>208</v>
      </c>
      <c r="J9" s="30"/>
      <c r="K9" s="30"/>
      <c r="L9" s="8">
        <f>MAX(0,ROUND((0.344353*'APP-BASELINE2'!F9-0.32784*'APP-BASELINE2'!F10*'APP-BASELINE2'!F12/('APP-BASELINE2'!F13)),0))</f>
        <v>118</v>
      </c>
      <c r="M9" s="8" t="s">
        <v>14</v>
      </c>
      <c r="N9" s="8">
        <f>'APP-BASELINE2'!F9/2</f>
        <v>212.5</v>
      </c>
      <c r="O9" s="8" t="s">
        <v>207</v>
      </c>
      <c r="P9" s="8"/>
      <c r="Q9" s="21"/>
    </row>
    <row r="10" spans="1:20" ht="18.75" x14ac:dyDescent="0.3">
      <c r="B10" s="33" t="s">
        <v>51</v>
      </c>
      <c r="C10" s="32"/>
      <c r="D10" s="32"/>
      <c r="E10" s="351">
        <f>'APP-BASELINE2'!F16</f>
        <v>25</v>
      </c>
      <c r="F10" s="21" t="s">
        <v>15</v>
      </c>
      <c r="I10" s="36" t="s">
        <v>206</v>
      </c>
      <c r="J10" s="30"/>
      <c r="K10" s="30"/>
      <c r="L10" s="8">
        <f>IF('APP-BASELINE2'!J9=1,'APP-BASELINE2'!F9/2*0.952,'APP-BASELINE2'!F9/3*0.908)</f>
        <v>128.63333333333333</v>
      </c>
      <c r="M10" s="8" t="s">
        <v>14</v>
      </c>
      <c r="N10" s="8">
        <f>IF('APP-BASELINE2'!J7=0,0,IF('APP-BASELINE2'!J8=0,1,0))</f>
        <v>0</v>
      </c>
      <c r="O10" s="8" t="s">
        <v>86</v>
      </c>
      <c r="P10" s="8"/>
      <c r="Q10" s="21"/>
    </row>
    <row r="11" spans="1:20" ht="18.75" x14ac:dyDescent="0.3">
      <c r="B11" s="33" t="s">
        <v>52</v>
      </c>
      <c r="C11" s="32"/>
      <c r="D11" s="32"/>
      <c r="E11" s="72">
        <f>'APP-BASELINE2'!F15</f>
        <v>110</v>
      </c>
      <c r="F11" s="21" t="s">
        <v>15</v>
      </c>
      <c r="I11" s="36" t="s">
        <v>205</v>
      </c>
      <c r="J11" s="30"/>
      <c r="K11" s="30"/>
      <c r="L11" s="497">
        <f>IF('APP-BASELINE2'!J9=2,'ATL 22'!L10,'ATL 22'!L9)</f>
        <v>118</v>
      </c>
      <c r="M11" s="28" t="s">
        <v>14</v>
      </c>
      <c r="N11" s="8"/>
      <c r="O11" s="8"/>
      <c r="P11" s="8"/>
      <c r="Q11" s="21"/>
      <c r="T11" s="64"/>
    </row>
    <row r="12" spans="1:20" ht="19.5" thickBot="1" x14ac:dyDescent="0.35">
      <c r="B12" s="34" t="s">
        <v>43</v>
      </c>
      <c r="C12" s="35"/>
      <c r="D12" s="35"/>
      <c r="E12" s="73">
        <f>'APP-BASELINE2'!F17</f>
        <v>25</v>
      </c>
      <c r="F12" s="24" t="s">
        <v>16</v>
      </c>
      <c r="I12" s="36" t="s">
        <v>204</v>
      </c>
      <c r="J12" s="8"/>
      <c r="K12" s="8"/>
      <c r="L12" s="8">
        <f>IF('COMBINED INPUT'!G9="N",MIN('ATL 22'!L8,'ATL 22'!L11),IF('APP-BASELINE2'!J9=1,0,MIN(L8,L11)))</f>
        <v>84</v>
      </c>
      <c r="M12" s="28" t="s">
        <v>14</v>
      </c>
      <c r="N12" s="8"/>
      <c r="O12" s="8"/>
      <c r="P12" s="8"/>
      <c r="Q12" s="21"/>
    </row>
    <row r="13" spans="1:20" x14ac:dyDescent="0.25">
      <c r="I13" s="36" t="s">
        <v>203</v>
      </c>
      <c r="J13" s="8"/>
      <c r="K13" s="8"/>
      <c r="L13" s="8">
        <f>'APP-BASELINE2'!F9-'ATL 22'!L12</f>
        <v>341</v>
      </c>
      <c r="M13" s="28" t="s">
        <v>14</v>
      </c>
      <c r="N13" s="8"/>
      <c r="O13" s="8"/>
      <c r="P13" s="8"/>
      <c r="Q13" s="21"/>
    </row>
    <row r="14" spans="1:20" x14ac:dyDescent="0.25">
      <c r="I14" s="36" t="s">
        <v>114</v>
      </c>
      <c r="J14" s="8"/>
      <c r="K14" s="8"/>
      <c r="L14" s="350">
        <f>J28</f>
        <v>2.4309876395032011</v>
      </c>
      <c r="M14" s="28" t="s">
        <v>8</v>
      </c>
      <c r="N14" s="8"/>
      <c r="O14" s="8"/>
      <c r="P14" s="8"/>
      <c r="Q14" s="21"/>
    </row>
    <row r="15" spans="1:20" x14ac:dyDescent="0.25">
      <c r="I15" s="36" t="s">
        <v>202</v>
      </c>
      <c r="J15" s="8"/>
      <c r="K15" s="8"/>
      <c r="L15" s="134">
        <f>('APP-BASELINE2'!F11*22/15)^2/(2*'APP-BASELINE2'!F18)</f>
        <v>131.75555555555556</v>
      </c>
      <c r="M15" s="28" t="s">
        <v>16</v>
      </c>
      <c r="N15" s="8"/>
      <c r="O15" s="8"/>
      <c r="P15" s="8"/>
      <c r="Q15" s="21"/>
    </row>
    <row r="16" spans="1:20" ht="15.75" thickBot="1" x14ac:dyDescent="0.3">
      <c r="I16" s="36" t="s">
        <v>201</v>
      </c>
      <c r="J16" s="8"/>
      <c r="K16" s="8"/>
      <c r="L16" s="134">
        <f>'APP-BASELINE2'!F11*22/15*'APP-BASELINE2'!F21</f>
        <v>51.333333333333336</v>
      </c>
      <c r="M16" s="28" t="s">
        <v>16</v>
      </c>
      <c r="N16" s="8"/>
      <c r="O16" s="8"/>
      <c r="P16" s="8"/>
      <c r="Q16" s="21"/>
    </row>
    <row r="17" spans="2:22" ht="15.75" thickBot="1" x14ac:dyDescent="0.3">
      <c r="I17" s="20"/>
      <c r="J17" s="8"/>
      <c r="K17" s="8"/>
      <c r="L17" s="23"/>
      <c r="M17" s="23"/>
      <c r="N17" s="25" t="s">
        <v>200</v>
      </c>
      <c r="O17" s="26"/>
      <c r="P17" s="26"/>
      <c r="Q17" s="27"/>
    </row>
    <row r="18" spans="2:22" x14ac:dyDescent="0.25">
      <c r="B18" s="44" t="s">
        <v>44</v>
      </c>
      <c r="C18" s="29"/>
      <c r="D18" s="29"/>
      <c r="E18" s="48">
        <f>L12</f>
        <v>84</v>
      </c>
      <c r="F18" s="42" t="s">
        <v>14</v>
      </c>
      <c r="G18" s="29" t="s">
        <v>10</v>
      </c>
      <c r="H18" s="29"/>
      <c r="I18" s="53">
        <f>E20*(E10/E11)/3600</f>
        <v>7.0707070707070704E-2</v>
      </c>
      <c r="J18" s="18" t="s">
        <v>12</v>
      </c>
      <c r="K18" s="19"/>
      <c r="L18" s="497">
        <f>I18*3600</f>
        <v>254.54545454545453</v>
      </c>
    </row>
    <row r="19" spans="2:22" x14ac:dyDescent="0.25">
      <c r="B19" s="36" t="s">
        <v>0</v>
      </c>
      <c r="C19" s="30"/>
      <c r="D19" s="8"/>
      <c r="E19" s="49">
        <f>E18+IF(E5="CTL",0,E7)</f>
        <v>159</v>
      </c>
      <c r="F19" s="8" t="s">
        <v>14</v>
      </c>
      <c r="G19" s="30" t="s">
        <v>5</v>
      </c>
      <c r="H19" s="30"/>
      <c r="I19" s="54">
        <f>E11-E10</f>
        <v>85</v>
      </c>
      <c r="J19" s="8" t="s">
        <v>15</v>
      </c>
      <c r="K19" s="21"/>
    </row>
    <row r="20" spans="2:22" ht="15.75" thickBot="1" x14ac:dyDescent="0.3">
      <c r="B20" s="36" t="s">
        <v>1</v>
      </c>
      <c r="C20" s="30"/>
      <c r="D20" s="8"/>
      <c r="E20" s="49">
        <f>ROUND(E19/(E7/E9+E18/(0.5*E8))/10,0)*10</f>
        <v>1120</v>
      </c>
      <c r="F20" s="8" t="s">
        <v>14</v>
      </c>
      <c r="G20" s="30" t="s">
        <v>2</v>
      </c>
      <c r="H20" s="30"/>
      <c r="I20" s="55">
        <f>E19/E20</f>
        <v>0.14196428571428571</v>
      </c>
      <c r="J20" s="8"/>
      <c r="K20" s="21"/>
      <c r="O20" s="2" t="s">
        <v>41</v>
      </c>
      <c r="P20" s="2"/>
    </row>
    <row r="21" spans="2:22" ht="16.5" thickBot="1" x14ac:dyDescent="0.3">
      <c r="B21" s="36" t="s">
        <v>82</v>
      </c>
      <c r="C21" s="30"/>
      <c r="D21" s="8"/>
      <c r="E21" s="50">
        <f>E7/E19</f>
        <v>0.47169811320754718</v>
      </c>
      <c r="F21" s="8"/>
      <c r="G21" s="30" t="s">
        <v>3</v>
      </c>
      <c r="H21" s="30"/>
      <c r="I21" s="55">
        <f>E10/E11</f>
        <v>0.22727272727272727</v>
      </c>
      <c r="J21" s="8"/>
      <c r="K21" s="21" t="s">
        <v>21</v>
      </c>
      <c r="M21" s="61" t="s">
        <v>35</v>
      </c>
      <c r="N21" s="62" t="s">
        <v>36</v>
      </c>
      <c r="O21" s="63" t="s">
        <v>37</v>
      </c>
      <c r="P21" s="65" t="s">
        <v>38</v>
      </c>
      <c r="Q21" s="60" t="s">
        <v>39</v>
      </c>
      <c r="R21" s="66" t="s">
        <v>40</v>
      </c>
    </row>
    <row r="22" spans="2:22" x14ac:dyDescent="0.25">
      <c r="B22" s="36" t="s">
        <v>199</v>
      </c>
      <c r="C22" s="8"/>
      <c r="D22" s="9">
        <f>E18/(3600*I18)</f>
        <v>0.33</v>
      </c>
      <c r="E22" s="8"/>
      <c r="F22" s="8"/>
      <c r="G22" s="30" t="s">
        <v>4</v>
      </c>
      <c r="H22" s="30"/>
      <c r="I22" s="56">
        <f>I20/I21</f>
        <v>0.62464285714285717</v>
      </c>
      <c r="J22" s="8"/>
      <c r="K22" s="21">
        <f>IF(I22&gt;1,1,0)</f>
        <v>0</v>
      </c>
      <c r="L22" s="1" t="s">
        <v>64</v>
      </c>
      <c r="M22" s="1">
        <v>10</v>
      </c>
      <c r="N22" s="1">
        <v>20</v>
      </c>
      <c r="O22" s="1">
        <v>35</v>
      </c>
      <c r="P22" s="1">
        <v>55</v>
      </c>
      <c r="Q22" s="1">
        <v>80</v>
      </c>
      <c r="R22" s="1" t="s">
        <v>42</v>
      </c>
      <c r="V22" s="2"/>
    </row>
    <row r="23" spans="2:22" ht="15.75" thickBot="1" x14ac:dyDescent="0.3">
      <c r="B23" s="20"/>
      <c r="C23" s="8"/>
      <c r="D23" s="8"/>
      <c r="E23" s="8"/>
      <c r="F23" s="8"/>
      <c r="G23" s="30" t="s">
        <v>6</v>
      </c>
      <c r="H23" s="30"/>
      <c r="I23" s="57">
        <f>MIN(E10,I19*I20/(1-I20))</f>
        <v>14.063475546305931</v>
      </c>
      <c r="J23" s="8" t="s">
        <v>15</v>
      </c>
      <c r="K23" s="21"/>
      <c r="M23" s="16">
        <f t="shared" ref="M23:R23" si="0">IF($J$25&lt;=M22,1,0)</f>
        <v>0</v>
      </c>
      <c r="N23" s="16">
        <f t="shared" si="0"/>
        <v>0</v>
      </c>
      <c r="O23" s="16">
        <f t="shared" si="0"/>
        <v>0</v>
      </c>
      <c r="P23" s="16">
        <f t="shared" si="0"/>
        <v>1</v>
      </c>
      <c r="Q23" s="16">
        <f t="shared" si="0"/>
        <v>1</v>
      </c>
      <c r="R23" s="16">
        <f t="shared" si="0"/>
        <v>1</v>
      </c>
      <c r="V23" s="2"/>
    </row>
    <row r="24" spans="2:22" ht="15.75" thickBot="1" x14ac:dyDescent="0.3">
      <c r="B24" s="22"/>
      <c r="C24" s="23"/>
      <c r="D24" s="23"/>
      <c r="E24" s="23"/>
      <c r="F24" s="23"/>
      <c r="G24" s="23"/>
      <c r="H24" s="23"/>
      <c r="I24" s="23"/>
      <c r="J24" s="23"/>
      <c r="K24" s="24"/>
      <c r="M24" s="16">
        <f>M23-L25</f>
        <v>0</v>
      </c>
      <c r="N24" s="16">
        <f>N23-M23</f>
        <v>0</v>
      </c>
      <c r="O24" s="16">
        <f>O23-N23</f>
        <v>0</v>
      </c>
      <c r="P24" s="16">
        <f>P23-O23</f>
        <v>1</v>
      </c>
      <c r="Q24" s="16">
        <f>Q23-P23</f>
        <v>0</v>
      </c>
      <c r="R24" s="16">
        <f>R23-Q23</f>
        <v>0</v>
      </c>
      <c r="V24" s="2"/>
    </row>
    <row r="25" spans="2:22" ht="19.5" thickBot="1" x14ac:dyDescent="0.35">
      <c r="B25" s="52" t="s">
        <v>31</v>
      </c>
      <c r="C25" s="58">
        <f>0.5*E11*(1-I21)^2/(1-MIN(1,I22)*I21)</f>
        <v>38.274524642890924</v>
      </c>
      <c r="D25" s="26"/>
      <c r="E25" s="26"/>
      <c r="F25" s="40" t="s">
        <v>11</v>
      </c>
      <c r="G25" s="58">
        <f>225*((I22-1)+SQRT((I22-1)^2+16*I22/(I18*3600)))</f>
        <v>11.045481367859614</v>
      </c>
      <c r="H25" s="26"/>
      <c r="I25" s="40" t="s">
        <v>32</v>
      </c>
      <c r="J25" s="58">
        <f>G25+C25</f>
        <v>49.320006010750539</v>
      </c>
      <c r="K25" s="27" t="s">
        <v>33</v>
      </c>
      <c r="M25" s="67">
        <f t="shared" ref="M25:R25" si="1">IF(M24=1,M21,0)</f>
        <v>0</v>
      </c>
      <c r="N25" s="67">
        <f t="shared" si="1"/>
        <v>0</v>
      </c>
      <c r="O25" s="67">
        <f t="shared" si="1"/>
        <v>0</v>
      </c>
      <c r="P25" s="67" t="str">
        <f t="shared" si="1"/>
        <v>D</v>
      </c>
      <c r="Q25" s="67">
        <f t="shared" si="1"/>
        <v>0</v>
      </c>
      <c r="R25" s="67">
        <f t="shared" si="1"/>
        <v>0</v>
      </c>
    </row>
    <row r="26" spans="2:22" ht="15.75" thickBot="1" x14ac:dyDescent="0.3"/>
    <row r="27" spans="2:22" ht="15.75" x14ac:dyDescent="0.25">
      <c r="B27" s="44" t="s">
        <v>7</v>
      </c>
      <c r="C27" s="196">
        <f>I23*E20/3600</f>
        <v>4.3753035032951786</v>
      </c>
      <c r="D27" s="18" t="s">
        <v>8</v>
      </c>
      <c r="E27" s="18"/>
      <c r="F27" s="29" t="s">
        <v>9</v>
      </c>
      <c r="G27" s="196">
        <f>I18*G25</f>
        <v>0.78099363207088168</v>
      </c>
      <c r="H27" s="18" t="s">
        <v>8</v>
      </c>
      <c r="I27" s="29" t="s">
        <v>13</v>
      </c>
      <c r="J27" s="196">
        <f>G27+C27</f>
        <v>5.15629713536606</v>
      </c>
      <c r="K27" s="19" t="s">
        <v>8</v>
      </c>
    </row>
    <row r="28" spans="2:22" ht="16.5" thickBot="1" x14ac:dyDescent="0.3">
      <c r="B28" s="69" t="s">
        <v>132</v>
      </c>
      <c r="C28" s="197">
        <f>(E11-E10)*E18/3600/(1-E18/(E8/2))</f>
        <v>2.1875</v>
      </c>
      <c r="D28" s="23" t="s">
        <v>8</v>
      </c>
      <c r="E28" s="23"/>
      <c r="F28" s="70" t="s">
        <v>133</v>
      </c>
      <c r="G28" s="197">
        <f>225*(D22-1+SQRT((D22-1)^2+16*D22/(3600*I18)))*I18</f>
        <v>0.24348763950320121</v>
      </c>
      <c r="H28" s="23" t="s">
        <v>8</v>
      </c>
      <c r="I28" s="70" t="s">
        <v>134</v>
      </c>
      <c r="J28" s="197">
        <f>G28+C28</f>
        <v>2.4309876395032011</v>
      </c>
      <c r="K28" s="24" t="s">
        <v>8</v>
      </c>
    </row>
    <row r="29" spans="2:22" x14ac:dyDescent="0.25">
      <c r="I29" s="95" t="s">
        <v>83</v>
      </c>
      <c r="J29" s="95"/>
    </row>
    <row r="30" spans="2:22" x14ac:dyDescent="0.25">
      <c r="B30" s="2" t="s">
        <v>17</v>
      </c>
      <c r="C30" s="2"/>
      <c r="D30" s="3" t="s">
        <v>22</v>
      </c>
      <c r="E30" s="2"/>
      <c r="F30" s="2" t="s">
        <v>23</v>
      </c>
      <c r="G30" s="2"/>
      <c r="H30" s="2"/>
      <c r="I30" s="2" t="s">
        <v>24</v>
      </c>
      <c r="J30" s="2" t="s">
        <v>25</v>
      </c>
      <c r="K30" s="2"/>
      <c r="L30" s="2" t="s">
        <v>26</v>
      </c>
      <c r="M30" s="2"/>
      <c r="N30" s="2"/>
      <c r="O30" s="2" t="s">
        <v>27</v>
      </c>
      <c r="P30" s="2"/>
    </row>
    <row r="31" spans="2:22" x14ac:dyDescent="0.25">
      <c r="B31" s="45" t="s">
        <v>146</v>
      </c>
      <c r="C31" s="4"/>
      <c r="D31" s="4">
        <v>1.04</v>
      </c>
      <c r="E31" s="4"/>
      <c r="F31" s="5">
        <f>D31*SQRT(1/J27)</f>
        <v>0.45799883292109361</v>
      </c>
      <c r="G31" s="4"/>
      <c r="H31" s="4"/>
      <c r="I31" s="5">
        <f>$K$22*MIN(1.8,1+F31+0.6*D31^0.24*$I$21^0.33*(1-EXP(2-2*$I$22)))</f>
        <v>0</v>
      </c>
      <c r="J31" s="6">
        <f>(1-$K$22)*MIN(1.8, 1+F31)</f>
        <v>1.4579988329210936</v>
      </c>
      <c r="K31" s="4"/>
      <c r="L31" s="4">
        <f>MAX(I31,J31)*$J$27</f>
        <v>7.5178752055580933</v>
      </c>
      <c r="M31" s="4"/>
      <c r="N31" s="4"/>
      <c r="O31" s="7">
        <f>ROUND(L31*$E$12/100,0)*100</f>
        <v>200</v>
      </c>
      <c r="Q31" s="497">
        <f>2+Q32</f>
        <v>3.0504201680672267</v>
      </c>
      <c r="S31" s="497">
        <f>Q32/Q31</f>
        <v>0.34435261707988984</v>
      </c>
    </row>
    <row r="32" spans="2:22" x14ac:dyDescent="0.25">
      <c r="B32" s="46" t="s">
        <v>19</v>
      </c>
      <c r="C32" s="8"/>
      <c r="D32" s="8">
        <v>1.28</v>
      </c>
      <c r="E32" s="8"/>
      <c r="F32" s="9">
        <f>D32*SQRT(1/J27)</f>
        <v>0.56369087128749984</v>
      </c>
      <c r="G32" s="8"/>
      <c r="H32" s="8"/>
      <c r="I32" s="9">
        <f>$K$22*MIN(1.8,1+F32+0.6*D32^0.24*$I$21^0.33*(1-EXP(2-2*$I$22)))</f>
        <v>0</v>
      </c>
      <c r="J32" s="10">
        <f>(1-$K$22)*MIN(1.8, 1+F32)</f>
        <v>1.5636908712874997</v>
      </c>
      <c r="K32" s="8"/>
      <c r="L32" s="8">
        <f>MAX(I32,J32)*$J$27</f>
        <v>8.0628547602177942</v>
      </c>
      <c r="M32" s="8"/>
      <c r="N32" s="8"/>
      <c r="O32" s="11">
        <f>ROUND(L32*$E$12/100,0)*100</f>
        <v>200</v>
      </c>
      <c r="Q32" s="497">
        <f>1/0.952</f>
        <v>1.0504201680672269</v>
      </c>
      <c r="S32" s="497">
        <f>1/Q31</f>
        <v>0.32782369146005513</v>
      </c>
    </row>
    <row r="33" spans="2:15" x14ac:dyDescent="0.25">
      <c r="B33" s="47" t="s">
        <v>20</v>
      </c>
      <c r="C33" s="12"/>
      <c r="D33" s="12">
        <v>1.64</v>
      </c>
      <c r="E33" s="12"/>
      <c r="F33" s="13">
        <f>D33*SQRT(1/J27)</f>
        <v>0.7222289288371091</v>
      </c>
      <c r="G33" s="12"/>
      <c r="H33" s="12"/>
      <c r="I33" s="13">
        <f>$K$22*MIN(1.8,1+F33+0.6*D33^0.24*$I$21^0.33*(1-EXP(2-2*$I$22)))</f>
        <v>0</v>
      </c>
      <c r="J33" s="14">
        <f>(1-$K$22)*MIN(1.8, 1+F33)</f>
        <v>1.7222289288371091</v>
      </c>
      <c r="K33" s="12"/>
      <c r="L33" s="12">
        <f>MAX(I33,J33)*$J$27</f>
        <v>8.8803240922073439</v>
      </c>
      <c r="M33" s="12"/>
      <c r="N33" s="12"/>
      <c r="O33" s="15">
        <f>ROUND(L33*$E$12/100,0)*100</f>
        <v>200</v>
      </c>
    </row>
  </sheetData>
  <conditionalFormatting sqref="M25:R25">
    <cfRule type="cellIs" dxfId="57" priority="1" operator="equal">
      <formula>0</formula>
    </cfRule>
    <cfRule type="cellIs" dxfId="56" priority="2" operator="equal">
      <formula>0</formula>
    </cfRule>
    <cfRule type="cellIs" dxfId="55" priority="3" operator="equal">
      <formula>0</formula>
    </cfRule>
  </conditionalFormatting>
  <pageMargins left="0.7" right="0.7" top="0.75" bottom="0.75" header="0.3" footer="0.3"/>
  <pageSetup orientation="portrait" horizontalDpi="300" verticalDpi="30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1"/>
  <sheetViews>
    <sheetView workbookViewId="0">
      <selection activeCell="E5" sqref="E5"/>
    </sheetView>
  </sheetViews>
  <sheetFormatPr defaultRowHeight="15" x14ac:dyDescent="0.25"/>
  <cols>
    <col min="1" max="1" width="6.42578125" customWidth="1"/>
    <col min="4" max="4" width="22.28515625" customWidth="1"/>
    <col min="6" max="6" width="10" customWidth="1"/>
    <col min="8" max="8" width="15.7109375" customWidth="1"/>
    <col min="10" max="10" width="11.5703125" customWidth="1"/>
    <col min="11" max="11" width="14.85546875" customWidth="1"/>
    <col min="12" max="12" width="11.140625" customWidth="1"/>
    <col min="15" max="15" width="16.5703125" customWidth="1"/>
  </cols>
  <sheetData>
    <row r="1" spans="1:20" ht="15.75" thickBot="1" x14ac:dyDescent="0.3"/>
    <row r="2" spans="1:20" ht="19.5" thickBot="1" x14ac:dyDescent="0.35">
      <c r="A2" s="39" t="s">
        <v>211</v>
      </c>
      <c r="B2" s="43" t="s">
        <v>55</v>
      </c>
      <c r="C2" s="2"/>
      <c r="D2" s="2"/>
      <c r="E2" s="2"/>
      <c r="F2" s="2"/>
      <c r="I2" s="25"/>
      <c r="J2" s="41" t="s">
        <v>45</v>
      </c>
      <c r="K2" s="41"/>
      <c r="L2" s="41"/>
      <c r="M2" s="41"/>
      <c r="N2" s="41"/>
      <c r="O2" s="41"/>
      <c r="P2" s="41"/>
      <c r="Q2" s="27"/>
    </row>
    <row r="3" spans="1:20" ht="15.75" thickBot="1" x14ac:dyDescent="0.3">
      <c r="G3" s="2"/>
      <c r="I3" s="17"/>
      <c r="J3" s="18"/>
      <c r="K3" s="18"/>
      <c r="L3" s="18"/>
      <c r="M3" s="18"/>
      <c r="N3" s="18"/>
      <c r="O3" s="18"/>
      <c r="P3" s="18"/>
      <c r="Q3" s="19"/>
    </row>
    <row r="4" spans="1:20" ht="18.75" x14ac:dyDescent="0.3">
      <c r="B4" s="122" t="s">
        <v>54</v>
      </c>
      <c r="C4" s="123"/>
      <c r="D4" s="123"/>
      <c r="E4" s="121" t="s">
        <v>49</v>
      </c>
      <c r="F4" s="37">
        <f>IF(E4="APP",1,0)</f>
        <v>0</v>
      </c>
      <c r="G4" s="2"/>
      <c r="I4" s="20"/>
      <c r="J4" s="8"/>
      <c r="K4" s="8"/>
      <c r="L4" s="8"/>
      <c r="M4" s="8"/>
      <c r="N4" s="8"/>
      <c r="O4" s="8"/>
      <c r="P4" s="8"/>
      <c r="Q4" s="21"/>
    </row>
    <row r="5" spans="1:20" ht="18.75" x14ac:dyDescent="0.3">
      <c r="B5" s="33" t="s">
        <v>50</v>
      </c>
      <c r="C5" s="32"/>
      <c r="D5" s="32"/>
      <c r="E5" s="72">
        <f>'APP-BASELINE'!F9</f>
        <v>425</v>
      </c>
      <c r="F5" s="31" t="s">
        <v>14</v>
      </c>
      <c r="G5" s="2"/>
      <c r="I5" s="36" t="s">
        <v>48</v>
      </c>
      <c r="J5" s="30"/>
      <c r="K5" s="30"/>
      <c r="L5" s="8">
        <f>ROUND((E5+E6)/(E5/E7+E6/E8)/10,0)*10</f>
        <v>1800</v>
      </c>
      <c r="M5" s="8" t="s">
        <v>14</v>
      </c>
      <c r="N5" s="8" t="s">
        <v>63</v>
      </c>
      <c r="O5" s="8"/>
      <c r="P5" s="8"/>
      <c r="Q5" s="21"/>
    </row>
    <row r="6" spans="1:20" ht="18.75" x14ac:dyDescent="0.3">
      <c r="B6" s="33" t="s">
        <v>29</v>
      </c>
      <c r="C6" s="32"/>
      <c r="D6" s="32"/>
      <c r="E6" s="72">
        <v>0</v>
      </c>
      <c r="F6" s="21" t="s">
        <v>14</v>
      </c>
      <c r="G6" s="2"/>
      <c r="I6" s="36" t="s">
        <v>46</v>
      </c>
      <c r="J6" s="30"/>
      <c r="K6" s="30"/>
      <c r="L6" s="8">
        <f>E5/(E7*I19)</f>
        <v>1.038888888888889</v>
      </c>
      <c r="M6" s="8"/>
      <c r="N6" s="8" t="s">
        <v>57</v>
      </c>
      <c r="O6" s="8"/>
      <c r="P6" s="8"/>
      <c r="Q6" s="21"/>
    </row>
    <row r="7" spans="1:20" ht="18.75" x14ac:dyDescent="0.3">
      <c r="B7" s="33" t="s">
        <v>28</v>
      </c>
      <c r="C7" s="32"/>
      <c r="D7" s="32"/>
      <c r="E7" s="72">
        <f>'APP-BASELINE'!F12</f>
        <v>1800</v>
      </c>
      <c r="F7" s="21" t="s">
        <v>14</v>
      </c>
      <c r="I7" s="36" t="s">
        <v>58</v>
      </c>
      <c r="J7" s="30"/>
      <c r="K7" s="30"/>
      <c r="L7" s="8">
        <f>ROUND(20.226+81.791*L6^2+1.65*E5^2/10000,0)</f>
        <v>138</v>
      </c>
      <c r="M7" s="8" t="s">
        <v>14</v>
      </c>
      <c r="N7" s="8"/>
      <c r="O7" s="8"/>
      <c r="P7" s="8"/>
      <c r="Q7" s="21"/>
    </row>
    <row r="8" spans="1:20" ht="18.75" x14ac:dyDescent="0.3">
      <c r="B8" s="33" t="s">
        <v>30</v>
      </c>
      <c r="C8" s="32"/>
      <c r="D8" s="32"/>
      <c r="E8" s="72">
        <f>'APP-BASELINE'!F13</f>
        <v>1550</v>
      </c>
      <c r="F8" s="21" t="s">
        <v>14</v>
      </c>
      <c r="I8" s="36" t="s">
        <v>59</v>
      </c>
      <c r="J8" s="30"/>
      <c r="K8" s="30"/>
      <c r="L8" s="8">
        <f>ROUND(MAX(0,0.5*(E5-E6*E7/E8)),0)</f>
        <v>213</v>
      </c>
      <c r="M8" s="8" t="s">
        <v>14</v>
      </c>
      <c r="N8" s="8"/>
      <c r="O8" s="8"/>
      <c r="P8" s="8"/>
      <c r="Q8" s="21"/>
    </row>
    <row r="9" spans="1:20" ht="18.75" x14ac:dyDescent="0.3">
      <c r="B9" s="33" t="s">
        <v>51</v>
      </c>
      <c r="C9" s="32"/>
      <c r="D9" s="32"/>
      <c r="E9" s="72">
        <f>'ATL 2'!E10</f>
        <v>25</v>
      </c>
      <c r="F9" s="21" t="s">
        <v>15</v>
      </c>
      <c r="I9" s="36" t="s">
        <v>60</v>
      </c>
      <c r="J9" s="30"/>
      <c r="K9" s="30"/>
      <c r="L9" s="8">
        <f>'ATL 2'!L12</f>
        <v>0</v>
      </c>
      <c r="M9" s="8" t="s">
        <v>14</v>
      </c>
      <c r="N9" s="8"/>
      <c r="O9" s="8"/>
      <c r="P9" s="8"/>
      <c r="Q9" s="21"/>
    </row>
    <row r="10" spans="1:20" ht="19.5" thickBot="1" x14ac:dyDescent="0.35">
      <c r="B10" s="33" t="s">
        <v>52</v>
      </c>
      <c r="C10" s="32"/>
      <c r="D10" s="32"/>
      <c r="E10" s="72">
        <f>'APP-BASELINE'!F15</f>
        <v>110</v>
      </c>
      <c r="F10" s="21" t="s">
        <v>15</v>
      </c>
      <c r="I10" s="36" t="s">
        <v>218</v>
      </c>
      <c r="J10" s="30"/>
      <c r="K10" s="30"/>
      <c r="L10" s="8">
        <f>E16/2</f>
        <v>212.5</v>
      </c>
      <c r="M10" s="28" t="s">
        <v>14</v>
      </c>
      <c r="N10" s="8"/>
      <c r="P10" s="8"/>
      <c r="Q10" s="21"/>
      <c r="T10" s="64"/>
    </row>
    <row r="11" spans="1:20" ht="19.5" thickBot="1" x14ac:dyDescent="0.35">
      <c r="B11" s="34" t="s">
        <v>43</v>
      </c>
      <c r="C11" s="35"/>
      <c r="D11" s="35"/>
      <c r="E11" s="73">
        <f>'APP-BASELINE'!F17</f>
        <v>25</v>
      </c>
      <c r="F11" s="24" t="s">
        <v>16</v>
      </c>
      <c r="I11" s="36" t="s">
        <v>217</v>
      </c>
      <c r="J11" s="8"/>
      <c r="K11" s="8"/>
      <c r="L11" s="8">
        <f>EXP(-'APP-BASELINE'!F20/(3600/'2-CTL'!L10))</f>
        <v>0.70175799794188998</v>
      </c>
      <c r="M11" s="8"/>
      <c r="N11" s="8"/>
      <c r="O11" s="354" t="s">
        <v>142</v>
      </c>
      <c r="P11" s="8"/>
      <c r="Q11" s="21"/>
    </row>
    <row r="12" spans="1:20" ht="19.5" thickBot="1" x14ac:dyDescent="0.35">
      <c r="B12" s="32"/>
      <c r="C12" s="32"/>
      <c r="D12" s="32"/>
      <c r="E12" s="353"/>
      <c r="F12" s="8"/>
      <c r="I12" s="36" t="s">
        <v>120</v>
      </c>
      <c r="J12" s="8"/>
      <c r="K12" s="8"/>
      <c r="L12" s="8">
        <f>1-L11</f>
        <v>0.29824200205811002</v>
      </c>
      <c r="M12" s="8"/>
      <c r="N12" s="8"/>
      <c r="O12" s="352" t="s">
        <v>216</v>
      </c>
      <c r="P12" s="225" t="s">
        <v>140</v>
      </c>
      <c r="Q12" s="224" t="s">
        <v>141</v>
      </c>
    </row>
    <row r="13" spans="1:20" ht="15.75" thickBot="1" x14ac:dyDescent="0.3">
      <c r="I13" s="36" t="s">
        <v>215</v>
      </c>
      <c r="J13" s="8"/>
      <c r="K13" s="8"/>
      <c r="L13" s="226">
        <f>IF(O13=1,P13,Q13)</f>
        <v>0.5680620991313452</v>
      </c>
      <c r="M13" s="8"/>
      <c r="N13" s="8"/>
      <c r="O13" s="222">
        <v>1</v>
      </c>
      <c r="P13" s="76">
        <f>LN(1-O14)/LN(L12)-1</f>
        <v>0.5680620991313452</v>
      </c>
      <c r="Q13" s="223">
        <f>L12/L11</f>
        <v>0.42499266546700099</v>
      </c>
    </row>
    <row r="14" spans="1:20" ht="15.75" thickBot="1" x14ac:dyDescent="0.3">
      <c r="I14" s="36" t="s">
        <v>214</v>
      </c>
      <c r="J14" s="8"/>
      <c r="K14" s="8"/>
      <c r="L14" s="8">
        <f>3600/L10-'APP-BASELINE'!F20*EXP(-'APP-BASELINE'!F20*'2-CTL'!L10/3600)/(1-EXP(-'APP-BASELINE'!F20*'2-CTL'!L10/3600))</f>
        <v>2.8232857690935838</v>
      </c>
      <c r="M14" s="8" t="s">
        <v>15</v>
      </c>
      <c r="N14" s="8"/>
      <c r="O14" s="222">
        <f>'COMBINED INPUT'!G24</f>
        <v>0.85</v>
      </c>
      <c r="P14" s="8"/>
      <c r="Q14" s="21"/>
    </row>
    <row r="15" spans="1:20" ht="15.75" thickBot="1" x14ac:dyDescent="0.3">
      <c r="I15" s="36" t="s">
        <v>123</v>
      </c>
      <c r="J15" s="8"/>
      <c r="K15" s="8"/>
      <c r="L15" s="23">
        <f>'APP-BASELINE'!F21+'2-CTL'!L14*L13</f>
        <v>2.6038016404389555</v>
      </c>
      <c r="M15" s="23" t="s">
        <v>15</v>
      </c>
      <c r="N15" s="23"/>
      <c r="O15" s="23"/>
      <c r="P15" s="23"/>
      <c r="Q15" s="24"/>
    </row>
    <row r="16" spans="1:20" x14ac:dyDescent="0.25">
      <c r="B16" s="44" t="s">
        <v>44</v>
      </c>
      <c r="C16" s="29"/>
      <c r="D16" s="29"/>
      <c r="E16" s="48">
        <f>'ATL 2'!L13</f>
        <v>425</v>
      </c>
      <c r="F16" s="42" t="s">
        <v>14</v>
      </c>
      <c r="G16" s="29" t="s">
        <v>10</v>
      </c>
      <c r="H16" s="29"/>
      <c r="I16" s="53">
        <f>E18*(E9/E10)/3600</f>
        <v>0.1082070707070707</v>
      </c>
      <c r="J16" s="18" t="s">
        <v>12</v>
      </c>
      <c r="K16" s="19"/>
      <c r="L16">
        <f>I16*3600</f>
        <v>389.5454545454545</v>
      </c>
    </row>
    <row r="17" spans="2:22" x14ac:dyDescent="0.25">
      <c r="B17" s="36" t="s">
        <v>0</v>
      </c>
      <c r="C17" s="30"/>
      <c r="D17" s="8"/>
      <c r="E17" s="49">
        <f>E16+IF(E4="CTL",0,E6)</f>
        <v>425</v>
      </c>
      <c r="F17" s="8" t="s">
        <v>14</v>
      </c>
      <c r="G17" s="30" t="s">
        <v>5</v>
      </c>
      <c r="H17" s="30"/>
      <c r="I17" s="54">
        <f>E10-E9</f>
        <v>85</v>
      </c>
      <c r="J17" s="8" t="s">
        <v>15</v>
      </c>
      <c r="K17" s="21"/>
    </row>
    <row r="18" spans="2:22" ht="15.75" thickBot="1" x14ac:dyDescent="0.3">
      <c r="B18" s="36" t="s">
        <v>213</v>
      </c>
      <c r="C18" s="30"/>
      <c r="D18" s="8"/>
      <c r="E18" s="49">
        <f>ROUND(IF(E4  &lt;&gt; "CTL",ROUND(E17/(E6/E8+E16/E7)/10,0)*10,E7)*0.952,0)</f>
        <v>1714</v>
      </c>
      <c r="F18" s="8" t="s">
        <v>14</v>
      </c>
      <c r="G18" s="30" t="s">
        <v>2</v>
      </c>
      <c r="H18" s="30"/>
      <c r="I18" s="55">
        <f>E17/E18</f>
        <v>0.24795799299883314</v>
      </c>
      <c r="J18" s="8"/>
      <c r="K18" s="21"/>
      <c r="O18" s="2" t="s">
        <v>41</v>
      </c>
      <c r="P18" s="2"/>
    </row>
    <row r="19" spans="2:22" ht="16.5" thickBot="1" x14ac:dyDescent="0.3">
      <c r="B19" s="36" t="s">
        <v>62</v>
      </c>
      <c r="C19" s="30"/>
      <c r="D19" s="8"/>
      <c r="E19" s="50">
        <f>E6/(E6+E5)</f>
        <v>0</v>
      </c>
      <c r="F19" s="8"/>
      <c r="G19" s="30" t="s">
        <v>3</v>
      </c>
      <c r="H19" s="30"/>
      <c r="I19" s="55">
        <f>E9/E10</f>
        <v>0.22727272727272727</v>
      </c>
      <c r="J19" s="8"/>
      <c r="K19" s="21" t="s">
        <v>21</v>
      </c>
      <c r="M19" s="61" t="s">
        <v>35</v>
      </c>
      <c r="N19" s="62" t="s">
        <v>36</v>
      </c>
      <c r="O19" s="63" t="s">
        <v>37</v>
      </c>
      <c r="P19" s="65" t="s">
        <v>38</v>
      </c>
      <c r="Q19" s="60" t="s">
        <v>39</v>
      </c>
      <c r="R19" s="66" t="s">
        <v>40</v>
      </c>
    </row>
    <row r="20" spans="2:22" x14ac:dyDescent="0.25">
      <c r="B20" s="20"/>
      <c r="C20" s="8"/>
      <c r="D20" s="8"/>
      <c r="E20" s="8"/>
      <c r="F20" s="8"/>
      <c r="G20" s="30" t="s">
        <v>4</v>
      </c>
      <c r="H20" s="30"/>
      <c r="I20" s="56">
        <f>I18/I19</f>
        <v>1.091015169194866</v>
      </c>
      <c r="J20" s="8"/>
      <c r="K20" s="21">
        <f>IF(I20&gt;1,1,0)</f>
        <v>1</v>
      </c>
      <c r="L20" t="s">
        <v>64</v>
      </c>
      <c r="M20" s="1">
        <v>10</v>
      </c>
      <c r="N20" s="1">
        <v>20</v>
      </c>
      <c r="O20" s="1">
        <v>35</v>
      </c>
      <c r="P20" s="1">
        <v>55</v>
      </c>
      <c r="Q20" s="1">
        <v>80</v>
      </c>
      <c r="R20" s="1" t="s">
        <v>42</v>
      </c>
      <c r="V20" s="2"/>
    </row>
    <row r="21" spans="2:22" ht="15.75" thickBot="1" x14ac:dyDescent="0.3">
      <c r="B21" s="20" t="s">
        <v>212</v>
      </c>
      <c r="C21" s="8"/>
      <c r="D21" s="8"/>
      <c r="E21" s="8"/>
      <c r="F21" s="8"/>
      <c r="G21" s="30" t="s">
        <v>6</v>
      </c>
      <c r="H21" s="30"/>
      <c r="I21" s="57">
        <f>MIN(E9,I17*I18/(1-I18))</f>
        <v>25</v>
      </c>
      <c r="J21" s="8" t="s">
        <v>15</v>
      </c>
      <c r="K21" s="21"/>
      <c r="M21" s="16">
        <f t="shared" ref="M21:R21" si="0">IF($J$23&lt;=M20,1,0)</f>
        <v>0</v>
      </c>
      <c r="N21" s="16">
        <f t="shared" si="0"/>
        <v>0</v>
      </c>
      <c r="O21" s="16">
        <f t="shared" si="0"/>
        <v>0</v>
      </c>
      <c r="P21" s="16">
        <f t="shared" si="0"/>
        <v>0</v>
      </c>
      <c r="Q21" s="16">
        <f t="shared" si="0"/>
        <v>0</v>
      </c>
      <c r="R21" s="16">
        <f t="shared" si="0"/>
        <v>1</v>
      </c>
      <c r="V21" s="2"/>
    </row>
    <row r="22" spans="2:22" ht="15.75" thickBot="1" x14ac:dyDescent="0.3">
      <c r="B22" s="22"/>
      <c r="C22" s="23"/>
      <c r="D22" s="23"/>
      <c r="E22" s="23"/>
      <c r="F22" s="23"/>
      <c r="G22" s="23"/>
      <c r="H22" s="23"/>
      <c r="I22" s="23"/>
      <c r="J22" s="23"/>
      <c r="K22" s="24"/>
      <c r="M22" s="16">
        <f>M21-L23</f>
        <v>0</v>
      </c>
      <c r="N22" s="16">
        <f>N21-M21</f>
        <v>0</v>
      </c>
      <c r="O22" s="16">
        <f>O21-N21</f>
        <v>0</v>
      </c>
      <c r="P22" s="16">
        <f>P21-O21</f>
        <v>0</v>
      </c>
      <c r="Q22" s="16">
        <f>Q21-P21</f>
        <v>0</v>
      </c>
      <c r="R22" s="16">
        <f>R21-Q21</f>
        <v>1</v>
      </c>
      <c r="V22" s="2"/>
    </row>
    <row r="23" spans="2:22" ht="19.5" thickBot="1" x14ac:dyDescent="0.35">
      <c r="B23" s="52" t="s">
        <v>31</v>
      </c>
      <c r="C23" s="58">
        <f>0.5*E10*(1-I19)^2/(1-MIN(1,I20)*I19)</f>
        <v>42.499999999999993</v>
      </c>
      <c r="D23" s="26"/>
      <c r="E23" s="26"/>
      <c r="F23" s="40" t="s">
        <v>11</v>
      </c>
      <c r="G23" s="58">
        <f>225*((I20-1)+SQRT((I20-1)^2+16*I20/(I16*3600)))</f>
        <v>72.323991842228367</v>
      </c>
      <c r="H23" s="26"/>
      <c r="I23" s="40" t="s">
        <v>32</v>
      </c>
      <c r="J23" s="58">
        <f>G23+C23</f>
        <v>114.82399184222837</v>
      </c>
      <c r="K23" s="27" t="s">
        <v>33</v>
      </c>
      <c r="M23" s="67">
        <f t="shared" ref="M23:R23" si="1">IF(M22=1,M19,0)</f>
        <v>0</v>
      </c>
      <c r="N23" s="67">
        <f t="shared" si="1"/>
        <v>0</v>
      </c>
      <c r="O23" s="67">
        <f t="shared" si="1"/>
        <v>0</v>
      </c>
      <c r="P23" s="67">
        <f t="shared" si="1"/>
        <v>0</v>
      </c>
      <c r="Q23" s="67">
        <f t="shared" si="1"/>
        <v>0</v>
      </c>
      <c r="R23" s="67" t="str">
        <f t="shared" si="1"/>
        <v>F</v>
      </c>
    </row>
    <row r="24" spans="2:22" ht="15.75" thickBot="1" x14ac:dyDescent="0.3"/>
    <row r="25" spans="2:22" ht="16.5" thickBot="1" x14ac:dyDescent="0.3">
      <c r="B25" s="52" t="s">
        <v>7</v>
      </c>
      <c r="C25" s="59">
        <f>0.5*I21*E18/3600</f>
        <v>5.9513888888888893</v>
      </c>
      <c r="D25" s="26" t="s">
        <v>8</v>
      </c>
      <c r="E25" s="26"/>
      <c r="F25" s="40" t="s">
        <v>9</v>
      </c>
      <c r="G25" s="59">
        <f>0.5*I16*G23</f>
        <v>3.9129836495448047</v>
      </c>
      <c r="H25" s="26" t="s">
        <v>8</v>
      </c>
      <c r="I25" s="40" t="s">
        <v>13</v>
      </c>
      <c r="J25" s="59">
        <f>G25+C25</f>
        <v>9.8643725384336935</v>
      </c>
      <c r="K25" s="27" t="s">
        <v>34</v>
      </c>
    </row>
    <row r="27" spans="2:22" x14ac:dyDescent="0.25">
      <c r="I27" s="2" t="s">
        <v>84</v>
      </c>
    </row>
    <row r="28" spans="2:22" x14ac:dyDescent="0.25">
      <c r="B28" s="2" t="s">
        <v>17</v>
      </c>
      <c r="C28" s="2"/>
      <c r="D28" s="3" t="s">
        <v>22</v>
      </c>
      <c r="E28" s="2"/>
      <c r="F28" s="2" t="s">
        <v>23</v>
      </c>
      <c r="G28" s="2"/>
      <c r="H28" s="2"/>
      <c r="I28" s="2" t="s">
        <v>24</v>
      </c>
      <c r="J28" s="2" t="s">
        <v>25</v>
      </c>
      <c r="K28" s="2"/>
      <c r="L28" s="2" t="s">
        <v>26</v>
      </c>
      <c r="M28" s="2"/>
      <c r="N28" s="2"/>
      <c r="O28" s="2" t="s">
        <v>27</v>
      </c>
      <c r="P28" s="2"/>
    </row>
    <row r="29" spans="2:22" x14ac:dyDescent="0.25">
      <c r="B29" s="45" t="s">
        <v>146</v>
      </c>
      <c r="C29" s="4"/>
      <c r="D29" s="4">
        <v>1.04</v>
      </c>
      <c r="E29" s="4"/>
      <c r="F29" s="5">
        <f>D29*SQRT(1/J25)</f>
        <v>0.33113005904195708</v>
      </c>
      <c r="G29" s="4"/>
      <c r="H29" s="4"/>
      <c r="I29" s="5">
        <f>$K$20*MIN(1.8,1+F29+0.6*D29^0.24*$I$19^0.33*(1-EXP(2-2*$I$20)))</f>
        <v>1.3929481646856341</v>
      </c>
      <c r="J29" s="6">
        <f>(1-$K$20)*MIN(1.8, 1+F29)</f>
        <v>0</v>
      </c>
      <c r="K29" s="4"/>
      <c r="L29" s="4">
        <f>MAX(I29,J29)*$J$25</f>
        <v>13.740559623186583</v>
      </c>
      <c r="M29" s="4"/>
      <c r="N29" s="4"/>
      <c r="O29" s="7">
        <f>ROUND(L29*$E$11/100,0)*100</f>
        <v>300</v>
      </c>
    </row>
    <row r="30" spans="2:22" x14ac:dyDescent="0.25">
      <c r="B30" s="46" t="s">
        <v>19</v>
      </c>
      <c r="C30" s="8"/>
      <c r="D30" s="8">
        <v>1.28</v>
      </c>
      <c r="E30" s="8"/>
      <c r="F30" s="9">
        <f>D30*SQRT(1/J25)</f>
        <v>0.40754468805163946</v>
      </c>
      <c r="G30" s="8"/>
      <c r="H30" s="8"/>
      <c r="I30" s="9">
        <f>$K$20*MIN(1.8,1+F30+0.6*D30^0.24*$I$19^0.33*(1-EXP(2-2*$I$20)))</f>
        <v>1.4725214528067156</v>
      </c>
      <c r="J30" s="10">
        <f>(1-$K$20)*MIN(1.8, 1+F30)</f>
        <v>0</v>
      </c>
      <c r="K30" s="8"/>
      <c r="L30" s="8">
        <f>MAX(I30,J30)*$J$25</f>
        <v>14.525500181321052</v>
      </c>
      <c r="M30" s="8"/>
      <c r="N30" s="8"/>
      <c r="O30" s="11">
        <f>ROUND(L30*$E$11/100,0)*100</f>
        <v>400</v>
      </c>
    </row>
    <row r="31" spans="2:22" x14ac:dyDescent="0.25">
      <c r="B31" s="47" t="s">
        <v>20</v>
      </c>
      <c r="C31" s="12"/>
      <c r="D31" s="12">
        <v>1.64</v>
      </c>
      <c r="E31" s="12"/>
      <c r="F31" s="13">
        <f>D31*SQRT(1/J25)</f>
        <v>0.52216663156616305</v>
      </c>
      <c r="G31" s="12"/>
      <c r="H31" s="12"/>
      <c r="I31" s="13">
        <f>$K$20*MIN(1.8,1+F31+0.6*D31^0.24*$I$19^0.33*(1-EXP(2-2*$I$20)))</f>
        <v>1.5911255139863454</v>
      </c>
      <c r="J31" s="14">
        <f>(1-$K$20)*MIN(1.8, 1+F31)</f>
        <v>0</v>
      </c>
      <c r="K31" s="12"/>
      <c r="L31" s="12">
        <f>MAX(I31,J31)*$J$25</f>
        <v>15.695454825368101</v>
      </c>
      <c r="M31" s="12"/>
      <c r="N31" s="12"/>
      <c r="O31" s="15">
        <f>ROUND(L31*$E$11/100,0)*100</f>
        <v>400</v>
      </c>
    </row>
  </sheetData>
  <conditionalFormatting sqref="M23:R23">
    <cfRule type="cellIs" dxfId="54" priority="1" operator="equal">
      <formula>0</formula>
    </cfRule>
    <cfRule type="cellIs" dxfId="53" priority="2" operator="equal">
      <formula>0</formula>
    </cfRule>
    <cfRule type="cellIs" dxfId="52" priority="3" operator="equal">
      <formula>0</formula>
    </cfRule>
  </conditionalFormatting>
  <pageMargins left="0.7" right="0.7" top="0.75" bottom="0.75" header="0.3" footer="0.3"/>
  <pageSetup orientation="portrait" horizontalDpi="300" verticalDpi="30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1"/>
  <sheetViews>
    <sheetView workbookViewId="0">
      <selection sqref="A1:R32"/>
    </sheetView>
  </sheetViews>
  <sheetFormatPr defaultRowHeight="15" x14ac:dyDescent="0.25"/>
  <cols>
    <col min="1" max="1" width="6.42578125" style="497" customWidth="1"/>
    <col min="2" max="3" width="9.140625" style="497"/>
    <col min="4" max="4" width="22.28515625" style="497" customWidth="1"/>
    <col min="5" max="5" width="9.140625" style="497"/>
    <col min="6" max="6" width="10" style="497" customWidth="1"/>
    <col min="7" max="7" width="9.140625" style="497"/>
    <col min="8" max="8" width="15.7109375" style="497" customWidth="1"/>
    <col min="9" max="9" width="9.140625" style="497"/>
    <col min="10" max="10" width="11.5703125" style="497" customWidth="1"/>
    <col min="11" max="11" width="14.85546875" style="497" customWidth="1"/>
    <col min="12" max="12" width="11.140625" style="497" customWidth="1"/>
    <col min="13" max="14" width="9.140625" style="497"/>
    <col min="15" max="15" width="16.5703125" style="497" customWidth="1"/>
    <col min="16" max="16384" width="9.140625" style="497"/>
  </cols>
  <sheetData>
    <row r="1" spans="1:20" ht="15.75" thickBot="1" x14ac:dyDescent="0.3"/>
    <row r="2" spans="1:20" ht="19.5" thickBot="1" x14ac:dyDescent="0.35">
      <c r="A2" s="39" t="s">
        <v>211</v>
      </c>
      <c r="B2" s="43" t="s">
        <v>55</v>
      </c>
      <c r="C2" s="2"/>
      <c r="D2" s="2"/>
      <c r="E2" s="2"/>
      <c r="F2" s="2"/>
      <c r="I2" s="25"/>
      <c r="J2" s="41" t="s">
        <v>45</v>
      </c>
      <c r="K2" s="41"/>
      <c r="L2" s="41"/>
      <c r="M2" s="41"/>
      <c r="N2" s="41"/>
      <c r="O2" s="41"/>
      <c r="P2" s="41"/>
      <c r="Q2" s="27"/>
    </row>
    <row r="3" spans="1:20" ht="15.75" thickBot="1" x14ac:dyDescent="0.3">
      <c r="G3" s="2"/>
      <c r="I3" s="17"/>
      <c r="J3" s="18"/>
      <c r="K3" s="18"/>
      <c r="L3" s="18"/>
      <c r="M3" s="18"/>
      <c r="N3" s="18"/>
      <c r="O3" s="18"/>
      <c r="P3" s="18"/>
      <c r="Q3" s="19"/>
    </row>
    <row r="4" spans="1:20" ht="18.75" x14ac:dyDescent="0.3">
      <c r="B4" s="122" t="s">
        <v>54</v>
      </c>
      <c r="C4" s="123"/>
      <c r="D4" s="123"/>
      <c r="E4" s="121" t="s">
        <v>49</v>
      </c>
      <c r="F4" s="37">
        <f>IF(E4="APP",1,0)</f>
        <v>0</v>
      </c>
      <c r="G4" s="2"/>
      <c r="I4" s="20"/>
      <c r="J4" s="8"/>
      <c r="K4" s="8"/>
      <c r="L4" s="8"/>
      <c r="M4" s="8"/>
      <c r="N4" s="8"/>
      <c r="O4" s="8"/>
      <c r="P4" s="8"/>
      <c r="Q4" s="21"/>
    </row>
    <row r="5" spans="1:20" ht="18.75" x14ac:dyDescent="0.3">
      <c r="B5" s="33" t="s">
        <v>50</v>
      </c>
      <c r="C5" s="32"/>
      <c r="D5" s="32"/>
      <c r="E5" s="72">
        <f>'APP-BASELINE2'!F9</f>
        <v>425</v>
      </c>
      <c r="F5" s="31" t="s">
        <v>14</v>
      </c>
      <c r="G5" s="2"/>
      <c r="I5" s="36" t="s">
        <v>48</v>
      </c>
      <c r="J5" s="30"/>
      <c r="K5" s="30"/>
      <c r="L5" s="8">
        <f>ROUND((E5+E6)/(E5/E7+E6/E8)/10,0)*10</f>
        <v>1800</v>
      </c>
      <c r="M5" s="8" t="s">
        <v>14</v>
      </c>
      <c r="N5" s="8" t="s">
        <v>63</v>
      </c>
      <c r="O5" s="8"/>
      <c r="P5" s="8"/>
      <c r="Q5" s="21"/>
    </row>
    <row r="6" spans="1:20" ht="18.75" x14ac:dyDescent="0.3">
      <c r="B6" s="33" t="s">
        <v>29</v>
      </c>
      <c r="C6" s="32"/>
      <c r="D6" s="32"/>
      <c r="E6" s="72">
        <v>0</v>
      </c>
      <c r="F6" s="21" t="s">
        <v>14</v>
      </c>
      <c r="G6" s="2"/>
      <c r="I6" s="36" t="s">
        <v>46</v>
      </c>
      <c r="J6" s="30"/>
      <c r="K6" s="30"/>
      <c r="L6" s="8">
        <f>E5/(E7*I19)</f>
        <v>1.038888888888889</v>
      </c>
      <c r="M6" s="8"/>
      <c r="N6" s="8" t="s">
        <v>57</v>
      </c>
      <c r="O6" s="8"/>
      <c r="P6" s="8"/>
      <c r="Q6" s="21"/>
    </row>
    <row r="7" spans="1:20" ht="18.75" x14ac:dyDescent="0.3">
      <c r="B7" s="33" t="s">
        <v>28</v>
      </c>
      <c r="C7" s="32"/>
      <c r="D7" s="32"/>
      <c r="E7" s="72">
        <f>'APP-BASELINE2'!F12</f>
        <v>1800</v>
      </c>
      <c r="F7" s="21" t="s">
        <v>14</v>
      </c>
      <c r="I7" s="36" t="s">
        <v>58</v>
      </c>
      <c r="J7" s="30"/>
      <c r="K7" s="30"/>
      <c r="L7" s="8">
        <f>ROUND(20.226+81.791*L6^2+1.65*E5^2/10000,0)</f>
        <v>138</v>
      </c>
      <c r="M7" s="8" t="s">
        <v>14</v>
      </c>
      <c r="N7" s="8"/>
      <c r="O7" s="8"/>
      <c r="P7" s="8"/>
      <c r="Q7" s="21"/>
    </row>
    <row r="8" spans="1:20" ht="18.75" x14ac:dyDescent="0.3">
      <c r="B8" s="33" t="s">
        <v>30</v>
      </c>
      <c r="C8" s="32"/>
      <c r="D8" s="32"/>
      <c r="E8" s="72">
        <f>'APP-BASELINE2'!F13</f>
        <v>1550</v>
      </c>
      <c r="F8" s="21" t="s">
        <v>14</v>
      </c>
      <c r="I8" s="36" t="s">
        <v>59</v>
      </c>
      <c r="J8" s="30"/>
      <c r="K8" s="30"/>
      <c r="L8" s="8">
        <f>ROUND(MAX(0,0.5*(E5-E6*E7/E8)),0)</f>
        <v>213</v>
      </c>
      <c r="M8" s="8" t="s">
        <v>14</v>
      </c>
      <c r="N8" s="8"/>
      <c r="O8" s="8"/>
      <c r="P8" s="8"/>
      <c r="Q8" s="21"/>
    </row>
    <row r="9" spans="1:20" ht="18.75" x14ac:dyDescent="0.3">
      <c r="B9" s="33" t="s">
        <v>51</v>
      </c>
      <c r="C9" s="32"/>
      <c r="D9" s="32"/>
      <c r="E9" s="72">
        <f>'ATL 22'!E10</f>
        <v>25</v>
      </c>
      <c r="F9" s="21" t="s">
        <v>15</v>
      </c>
      <c r="I9" s="36" t="s">
        <v>60</v>
      </c>
      <c r="J9" s="30"/>
      <c r="K9" s="30"/>
      <c r="L9" s="8">
        <f>'ATL 22'!L12</f>
        <v>84</v>
      </c>
      <c r="M9" s="8" t="s">
        <v>14</v>
      </c>
      <c r="N9" s="8"/>
      <c r="O9" s="8"/>
      <c r="P9" s="8"/>
      <c r="Q9" s="21"/>
    </row>
    <row r="10" spans="1:20" ht="19.5" thickBot="1" x14ac:dyDescent="0.35">
      <c r="B10" s="33" t="s">
        <v>52</v>
      </c>
      <c r="C10" s="32"/>
      <c r="D10" s="32"/>
      <c r="E10" s="72">
        <f>'APP-BASELINE2'!F15</f>
        <v>110</v>
      </c>
      <c r="F10" s="21" t="s">
        <v>15</v>
      </c>
      <c r="I10" s="36" t="s">
        <v>218</v>
      </c>
      <c r="J10" s="30"/>
      <c r="K10" s="30"/>
      <c r="L10" s="8">
        <f>E16/2</f>
        <v>170.5</v>
      </c>
      <c r="M10" s="28" t="s">
        <v>14</v>
      </c>
      <c r="N10" s="8"/>
      <c r="P10" s="8"/>
      <c r="Q10" s="21"/>
      <c r="T10" s="64"/>
    </row>
    <row r="11" spans="1:20" ht="19.5" thickBot="1" x14ac:dyDescent="0.35">
      <c r="B11" s="34" t="s">
        <v>43</v>
      </c>
      <c r="C11" s="35"/>
      <c r="D11" s="35"/>
      <c r="E11" s="73">
        <f>'APP-BASELINE2'!F17</f>
        <v>25</v>
      </c>
      <c r="F11" s="24" t="s">
        <v>16</v>
      </c>
      <c r="I11" s="36" t="s">
        <v>217</v>
      </c>
      <c r="J11" s="8"/>
      <c r="K11" s="8"/>
      <c r="L11" s="8">
        <f>EXP(-'APP-BASELINE2'!F20/(3600/'2-CTL2'!L10))</f>
        <v>0.75264119405325669</v>
      </c>
      <c r="M11" s="8"/>
      <c r="N11" s="8"/>
      <c r="O11" s="354" t="s">
        <v>142</v>
      </c>
      <c r="P11" s="8"/>
      <c r="Q11" s="21"/>
    </row>
    <row r="12" spans="1:20" ht="19.5" thickBot="1" x14ac:dyDescent="0.35">
      <c r="B12" s="32"/>
      <c r="C12" s="32"/>
      <c r="D12" s="32"/>
      <c r="E12" s="353"/>
      <c r="F12" s="8"/>
      <c r="I12" s="36" t="s">
        <v>120</v>
      </c>
      <c r="J12" s="8"/>
      <c r="K12" s="8"/>
      <c r="L12" s="8">
        <f>1-L11</f>
        <v>0.24735880594674331</v>
      </c>
      <c r="M12" s="8"/>
      <c r="N12" s="8"/>
      <c r="O12" s="352" t="s">
        <v>216</v>
      </c>
      <c r="P12" s="225" t="s">
        <v>140</v>
      </c>
      <c r="Q12" s="224" t="s">
        <v>141</v>
      </c>
    </row>
    <row r="13" spans="1:20" ht="15.75" thickBot="1" x14ac:dyDescent="0.3">
      <c r="I13" s="36" t="s">
        <v>215</v>
      </c>
      <c r="J13" s="8"/>
      <c r="K13" s="8"/>
      <c r="L13" s="226">
        <f>IF(O13=1,P13,Q13)</f>
        <v>0.35807799477861724</v>
      </c>
      <c r="M13" s="8"/>
      <c r="N13" s="8"/>
      <c r="O13" s="222">
        <v>1</v>
      </c>
      <c r="P13" s="76">
        <f>LN(1-O14)/LN(L12)-1</f>
        <v>0.35807799477861724</v>
      </c>
      <c r="Q13" s="223">
        <f>L12/L11</f>
        <v>0.32865435469273591</v>
      </c>
    </row>
    <row r="14" spans="1:20" ht="15.75" thickBot="1" x14ac:dyDescent="0.3">
      <c r="I14" s="36" t="s">
        <v>214</v>
      </c>
      <c r="J14" s="8"/>
      <c r="K14" s="8"/>
      <c r="L14" s="8">
        <f>3600/L10-'APP-BASELINE2'!F20*EXP(-'APP-BASELINE2'!F20*'2-CTL2'!L10/3600)/(1-EXP(-'APP-BASELINE2'!F20*'2-CTL2'!L10/3600))</f>
        <v>2.8581075218874759</v>
      </c>
      <c r="M14" s="8" t="s">
        <v>15</v>
      </c>
      <c r="N14" s="8"/>
      <c r="O14" s="222">
        <f>'COMBINED INPUT'!G24</f>
        <v>0.85</v>
      </c>
      <c r="P14" s="8"/>
      <c r="Q14" s="21"/>
    </row>
    <row r="15" spans="1:20" ht="15.75" thickBot="1" x14ac:dyDescent="0.3">
      <c r="I15" s="36" t="s">
        <v>123</v>
      </c>
      <c r="J15" s="8"/>
      <c r="K15" s="8"/>
      <c r="L15" s="23">
        <f>'APP-BASELINE2'!F21+'2-CTL2'!L14*L13</f>
        <v>2.0234254102991502</v>
      </c>
      <c r="M15" s="23" t="s">
        <v>15</v>
      </c>
      <c r="N15" s="23"/>
      <c r="O15" s="23"/>
      <c r="P15" s="23"/>
      <c r="Q15" s="24"/>
    </row>
    <row r="16" spans="1:20" x14ac:dyDescent="0.25">
      <c r="B16" s="44" t="s">
        <v>44</v>
      </c>
      <c r="C16" s="29"/>
      <c r="D16" s="29"/>
      <c r="E16" s="48">
        <f>'ATL 22'!L13</f>
        <v>341</v>
      </c>
      <c r="F16" s="42" t="s">
        <v>14</v>
      </c>
      <c r="G16" s="29" t="s">
        <v>10</v>
      </c>
      <c r="H16" s="29"/>
      <c r="I16" s="53">
        <f>E18*(E9/E10)/3600</f>
        <v>0.1082070707070707</v>
      </c>
      <c r="J16" s="18" t="s">
        <v>12</v>
      </c>
      <c r="K16" s="19"/>
      <c r="L16" s="497">
        <f>I16*3600</f>
        <v>389.5454545454545</v>
      </c>
    </row>
    <row r="17" spans="2:22" x14ac:dyDescent="0.25">
      <c r="B17" s="36" t="s">
        <v>0</v>
      </c>
      <c r="C17" s="30"/>
      <c r="D17" s="8"/>
      <c r="E17" s="49">
        <f>E16+IF(E4="CTL",0,E6)</f>
        <v>341</v>
      </c>
      <c r="F17" s="8" t="s">
        <v>14</v>
      </c>
      <c r="G17" s="30" t="s">
        <v>5</v>
      </c>
      <c r="H17" s="30"/>
      <c r="I17" s="54">
        <f>E10-E9</f>
        <v>85</v>
      </c>
      <c r="J17" s="8" t="s">
        <v>15</v>
      </c>
      <c r="K17" s="21"/>
    </row>
    <row r="18" spans="2:22" ht="15.75" thickBot="1" x14ac:dyDescent="0.3">
      <c r="B18" s="36" t="s">
        <v>213</v>
      </c>
      <c r="C18" s="30"/>
      <c r="D18" s="8"/>
      <c r="E18" s="49">
        <f>ROUND(IF(E4  &lt;&gt; "CTL",ROUND(E17/(E6/E8+E16/E7)/10,0)*10,E7)*0.952,0)</f>
        <v>1714</v>
      </c>
      <c r="F18" s="8" t="s">
        <v>14</v>
      </c>
      <c r="G18" s="30" t="s">
        <v>2</v>
      </c>
      <c r="H18" s="30"/>
      <c r="I18" s="55">
        <f>E17/E18</f>
        <v>0.19894982497082847</v>
      </c>
      <c r="J18" s="8"/>
      <c r="K18" s="21"/>
      <c r="O18" s="2" t="s">
        <v>41</v>
      </c>
      <c r="P18" s="2"/>
    </row>
    <row r="19" spans="2:22" ht="16.5" thickBot="1" x14ac:dyDescent="0.3">
      <c r="B19" s="36" t="s">
        <v>62</v>
      </c>
      <c r="C19" s="30"/>
      <c r="D19" s="8"/>
      <c r="E19" s="50">
        <f>E6/(E6+E5)</f>
        <v>0</v>
      </c>
      <c r="F19" s="8"/>
      <c r="G19" s="30" t="s">
        <v>3</v>
      </c>
      <c r="H19" s="30"/>
      <c r="I19" s="55">
        <f>E9/E10</f>
        <v>0.22727272727272727</v>
      </c>
      <c r="J19" s="8"/>
      <c r="K19" s="21" t="s">
        <v>21</v>
      </c>
      <c r="M19" s="61" t="s">
        <v>35</v>
      </c>
      <c r="N19" s="62" t="s">
        <v>36</v>
      </c>
      <c r="O19" s="63" t="s">
        <v>37</v>
      </c>
      <c r="P19" s="65" t="s">
        <v>38</v>
      </c>
      <c r="Q19" s="60" t="s">
        <v>39</v>
      </c>
      <c r="R19" s="66" t="s">
        <v>40</v>
      </c>
    </row>
    <row r="20" spans="2:22" x14ac:dyDescent="0.25">
      <c r="B20" s="20"/>
      <c r="C20" s="8"/>
      <c r="D20" s="8"/>
      <c r="E20" s="8"/>
      <c r="F20" s="8"/>
      <c r="G20" s="30" t="s">
        <v>4</v>
      </c>
      <c r="H20" s="30"/>
      <c r="I20" s="56">
        <f>I18/I19</f>
        <v>0.87537922987164529</v>
      </c>
      <c r="J20" s="8"/>
      <c r="K20" s="21">
        <f>IF(I20&gt;1,1,0)</f>
        <v>0</v>
      </c>
      <c r="L20" s="497" t="s">
        <v>64</v>
      </c>
      <c r="M20" s="1">
        <v>10</v>
      </c>
      <c r="N20" s="1">
        <v>20</v>
      </c>
      <c r="O20" s="1">
        <v>35</v>
      </c>
      <c r="P20" s="1">
        <v>55</v>
      </c>
      <c r="Q20" s="1">
        <v>80</v>
      </c>
      <c r="R20" s="1" t="s">
        <v>42</v>
      </c>
      <c r="V20" s="2"/>
    </row>
    <row r="21" spans="2:22" ht="15.75" thickBot="1" x14ac:dyDescent="0.3">
      <c r="B21" s="20" t="s">
        <v>212</v>
      </c>
      <c r="C21" s="8"/>
      <c r="D21" s="8"/>
      <c r="E21" s="8"/>
      <c r="F21" s="8"/>
      <c r="G21" s="30" t="s">
        <v>6</v>
      </c>
      <c r="H21" s="30"/>
      <c r="I21" s="57">
        <f>MIN(E9,I17*I18/(1-I18))</f>
        <v>21.110706482155866</v>
      </c>
      <c r="J21" s="8" t="s">
        <v>15</v>
      </c>
      <c r="K21" s="21"/>
      <c r="M21" s="16">
        <f t="shared" ref="M21:R21" si="0">IF($J$23&lt;=M20,1,0)</f>
        <v>0</v>
      </c>
      <c r="N21" s="16">
        <f t="shared" si="0"/>
        <v>0</v>
      </c>
      <c r="O21" s="16">
        <f t="shared" si="0"/>
        <v>0</v>
      </c>
      <c r="P21" s="16">
        <f t="shared" si="0"/>
        <v>0</v>
      </c>
      <c r="Q21" s="16">
        <f t="shared" si="0"/>
        <v>1</v>
      </c>
      <c r="R21" s="16">
        <f t="shared" si="0"/>
        <v>1</v>
      </c>
      <c r="V21" s="2"/>
    </row>
    <row r="22" spans="2:22" ht="15.75" thickBot="1" x14ac:dyDescent="0.3">
      <c r="B22" s="22"/>
      <c r="C22" s="23"/>
      <c r="D22" s="23"/>
      <c r="E22" s="23"/>
      <c r="F22" s="23"/>
      <c r="G22" s="23"/>
      <c r="H22" s="23"/>
      <c r="I22" s="23"/>
      <c r="J22" s="23"/>
      <c r="K22" s="24"/>
      <c r="M22" s="16">
        <f>M21-L23</f>
        <v>0</v>
      </c>
      <c r="N22" s="16">
        <f>N21-M21</f>
        <v>0</v>
      </c>
      <c r="O22" s="16">
        <f>O21-N21</f>
        <v>0</v>
      </c>
      <c r="P22" s="16">
        <f>P21-O21</f>
        <v>0</v>
      </c>
      <c r="Q22" s="16">
        <f>Q21-P21</f>
        <v>1</v>
      </c>
      <c r="R22" s="16">
        <f>R21-Q21</f>
        <v>0</v>
      </c>
      <c r="V22" s="2"/>
    </row>
    <row r="23" spans="2:22" ht="19.5" thickBot="1" x14ac:dyDescent="0.35">
      <c r="B23" s="52" t="s">
        <v>31</v>
      </c>
      <c r="C23" s="58">
        <f>0.5*E10*(1-I19)^2/(1-MIN(1,I20)*I19)</f>
        <v>40.997318413560215</v>
      </c>
      <c r="D23" s="26"/>
      <c r="E23" s="26"/>
      <c r="F23" s="40" t="s">
        <v>11</v>
      </c>
      <c r="G23" s="58">
        <f>225*((I20-1)+SQRT((I20-1)^2+16*I20/(I16*3600)))</f>
        <v>23.013632842802508</v>
      </c>
      <c r="H23" s="26"/>
      <c r="I23" s="40" t="s">
        <v>32</v>
      </c>
      <c r="J23" s="58">
        <f>G23+C23</f>
        <v>64.010951256362716</v>
      </c>
      <c r="K23" s="27" t="s">
        <v>33</v>
      </c>
      <c r="M23" s="67">
        <f t="shared" ref="M23:R23" si="1">IF(M22=1,M19,0)</f>
        <v>0</v>
      </c>
      <c r="N23" s="67">
        <f t="shared" si="1"/>
        <v>0</v>
      </c>
      <c r="O23" s="67">
        <f t="shared" si="1"/>
        <v>0</v>
      </c>
      <c r="P23" s="67">
        <f t="shared" si="1"/>
        <v>0</v>
      </c>
      <c r="Q23" s="67" t="str">
        <f t="shared" si="1"/>
        <v>E</v>
      </c>
      <c r="R23" s="67">
        <f t="shared" si="1"/>
        <v>0</v>
      </c>
    </row>
    <row r="24" spans="2:22" ht="15.75" thickBot="1" x14ac:dyDescent="0.3"/>
    <row r="25" spans="2:22" ht="16.5" thickBot="1" x14ac:dyDescent="0.3">
      <c r="B25" s="52" t="s">
        <v>7</v>
      </c>
      <c r="C25" s="59">
        <f>0.5*I21*E18/3600</f>
        <v>5.0255209597798824</v>
      </c>
      <c r="D25" s="26" t="s">
        <v>8</v>
      </c>
      <c r="E25" s="26"/>
      <c r="F25" s="40" t="s">
        <v>9</v>
      </c>
      <c r="G25" s="59">
        <f>0.5*I16*G23</f>
        <v>1.2451188981238477</v>
      </c>
      <c r="H25" s="26" t="s">
        <v>8</v>
      </c>
      <c r="I25" s="40" t="s">
        <v>13</v>
      </c>
      <c r="J25" s="59">
        <f>G25+C25</f>
        <v>6.2706398579037304</v>
      </c>
      <c r="K25" s="27" t="s">
        <v>34</v>
      </c>
    </row>
    <row r="27" spans="2:22" x14ac:dyDescent="0.25">
      <c r="I27" s="2" t="s">
        <v>84</v>
      </c>
    </row>
    <row r="28" spans="2:22" x14ac:dyDescent="0.25">
      <c r="B28" s="2" t="s">
        <v>17</v>
      </c>
      <c r="C28" s="2"/>
      <c r="D28" s="3" t="s">
        <v>22</v>
      </c>
      <c r="E28" s="2"/>
      <c r="F28" s="2" t="s">
        <v>23</v>
      </c>
      <c r="G28" s="2"/>
      <c r="H28" s="2"/>
      <c r="I28" s="2" t="s">
        <v>24</v>
      </c>
      <c r="J28" s="2" t="s">
        <v>25</v>
      </c>
      <c r="K28" s="2"/>
      <c r="L28" s="2" t="s">
        <v>26</v>
      </c>
      <c r="M28" s="2"/>
      <c r="N28" s="2"/>
      <c r="O28" s="2" t="s">
        <v>27</v>
      </c>
      <c r="P28" s="2"/>
    </row>
    <row r="29" spans="2:22" x14ac:dyDescent="0.25">
      <c r="B29" s="45" t="s">
        <v>146</v>
      </c>
      <c r="C29" s="4"/>
      <c r="D29" s="4">
        <v>1.04</v>
      </c>
      <c r="E29" s="4"/>
      <c r="F29" s="5">
        <f>D29*SQRT(1/J25)</f>
        <v>0.41531480214905203</v>
      </c>
      <c r="G29" s="4"/>
      <c r="H29" s="4"/>
      <c r="I29" s="5">
        <f>$K$20*MIN(1.8,1+F29+0.6*D29^0.24*$I$19^0.33*(1-EXP(2-2*$I$20)))</f>
        <v>0</v>
      </c>
      <c r="J29" s="6">
        <f>(1-$K$20)*MIN(1.8, 1+F29)</f>
        <v>1.415314802149052</v>
      </c>
      <c r="K29" s="4"/>
      <c r="L29" s="4">
        <f>MAX(I29,J29)*$J$25</f>
        <v>8.8749294098369784</v>
      </c>
      <c r="M29" s="4"/>
      <c r="N29" s="4"/>
      <c r="O29" s="7">
        <f>ROUND(L29*$E$11/100,0)*100</f>
        <v>200</v>
      </c>
    </row>
    <row r="30" spans="2:22" x14ac:dyDescent="0.25">
      <c r="B30" s="46" t="s">
        <v>19</v>
      </c>
      <c r="C30" s="8"/>
      <c r="D30" s="8">
        <v>1.28</v>
      </c>
      <c r="E30" s="8"/>
      <c r="F30" s="9">
        <f>D30*SQRT(1/J25)</f>
        <v>0.5111566795680641</v>
      </c>
      <c r="G30" s="8"/>
      <c r="H30" s="8"/>
      <c r="I30" s="9">
        <f>$K$20*MIN(1.8,1+F30+0.6*D30^0.24*$I$19^0.33*(1-EXP(2-2*$I$20)))</f>
        <v>0</v>
      </c>
      <c r="J30" s="10">
        <f>(1-$K$20)*MIN(1.8, 1+F30)</f>
        <v>1.5111566795680642</v>
      </c>
      <c r="K30" s="8"/>
      <c r="L30" s="8">
        <f>MAX(I30,J30)*$J$25</f>
        <v>9.4759193064369587</v>
      </c>
      <c r="M30" s="8"/>
      <c r="N30" s="8"/>
      <c r="O30" s="11">
        <f>ROUND(L30*$E$11/100,0)*100</f>
        <v>200</v>
      </c>
    </row>
    <row r="31" spans="2:22" x14ac:dyDescent="0.25">
      <c r="B31" s="47" t="s">
        <v>20</v>
      </c>
      <c r="C31" s="12"/>
      <c r="D31" s="12">
        <v>1.64</v>
      </c>
      <c r="E31" s="12"/>
      <c r="F31" s="13">
        <f>D31*SQRT(1/J25)</f>
        <v>0.65491949569658203</v>
      </c>
      <c r="G31" s="12"/>
      <c r="H31" s="12"/>
      <c r="I31" s="13">
        <f>$K$20*MIN(1.8,1+F31+0.6*D31^0.24*$I$19^0.33*(1-EXP(2-2*$I$20)))</f>
        <v>0</v>
      </c>
      <c r="J31" s="14">
        <f>(1-$K$20)*MIN(1.8, 1+F31)</f>
        <v>1.654919495696582</v>
      </c>
      <c r="K31" s="12"/>
      <c r="L31" s="12">
        <f>MAX(I31,J31)*$J$25</f>
        <v>10.377404151336929</v>
      </c>
      <c r="M31" s="12"/>
      <c r="N31" s="12"/>
      <c r="O31" s="15">
        <f>ROUND(L31*$E$11/100,0)*100</f>
        <v>300</v>
      </c>
    </row>
  </sheetData>
  <conditionalFormatting sqref="M23:R23">
    <cfRule type="cellIs" dxfId="51" priority="1" operator="equal">
      <formula>0</formula>
    </cfRule>
    <cfRule type="cellIs" dxfId="50" priority="2" operator="equal">
      <formula>0</formula>
    </cfRule>
    <cfRule type="cellIs" dxfId="49" priority="3" operator="equal">
      <formula>0</formula>
    </cfRule>
  </conditionalFormatting>
  <pageMargins left="0.7" right="0.7" top="0.75" bottom="0.75" header="0.3" footer="0.3"/>
  <pageSetup orientation="portrait" horizontalDpi="300" verticalDpi="30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0"/>
  <sheetViews>
    <sheetView workbookViewId="0">
      <selection activeCell="J22" sqref="J22"/>
    </sheetView>
  </sheetViews>
  <sheetFormatPr defaultRowHeight="15" x14ac:dyDescent="0.25"/>
  <cols>
    <col min="1" max="1" width="6.42578125" customWidth="1"/>
    <col min="4" max="4" width="22.28515625" customWidth="1"/>
    <col min="5" max="6" width="10" customWidth="1"/>
    <col min="8" max="8" width="15.7109375" customWidth="1"/>
    <col min="10" max="10" width="11.5703125" customWidth="1"/>
    <col min="11" max="11" width="11.28515625" customWidth="1"/>
    <col min="15" max="15" width="13.140625" customWidth="1"/>
  </cols>
  <sheetData>
    <row r="1" spans="1:20" ht="15.75" thickBot="1" x14ac:dyDescent="0.3"/>
    <row r="2" spans="1:20" ht="19.5" thickBot="1" x14ac:dyDescent="0.35">
      <c r="A2" s="39" t="s">
        <v>56</v>
      </c>
      <c r="B2" s="43" t="s">
        <v>55</v>
      </c>
      <c r="C2" s="2"/>
      <c r="D2" s="2"/>
      <c r="E2" s="2"/>
      <c r="F2" s="2"/>
      <c r="I2" s="25"/>
      <c r="J2" s="41" t="s">
        <v>45</v>
      </c>
      <c r="K2" s="41"/>
      <c r="L2" s="41"/>
      <c r="M2" s="41"/>
      <c r="N2" s="41"/>
      <c r="O2" s="41"/>
      <c r="P2" s="41"/>
      <c r="Q2" s="27"/>
    </row>
    <row r="3" spans="1:20" x14ac:dyDescent="0.25">
      <c r="G3" s="2"/>
      <c r="I3" s="17"/>
      <c r="J3" s="18"/>
      <c r="K3" s="18"/>
      <c r="L3" s="18"/>
      <c r="M3" s="18"/>
      <c r="N3" s="18"/>
      <c r="O3" s="18"/>
      <c r="P3" s="18"/>
      <c r="Q3" s="19"/>
    </row>
    <row r="4" spans="1:20" ht="15.75" thickBot="1" x14ac:dyDescent="0.3">
      <c r="G4" s="2"/>
      <c r="I4" s="20"/>
      <c r="J4" s="8"/>
      <c r="K4" s="8"/>
      <c r="L4" s="8"/>
      <c r="M4" s="8"/>
      <c r="N4" s="8"/>
      <c r="O4" s="8"/>
      <c r="P4" s="8"/>
      <c r="Q4" s="21"/>
    </row>
    <row r="5" spans="1:20" ht="18.75" x14ac:dyDescent="0.3">
      <c r="B5" s="122" t="s">
        <v>54</v>
      </c>
      <c r="C5" s="123"/>
      <c r="D5" s="123"/>
      <c r="E5" s="121" t="s">
        <v>96</v>
      </c>
      <c r="F5" s="37">
        <f>IF(E5="APP",1,0)</f>
        <v>0</v>
      </c>
      <c r="G5" s="2"/>
      <c r="I5" s="20"/>
      <c r="J5" s="8"/>
      <c r="K5" s="8"/>
      <c r="L5" s="8"/>
      <c r="M5" s="8"/>
      <c r="N5" s="8"/>
      <c r="O5" s="8"/>
      <c r="P5" s="8"/>
      <c r="Q5" s="21"/>
    </row>
    <row r="6" spans="1:20" ht="18.75" x14ac:dyDescent="0.3">
      <c r="B6" s="33" t="s">
        <v>50</v>
      </c>
      <c r="C6" s="32"/>
      <c r="D6" s="32"/>
      <c r="E6" s="72">
        <v>0</v>
      </c>
      <c r="F6" s="97" t="s">
        <v>14</v>
      </c>
      <c r="G6" s="2"/>
      <c r="I6" s="36" t="s">
        <v>48</v>
      </c>
      <c r="J6" s="30"/>
      <c r="K6" s="30"/>
      <c r="L6" s="8">
        <f>ROUND((E6+E7)/(E6/E8+E7/E9)/10,0)*10</f>
        <v>1550</v>
      </c>
      <c r="M6" s="8" t="s">
        <v>14</v>
      </c>
      <c r="N6" s="8" t="s">
        <v>63</v>
      </c>
      <c r="O6" s="8"/>
      <c r="P6" s="8"/>
      <c r="Q6" s="21"/>
    </row>
    <row r="7" spans="1:20" ht="18.75" x14ac:dyDescent="0.3">
      <c r="B7" s="33" t="s">
        <v>29</v>
      </c>
      <c r="C7" s="32"/>
      <c r="D7" s="32"/>
      <c r="E7" s="72">
        <f>'APP-BASELINE'!F10</f>
        <v>75</v>
      </c>
      <c r="F7" s="21" t="s">
        <v>14</v>
      </c>
      <c r="G7" s="2"/>
      <c r="I7" s="36" t="s">
        <v>46</v>
      </c>
      <c r="J7" s="30"/>
      <c r="K7" s="30"/>
      <c r="L7" s="8">
        <f>E6/(E8*I18)</f>
        <v>0</v>
      </c>
      <c r="M7" s="8"/>
      <c r="N7" s="8" t="s">
        <v>57</v>
      </c>
      <c r="O7" s="8"/>
      <c r="P7" s="8"/>
      <c r="Q7" s="21"/>
    </row>
    <row r="8" spans="1:20" ht="18.75" x14ac:dyDescent="0.3">
      <c r="B8" s="33" t="s">
        <v>28</v>
      </c>
      <c r="C8" s="32"/>
      <c r="D8" s="32"/>
      <c r="E8" s="72">
        <f>'APP-BASELINE'!F12</f>
        <v>1800</v>
      </c>
      <c r="F8" s="21" t="s">
        <v>14</v>
      </c>
      <c r="I8" s="36" t="s">
        <v>58</v>
      </c>
      <c r="J8" s="30"/>
      <c r="K8" s="30"/>
      <c r="L8" s="8">
        <f>ROUND(20.226+81.791*L7^2+1.65*E6^2/10000,0)</f>
        <v>20</v>
      </c>
      <c r="M8" s="8" t="s">
        <v>14</v>
      </c>
      <c r="N8" s="8"/>
      <c r="O8" s="8"/>
      <c r="P8" s="8"/>
      <c r="Q8" s="21"/>
    </row>
    <row r="9" spans="1:20" ht="18.75" x14ac:dyDescent="0.3">
      <c r="B9" s="33" t="s">
        <v>30</v>
      </c>
      <c r="C9" s="32"/>
      <c r="D9" s="32"/>
      <c r="E9" s="72">
        <f>'APP-BASELINE'!F13</f>
        <v>1550</v>
      </c>
      <c r="F9" s="21" t="s">
        <v>14</v>
      </c>
      <c r="I9" s="36" t="s">
        <v>59</v>
      </c>
      <c r="J9" s="30"/>
      <c r="K9" s="30"/>
      <c r="L9" s="8">
        <f>ROUND(MAX(0,0.5*(E6-E7*E8/E9)),0)</f>
        <v>0</v>
      </c>
      <c r="M9" s="8" t="s">
        <v>14</v>
      </c>
      <c r="N9" s="8"/>
      <c r="O9" s="8"/>
      <c r="P9" s="8"/>
      <c r="Q9" s="21"/>
    </row>
    <row r="10" spans="1:20" ht="18.75" x14ac:dyDescent="0.3">
      <c r="B10" s="33" t="s">
        <v>51</v>
      </c>
      <c r="C10" s="32"/>
      <c r="D10" s="32"/>
      <c r="E10" s="72">
        <f>'ATL 2'!E10</f>
        <v>25</v>
      </c>
      <c r="F10" s="21" t="s">
        <v>15</v>
      </c>
      <c r="I10" s="36" t="s">
        <v>60</v>
      </c>
      <c r="J10" s="30"/>
      <c r="K10" s="30"/>
      <c r="L10" s="8">
        <f>IF('APP-BASELINE'!J7=0,'APP-BASELINE'!N10,IF('APP-BASELINE'!J8=0,'APP-BASELINE'!F10,'APP-BASELINE'!N10))</f>
        <v>75</v>
      </c>
      <c r="M10" s="8" t="s">
        <v>14</v>
      </c>
      <c r="N10" s="8">
        <f>IF('APP-BASELINE'!J7=0,0,IF('APP-BASELINE'!J8=0,1,0))</f>
        <v>1</v>
      </c>
      <c r="O10" s="8" t="s">
        <v>86</v>
      </c>
      <c r="P10" s="8"/>
      <c r="Q10" s="21"/>
    </row>
    <row r="11" spans="1:20" ht="18.75" x14ac:dyDescent="0.3">
      <c r="B11" s="33" t="s">
        <v>52</v>
      </c>
      <c r="C11" s="32"/>
      <c r="D11" s="32"/>
      <c r="E11" s="72">
        <f>'APP-BASELINE'!F15</f>
        <v>110</v>
      </c>
      <c r="F11" s="21" t="s">
        <v>15</v>
      </c>
      <c r="I11" s="36" t="s">
        <v>61</v>
      </c>
      <c r="J11" s="30"/>
      <c r="K11" s="30"/>
      <c r="L11" s="8">
        <f>E6-(1-N10)*L10</f>
        <v>0</v>
      </c>
      <c r="M11" s="28" t="s">
        <v>14</v>
      </c>
      <c r="N11" s="8"/>
      <c r="O11" s="8"/>
      <c r="P11" s="8"/>
      <c r="Q11" s="21"/>
      <c r="T11" s="64"/>
    </row>
    <row r="12" spans="1:20" ht="19.5" thickBot="1" x14ac:dyDescent="0.35">
      <c r="B12" s="34" t="s">
        <v>43</v>
      </c>
      <c r="C12" s="35"/>
      <c r="D12" s="35"/>
      <c r="E12" s="73">
        <f>'APP-BASELINE'!F17</f>
        <v>25</v>
      </c>
      <c r="F12" s="24" t="s">
        <v>16</v>
      </c>
      <c r="I12" s="20"/>
      <c r="J12" s="8"/>
      <c r="K12" s="8"/>
      <c r="L12" s="8"/>
      <c r="M12" s="8"/>
      <c r="N12" s="8"/>
      <c r="O12" s="8"/>
      <c r="P12" s="8"/>
      <c r="Q12" s="21"/>
    </row>
    <row r="13" spans="1:20" x14ac:dyDescent="0.25">
      <c r="I13" s="20" t="s">
        <v>92</v>
      </c>
      <c r="J13" s="8"/>
      <c r="K13" s="8"/>
      <c r="L13" s="8"/>
      <c r="M13" s="8"/>
      <c r="N13" s="8"/>
      <c r="O13" s="8"/>
      <c r="P13" s="8"/>
      <c r="Q13" s="21"/>
    </row>
    <row r="14" spans="1:20" ht="15.75" thickBot="1" x14ac:dyDescent="0.3">
      <c r="I14" s="20"/>
      <c r="J14" s="8"/>
      <c r="K14" s="8"/>
      <c r="L14" s="23"/>
      <c r="M14" s="23"/>
      <c r="N14" s="23"/>
      <c r="O14" s="23"/>
      <c r="P14" s="23"/>
      <c r="Q14" s="24"/>
    </row>
    <row r="15" spans="1:20" x14ac:dyDescent="0.25">
      <c r="B15" s="44" t="s">
        <v>44</v>
      </c>
      <c r="C15" s="29"/>
      <c r="D15" s="29"/>
      <c r="E15" s="48">
        <v>0</v>
      </c>
      <c r="F15" s="42" t="s">
        <v>14</v>
      </c>
      <c r="G15" s="29" t="s">
        <v>10</v>
      </c>
      <c r="H15" s="29"/>
      <c r="I15" s="53">
        <f>E17*(E10/E11)/3600</f>
        <v>9.7853535353535345E-2</v>
      </c>
      <c r="J15" s="18" t="s">
        <v>12</v>
      </c>
      <c r="K15" s="19"/>
    </row>
    <row r="16" spans="1:20" x14ac:dyDescent="0.25">
      <c r="B16" s="36" t="s">
        <v>0</v>
      </c>
      <c r="C16" s="30"/>
      <c r="D16" s="8"/>
      <c r="E16" s="49">
        <f>E15+IF(E5="CTL",0,E7)</f>
        <v>75</v>
      </c>
      <c r="F16" s="8" t="s">
        <v>14</v>
      </c>
      <c r="G16" s="30" t="s">
        <v>5</v>
      </c>
      <c r="H16" s="30"/>
      <c r="I16" s="54">
        <f>E11-E10</f>
        <v>85</v>
      </c>
      <c r="J16" s="8" t="s">
        <v>15</v>
      </c>
      <c r="K16" s="21"/>
    </row>
    <row r="17" spans="2:22" ht="15.75" thickBot="1" x14ac:dyDescent="0.3">
      <c r="B17" s="36" t="s">
        <v>1</v>
      </c>
      <c r="C17" s="30"/>
      <c r="D17" s="8"/>
      <c r="E17" s="49">
        <f>IF(E5  &lt;&gt; "CTL",ROUND(E16/(E7/E9+E15/E8)/10,0)*10,E8)</f>
        <v>1550</v>
      </c>
      <c r="F17" s="8" t="s">
        <v>14</v>
      </c>
      <c r="G17" s="30" t="s">
        <v>2</v>
      </c>
      <c r="H17" s="30"/>
      <c r="I17" s="55">
        <f>E16/E17</f>
        <v>4.8387096774193547E-2</v>
      </c>
      <c r="J17" s="8"/>
      <c r="K17" s="21"/>
      <c r="O17" s="2" t="s">
        <v>41</v>
      </c>
      <c r="P17" s="2"/>
    </row>
    <row r="18" spans="2:22" ht="16.5" thickBot="1" x14ac:dyDescent="0.3">
      <c r="B18" s="36" t="s">
        <v>82</v>
      </c>
      <c r="C18" s="30"/>
      <c r="D18" s="8"/>
      <c r="E18" s="50">
        <f>E7/(E7+E6)</f>
        <v>1</v>
      </c>
      <c r="F18" s="8"/>
      <c r="G18" s="30" t="s">
        <v>3</v>
      </c>
      <c r="H18" s="30"/>
      <c r="I18" s="55">
        <f>E10/E11</f>
        <v>0.22727272727272727</v>
      </c>
      <c r="J18" s="8"/>
      <c r="K18" s="21" t="s">
        <v>21</v>
      </c>
      <c r="M18" s="61" t="s">
        <v>35</v>
      </c>
      <c r="N18" s="62" t="s">
        <v>36</v>
      </c>
      <c r="O18" s="63" t="s">
        <v>37</v>
      </c>
      <c r="P18" s="65" t="s">
        <v>38</v>
      </c>
      <c r="Q18" s="60" t="s">
        <v>39</v>
      </c>
      <c r="R18" s="66" t="s">
        <v>40</v>
      </c>
    </row>
    <row r="19" spans="2:22" x14ac:dyDescent="0.25">
      <c r="B19" s="20"/>
      <c r="C19" s="8"/>
      <c r="D19" s="8"/>
      <c r="E19" s="8"/>
      <c r="F19" s="8"/>
      <c r="G19" s="30" t="s">
        <v>4</v>
      </c>
      <c r="H19" s="30"/>
      <c r="I19" s="56">
        <f>I17/I18</f>
        <v>0.2129032258064516</v>
      </c>
      <c r="J19" s="8"/>
      <c r="K19" s="21">
        <f>IF(I19&gt;1,1,0)</f>
        <v>0</v>
      </c>
      <c r="L19" s="1" t="s">
        <v>64</v>
      </c>
      <c r="M19" s="1">
        <v>10</v>
      </c>
      <c r="N19" s="1">
        <v>20</v>
      </c>
      <c r="O19" s="1">
        <v>35</v>
      </c>
      <c r="P19" s="1">
        <v>55</v>
      </c>
      <c r="Q19" s="1">
        <v>80</v>
      </c>
      <c r="R19" s="1" t="s">
        <v>42</v>
      </c>
      <c r="V19" s="2"/>
    </row>
    <row r="20" spans="2:22" ht="15.75" thickBot="1" x14ac:dyDescent="0.3">
      <c r="B20" s="20"/>
      <c r="C20" s="8"/>
      <c r="D20" s="8"/>
      <c r="E20" s="8"/>
      <c r="F20" s="8"/>
      <c r="G20" s="30" t="s">
        <v>6</v>
      </c>
      <c r="H20" s="30"/>
      <c r="I20" s="57">
        <f>MIN(E10,I16*I17/(1-I17))</f>
        <v>4.3220338983050839</v>
      </c>
      <c r="J20" s="8" t="s">
        <v>15</v>
      </c>
      <c r="K20" s="21"/>
      <c r="M20" s="16">
        <f t="shared" ref="M20:R20" si="0">IF($J$22&lt;=M19,1,0)</f>
        <v>0</v>
      </c>
      <c r="N20" s="16">
        <f t="shared" si="0"/>
        <v>0</v>
      </c>
      <c r="O20" s="16">
        <f t="shared" si="0"/>
        <v>0</v>
      </c>
      <c r="P20" s="16">
        <f t="shared" si="0"/>
        <v>1</v>
      </c>
      <c r="Q20" s="16">
        <f t="shared" si="0"/>
        <v>1</v>
      </c>
      <c r="R20" s="16">
        <f t="shared" si="0"/>
        <v>1</v>
      </c>
      <c r="V20" s="2"/>
    </row>
    <row r="21" spans="2:22" ht="15.75" thickBot="1" x14ac:dyDescent="0.3">
      <c r="B21" s="22"/>
      <c r="C21" s="23"/>
      <c r="D21" s="23"/>
      <c r="E21" s="23"/>
      <c r="F21" s="23"/>
      <c r="G21" s="23"/>
      <c r="H21" s="23"/>
      <c r="I21" s="23"/>
      <c r="J21" s="23"/>
      <c r="K21" s="24"/>
      <c r="M21" s="16">
        <f>M20-L22</f>
        <v>0</v>
      </c>
      <c r="N21" s="16">
        <f>N20-M20</f>
        <v>0</v>
      </c>
      <c r="O21" s="16">
        <f>O20-N20</f>
        <v>0</v>
      </c>
      <c r="P21" s="16">
        <f>P20-O20</f>
        <v>1</v>
      </c>
      <c r="Q21" s="16">
        <f>Q20-P20</f>
        <v>0</v>
      </c>
      <c r="R21" s="16">
        <f>R20-Q20</f>
        <v>0</v>
      </c>
      <c r="V21" s="2"/>
    </row>
    <row r="22" spans="2:22" ht="19.5" thickBot="1" x14ac:dyDescent="0.35">
      <c r="B22" s="52" t="s">
        <v>31</v>
      </c>
      <c r="C22" s="58">
        <f>0.5*E11*(1-I18)^2/(1-MIN(1,I19)*I18)</f>
        <v>34.510785824345142</v>
      </c>
      <c r="D22" s="26"/>
      <c r="E22" s="26"/>
      <c r="F22" s="40" t="s">
        <v>11</v>
      </c>
      <c r="G22" s="58">
        <f>225*((I19-1)+SQRT((I19-1)^2+16*I19/(I15*3600)))</f>
        <v>1.3767742448564242</v>
      </c>
      <c r="H22" s="26"/>
      <c r="I22" s="40" t="s">
        <v>32</v>
      </c>
      <c r="J22" s="58">
        <f>G22+C22</f>
        <v>35.887560069201569</v>
      </c>
      <c r="K22" s="27" t="s">
        <v>33</v>
      </c>
      <c r="M22" s="67">
        <f t="shared" ref="M22:R22" si="1">IF(M21=1,M18,0)</f>
        <v>0</v>
      </c>
      <c r="N22" s="67">
        <f t="shared" si="1"/>
        <v>0</v>
      </c>
      <c r="O22" s="67">
        <f t="shared" si="1"/>
        <v>0</v>
      </c>
      <c r="P22" s="67" t="str">
        <f t="shared" si="1"/>
        <v>D</v>
      </c>
      <c r="Q22" s="67">
        <f t="shared" si="1"/>
        <v>0</v>
      </c>
      <c r="R22" s="67">
        <f t="shared" si="1"/>
        <v>0</v>
      </c>
    </row>
    <row r="23" spans="2:22" ht="15.75" thickBot="1" x14ac:dyDescent="0.3"/>
    <row r="24" spans="2:22" ht="16.5" thickBot="1" x14ac:dyDescent="0.3">
      <c r="B24" s="52" t="s">
        <v>7</v>
      </c>
      <c r="C24" s="59">
        <f>I20*E17/3600</f>
        <v>1.8608757062146888</v>
      </c>
      <c r="D24" s="26" t="s">
        <v>8</v>
      </c>
      <c r="E24" s="26"/>
      <c r="F24" s="40" t="s">
        <v>9</v>
      </c>
      <c r="G24" s="59">
        <f>I15*G22</f>
        <v>0.13472222724289504</v>
      </c>
      <c r="H24" s="26" t="s">
        <v>8</v>
      </c>
      <c r="I24" s="40" t="s">
        <v>13</v>
      </c>
      <c r="J24" s="59">
        <f>G24+C24</f>
        <v>1.9955979334575837</v>
      </c>
      <c r="K24" s="27" t="s">
        <v>34</v>
      </c>
    </row>
    <row r="26" spans="2:22" x14ac:dyDescent="0.25">
      <c r="I26" s="95" t="s">
        <v>83</v>
      </c>
      <c r="J26" s="95"/>
    </row>
    <row r="27" spans="2:22" x14ac:dyDescent="0.25">
      <c r="B27" s="2" t="s">
        <v>17</v>
      </c>
      <c r="C27" s="2"/>
      <c r="D27" s="3" t="s">
        <v>22</v>
      </c>
      <c r="E27" s="2"/>
      <c r="F27" s="2" t="s">
        <v>23</v>
      </c>
      <c r="G27" s="2"/>
      <c r="H27" s="2"/>
      <c r="I27" s="2" t="s">
        <v>24</v>
      </c>
      <c r="J27" s="2" t="s">
        <v>25</v>
      </c>
      <c r="K27" s="2"/>
      <c r="L27" s="2" t="s">
        <v>26</v>
      </c>
      <c r="M27" s="2"/>
      <c r="N27" s="2"/>
      <c r="O27" s="2" t="s">
        <v>27</v>
      </c>
      <c r="P27" s="2"/>
    </row>
    <row r="28" spans="2:22" x14ac:dyDescent="0.25">
      <c r="B28" s="45" t="s">
        <v>18</v>
      </c>
      <c r="C28" s="4"/>
      <c r="D28" s="4">
        <v>1.04</v>
      </c>
      <c r="E28" s="4"/>
      <c r="F28" s="5">
        <f>D28*SQRT(1/J24)</f>
        <v>0.73620170096490034</v>
      </c>
      <c r="G28" s="4"/>
      <c r="H28" s="4"/>
      <c r="I28" s="5">
        <f>$K$19*MIN(1.8,1+F28+0.6*D28^0.24*$I$18^0.33*(1-EXP(2-2*$I$19)))</f>
        <v>0</v>
      </c>
      <c r="J28" s="6">
        <f>(1-$K$19)*MIN(1.8, 1+F28)</f>
        <v>1.7362017009649002</v>
      </c>
      <c r="K28" s="4"/>
      <c r="L28" s="4">
        <f>MAX(I28,J28)*$J$24</f>
        <v>3.4647605265110966</v>
      </c>
      <c r="M28" s="4"/>
      <c r="N28" s="4"/>
      <c r="O28" s="7">
        <f>ROUND(L28*$E$12/100,0)*100</f>
        <v>100</v>
      </c>
    </row>
    <row r="29" spans="2:22" x14ac:dyDescent="0.25">
      <c r="B29" s="46" t="s">
        <v>19</v>
      </c>
      <c r="C29" s="8"/>
      <c r="D29" s="8">
        <v>1.28</v>
      </c>
      <c r="E29" s="8"/>
      <c r="F29" s="9">
        <f>D29*SQRT(1/J24)</f>
        <v>0.90609440118756968</v>
      </c>
      <c r="G29" s="8"/>
      <c r="H29" s="8"/>
      <c r="I29" s="9">
        <f>$K$19*MIN(1.8,1+F29+0.6*D29^0.24*$I$18^0.33*(1-EXP(2-2*$I$19)))</f>
        <v>0</v>
      </c>
      <c r="J29" s="10">
        <f>(1-$K$19)*MIN(1.8, 1+F29)</f>
        <v>1.8</v>
      </c>
      <c r="K29" s="8"/>
      <c r="L29" s="8">
        <f>MAX(I29,J29)*$J$24</f>
        <v>3.592076280223651</v>
      </c>
      <c r="M29" s="8"/>
      <c r="N29" s="8"/>
      <c r="O29" s="11">
        <f>ROUND(L29*$E$12/100,0)*100</f>
        <v>100</v>
      </c>
    </row>
    <row r="30" spans="2:22" x14ac:dyDescent="0.25">
      <c r="B30" s="47" t="s">
        <v>20</v>
      </c>
      <c r="C30" s="12"/>
      <c r="D30" s="12">
        <v>1.64</v>
      </c>
      <c r="E30" s="12"/>
      <c r="F30" s="13">
        <f>D30*SQRT(1/J24)</f>
        <v>1.1609334515215735</v>
      </c>
      <c r="G30" s="12"/>
      <c r="H30" s="12"/>
      <c r="I30" s="13">
        <f>$K$19*MIN(1.8,1+F30+0.6*D30^0.24*$I$18^0.33*(1-EXP(2-2*$I$19)))</f>
        <v>0</v>
      </c>
      <c r="J30" s="14">
        <f>(1-$K$19)*MIN(1.8, 1+F30)</f>
        <v>1.8</v>
      </c>
      <c r="K30" s="12"/>
      <c r="L30" s="12">
        <f>MAX(I30,J30)*$J$24</f>
        <v>3.592076280223651</v>
      </c>
      <c r="M30" s="12"/>
      <c r="N30" s="12"/>
      <c r="O30" s="15">
        <f>ROUND(L30*$E$12/100,0)*100</f>
        <v>100</v>
      </c>
    </row>
  </sheetData>
  <conditionalFormatting sqref="M22:R22">
    <cfRule type="cellIs" dxfId="48" priority="1" operator="equal">
      <formula>0</formula>
    </cfRule>
    <cfRule type="cellIs" dxfId="47" priority="2" operator="equal">
      <formula>0</formula>
    </cfRule>
    <cfRule type="cellIs" dxfId="46" priority="3" operator="equal">
      <formula>0</formula>
    </cfRule>
  </conditionalFormatting>
  <pageMargins left="0.7" right="0.7" top="0.75" bottom="0.75" header="0.3" footer="0.3"/>
  <pageSetup orientation="portrait" horizontalDpi="300" verticalDpi="30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0"/>
  <sheetViews>
    <sheetView workbookViewId="0">
      <selection sqref="A1:S32"/>
    </sheetView>
  </sheetViews>
  <sheetFormatPr defaultRowHeight="15" x14ac:dyDescent="0.25"/>
  <cols>
    <col min="1" max="1" width="6.42578125" style="497" customWidth="1"/>
    <col min="2" max="3" width="9.140625" style="497"/>
    <col min="4" max="4" width="22.28515625" style="497" customWidth="1"/>
    <col min="5" max="6" width="10" style="497" customWidth="1"/>
    <col min="7" max="7" width="9.140625" style="497"/>
    <col min="8" max="8" width="15.7109375" style="497" customWidth="1"/>
    <col min="9" max="9" width="9.140625" style="497"/>
    <col min="10" max="10" width="11.5703125" style="497" customWidth="1"/>
    <col min="11" max="11" width="11.28515625" style="497" customWidth="1"/>
    <col min="12" max="14" width="9.140625" style="497"/>
    <col min="15" max="15" width="13.140625" style="497" customWidth="1"/>
    <col min="16" max="16384" width="9.140625" style="497"/>
  </cols>
  <sheetData>
    <row r="1" spans="1:20" ht="15.75" thickBot="1" x14ac:dyDescent="0.3"/>
    <row r="2" spans="1:20" ht="19.5" thickBot="1" x14ac:dyDescent="0.35">
      <c r="A2" s="39" t="s">
        <v>56</v>
      </c>
      <c r="B2" s="43" t="s">
        <v>55</v>
      </c>
      <c r="C2" s="2"/>
      <c r="D2" s="2"/>
      <c r="E2" s="2"/>
      <c r="F2" s="2"/>
      <c r="I2" s="25"/>
      <c r="J2" s="41" t="s">
        <v>45</v>
      </c>
      <c r="K2" s="41"/>
      <c r="L2" s="41"/>
      <c r="M2" s="41"/>
      <c r="N2" s="41"/>
      <c r="O2" s="41"/>
      <c r="P2" s="41"/>
      <c r="Q2" s="27"/>
    </row>
    <row r="3" spans="1:20" x14ac:dyDescent="0.25">
      <c r="G3" s="2"/>
      <c r="I3" s="17"/>
      <c r="J3" s="18"/>
      <c r="K3" s="18"/>
      <c r="L3" s="18"/>
      <c r="M3" s="18"/>
      <c r="N3" s="18"/>
      <c r="O3" s="18"/>
      <c r="P3" s="18"/>
      <c r="Q3" s="19"/>
    </row>
    <row r="4" spans="1:20" ht="15.75" thickBot="1" x14ac:dyDescent="0.3">
      <c r="G4" s="2"/>
      <c r="I4" s="20"/>
      <c r="J4" s="8"/>
      <c r="K4" s="8"/>
      <c r="L4" s="8"/>
      <c r="M4" s="8"/>
      <c r="N4" s="8"/>
      <c r="O4" s="8"/>
      <c r="P4" s="8"/>
      <c r="Q4" s="21"/>
    </row>
    <row r="5" spans="1:20" ht="18.75" x14ac:dyDescent="0.3">
      <c r="B5" s="122" t="s">
        <v>54</v>
      </c>
      <c r="C5" s="123"/>
      <c r="D5" s="123"/>
      <c r="E5" s="121" t="s">
        <v>96</v>
      </c>
      <c r="F5" s="37">
        <f>IF(E5="APP",1,0)</f>
        <v>0</v>
      </c>
      <c r="G5" s="2"/>
      <c r="I5" s="20"/>
      <c r="J5" s="8"/>
      <c r="K5" s="8"/>
      <c r="L5" s="8"/>
      <c r="M5" s="8"/>
      <c r="N5" s="8"/>
      <c r="O5" s="8"/>
      <c r="P5" s="8"/>
      <c r="Q5" s="21"/>
    </row>
    <row r="6" spans="1:20" ht="18.75" x14ac:dyDescent="0.3">
      <c r="B6" s="33" t="s">
        <v>50</v>
      </c>
      <c r="C6" s="32"/>
      <c r="D6" s="32"/>
      <c r="E6" s="72">
        <v>0</v>
      </c>
      <c r="F6" s="97" t="s">
        <v>14</v>
      </c>
      <c r="G6" s="2"/>
      <c r="I6" s="36" t="s">
        <v>48</v>
      </c>
      <c r="J6" s="30"/>
      <c r="K6" s="30"/>
      <c r="L6" s="8">
        <f>ROUND((E6+E7)/(E6/E8+E7/E9)/10,0)*10</f>
        <v>1550</v>
      </c>
      <c r="M6" s="8" t="s">
        <v>14</v>
      </c>
      <c r="N6" s="8" t="s">
        <v>63</v>
      </c>
      <c r="O6" s="8"/>
      <c r="P6" s="8"/>
      <c r="Q6" s="21"/>
    </row>
    <row r="7" spans="1:20" ht="18.75" x14ac:dyDescent="0.3">
      <c r="B7" s="33" t="s">
        <v>29</v>
      </c>
      <c r="C7" s="32"/>
      <c r="D7" s="32"/>
      <c r="E7" s="72">
        <f>'APP-BASELINE2'!F10</f>
        <v>75</v>
      </c>
      <c r="F7" s="21" t="s">
        <v>14</v>
      </c>
      <c r="G7" s="2"/>
      <c r="I7" s="36" t="s">
        <v>46</v>
      </c>
      <c r="J7" s="30"/>
      <c r="K7" s="30"/>
      <c r="L7" s="8">
        <f>E6/(E8*I18)</f>
        <v>0</v>
      </c>
      <c r="M7" s="8"/>
      <c r="N7" s="8" t="s">
        <v>57</v>
      </c>
      <c r="O7" s="8"/>
      <c r="P7" s="8"/>
      <c r="Q7" s="21"/>
    </row>
    <row r="8" spans="1:20" ht="18.75" x14ac:dyDescent="0.3">
      <c r="B8" s="33" t="s">
        <v>28</v>
      </c>
      <c r="C8" s="32"/>
      <c r="D8" s="32"/>
      <c r="E8" s="72">
        <f>'APP-BASELINE2'!F12</f>
        <v>1800</v>
      </c>
      <c r="F8" s="21" t="s">
        <v>14</v>
      </c>
      <c r="I8" s="36" t="s">
        <v>58</v>
      </c>
      <c r="J8" s="30"/>
      <c r="K8" s="30"/>
      <c r="L8" s="8">
        <f>ROUND(20.226+81.791*L7^2+1.65*E6^2/10000,0)</f>
        <v>20</v>
      </c>
      <c r="M8" s="8" t="s">
        <v>14</v>
      </c>
      <c r="N8" s="8"/>
      <c r="O8" s="8"/>
      <c r="P8" s="8"/>
      <c r="Q8" s="21"/>
    </row>
    <row r="9" spans="1:20" ht="18.75" x14ac:dyDescent="0.3">
      <c r="B9" s="33" t="s">
        <v>30</v>
      </c>
      <c r="C9" s="32"/>
      <c r="D9" s="32"/>
      <c r="E9" s="72">
        <f>'APP-BASELINE2'!F13</f>
        <v>1550</v>
      </c>
      <c r="F9" s="21" t="s">
        <v>14</v>
      </c>
      <c r="I9" s="36" t="s">
        <v>59</v>
      </c>
      <c r="J9" s="30"/>
      <c r="K9" s="30"/>
      <c r="L9" s="8">
        <f>ROUND(MAX(0,0.5*(E6-E7*E8/E9)),0)</f>
        <v>0</v>
      </c>
      <c r="M9" s="8" t="s">
        <v>14</v>
      </c>
      <c r="N9" s="8"/>
      <c r="O9" s="8"/>
      <c r="P9" s="8"/>
      <c r="Q9" s="21"/>
    </row>
    <row r="10" spans="1:20" ht="18.75" x14ac:dyDescent="0.3">
      <c r="B10" s="33" t="s">
        <v>51</v>
      </c>
      <c r="C10" s="32"/>
      <c r="D10" s="32"/>
      <c r="E10" s="72">
        <f>'ATL 2'!E10</f>
        <v>25</v>
      </c>
      <c r="F10" s="21" t="s">
        <v>15</v>
      </c>
      <c r="I10" s="36" t="s">
        <v>60</v>
      </c>
      <c r="J10" s="30"/>
      <c r="K10" s="30"/>
      <c r="L10" s="8">
        <f>IF('APP-BASELINE2'!J7=0,'APP-BASELINE2'!N10,IF('APP-BASELINE2'!J8=0,'APP-BASELINE2'!F10,'APP-BASELINE2'!N10))</f>
        <v>84</v>
      </c>
      <c r="M10" s="8" t="s">
        <v>14</v>
      </c>
      <c r="N10" s="8">
        <f>IF('APP-BASELINE2'!J7=0,0,IF('APP-BASELINE2'!J8=0,1,0))</f>
        <v>0</v>
      </c>
      <c r="O10" s="8" t="s">
        <v>86</v>
      </c>
      <c r="P10" s="8"/>
      <c r="Q10" s="21"/>
    </row>
    <row r="11" spans="1:20" ht="18.75" x14ac:dyDescent="0.3">
      <c r="B11" s="33" t="s">
        <v>52</v>
      </c>
      <c r="C11" s="32"/>
      <c r="D11" s="32"/>
      <c r="E11" s="72">
        <f>'APP-BASELINE2'!F15</f>
        <v>110</v>
      </c>
      <c r="F11" s="21" t="s">
        <v>15</v>
      </c>
      <c r="I11" s="36" t="s">
        <v>61</v>
      </c>
      <c r="J11" s="30"/>
      <c r="K11" s="30"/>
      <c r="L11" s="8">
        <f>E6-(1-N10)*L10</f>
        <v>-84</v>
      </c>
      <c r="M11" s="28" t="s">
        <v>14</v>
      </c>
      <c r="N11" s="8"/>
      <c r="O11" s="8"/>
      <c r="P11" s="8"/>
      <c r="Q11" s="21"/>
      <c r="T11" s="64"/>
    </row>
    <row r="12" spans="1:20" ht="19.5" thickBot="1" x14ac:dyDescent="0.35">
      <c r="B12" s="34" t="s">
        <v>43</v>
      </c>
      <c r="C12" s="35"/>
      <c r="D12" s="35"/>
      <c r="E12" s="73">
        <f>'APP-BASELINE2'!F17</f>
        <v>25</v>
      </c>
      <c r="F12" s="24" t="s">
        <v>16</v>
      </c>
      <c r="I12" s="20"/>
      <c r="J12" s="8"/>
      <c r="K12" s="8"/>
      <c r="L12" s="8"/>
      <c r="M12" s="8"/>
      <c r="N12" s="8"/>
      <c r="O12" s="8"/>
      <c r="P12" s="8"/>
      <c r="Q12" s="21"/>
    </row>
    <row r="13" spans="1:20" x14ac:dyDescent="0.25">
      <c r="I13" s="20" t="s">
        <v>92</v>
      </c>
      <c r="J13" s="8"/>
      <c r="K13" s="8"/>
      <c r="L13" s="8"/>
      <c r="M13" s="8"/>
      <c r="N13" s="8"/>
      <c r="O13" s="8"/>
      <c r="P13" s="8"/>
      <c r="Q13" s="21"/>
    </row>
    <row r="14" spans="1:20" ht="15.75" thickBot="1" x14ac:dyDescent="0.3">
      <c r="I14" s="20"/>
      <c r="J14" s="8"/>
      <c r="K14" s="8"/>
      <c r="L14" s="23"/>
      <c r="M14" s="23"/>
      <c r="N14" s="23"/>
      <c r="O14" s="23"/>
      <c r="P14" s="23"/>
      <c r="Q14" s="24"/>
    </row>
    <row r="15" spans="1:20" x14ac:dyDescent="0.25">
      <c r="B15" s="44" t="s">
        <v>44</v>
      </c>
      <c r="C15" s="29"/>
      <c r="D15" s="29"/>
      <c r="E15" s="48">
        <v>0</v>
      </c>
      <c r="F15" s="42" t="s">
        <v>14</v>
      </c>
      <c r="G15" s="29" t="s">
        <v>10</v>
      </c>
      <c r="H15" s="29"/>
      <c r="I15" s="53">
        <f>E17*(E10/E11)/3600</f>
        <v>9.7853535353535345E-2</v>
      </c>
      <c r="J15" s="18" t="s">
        <v>12</v>
      </c>
      <c r="K15" s="19"/>
    </row>
    <row r="16" spans="1:20" x14ac:dyDescent="0.25">
      <c r="B16" s="36" t="s">
        <v>0</v>
      </c>
      <c r="C16" s="30"/>
      <c r="D16" s="8"/>
      <c r="E16" s="49">
        <f>E15+IF(E5="CTL",0,E7)</f>
        <v>75</v>
      </c>
      <c r="F16" s="8" t="s">
        <v>14</v>
      </c>
      <c r="G16" s="30" t="s">
        <v>5</v>
      </c>
      <c r="H16" s="30"/>
      <c r="I16" s="54">
        <f>E11-E10</f>
        <v>85</v>
      </c>
      <c r="J16" s="8" t="s">
        <v>15</v>
      </c>
      <c r="K16" s="21"/>
    </row>
    <row r="17" spans="2:22" ht="15.75" thickBot="1" x14ac:dyDescent="0.3">
      <c r="B17" s="36" t="s">
        <v>1</v>
      </c>
      <c r="C17" s="30"/>
      <c r="D17" s="8"/>
      <c r="E17" s="49">
        <f>IF(E5  &lt;&gt; "CTL",ROUND(E16/(E7/E9+E15/E8)/10,0)*10,E8)</f>
        <v>1550</v>
      </c>
      <c r="F17" s="8" t="s">
        <v>14</v>
      </c>
      <c r="G17" s="30" t="s">
        <v>2</v>
      </c>
      <c r="H17" s="30"/>
      <c r="I17" s="55">
        <f>E16/E17</f>
        <v>4.8387096774193547E-2</v>
      </c>
      <c r="J17" s="8"/>
      <c r="K17" s="21"/>
      <c r="O17" s="2" t="s">
        <v>41</v>
      </c>
      <c r="P17" s="2"/>
    </row>
    <row r="18" spans="2:22" ht="16.5" thickBot="1" x14ac:dyDescent="0.3">
      <c r="B18" s="36" t="s">
        <v>82</v>
      </c>
      <c r="C18" s="30"/>
      <c r="D18" s="8"/>
      <c r="E18" s="50">
        <f>E7/(E7+E6)</f>
        <v>1</v>
      </c>
      <c r="F18" s="8"/>
      <c r="G18" s="30" t="s">
        <v>3</v>
      </c>
      <c r="H18" s="30"/>
      <c r="I18" s="55">
        <f>E10/E11</f>
        <v>0.22727272727272727</v>
      </c>
      <c r="J18" s="8"/>
      <c r="K18" s="21" t="s">
        <v>21</v>
      </c>
      <c r="M18" s="61" t="s">
        <v>35</v>
      </c>
      <c r="N18" s="62" t="s">
        <v>36</v>
      </c>
      <c r="O18" s="63" t="s">
        <v>37</v>
      </c>
      <c r="P18" s="65" t="s">
        <v>38</v>
      </c>
      <c r="Q18" s="60" t="s">
        <v>39</v>
      </c>
      <c r="R18" s="66" t="s">
        <v>40</v>
      </c>
    </row>
    <row r="19" spans="2:22" x14ac:dyDescent="0.25">
      <c r="B19" s="20"/>
      <c r="C19" s="8"/>
      <c r="D19" s="8"/>
      <c r="E19" s="8"/>
      <c r="F19" s="8"/>
      <c r="G19" s="30" t="s">
        <v>4</v>
      </c>
      <c r="H19" s="30"/>
      <c r="I19" s="56">
        <f>I17/I18</f>
        <v>0.2129032258064516</v>
      </c>
      <c r="J19" s="8"/>
      <c r="K19" s="21">
        <f>IF(I19&gt;1,1,0)</f>
        <v>0</v>
      </c>
      <c r="L19" s="1" t="s">
        <v>64</v>
      </c>
      <c r="M19" s="1">
        <v>10</v>
      </c>
      <c r="N19" s="1">
        <v>20</v>
      </c>
      <c r="O19" s="1">
        <v>35</v>
      </c>
      <c r="P19" s="1">
        <v>55</v>
      </c>
      <c r="Q19" s="1">
        <v>80</v>
      </c>
      <c r="R19" s="1" t="s">
        <v>42</v>
      </c>
      <c r="V19" s="2"/>
    </row>
    <row r="20" spans="2:22" ht="15.75" thickBot="1" x14ac:dyDescent="0.3">
      <c r="B20" s="20"/>
      <c r="C20" s="8"/>
      <c r="D20" s="8"/>
      <c r="E20" s="8"/>
      <c r="F20" s="8"/>
      <c r="G20" s="30" t="s">
        <v>6</v>
      </c>
      <c r="H20" s="30"/>
      <c r="I20" s="57">
        <f>MIN(E10,I16*I17/(1-I17))</f>
        <v>4.3220338983050839</v>
      </c>
      <c r="J20" s="8" t="s">
        <v>15</v>
      </c>
      <c r="K20" s="21"/>
      <c r="M20" s="16">
        <f t="shared" ref="M20:R20" si="0">IF($J$22&lt;=M19,1,0)</f>
        <v>0</v>
      </c>
      <c r="N20" s="16">
        <f t="shared" si="0"/>
        <v>0</v>
      </c>
      <c r="O20" s="16">
        <f t="shared" si="0"/>
        <v>0</v>
      </c>
      <c r="P20" s="16">
        <f t="shared" si="0"/>
        <v>1</v>
      </c>
      <c r="Q20" s="16">
        <f t="shared" si="0"/>
        <v>1</v>
      </c>
      <c r="R20" s="16">
        <f t="shared" si="0"/>
        <v>1</v>
      </c>
      <c r="V20" s="2"/>
    </row>
    <row r="21" spans="2:22" ht="15.75" thickBot="1" x14ac:dyDescent="0.3">
      <c r="B21" s="22"/>
      <c r="C21" s="23"/>
      <c r="D21" s="23"/>
      <c r="E21" s="23"/>
      <c r="F21" s="23"/>
      <c r="G21" s="23"/>
      <c r="H21" s="23"/>
      <c r="I21" s="23"/>
      <c r="J21" s="23"/>
      <c r="K21" s="24"/>
      <c r="M21" s="16">
        <f>M20-L22</f>
        <v>0</v>
      </c>
      <c r="N21" s="16">
        <f>N20-M20</f>
        <v>0</v>
      </c>
      <c r="O21" s="16">
        <f>O20-N20</f>
        <v>0</v>
      </c>
      <c r="P21" s="16">
        <f>P20-O20</f>
        <v>1</v>
      </c>
      <c r="Q21" s="16">
        <f>Q20-P20</f>
        <v>0</v>
      </c>
      <c r="R21" s="16">
        <f>R20-Q20</f>
        <v>0</v>
      </c>
      <c r="V21" s="2"/>
    </row>
    <row r="22" spans="2:22" ht="19.5" thickBot="1" x14ac:dyDescent="0.35">
      <c r="B22" s="52" t="s">
        <v>31</v>
      </c>
      <c r="C22" s="58">
        <f>0.5*E11*(1-I18)^2/(1-MIN(1,I19)*I18)</f>
        <v>34.510785824345142</v>
      </c>
      <c r="D22" s="26"/>
      <c r="E22" s="26"/>
      <c r="F22" s="40" t="s">
        <v>11</v>
      </c>
      <c r="G22" s="58">
        <f>225*((I19-1)+SQRT((I19-1)^2+16*I19/(I15*3600)))</f>
        <v>1.3767742448564242</v>
      </c>
      <c r="H22" s="26"/>
      <c r="I22" s="40" t="s">
        <v>32</v>
      </c>
      <c r="J22" s="58">
        <f>G22+C22</f>
        <v>35.887560069201569</v>
      </c>
      <c r="K22" s="27" t="s">
        <v>33</v>
      </c>
      <c r="M22" s="67">
        <f t="shared" ref="M22:R22" si="1">IF(M21=1,M18,0)</f>
        <v>0</v>
      </c>
      <c r="N22" s="67">
        <f t="shared" si="1"/>
        <v>0</v>
      </c>
      <c r="O22" s="67">
        <f t="shared" si="1"/>
        <v>0</v>
      </c>
      <c r="P22" s="67" t="str">
        <f t="shared" si="1"/>
        <v>D</v>
      </c>
      <c r="Q22" s="67">
        <f t="shared" si="1"/>
        <v>0</v>
      </c>
      <c r="R22" s="67">
        <f t="shared" si="1"/>
        <v>0</v>
      </c>
    </row>
    <row r="23" spans="2:22" ht="15.75" thickBot="1" x14ac:dyDescent="0.3"/>
    <row r="24" spans="2:22" ht="16.5" thickBot="1" x14ac:dyDescent="0.3">
      <c r="B24" s="52" t="s">
        <v>7</v>
      </c>
      <c r="C24" s="59">
        <f>I20*E17/3600</f>
        <v>1.8608757062146888</v>
      </c>
      <c r="D24" s="26" t="s">
        <v>8</v>
      </c>
      <c r="E24" s="26"/>
      <c r="F24" s="40" t="s">
        <v>9</v>
      </c>
      <c r="G24" s="59">
        <f>I15*G22</f>
        <v>0.13472222724289504</v>
      </c>
      <c r="H24" s="26" t="s">
        <v>8</v>
      </c>
      <c r="I24" s="40" t="s">
        <v>13</v>
      </c>
      <c r="J24" s="59">
        <f>G24+C24</f>
        <v>1.9955979334575837</v>
      </c>
      <c r="K24" s="27" t="s">
        <v>34</v>
      </c>
    </row>
    <row r="26" spans="2:22" x14ac:dyDescent="0.25">
      <c r="I26" s="95" t="s">
        <v>83</v>
      </c>
      <c r="J26" s="95"/>
    </row>
    <row r="27" spans="2:22" x14ac:dyDescent="0.25">
      <c r="B27" s="2" t="s">
        <v>17</v>
      </c>
      <c r="C27" s="2"/>
      <c r="D27" s="3" t="s">
        <v>22</v>
      </c>
      <c r="E27" s="2"/>
      <c r="F27" s="2" t="s">
        <v>23</v>
      </c>
      <c r="G27" s="2"/>
      <c r="H27" s="2"/>
      <c r="I27" s="2" t="s">
        <v>24</v>
      </c>
      <c r="J27" s="2" t="s">
        <v>25</v>
      </c>
      <c r="K27" s="2"/>
      <c r="L27" s="2" t="s">
        <v>26</v>
      </c>
      <c r="M27" s="2"/>
      <c r="N27" s="2"/>
      <c r="O27" s="2" t="s">
        <v>27</v>
      </c>
      <c r="P27" s="2"/>
    </row>
    <row r="28" spans="2:22" x14ac:dyDescent="0.25">
      <c r="B28" s="45" t="s">
        <v>18</v>
      </c>
      <c r="C28" s="4"/>
      <c r="D28" s="4">
        <v>1.04</v>
      </c>
      <c r="E28" s="4"/>
      <c r="F28" s="5">
        <f>D28*SQRT(1/J24)</f>
        <v>0.73620170096490034</v>
      </c>
      <c r="G28" s="4"/>
      <c r="H28" s="4"/>
      <c r="I28" s="5">
        <f>$K$19*MIN(1.8,1+F28+0.6*D28^0.24*$I$18^0.33*(1-EXP(2-2*$I$19)))</f>
        <v>0</v>
      </c>
      <c r="J28" s="6">
        <f>(1-$K$19)*MIN(1.8, 1+F28)</f>
        <v>1.7362017009649002</v>
      </c>
      <c r="K28" s="4"/>
      <c r="L28" s="4">
        <f>MAX(I28,J28)*$J$24</f>
        <v>3.4647605265110966</v>
      </c>
      <c r="M28" s="4"/>
      <c r="N28" s="4"/>
      <c r="O28" s="7">
        <f>ROUND(L28*$E$12/100,0)*100</f>
        <v>100</v>
      </c>
    </row>
    <row r="29" spans="2:22" x14ac:dyDescent="0.25">
      <c r="B29" s="46" t="s">
        <v>19</v>
      </c>
      <c r="C29" s="8"/>
      <c r="D29" s="8">
        <v>1.28</v>
      </c>
      <c r="E29" s="8"/>
      <c r="F29" s="9">
        <f>D29*SQRT(1/J24)</f>
        <v>0.90609440118756968</v>
      </c>
      <c r="G29" s="8"/>
      <c r="H29" s="8"/>
      <c r="I29" s="9">
        <f>$K$19*MIN(1.8,1+F29+0.6*D29^0.24*$I$18^0.33*(1-EXP(2-2*$I$19)))</f>
        <v>0</v>
      </c>
      <c r="J29" s="10">
        <f>(1-$K$19)*MIN(1.8, 1+F29)</f>
        <v>1.8</v>
      </c>
      <c r="K29" s="8"/>
      <c r="L29" s="8">
        <f>MAX(I29,J29)*$J$24</f>
        <v>3.592076280223651</v>
      </c>
      <c r="M29" s="8"/>
      <c r="N29" s="8"/>
      <c r="O29" s="11">
        <f>ROUND(L29*$E$12/100,0)*100</f>
        <v>100</v>
      </c>
    </row>
    <row r="30" spans="2:22" x14ac:dyDescent="0.25">
      <c r="B30" s="47" t="s">
        <v>20</v>
      </c>
      <c r="C30" s="12"/>
      <c r="D30" s="12">
        <v>1.64</v>
      </c>
      <c r="E30" s="12"/>
      <c r="F30" s="13">
        <f>D30*SQRT(1/J24)</f>
        <v>1.1609334515215735</v>
      </c>
      <c r="G30" s="12"/>
      <c r="H30" s="12"/>
      <c r="I30" s="13">
        <f>$K$19*MIN(1.8,1+F30+0.6*D30^0.24*$I$18^0.33*(1-EXP(2-2*$I$19)))</f>
        <v>0</v>
      </c>
      <c r="J30" s="14">
        <f>(1-$K$19)*MIN(1.8, 1+F30)</f>
        <v>1.8</v>
      </c>
      <c r="K30" s="12"/>
      <c r="L30" s="12">
        <f>MAX(I30,J30)*$J$24</f>
        <v>3.592076280223651</v>
      </c>
      <c r="M30" s="12"/>
      <c r="N30" s="12"/>
      <c r="O30" s="15">
        <f>ROUND(L30*$E$12/100,0)*100</f>
        <v>100</v>
      </c>
    </row>
  </sheetData>
  <conditionalFormatting sqref="M22:R22">
    <cfRule type="cellIs" dxfId="45" priority="1" operator="equal">
      <formula>0</formula>
    </cfRule>
    <cfRule type="cellIs" dxfId="44" priority="2" operator="equal">
      <formula>0</formula>
    </cfRule>
    <cfRule type="cellIs" dxfId="43" priority="3" operator="equal">
      <formula>0</formula>
    </cfRule>
  </conditionalFormatting>
  <pageMargins left="0.7" right="0.7" top="0.75" bottom="0.75" header="0.3" footer="0.3"/>
  <pageSetup orientation="portrait" horizontalDpi="300" verticalDpi="30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V28"/>
  <sheetViews>
    <sheetView showGridLines="0" topLeftCell="E1" zoomScaleNormal="100" workbookViewId="0">
      <selection activeCell="Q15" sqref="Q15"/>
    </sheetView>
  </sheetViews>
  <sheetFormatPr defaultRowHeight="15" x14ac:dyDescent="0.25"/>
  <cols>
    <col min="1" max="2" width="0" style="497" hidden="1" customWidth="1"/>
    <col min="3" max="3" width="3.140625" style="497" hidden="1" customWidth="1"/>
    <col min="4" max="4" width="4.140625" style="497" hidden="1" customWidth="1"/>
    <col min="5" max="5" width="2.42578125" style="497" customWidth="1"/>
    <col min="6" max="6" width="11.5703125" style="497" customWidth="1"/>
    <col min="7" max="7" width="11" style="497" customWidth="1"/>
    <col min="8" max="8" width="21.28515625" style="497" customWidth="1"/>
    <col min="9" max="9" width="12.42578125" style="497" customWidth="1"/>
    <col min="10" max="10" width="11" style="497" customWidth="1"/>
    <col min="11" max="11" width="11.7109375" style="497" customWidth="1"/>
    <col min="12" max="12" width="16.28515625" style="497" customWidth="1"/>
    <col min="13" max="13" width="0" style="497" hidden="1" customWidth="1"/>
    <col min="14" max="14" width="9.140625" style="497"/>
    <col min="15" max="15" width="10.28515625" style="497" customWidth="1"/>
    <col min="16" max="16" width="11.85546875" style="497" customWidth="1"/>
    <col min="17" max="17" width="9.140625" style="497"/>
    <col min="18" max="18" width="15.7109375" style="497" customWidth="1"/>
    <col min="19" max="19" width="8.85546875" style="497" customWidth="1"/>
    <col min="20" max="20" width="23.28515625" style="497" customWidth="1"/>
    <col min="21" max="21" width="18.28515625" style="497" customWidth="1"/>
    <col min="22" max="22" width="20.85546875" style="497" customWidth="1"/>
    <col min="23" max="16384" width="9.140625" style="497"/>
  </cols>
  <sheetData>
    <row r="1" spans="6:22" ht="15.75" thickBot="1" x14ac:dyDescent="0.3"/>
    <row r="2" spans="6:22" ht="21.75" thickBot="1" x14ac:dyDescent="0.4">
      <c r="K2" s="349" t="str">
        <f>'APP-BASELINE2'!G6</f>
        <v>HYPOTHETICAL SITE</v>
      </c>
      <c r="L2" s="348"/>
      <c r="M2" s="348"/>
      <c r="N2" s="348"/>
      <c r="O2" s="348"/>
      <c r="P2" s="347"/>
    </row>
    <row r="3" spans="6:22" ht="15.75" thickBot="1" x14ac:dyDescent="0.3"/>
    <row r="4" spans="6:22" ht="19.5" thickBot="1" x14ac:dyDescent="0.35">
      <c r="J4" s="104" t="s">
        <v>88</v>
      </c>
      <c r="K4" s="105"/>
      <c r="L4" s="105"/>
      <c r="M4" s="105"/>
      <c r="N4" s="106" t="str">
        <f>'APP-BASELINE2'!F23</f>
        <v>III</v>
      </c>
      <c r="O4" s="106" t="str">
        <f>'APP-BASELINE2'!I23</f>
        <v>2-CTL'S+SHARED ATL</v>
      </c>
      <c r="P4" s="26"/>
      <c r="Q4" s="27"/>
    </row>
    <row r="5" spans="6:22" ht="15.75" thickBot="1" x14ac:dyDescent="0.3"/>
    <row r="6" spans="6:22" x14ac:dyDescent="0.25">
      <c r="F6" s="44"/>
      <c r="G6" s="29"/>
      <c r="H6" s="29"/>
      <c r="I6" s="86" t="s">
        <v>97</v>
      </c>
      <c r="J6" s="44"/>
      <c r="K6" s="29"/>
      <c r="L6" s="29"/>
      <c r="M6" s="29"/>
      <c r="N6" s="29"/>
      <c r="O6" s="29"/>
      <c r="P6" s="29"/>
      <c r="Q6" s="86" t="s">
        <v>226</v>
      </c>
      <c r="R6" s="18"/>
      <c r="S6" s="18"/>
      <c r="T6" s="86" t="s">
        <v>127</v>
      </c>
      <c r="U6" s="86" t="s">
        <v>126</v>
      </c>
      <c r="V6" s="346" t="s">
        <v>126</v>
      </c>
    </row>
    <row r="7" spans="6:22" ht="16.5" thickBot="1" x14ac:dyDescent="0.3">
      <c r="F7" s="71" t="s">
        <v>67</v>
      </c>
      <c r="G7" s="30"/>
      <c r="H7" s="30"/>
      <c r="I7" s="75" t="s">
        <v>95</v>
      </c>
      <c r="J7" s="107" t="s">
        <v>65</v>
      </c>
      <c r="K7" s="108" t="s">
        <v>66</v>
      </c>
      <c r="L7" s="108" t="s">
        <v>73</v>
      </c>
      <c r="M7" s="108" t="s">
        <v>68</v>
      </c>
      <c r="N7" s="108" t="s">
        <v>69</v>
      </c>
      <c r="O7" s="108" t="s">
        <v>70</v>
      </c>
      <c r="P7" s="108" t="s">
        <v>71</v>
      </c>
      <c r="Q7" s="75" t="s">
        <v>72</v>
      </c>
      <c r="R7" s="78" t="s">
        <v>74</v>
      </c>
      <c r="S7" s="8"/>
      <c r="T7" s="345" t="s">
        <v>198</v>
      </c>
      <c r="U7" s="345" t="s">
        <v>113</v>
      </c>
      <c r="V7" s="344" t="s">
        <v>197</v>
      </c>
    </row>
    <row r="8" spans="6:22" ht="16.5" thickBot="1" x14ac:dyDescent="0.3">
      <c r="F8" s="69"/>
      <c r="G8" s="343"/>
      <c r="H8" s="70"/>
      <c r="I8" s="76" t="s">
        <v>76</v>
      </c>
      <c r="J8" s="69"/>
      <c r="K8" s="70"/>
      <c r="L8" s="70"/>
      <c r="M8" s="70"/>
      <c r="N8" s="70"/>
      <c r="O8" s="70"/>
      <c r="P8" s="70"/>
      <c r="Q8" s="76" t="s">
        <v>77</v>
      </c>
      <c r="R8" s="78" t="s">
        <v>75</v>
      </c>
      <c r="S8" s="339" t="s">
        <v>71</v>
      </c>
      <c r="T8" s="342" t="s">
        <v>112</v>
      </c>
      <c r="U8" s="342" t="s">
        <v>124</v>
      </c>
      <c r="V8" s="341" t="s">
        <v>124</v>
      </c>
    </row>
    <row r="9" spans="6:22" ht="15.75" thickBot="1" x14ac:dyDescent="0.3">
      <c r="F9" s="20"/>
      <c r="G9" s="8"/>
      <c r="H9" s="8"/>
      <c r="I9" s="8"/>
      <c r="J9" s="242"/>
      <c r="K9" s="299"/>
      <c r="L9" s="299"/>
      <c r="M9" s="299"/>
      <c r="N9" s="299"/>
      <c r="O9" s="299"/>
      <c r="P9" s="299"/>
      <c r="Q9" s="53"/>
      <c r="R9" s="44"/>
      <c r="S9" s="74"/>
      <c r="T9" s="51"/>
      <c r="U9" s="21"/>
      <c r="V9" s="51"/>
    </row>
    <row r="10" spans="6:22" ht="16.5" thickBot="1" x14ac:dyDescent="0.3">
      <c r="F10" s="89" t="s">
        <v>196</v>
      </c>
      <c r="G10" s="90"/>
      <c r="H10" s="340" t="s">
        <v>194</v>
      </c>
      <c r="I10" s="339">
        <f>'APP-BASELINE2'!F14</f>
        <v>25</v>
      </c>
      <c r="J10" s="319">
        <f>'APP-BASELINE2'!F29</f>
        <v>234</v>
      </c>
      <c r="K10" s="318">
        <v>0</v>
      </c>
      <c r="L10" s="318">
        <f>J10+K10</f>
        <v>234</v>
      </c>
      <c r="M10" s="318">
        <f>'APP-BASELINE2'!N5</f>
        <v>1.038888888888889</v>
      </c>
      <c r="N10" s="317">
        <f>L10/('APP-BASELINE2'!F12*0.5*'APP-BASELINE2'!F14/'APP-BASELINE2'!F15)</f>
        <v>1.1440000000000001</v>
      </c>
      <c r="O10" s="316">
        <f>'APP-BASELINE2'!F35</f>
        <v>145.91489656255516</v>
      </c>
      <c r="P10" s="219" t="e">
        <f>IF('SUMMARY 22'!O10&gt;#REF!,#REF!,IF('SUMMARY 22'!O10&gt;#REF!,#REF!,IF('SUMMARY 22'!O10&gt;#REF!,#REF!,IF('SUMMARY 22'!O10&gt;#REF!,#REF!,IF('SUMMARY 22'!O10&gt;#REF!,#REF!,#REF!)))))</f>
        <v>#REF!</v>
      </c>
      <c r="Q10" s="225">
        <f>'APP-BASELINE2'!Q46</f>
        <v>530</v>
      </c>
      <c r="S10" s="49"/>
      <c r="T10" s="49"/>
      <c r="U10" s="21"/>
      <c r="V10" s="49"/>
    </row>
    <row r="11" spans="6:22" ht="19.5" thickBot="1" x14ac:dyDescent="0.35">
      <c r="F11" s="44" t="s">
        <v>195</v>
      </c>
      <c r="G11" s="29"/>
      <c r="H11" s="338" t="s">
        <v>194</v>
      </c>
      <c r="I11" s="337">
        <f>'APP-BASELINE2'!F14</f>
        <v>25</v>
      </c>
      <c r="J11" s="336">
        <f>'APP-BASELINE2'!Q9</f>
        <v>191</v>
      </c>
      <c r="K11" s="335">
        <f>'APP-BASELINE2'!F10</f>
        <v>75</v>
      </c>
      <c r="L11" s="335">
        <f>J11+K11</f>
        <v>266</v>
      </c>
      <c r="M11" s="335">
        <f>IF('APP-BASELINE2'!J9=2,'APP-BASELINE2'!N5,0)</f>
        <v>0</v>
      </c>
      <c r="N11" s="334">
        <f>'APP-BASELINE2'!K29</f>
        <v>1.1463271302644467</v>
      </c>
      <c r="O11" s="333">
        <f>'APP-BASELINE2'!L38</f>
        <v>146.7358932744504</v>
      </c>
      <c r="P11" s="219" t="e">
        <f>IF('SUMMARY 22'!O11&gt;#REF!,#REF!,IF('SUMMARY 22'!O11&gt;#REF!,#REF!,IF('SUMMARY 22'!O11&gt;#REF!,#REF!,IF('SUMMARY 22'!O11&gt;#REF!,#REF!,IF('SUMMARY 22'!O11&gt;#REF!,#REF!,#REF!)))))</f>
        <v>#REF!</v>
      </c>
      <c r="Q11" s="225">
        <f>Q10</f>
        <v>530</v>
      </c>
      <c r="R11" s="332">
        <f>(L10*O10+L11*O11)/(L11+L10)</f>
        <v>146.3516668132834</v>
      </c>
      <c r="S11" s="219" t="e">
        <f>IF('SUMMARY 22'!R11&gt;#REF!,#REF!,IF('SUMMARY 22'!R11&gt;#REF!,#REF!,IF('SUMMARY 22'!R11&gt;#REF!,#REF!,IF('SUMMARY 22'!R11&gt;#REF!,#REF!,IF('SUMMARY 22'!R11&gt;#REF!,#REF!,#REF!)))))</f>
        <v>#REF!</v>
      </c>
      <c r="T11" s="331">
        <f>MAX(Q10:Q11)</f>
        <v>530</v>
      </c>
      <c r="U11" s="21"/>
      <c r="V11" s="49"/>
    </row>
    <row r="12" spans="6:22" ht="16.5" thickBot="1" x14ac:dyDescent="0.3">
      <c r="F12" s="330"/>
      <c r="G12" s="40"/>
      <c r="H12" s="40"/>
      <c r="I12" s="315"/>
      <c r="J12" s="329">
        <f>IF('APP-BASELINE2'!$J$7=0,0,1)</f>
        <v>0</v>
      </c>
      <c r="K12" s="329">
        <f>IF('APP-BASELINE2'!$J$7=0,0,1)</f>
        <v>0</v>
      </c>
      <c r="L12" s="329">
        <f>IF('APP-BASELINE2'!$J$7=0,0,1)</f>
        <v>0</v>
      </c>
      <c r="M12" s="329">
        <f>IF('APP-BASELINE2'!$J$7=0,0,1)</f>
        <v>0</v>
      </c>
      <c r="N12" s="329">
        <f>IF('APP-BASELINE2'!$J$7=0,0,1)</f>
        <v>0</v>
      </c>
      <c r="O12" s="328">
        <f>IF('APP-BASELINE2'!$J$7=0,0,1)</f>
        <v>0</v>
      </c>
      <c r="P12" s="79"/>
      <c r="Q12" s="75"/>
      <c r="R12" s="78"/>
      <c r="S12" s="323"/>
      <c r="T12" s="75"/>
      <c r="U12" s="21"/>
      <c r="V12" s="49"/>
    </row>
    <row r="13" spans="6:22" ht="16.5" thickBot="1" x14ac:dyDescent="0.3">
      <c r="F13" s="71" t="str">
        <f>IF('APP-BASELINE2'!J7=1,"RT-EXCLUSIVE POCKET", "NO EXCLUSIVE RT- POCKET")</f>
        <v>NO EXCLUSIVE RT- POCKET</v>
      </c>
      <c r="G13" s="30"/>
      <c r="H13" s="30"/>
      <c r="I13" s="327" t="str">
        <f>IF('APP-BASELINE2'!J7=1,'ATL 22'!E10," ")</f>
        <v xml:space="preserve"> </v>
      </c>
      <c r="J13" s="78"/>
      <c r="K13" s="326">
        <f>IF('APP-BASELINE2'!J9 &gt;= 1,'APP-BASELINE2'!F10, 0)</f>
        <v>0</v>
      </c>
      <c r="L13" s="326">
        <f>IF('APP-BASELINE2'!J9&gt;=1,J13+K13,0)</f>
        <v>0</v>
      </c>
      <c r="M13" s="326"/>
      <c r="N13" s="325">
        <f>IF('APP-BASELINE2'!J9&gt;=1,'APP-BASELINE2'!F10/('APP-BASELINE2'!F13*'ATL 22'!I21),0)</f>
        <v>0</v>
      </c>
      <c r="O13" s="324">
        <f>IF('APP-BASELINE2'!J9&gt;=1,'APP-BASELINE2'!K35,0)</f>
        <v>0</v>
      </c>
      <c r="P13" s="219" t="str">
        <f>IF(L13=0,"",IF('SUMMARY 22'!O13&gt;#REF!,#REF!,IF('SUMMARY 22'!O13&gt;#REF!,#REF!,IF('SUMMARY 22'!O13&gt;#REF!,#REF!,IF('SUMMARY 22'!O13&gt;#REF!,#REF!,IF('SUMMARY 22'!O13&gt;#REF!,#REF!,#REF!))))))</f>
        <v/>
      </c>
      <c r="Q13" s="225" t="str">
        <f>IF(L13=0,"",IF('APP-BASELINE2'!J9&gt;=1,'APP-BASELINE2'!Q50," "))</f>
        <v/>
      </c>
      <c r="R13" s="78"/>
      <c r="S13" s="323"/>
      <c r="T13" s="75"/>
      <c r="U13" s="21"/>
      <c r="V13" s="49"/>
    </row>
    <row r="14" spans="6:22" ht="16.5" thickBot="1" x14ac:dyDescent="0.3">
      <c r="F14" s="114" t="str">
        <f>IF('COMBINED INPUT'!G9="N","ATL",IF('APP-BASELINE2'!F23="II", "NO- ATL","ATL"))</f>
        <v>ATL</v>
      </c>
      <c r="G14" s="322" t="str">
        <f>IF('APP-BASELINE2'!J9=0,"SHARED** "," ")</f>
        <v xml:space="preserve">SHARED** </v>
      </c>
      <c r="H14" s="321" t="str">
        <f>IF('APP-BASELINE2'!J9=2,"EXCLUSIVE ", " ")</f>
        <v xml:space="preserve"> </v>
      </c>
      <c r="I14" s="320">
        <f>IF('APP-BASELINE2'!J9=1," ",'APP-BASELINE2'!F15)</f>
        <v>110</v>
      </c>
      <c r="J14" s="319">
        <f>IF('COMBINED INPUT2'!G9="N",'ATL 22'!E18,IF('APP-BASELINE2'!J9=1,0, 'ATL 22'!E18))</f>
        <v>84</v>
      </c>
      <c r="K14" s="318">
        <f>IF('COMBINED INPUT2'!G9="N",'ATL 22'!E7,IF('APP-BASELINE2'!J7=1,0, 'ATL 22'!E7))</f>
        <v>75</v>
      </c>
      <c r="L14" s="318">
        <f>IF('COMBINED INPUT2'!G9="N",'SUMMARY 22'!J14+'SUMMARY 22'!K14,IF('APP-BASELINE2'!J9=1,0, J14+K14))</f>
        <v>159</v>
      </c>
      <c r="M14" s="318">
        <f>IF('APP-BASELINE2'!M9=1," ", 0)</f>
        <v>0</v>
      </c>
      <c r="N14" s="317">
        <f>IF('APP-BASELINE2'!J9=1,0,'ATL 22'!I22)</f>
        <v>0.62464285714285717</v>
      </c>
      <c r="O14" s="316">
        <f>IF('COMBINED INPUT2'!G9="N",'ATL 22'!J25,IF('APP-BASELINE2'!J9=1,0,'ATL 22'!J25))</f>
        <v>49.320006010750539</v>
      </c>
      <c r="P14" s="219" t="e">
        <f>IF(L14=0,"",IF('SUMMARY 22'!O14&gt;#REF!,#REF!,IF('SUMMARY 22'!O14&gt;#REF!,#REF!,IF('SUMMARY 22'!O14&gt;#REF!,#REF!,IF('SUMMARY 22'!O14&gt;#REF!,#REF!,IF('SUMMARY 22'!O14&gt;#REF!,#REF!,#REF!))))))</f>
        <v>#REF!</v>
      </c>
      <c r="Q14" s="225">
        <f>IF('COMBINED INPUT2'!G9="N",'ATL 22'!O33,IF('APP-BASELINE2'!J9=1," ",'ATL 22'!O33))</f>
        <v>200</v>
      </c>
      <c r="R14" s="314"/>
      <c r="S14" s="238"/>
      <c r="T14" s="75"/>
      <c r="U14" s="21"/>
      <c r="V14" s="49"/>
    </row>
    <row r="15" spans="6:22" ht="16.5" thickBot="1" x14ac:dyDescent="0.3">
      <c r="F15" s="89" t="s">
        <v>290</v>
      </c>
      <c r="G15" s="90"/>
      <c r="H15" s="116"/>
      <c r="I15" s="315">
        <f>'2-CTL2'!E9</f>
        <v>25</v>
      </c>
      <c r="J15" s="314">
        <f>'2-CTL2'!E16</f>
        <v>341</v>
      </c>
      <c r="K15" s="313">
        <v>0</v>
      </c>
      <c r="L15" s="313">
        <f>J15+K15</f>
        <v>341</v>
      </c>
      <c r="M15" s="313">
        <f>'2-CTL2'!L6</f>
        <v>1.038888888888889</v>
      </c>
      <c r="N15" s="312">
        <f>'2-CTL2'!I20</f>
        <v>0.87537922987164529</v>
      </c>
      <c r="O15" s="311">
        <f>'2-CTL2'!J23</f>
        <v>64.010951256362716</v>
      </c>
      <c r="P15" s="219" t="e">
        <f>IF('SUMMARY 22'!O15&gt;#REF!,#REF!,IF('SUMMARY 22'!O15&gt;#REF!,#REF!,IF('SUMMARY 22'!O15&gt;#REF!,#REF!,IF('SUMMARY 22'!O15&gt;#REF!,#REF!,IF('SUMMARY 22'!O15&gt;#REF!,#REF!,#REF!)))))</f>
        <v>#REF!</v>
      </c>
      <c r="Q15" s="225">
        <f>'2-CTL2'!O31</f>
        <v>300</v>
      </c>
      <c r="R15" s="20"/>
      <c r="S15" s="49"/>
      <c r="T15" s="49"/>
      <c r="U15" s="21"/>
      <c r="V15" s="49"/>
    </row>
    <row r="16" spans="6:22" ht="15.75" thickBot="1" x14ac:dyDescent="0.3">
      <c r="J16" s="1"/>
      <c r="K16" s="1"/>
      <c r="L16" s="1"/>
      <c r="M16" s="1"/>
      <c r="N16" s="1"/>
      <c r="O16" s="1"/>
      <c r="P16" s="1"/>
      <c r="Q16" s="1"/>
      <c r="R16" s="20"/>
      <c r="S16" s="49"/>
      <c r="T16" s="130"/>
      <c r="U16" s="21"/>
      <c r="V16" s="49"/>
    </row>
    <row r="17" spans="6:22" ht="19.5" thickBot="1" x14ac:dyDescent="0.35">
      <c r="F17" s="110" t="s">
        <v>93</v>
      </c>
      <c r="G17" s="111"/>
      <c r="H17" s="111"/>
      <c r="I17" s="111"/>
      <c r="J17" s="112"/>
      <c r="K17" s="112"/>
      <c r="L17" s="112"/>
      <c r="M17" s="112"/>
      <c r="N17" s="112"/>
      <c r="O17" s="112"/>
      <c r="P17" s="113"/>
      <c r="Q17" s="27"/>
      <c r="R17" s="310">
        <f>(L14*O14+L15*O15+L12*L13*O13)/(L12*L13+L14+L15)</f>
        <v>59.33923066825804</v>
      </c>
      <c r="S17" s="219" t="e">
        <f>IF('SUMMARY 22'!R17&gt;#REF!,#REF!,IF('SUMMARY 22'!R17&gt;#REF!,#REF!,IF('SUMMARY 22'!R17&gt;#REF!,#REF!,IF('SUMMARY 22'!R17&gt;#REF!,#REF!,IF('SUMMARY 22'!R17&gt;#REF!,#REF!,#REF!)))))</f>
        <v>#REF!</v>
      </c>
      <c r="T17" s="309">
        <f>MAX(Q13:Q15)</f>
        <v>300</v>
      </c>
      <c r="U17" s="309">
        <f>ROUND(('ATL 22'!L15+('APP-BASELINE2'!F17+'ATL 22'!L16)*('ATL 22'!L14-1)-'APP-BASELINE2'!F19)/10,0)*10</f>
        <v>130</v>
      </c>
      <c r="V17" s="309">
        <f>ROUND(('APP-BASELINE2'!F11*22/15*'2-CTL2'!L15)/10,0)*10</f>
        <v>100</v>
      </c>
    </row>
    <row r="18" spans="6:22" ht="15.75" thickBot="1" x14ac:dyDescent="0.3">
      <c r="F18" s="36"/>
      <c r="G18" s="30"/>
      <c r="H18" s="30"/>
      <c r="I18" s="30"/>
      <c r="J18" s="8"/>
      <c r="K18" s="8"/>
      <c r="L18" s="8"/>
      <c r="M18" s="8"/>
      <c r="N18" s="8"/>
      <c r="O18" s="8"/>
      <c r="P18" s="8"/>
      <c r="Q18" s="49"/>
      <c r="R18" s="20"/>
      <c r="S18" s="49"/>
      <c r="T18" s="49"/>
      <c r="U18" s="49"/>
      <c r="V18" s="49"/>
    </row>
    <row r="19" spans="6:22" ht="19.5" thickBot="1" x14ac:dyDescent="0.35">
      <c r="F19" s="52" t="s">
        <v>78</v>
      </c>
      <c r="G19" s="40"/>
      <c r="H19" s="40"/>
      <c r="I19" s="40"/>
      <c r="J19" s="26"/>
      <c r="K19" s="26"/>
      <c r="L19" s="26"/>
      <c r="M19" s="26"/>
      <c r="N19" s="26"/>
      <c r="O19" s="26"/>
      <c r="P19" s="26"/>
      <c r="Q19" s="38" t="s">
        <v>79</v>
      </c>
      <c r="R19" s="125">
        <f>(L10*O10+L11*O11-SUM(L10:L11)*R17)/3600</f>
        <v>12.085060575697968</v>
      </c>
      <c r="S19" s="38"/>
      <c r="T19" s="38"/>
      <c r="U19" s="130"/>
      <c r="V19" s="130"/>
    </row>
    <row r="20" spans="6:22" ht="15.75" thickBot="1" x14ac:dyDescent="0.3"/>
    <row r="21" spans="6:22" ht="19.5" thickBot="1" x14ac:dyDescent="0.35">
      <c r="F21" s="17" t="s">
        <v>137</v>
      </c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 t="s">
        <v>79</v>
      </c>
      <c r="R21" s="308">
        <f>R19*2*5*50</f>
        <v>6042.5302878489838</v>
      </c>
    </row>
    <row r="22" spans="6:22" ht="19.5" thickBot="1" x14ac:dyDescent="0.35">
      <c r="F22" s="109" t="s">
        <v>81</v>
      </c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>
        <v>10</v>
      </c>
      <c r="R22" s="93">
        <f>Q22*R21</f>
        <v>60425.302878489834</v>
      </c>
    </row>
    <row r="23" spans="6:22" x14ac:dyDescent="0.25">
      <c r="F23" s="497" t="s">
        <v>192</v>
      </c>
      <c r="I23" s="497" t="s">
        <v>191</v>
      </c>
    </row>
    <row r="24" spans="6:22" x14ac:dyDescent="0.25">
      <c r="I24" s="103">
        <f>'ATL 22'!L8</f>
        <v>84</v>
      </c>
    </row>
    <row r="25" spans="6:22" x14ac:dyDescent="0.25">
      <c r="F25" s="497" t="s">
        <v>190</v>
      </c>
    </row>
    <row r="28" spans="6:22" x14ac:dyDescent="0.25">
      <c r="S28" s="92"/>
    </row>
  </sheetData>
  <conditionalFormatting sqref="J14">
    <cfRule type="expression" dxfId="42" priority="43">
      <formula>$J$14=$I$24</formula>
    </cfRule>
  </conditionalFormatting>
  <conditionalFormatting sqref="P10">
    <cfRule type="cellIs" dxfId="41" priority="37" operator="equal">
      <formula>"A"</formula>
    </cfRule>
    <cfRule type="cellIs" dxfId="40" priority="38" operator="equal">
      <formula>"B"</formula>
    </cfRule>
    <cfRule type="cellIs" dxfId="39" priority="39" operator="equal">
      <formula>"C"</formula>
    </cfRule>
    <cfRule type="cellIs" dxfId="38" priority="40" operator="equal">
      <formula>"D"</formula>
    </cfRule>
    <cfRule type="cellIs" dxfId="37" priority="41" operator="equal">
      <formula>"E"</formula>
    </cfRule>
    <cfRule type="cellIs" dxfId="36" priority="42" operator="equal">
      <formula>"F"</formula>
    </cfRule>
  </conditionalFormatting>
  <conditionalFormatting sqref="P11">
    <cfRule type="cellIs" dxfId="35" priority="31" operator="equal">
      <formula>"A"</formula>
    </cfRule>
    <cfRule type="cellIs" dxfId="34" priority="32" operator="equal">
      <formula>"B"</formula>
    </cfRule>
    <cfRule type="cellIs" dxfId="33" priority="33" operator="equal">
      <formula>"C"</formula>
    </cfRule>
    <cfRule type="cellIs" dxfId="32" priority="34" operator="equal">
      <formula>"D"</formula>
    </cfRule>
    <cfRule type="cellIs" dxfId="31" priority="35" operator="equal">
      <formula>"E"</formula>
    </cfRule>
    <cfRule type="cellIs" dxfId="30" priority="36" operator="equal">
      <formula>"F"</formula>
    </cfRule>
  </conditionalFormatting>
  <conditionalFormatting sqref="P13">
    <cfRule type="cellIs" dxfId="29" priority="25" operator="equal">
      <formula>"A"</formula>
    </cfRule>
    <cfRule type="cellIs" dxfId="28" priority="26" operator="equal">
      <formula>"B"</formula>
    </cfRule>
    <cfRule type="cellIs" dxfId="27" priority="27" operator="equal">
      <formula>"C"</formula>
    </cfRule>
    <cfRule type="cellIs" dxfId="26" priority="28" operator="equal">
      <formula>"D"</formula>
    </cfRule>
    <cfRule type="cellIs" dxfId="25" priority="29" operator="equal">
      <formula>"E"</formula>
    </cfRule>
    <cfRule type="cellIs" dxfId="24" priority="30" operator="equal">
      <formula>"F"</formula>
    </cfRule>
  </conditionalFormatting>
  <conditionalFormatting sqref="P14">
    <cfRule type="cellIs" dxfId="23" priority="19" operator="equal">
      <formula>"A"</formula>
    </cfRule>
    <cfRule type="cellIs" dxfId="22" priority="20" operator="equal">
      <formula>"B"</formula>
    </cfRule>
    <cfRule type="cellIs" dxfId="21" priority="21" operator="equal">
      <formula>"C"</formula>
    </cfRule>
    <cfRule type="cellIs" dxfId="20" priority="22" operator="equal">
      <formula>"D"</formula>
    </cfRule>
    <cfRule type="cellIs" dxfId="19" priority="23" operator="equal">
      <formula>"E"</formula>
    </cfRule>
    <cfRule type="cellIs" dxfId="18" priority="24" operator="equal">
      <formula>"F"</formula>
    </cfRule>
  </conditionalFormatting>
  <conditionalFormatting sqref="P15">
    <cfRule type="cellIs" dxfId="17" priority="13" operator="equal">
      <formula>"A"</formula>
    </cfRule>
    <cfRule type="cellIs" dxfId="16" priority="14" operator="equal">
      <formula>"B"</formula>
    </cfRule>
    <cfRule type="cellIs" dxfId="15" priority="15" operator="equal">
      <formula>"C"</formula>
    </cfRule>
    <cfRule type="cellIs" dxfId="14" priority="16" operator="equal">
      <formula>"D"</formula>
    </cfRule>
    <cfRule type="cellIs" dxfId="13" priority="17" operator="equal">
      <formula>"E"</formula>
    </cfRule>
    <cfRule type="cellIs" dxfId="12" priority="18" operator="equal">
      <formula>"F"</formula>
    </cfRule>
  </conditionalFormatting>
  <conditionalFormatting sqref="S11">
    <cfRule type="cellIs" dxfId="11" priority="7" operator="equal">
      <formula>"A"</formula>
    </cfRule>
    <cfRule type="cellIs" dxfId="10" priority="8" operator="equal">
      <formula>"B"</formula>
    </cfRule>
    <cfRule type="cellIs" dxfId="9" priority="9" operator="equal">
      <formula>"C"</formula>
    </cfRule>
    <cfRule type="cellIs" dxfId="8" priority="10" operator="equal">
      <formula>"D"</formula>
    </cfRule>
    <cfRule type="cellIs" dxfId="7" priority="11" operator="equal">
      <formula>"E"</formula>
    </cfRule>
    <cfRule type="cellIs" dxfId="6" priority="12" operator="equal">
      <formula>"F"</formula>
    </cfRule>
  </conditionalFormatting>
  <conditionalFormatting sqref="S17">
    <cfRule type="cellIs" dxfId="5" priority="1" operator="equal">
      <formula>"A"</formula>
    </cfRule>
    <cfRule type="cellIs" dxfId="4" priority="2" operator="equal">
      <formula>"B"</formula>
    </cfRule>
    <cfRule type="cellIs" dxfId="3" priority="3" operator="equal">
      <formula>"C"</formula>
    </cfRule>
    <cfRule type="cellIs" dxfId="2" priority="4" operator="equal">
      <formula>"D"</formula>
    </cfRule>
    <cfRule type="cellIs" dxfId="1" priority="5" operator="equal">
      <formula>"E"</formula>
    </cfRule>
    <cfRule type="cellIs" dxfId="0" priority="6" operator="equal">
      <formula>"F"</formula>
    </cfRule>
  </conditionalFormatting>
  <pageMargins left="0.7" right="0.7" top="0.75" bottom="0.75" header="0.3" footer="0.3"/>
  <pageSetup orientation="portrait" horizontalDpi="300" verticalDpi="300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1"/>
  <sheetViews>
    <sheetView showGridLines="0" tabSelected="1" zoomScale="55" zoomScaleNormal="55" workbookViewId="0"/>
  </sheetViews>
  <sheetFormatPr defaultRowHeight="15" x14ac:dyDescent="0.25"/>
  <cols>
    <col min="1" max="1" width="10" customWidth="1"/>
    <col min="2" max="2" width="20.5703125" customWidth="1"/>
    <col min="3" max="3" width="19" style="497" customWidth="1"/>
    <col min="4" max="4" width="30" style="497" customWidth="1"/>
    <col min="5" max="5" width="21.85546875" customWidth="1"/>
    <col min="6" max="6" width="27.140625" customWidth="1"/>
    <col min="7" max="8" width="22.42578125" customWidth="1"/>
    <col min="9" max="9" width="19" customWidth="1"/>
    <col min="10" max="11" width="13.42578125" customWidth="1"/>
    <col min="12" max="12" width="15.5703125" customWidth="1"/>
    <col min="13" max="13" width="17" customWidth="1"/>
    <col min="14" max="14" width="14.28515625" customWidth="1"/>
    <col min="15" max="15" width="17.7109375" customWidth="1"/>
  </cols>
  <sheetData>
    <row r="1" spans="1:15" x14ac:dyDescent="0.25">
      <c r="A1" s="516"/>
      <c r="B1" s="516"/>
      <c r="C1" s="516"/>
      <c r="D1" s="516"/>
      <c r="E1" s="516"/>
      <c r="F1" s="516"/>
      <c r="G1" s="516"/>
      <c r="H1" s="516"/>
      <c r="I1" s="516"/>
      <c r="J1" s="498"/>
      <c r="K1" s="498"/>
      <c r="L1" s="498"/>
      <c r="M1" s="498"/>
      <c r="N1" s="498"/>
      <c r="O1" s="498"/>
    </row>
    <row r="2" spans="1:15" ht="26.25" x14ac:dyDescent="0.4">
      <c r="A2" s="656" t="s">
        <v>232</v>
      </c>
      <c r="B2" s="656"/>
      <c r="C2" s="656"/>
      <c r="D2" s="656"/>
      <c r="E2" s="656"/>
      <c r="F2" s="656"/>
      <c r="G2" s="656"/>
      <c r="H2" s="656"/>
      <c r="I2" s="656"/>
      <c r="J2" s="498"/>
      <c r="K2" s="498"/>
      <c r="L2" s="498"/>
      <c r="M2" s="498"/>
      <c r="N2" s="498"/>
      <c r="O2" s="498"/>
    </row>
    <row r="3" spans="1:15" ht="26.25" x14ac:dyDescent="0.4">
      <c r="A3" s="656" t="s">
        <v>299</v>
      </c>
      <c r="B3" s="656"/>
      <c r="C3" s="656"/>
      <c r="D3" s="656"/>
      <c r="E3" s="656"/>
      <c r="F3" s="656"/>
      <c r="G3" s="656"/>
      <c r="H3" s="656"/>
      <c r="I3" s="656"/>
      <c r="J3" s="498"/>
      <c r="K3" s="498"/>
      <c r="L3" s="498"/>
      <c r="M3" s="498"/>
      <c r="N3" s="498"/>
      <c r="O3" s="498"/>
    </row>
    <row r="4" spans="1:15" s="497" customFormat="1" ht="15.75" x14ac:dyDescent="0.25">
      <c r="A4" s="513"/>
      <c r="B4" s="513"/>
      <c r="C4" s="513"/>
      <c r="D4" s="513"/>
      <c r="E4" s="513"/>
      <c r="F4" s="513"/>
      <c r="G4" s="513"/>
      <c r="H4" s="513"/>
      <c r="I4" s="513"/>
      <c r="J4" s="498"/>
      <c r="K4" s="498"/>
      <c r="L4" s="498"/>
      <c r="M4" s="498"/>
      <c r="N4" s="498"/>
      <c r="O4" s="498"/>
    </row>
    <row r="5" spans="1:15" ht="16.5" thickBot="1" x14ac:dyDescent="0.3">
      <c r="A5" s="498"/>
      <c r="B5" s="498"/>
      <c r="C5" s="498"/>
      <c r="D5" s="498"/>
      <c r="E5" s="498"/>
      <c r="F5" s="499"/>
      <c r="G5" s="498"/>
      <c r="H5" s="498"/>
      <c r="I5" s="498"/>
      <c r="J5" s="498"/>
      <c r="K5" s="498"/>
      <c r="L5" s="498"/>
      <c r="M5" s="498"/>
      <c r="N5" s="498"/>
      <c r="O5" s="498"/>
    </row>
    <row r="6" spans="1:15" ht="18.75" x14ac:dyDescent="0.3">
      <c r="A6" s="541" t="s">
        <v>247</v>
      </c>
      <c r="B6" s="542"/>
      <c r="C6" s="542"/>
      <c r="D6" s="543"/>
      <c r="E6" s="500"/>
      <c r="F6" s="501"/>
      <c r="G6" s="502"/>
      <c r="H6" s="502"/>
      <c r="I6" s="498"/>
      <c r="J6" s="498"/>
      <c r="K6" s="498"/>
      <c r="L6" s="498"/>
      <c r="M6" s="498"/>
      <c r="N6" s="498"/>
      <c r="O6" s="498"/>
    </row>
    <row r="7" spans="1:15" ht="18.75" x14ac:dyDescent="0.3">
      <c r="A7" s="544" t="s">
        <v>248</v>
      </c>
      <c r="B7" s="545"/>
      <c r="C7" s="545"/>
      <c r="D7" s="546"/>
      <c r="E7" s="500"/>
      <c r="F7" s="501"/>
      <c r="G7" s="502"/>
      <c r="H7" s="502"/>
      <c r="I7" s="498"/>
      <c r="J7" s="498"/>
      <c r="K7" s="498"/>
      <c r="L7" s="498"/>
      <c r="M7" s="498"/>
      <c r="N7" s="498"/>
      <c r="O7" s="498"/>
    </row>
    <row r="8" spans="1:15" ht="18.75" x14ac:dyDescent="0.3">
      <c r="A8" s="544" t="s">
        <v>249</v>
      </c>
      <c r="B8" s="545"/>
      <c r="C8" s="545"/>
      <c r="D8" s="546"/>
      <c r="E8" s="500"/>
      <c r="F8" s="501"/>
      <c r="G8" s="502"/>
      <c r="H8" s="502"/>
      <c r="I8" s="498"/>
      <c r="J8" s="498"/>
      <c r="K8" s="498"/>
      <c r="L8" s="498"/>
      <c r="M8" s="498"/>
      <c r="N8" s="498"/>
      <c r="O8" s="498"/>
    </row>
    <row r="9" spans="1:15" ht="18.75" x14ac:dyDescent="0.3">
      <c r="A9" s="544" t="s">
        <v>250</v>
      </c>
      <c r="B9" s="545"/>
      <c r="C9" s="545"/>
      <c r="D9" s="546"/>
      <c r="E9" s="500"/>
      <c r="F9" s="501"/>
      <c r="G9" s="502"/>
      <c r="H9" s="502"/>
      <c r="I9" s="498"/>
      <c r="J9" s="498"/>
      <c r="K9" s="498"/>
      <c r="L9" s="498"/>
      <c r="M9" s="498"/>
      <c r="N9" s="498"/>
      <c r="O9" s="498"/>
    </row>
    <row r="10" spans="1:15" ht="19.5" thickBot="1" x14ac:dyDescent="0.35">
      <c r="A10" s="547" t="s">
        <v>251</v>
      </c>
      <c r="B10" s="548"/>
      <c r="C10" s="548"/>
      <c r="D10" s="549"/>
      <c r="E10" s="500"/>
      <c r="F10" s="501"/>
      <c r="G10" s="502"/>
      <c r="H10" s="502"/>
      <c r="I10" s="498"/>
      <c r="J10" s="498"/>
      <c r="K10" s="498"/>
      <c r="L10" s="498"/>
      <c r="M10" s="498"/>
      <c r="N10" s="498"/>
      <c r="O10" s="498"/>
    </row>
    <row r="11" spans="1:15" ht="15.75" x14ac:dyDescent="0.25">
      <c r="A11" s="504"/>
      <c r="B11" s="504"/>
      <c r="C11" s="504"/>
      <c r="D11" s="504"/>
      <c r="E11" s="504"/>
      <c r="F11" s="501"/>
      <c r="G11" s="502"/>
      <c r="H11" s="502"/>
      <c r="I11" s="498"/>
      <c r="J11" s="498"/>
      <c r="K11" s="498"/>
      <c r="L11" s="498"/>
      <c r="M11" s="498"/>
      <c r="N11" s="498"/>
      <c r="O11" s="498"/>
    </row>
    <row r="12" spans="1:15" s="497" customFormat="1" ht="15.75" x14ac:dyDescent="0.25">
      <c r="A12" s="504"/>
      <c r="B12" s="504"/>
      <c r="C12" s="504"/>
      <c r="D12" s="504"/>
      <c r="E12" s="504"/>
      <c r="F12" s="501"/>
      <c r="G12" s="502"/>
      <c r="H12" s="502"/>
      <c r="I12" s="498"/>
      <c r="J12" s="498"/>
      <c r="K12" s="498"/>
      <c r="L12" s="498"/>
      <c r="M12" s="498"/>
      <c r="N12" s="498"/>
      <c r="O12" s="498"/>
    </row>
    <row r="13" spans="1:15" s="497" customFormat="1" ht="15.75" x14ac:dyDescent="0.25">
      <c r="A13" s="504"/>
      <c r="B13" s="504"/>
      <c r="C13" s="504"/>
      <c r="D13" s="504"/>
      <c r="E13" s="504"/>
      <c r="F13" s="501"/>
      <c r="G13" s="502"/>
      <c r="H13" s="502"/>
      <c r="I13" s="498"/>
      <c r="J13" s="498"/>
      <c r="K13" s="498"/>
      <c r="L13" s="498"/>
      <c r="M13" s="498"/>
      <c r="N13" s="498"/>
      <c r="O13" s="498"/>
    </row>
    <row r="14" spans="1:15" ht="21.75" thickBot="1" x14ac:dyDescent="0.4">
      <c r="A14" s="539" t="s">
        <v>313</v>
      </c>
      <c r="B14" s="517"/>
      <c r="C14" s="517"/>
      <c r="D14" s="517"/>
      <c r="E14" s="505" t="str">
        <f>IF(E16=1,IF(E17="N",IF(E18="N","1D","1C"),IF(E18="Y","1A","1B")),IF(E17="N",IF(E18="N","2D","2C"),IF(E18="Y","2A","2B")))</f>
        <v>1D</v>
      </c>
      <c r="F14" s="505" t="str">
        <f>IF(F16=1,IF(F17="N",IF(F18="N","1D","1C"),IF(F18="Y","1A","1B")),IF(F17="N",IF(F18="N","2D","2C"),IF(F18="Y","2A","2B")))</f>
        <v>1B</v>
      </c>
      <c r="G14" s="502"/>
      <c r="H14" s="502"/>
      <c r="I14" s="498"/>
      <c r="J14" s="498"/>
      <c r="K14" s="498"/>
      <c r="L14" s="498"/>
      <c r="M14" s="498"/>
      <c r="N14" s="498"/>
      <c r="O14" s="498"/>
    </row>
    <row r="15" spans="1:15" ht="19.5" thickBot="1" x14ac:dyDescent="0.35">
      <c r="A15" s="604"/>
      <c r="B15" s="651"/>
      <c r="C15" s="652"/>
      <c r="D15" s="653"/>
      <c r="E15" s="654" t="s">
        <v>252</v>
      </c>
      <c r="F15" s="654" t="s">
        <v>253</v>
      </c>
      <c r="G15" s="504"/>
      <c r="H15" s="504"/>
      <c r="I15" s="498"/>
      <c r="J15" s="498"/>
      <c r="K15" s="498"/>
      <c r="L15" s="498"/>
      <c r="M15" s="498"/>
      <c r="N15" s="498"/>
      <c r="O15" s="498"/>
    </row>
    <row r="16" spans="1:15" ht="18.75" x14ac:dyDescent="0.3">
      <c r="A16" s="635">
        <v>1</v>
      </c>
      <c r="B16" s="636" t="s">
        <v>254</v>
      </c>
      <c r="C16" s="637"/>
      <c r="D16" s="638"/>
      <c r="E16" s="639">
        <v>1</v>
      </c>
      <c r="F16" s="639">
        <v>1</v>
      </c>
      <c r="G16" s="502"/>
      <c r="H16" s="502"/>
      <c r="I16" s="498"/>
      <c r="J16" s="498"/>
      <c r="K16" s="498"/>
      <c r="L16" s="498"/>
      <c r="M16" s="498"/>
      <c r="N16" s="498"/>
      <c r="O16" s="498"/>
    </row>
    <row r="17" spans="1:15" ht="18.75" x14ac:dyDescent="0.3">
      <c r="A17" s="640">
        <v>2</v>
      </c>
      <c r="B17" s="641" t="s">
        <v>255</v>
      </c>
      <c r="C17" s="642"/>
      <c r="D17" s="643"/>
      <c r="E17" s="655" t="s">
        <v>245</v>
      </c>
      <c r="F17" s="655" t="s">
        <v>242</v>
      </c>
      <c r="G17" s="502"/>
      <c r="H17" s="502"/>
      <c r="I17" s="498"/>
      <c r="J17" s="498"/>
      <c r="K17" s="498"/>
      <c r="L17" s="498"/>
      <c r="M17" s="498"/>
      <c r="N17" s="498"/>
      <c r="O17" s="498"/>
    </row>
    <row r="18" spans="1:15" ht="18.75" x14ac:dyDescent="0.3">
      <c r="A18" s="640">
        <v>3</v>
      </c>
      <c r="B18" s="641" t="s">
        <v>256</v>
      </c>
      <c r="C18" s="642"/>
      <c r="D18" s="643"/>
      <c r="E18" s="655" t="s">
        <v>245</v>
      </c>
      <c r="F18" s="655" t="s">
        <v>245</v>
      </c>
      <c r="G18" s="502"/>
      <c r="H18" s="502"/>
      <c r="I18" s="498"/>
      <c r="J18" s="498"/>
      <c r="K18" s="498"/>
      <c r="L18" s="498"/>
      <c r="M18" s="498"/>
      <c r="N18" s="498"/>
      <c r="O18" s="498"/>
    </row>
    <row r="19" spans="1:15" ht="18.75" x14ac:dyDescent="0.3">
      <c r="A19" s="640">
        <v>4</v>
      </c>
      <c r="B19" s="641" t="s">
        <v>262</v>
      </c>
      <c r="C19" s="642"/>
      <c r="D19" s="643"/>
      <c r="E19" s="644">
        <v>25</v>
      </c>
      <c r="F19" s="644">
        <f>+E19</f>
        <v>25</v>
      </c>
      <c r="G19" s="534"/>
      <c r="H19" s="515"/>
      <c r="I19" s="498"/>
      <c r="J19" s="498"/>
      <c r="K19" s="498"/>
      <c r="L19" s="498"/>
      <c r="M19" s="498"/>
      <c r="N19" s="498"/>
      <c r="O19" s="498"/>
    </row>
    <row r="20" spans="1:15" ht="19.5" thickBot="1" x14ac:dyDescent="0.35">
      <c r="A20" s="640">
        <v>5</v>
      </c>
      <c r="B20" s="641" t="s">
        <v>263</v>
      </c>
      <c r="C20" s="642"/>
      <c r="D20" s="643"/>
      <c r="E20" s="644">
        <v>110</v>
      </c>
      <c r="F20" s="644">
        <f>+E20</f>
        <v>110</v>
      </c>
      <c r="G20" s="534"/>
      <c r="H20" s="515"/>
      <c r="I20" s="498"/>
      <c r="J20" s="498"/>
      <c r="K20" s="498"/>
      <c r="L20" s="498"/>
      <c r="M20" s="498"/>
      <c r="N20" s="498"/>
      <c r="O20" s="498"/>
    </row>
    <row r="21" spans="1:15" s="497" customFormat="1" ht="15.75" customHeight="1" x14ac:dyDescent="0.25">
      <c r="A21" s="506"/>
      <c r="B21" s="503"/>
      <c r="C21" s="503"/>
      <c r="D21" s="503"/>
      <c r="E21" s="514"/>
      <c r="F21" s="514"/>
      <c r="G21" s="502"/>
      <c r="H21" s="502"/>
      <c r="I21" s="498"/>
      <c r="J21" s="498"/>
      <c r="K21" s="498"/>
      <c r="L21" s="498"/>
      <c r="M21" s="498"/>
      <c r="N21" s="498"/>
      <c r="O21" s="498"/>
    </row>
    <row r="22" spans="1:15" s="497" customFormat="1" ht="15.75" customHeight="1" x14ac:dyDescent="0.25">
      <c r="A22" s="507"/>
      <c r="B22" s="517"/>
      <c r="C22" s="517"/>
      <c r="D22" s="517"/>
      <c r="E22" s="515"/>
      <c r="F22" s="515"/>
      <c r="G22" s="502"/>
      <c r="H22" s="502"/>
      <c r="I22" s="498"/>
      <c r="J22" s="498"/>
      <c r="K22" s="498"/>
      <c r="L22" s="498"/>
      <c r="M22" s="498"/>
      <c r="N22" s="498"/>
      <c r="O22" s="498"/>
    </row>
    <row r="23" spans="1:15" s="497" customFormat="1" ht="21.75" thickBot="1" x14ac:dyDescent="0.4">
      <c r="A23" s="538" t="s">
        <v>314</v>
      </c>
      <c r="B23" s="517"/>
      <c r="C23" s="517"/>
      <c r="D23" s="517"/>
      <c r="E23" s="535"/>
      <c r="F23" s="535"/>
      <c r="G23" s="502"/>
      <c r="H23" s="502"/>
      <c r="I23" s="498"/>
      <c r="J23" s="498"/>
      <c r="K23" s="498"/>
      <c r="L23" s="498"/>
      <c r="M23" s="498"/>
      <c r="N23" s="498"/>
      <c r="O23" s="498"/>
    </row>
    <row r="24" spans="1:15" ht="57" thickBot="1" x14ac:dyDescent="0.35">
      <c r="A24" s="613"/>
      <c r="B24" s="613"/>
      <c r="C24" s="613"/>
      <c r="D24" s="614"/>
      <c r="E24" s="631" t="s">
        <v>257</v>
      </c>
      <c r="F24" s="632" t="s">
        <v>258</v>
      </c>
      <c r="G24" s="633"/>
      <c r="H24" s="634"/>
      <c r="I24" s="498"/>
      <c r="J24" s="498"/>
      <c r="K24" s="498"/>
      <c r="L24" s="498"/>
      <c r="M24" s="498"/>
      <c r="N24" s="498"/>
      <c r="O24" s="498"/>
    </row>
    <row r="25" spans="1:15" ht="18.75" x14ac:dyDescent="0.3">
      <c r="A25" s="635">
        <v>6</v>
      </c>
      <c r="B25" s="636" t="s">
        <v>259</v>
      </c>
      <c r="C25" s="637"/>
      <c r="D25" s="638"/>
      <c r="E25" s="639">
        <v>425</v>
      </c>
      <c r="F25" s="636"/>
      <c r="G25" s="637"/>
      <c r="H25" s="638"/>
      <c r="I25" s="498"/>
      <c r="J25" s="498"/>
      <c r="K25" s="498"/>
      <c r="L25" s="498"/>
      <c r="M25" s="498"/>
      <c r="N25" s="498"/>
      <c r="O25" s="498"/>
    </row>
    <row r="26" spans="1:15" ht="17.25" customHeight="1" x14ac:dyDescent="0.3">
      <c r="A26" s="640">
        <v>7</v>
      </c>
      <c r="B26" s="641" t="s">
        <v>300</v>
      </c>
      <c r="C26" s="642"/>
      <c r="D26" s="643"/>
      <c r="E26" s="644">
        <v>1800</v>
      </c>
      <c r="F26" s="641" t="s">
        <v>301</v>
      </c>
      <c r="G26" s="642"/>
      <c r="H26" s="643"/>
      <c r="I26" s="498"/>
      <c r="J26" s="498"/>
      <c r="K26" s="498"/>
      <c r="L26" s="498"/>
      <c r="M26" s="498"/>
      <c r="N26" s="498"/>
      <c r="O26" s="498"/>
    </row>
    <row r="27" spans="1:15" ht="18.75" x14ac:dyDescent="0.3">
      <c r="A27" s="640">
        <v>8</v>
      </c>
      <c r="B27" s="641" t="s">
        <v>260</v>
      </c>
      <c r="C27" s="642"/>
      <c r="D27" s="643"/>
      <c r="E27" s="644">
        <v>75</v>
      </c>
      <c r="F27" s="641"/>
      <c r="G27" s="642"/>
      <c r="H27" s="643"/>
      <c r="I27" s="498"/>
      <c r="J27" s="498"/>
      <c r="K27" s="498"/>
      <c r="L27" s="498"/>
      <c r="M27" s="498"/>
      <c r="N27" s="498"/>
      <c r="O27" s="498"/>
    </row>
    <row r="28" spans="1:15" ht="18.75" x14ac:dyDescent="0.3">
      <c r="A28" s="640">
        <v>9</v>
      </c>
      <c r="B28" s="641" t="s">
        <v>261</v>
      </c>
      <c r="C28" s="642"/>
      <c r="D28" s="643"/>
      <c r="E28" s="644">
        <v>1550</v>
      </c>
      <c r="F28" s="641"/>
      <c r="G28" s="642"/>
      <c r="H28" s="643"/>
      <c r="I28" s="498"/>
      <c r="J28" s="498"/>
      <c r="K28" s="498"/>
      <c r="L28" s="498"/>
      <c r="M28" s="498"/>
      <c r="N28" s="498"/>
      <c r="O28" s="498"/>
    </row>
    <row r="29" spans="1:15" ht="18.75" x14ac:dyDescent="0.3">
      <c r="A29" s="640">
        <v>10</v>
      </c>
      <c r="B29" s="641" t="s">
        <v>311</v>
      </c>
      <c r="C29" s="642"/>
      <c r="D29" s="643"/>
      <c r="E29" s="644">
        <v>35</v>
      </c>
      <c r="F29" s="531" t="s">
        <v>312</v>
      </c>
      <c r="G29" s="532"/>
      <c r="H29" s="533"/>
      <c r="I29" s="498"/>
      <c r="J29" s="498"/>
      <c r="K29" s="498"/>
      <c r="L29" s="498"/>
      <c r="M29" s="498"/>
      <c r="N29" s="498"/>
      <c r="O29" s="498"/>
    </row>
    <row r="30" spans="1:15" ht="18.75" x14ac:dyDescent="0.3">
      <c r="A30" s="640">
        <v>11</v>
      </c>
      <c r="B30" s="641" t="s">
        <v>264</v>
      </c>
      <c r="C30" s="642"/>
      <c r="D30" s="643"/>
      <c r="E30" s="644">
        <v>25</v>
      </c>
      <c r="F30" s="641" t="s">
        <v>307</v>
      </c>
      <c r="G30" s="642"/>
      <c r="H30" s="643"/>
      <c r="I30" s="498"/>
      <c r="J30" s="498"/>
      <c r="K30" s="498"/>
      <c r="L30" s="498"/>
      <c r="M30" s="498"/>
      <c r="N30" s="498"/>
      <c r="O30" s="498"/>
    </row>
    <row r="31" spans="1:15" ht="18.75" x14ac:dyDescent="0.3">
      <c r="A31" s="640">
        <v>12</v>
      </c>
      <c r="B31" s="641" t="s">
        <v>265</v>
      </c>
      <c r="C31" s="642"/>
      <c r="D31" s="643"/>
      <c r="E31" s="644">
        <v>10</v>
      </c>
      <c r="F31" s="641" t="s">
        <v>308</v>
      </c>
      <c r="G31" s="642"/>
      <c r="H31" s="643"/>
      <c r="I31" s="498"/>
      <c r="J31" s="498"/>
      <c r="K31" s="498"/>
      <c r="L31" s="498"/>
      <c r="M31" s="498"/>
      <c r="N31" s="498"/>
      <c r="O31" s="498"/>
    </row>
    <row r="32" spans="1:15" ht="18.75" x14ac:dyDescent="0.3">
      <c r="A32" s="640">
        <v>13</v>
      </c>
      <c r="B32" s="641" t="s">
        <v>266</v>
      </c>
      <c r="C32" s="642"/>
      <c r="D32" s="643"/>
      <c r="E32" s="644">
        <v>110</v>
      </c>
      <c r="F32" s="641"/>
      <c r="G32" s="642"/>
      <c r="H32" s="643"/>
      <c r="I32" s="498"/>
      <c r="J32" s="498"/>
      <c r="K32" s="498"/>
      <c r="L32" s="498"/>
      <c r="M32" s="498"/>
      <c r="N32" s="498"/>
      <c r="O32" s="498"/>
    </row>
    <row r="33" spans="1:15" ht="18.75" x14ac:dyDescent="0.3">
      <c r="A33" s="640">
        <v>14</v>
      </c>
      <c r="B33" s="641" t="s">
        <v>267</v>
      </c>
      <c r="C33" s="642"/>
      <c r="D33" s="643"/>
      <c r="E33" s="644">
        <v>6</v>
      </c>
      <c r="F33" s="641" t="s">
        <v>309</v>
      </c>
      <c r="G33" s="642"/>
      <c r="H33" s="643"/>
      <c r="I33" s="498"/>
      <c r="J33" s="498"/>
      <c r="K33" s="498"/>
      <c r="L33" s="498"/>
      <c r="M33" s="498"/>
      <c r="N33" s="498"/>
      <c r="O33" s="498"/>
    </row>
    <row r="34" spans="1:15" ht="18.75" x14ac:dyDescent="0.3">
      <c r="A34" s="640">
        <v>15</v>
      </c>
      <c r="B34" s="641" t="s">
        <v>268</v>
      </c>
      <c r="C34" s="642"/>
      <c r="D34" s="643"/>
      <c r="E34" s="644">
        <v>1</v>
      </c>
      <c r="F34" s="641" t="s">
        <v>310</v>
      </c>
      <c r="G34" s="642"/>
      <c r="H34" s="643"/>
      <c r="I34" s="498"/>
      <c r="J34" s="498"/>
      <c r="K34" s="498"/>
      <c r="L34" s="498"/>
      <c r="M34" s="498"/>
      <c r="N34" s="498"/>
      <c r="O34" s="498"/>
    </row>
    <row r="35" spans="1:15" ht="19.5" thickBot="1" x14ac:dyDescent="0.35">
      <c r="A35" s="645">
        <v>16</v>
      </c>
      <c r="B35" s="646" t="s">
        <v>269</v>
      </c>
      <c r="C35" s="646"/>
      <c r="D35" s="646"/>
      <c r="E35" s="647">
        <v>0.85</v>
      </c>
      <c r="F35" s="648" t="s">
        <v>306</v>
      </c>
      <c r="G35" s="649"/>
      <c r="H35" s="650"/>
      <c r="I35" s="498"/>
      <c r="J35" s="498"/>
      <c r="K35" s="498"/>
      <c r="L35" s="498"/>
      <c r="M35" s="498"/>
      <c r="N35" s="498"/>
      <c r="O35" s="498"/>
    </row>
    <row r="36" spans="1:15" s="497" customFormat="1" ht="15" customHeight="1" x14ac:dyDescent="0.25">
      <c r="A36" s="507"/>
      <c r="B36" s="517"/>
      <c r="C36" s="517"/>
      <c r="D36" s="517"/>
      <c r="E36" s="515"/>
      <c r="F36" s="510"/>
      <c r="G36" s="510"/>
      <c r="H36" s="510"/>
      <c r="I36" s="498"/>
      <c r="J36" s="498"/>
      <c r="K36" s="498"/>
      <c r="L36" s="498"/>
      <c r="M36" s="498"/>
      <c r="N36" s="498"/>
      <c r="O36" s="498"/>
    </row>
    <row r="37" spans="1:15" s="497" customFormat="1" ht="15.75" x14ac:dyDescent="0.25">
      <c r="A37" s="507"/>
      <c r="B37" s="504"/>
      <c r="C37" s="504"/>
      <c r="D37" s="504"/>
      <c r="E37" s="515"/>
      <c r="F37" s="510"/>
      <c r="G37" s="502"/>
      <c r="H37" s="502"/>
      <c r="I37" s="498"/>
      <c r="J37" s="498"/>
      <c r="K37" s="498"/>
      <c r="L37" s="498"/>
      <c r="M37" s="498"/>
      <c r="N37" s="498"/>
      <c r="O37" s="498"/>
    </row>
    <row r="38" spans="1:15" s="536" customFormat="1" ht="21" x14ac:dyDescent="0.35">
      <c r="A38" s="540" t="s">
        <v>315</v>
      </c>
      <c r="B38" s="540"/>
      <c r="C38" s="540"/>
      <c r="D38" s="540"/>
      <c r="E38" s="540"/>
      <c r="F38" s="540"/>
      <c r="G38" s="540"/>
      <c r="H38" s="540"/>
      <c r="I38" s="540"/>
    </row>
    <row r="39" spans="1:15" ht="15.75" thickBot="1" x14ac:dyDescent="0.3">
      <c r="A39" s="498"/>
      <c r="B39" s="498"/>
      <c r="C39" s="498"/>
      <c r="D39" s="498"/>
      <c r="E39" s="498"/>
      <c r="F39" s="498"/>
      <c r="G39" s="498"/>
      <c r="H39" s="498"/>
      <c r="I39" s="498"/>
      <c r="J39" s="498"/>
      <c r="K39" s="498"/>
      <c r="L39" s="498"/>
      <c r="M39" s="498"/>
      <c r="N39" s="498"/>
      <c r="O39" s="498"/>
    </row>
    <row r="40" spans="1:15" ht="19.5" thickBot="1" x14ac:dyDescent="0.35">
      <c r="A40" s="550"/>
      <c r="B40" s="551"/>
      <c r="C40" s="552" t="s">
        <v>270</v>
      </c>
      <c r="D40" s="553" t="s">
        <v>271</v>
      </c>
      <c r="E40" s="553" t="s">
        <v>272</v>
      </c>
      <c r="F40" s="554" t="s">
        <v>69</v>
      </c>
      <c r="G40" s="553" t="s">
        <v>273</v>
      </c>
      <c r="H40" s="553" t="s">
        <v>71</v>
      </c>
      <c r="I40" s="555" t="s">
        <v>274</v>
      </c>
    </row>
    <row r="41" spans="1:15" ht="19.5" thickBot="1" x14ac:dyDescent="0.35">
      <c r="A41" s="556" t="s">
        <v>277</v>
      </c>
      <c r="B41" s="557" t="s">
        <v>278</v>
      </c>
      <c r="C41" s="558" t="s">
        <v>279</v>
      </c>
      <c r="D41" s="558" t="s">
        <v>279</v>
      </c>
      <c r="E41" s="558" t="s">
        <v>279</v>
      </c>
      <c r="F41" s="559"/>
      <c r="G41" s="558" t="s">
        <v>280</v>
      </c>
      <c r="H41" s="560"/>
      <c r="I41" s="561" t="s">
        <v>281</v>
      </c>
    </row>
    <row r="42" spans="1:15" ht="18.75" x14ac:dyDescent="0.3">
      <c r="A42" s="562" t="s">
        <v>252</v>
      </c>
      <c r="B42" s="563"/>
      <c r="C42" s="564"/>
      <c r="D42" s="564"/>
      <c r="E42" s="564"/>
      <c r="F42" s="564"/>
      <c r="G42" s="564"/>
      <c r="H42" s="564"/>
      <c r="I42" s="565"/>
    </row>
    <row r="43" spans="1:15" ht="18.75" x14ac:dyDescent="0.3">
      <c r="A43" s="566">
        <v>1</v>
      </c>
      <c r="B43" s="567" t="str">
        <f>IF(E14="1D","SHARED CTL","CTL")</f>
        <v>SHARED CTL</v>
      </c>
      <c r="C43" s="568">
        <f>IF(E14="1A",'COMBINED OUTPUT'!I20,IF(E14="1B",'COMBINED OUTPUT'!I20,IF(E14="1C",'COMBINED OUTPUT'!I20,IF(E14="1D",'COMBINED OUTPUT'!I15,IF(E14="2A",'COMBINED OUTPUT'!I20/2,IF(E14="2B",'COMBINED OUTPUT'!I20/2,IF(E14="2C",'COMBINED OUTPUT'!I20/2,'COMBINED OUTPUT'!I15)))))))</f>
        <v>425</v>
      </c>
      <c r="D43" s="568">
        <f>IF(E14="1D",'COMBINED OUTPUT'!J15,0)</f>
        <v>75</v>
      </c>
      <c r="E43" s="568">
        <f>C43+D43</f>
        <v>500</v>
      </c>
      <c r="F43" s="569">
        <f>IF(E14="1A",'COMBINED OUTPUT'!L20,IF(E14="1B",'COMBINED OUTPUT'!L20,IF(E14="1C",'COMBINED OUTPUT'!L20,IF(E14="1D",'COMBINED OUTPUT'!L15,IF(E14="2A",'COMBINED OUTPUT'!L20,IF(E14="2B",'COMBINED OUTPUT'!L20,IF(E14="2C",'COMBINED OUTPUT'!L20,'COMBINED OUTPUT'!L15)))))))</f>
        <v>1.2500000000000002</v>
      </c>
      <c r="G43" s="570">
        <f>IF(E14="1A",'COMBINED OUTPUT'!M20,IF(E14="1B",'COMBINED OUTPUT'!M20,IF(E14="1C",'COMBINED OUTPUT'!M20,IF(E14="1D",C60,IF(E14="2A",'COMBINED OUTPUT'!M20,IF(E14="2B",'COMBINED OUTPUT'!M20,IF(E14="2C",'COMBINED OUTPUT'!M20,'COMBINED OUTPUT'!M15)))))))</f>
        <v>174.217294240618</v>
      </c>
      <c r="H43" s="571" t="str">
        <f>IF(G43&gt;'LOS Lookup'!$C$7,'LOS Lookup'!$B$8,IF(G43&gt;'LOS Lookup'!$C$6,'LOS Lookup'!$B$7,IF(G43&gt;'LOS Lookup'!$C$5,'LOS Lookup'!$B$6,IF(G43&gt;'LOS Lookup'!$C$4,'LOS Lookup'!$B$5,IF(G43&gt;'LOS Lookup'!$C$3,'LOS Lookup'!$B$4,'LOS Lookup'!$B$3)))))</f>
        <v>F</v>
      </c>
      <c r="I43" s="572">
        <f>IF(E14="1A",'COMBINED OUTPUT'!O20,IF(E14="1B",'COMBINED OUTPUT'!O20,IF(E14="1C",'COMBINED OUTPUT'!O20,IF(E14="1D",'COMBINED OUTPUT'!O15,IF(E14="2A",'COMBINED OUTPUT'!O20,IF(E14="2B",'COMBINED OUTPUT'!O20,IF(E14="2C",'COMBINED OUTPUT'!O20,'COMBINED OUTPUT'!O15)))))))</f>
        <v>1000</v>
      </c>
    </row>
    <row r="44" spans="1:15" ht="18.75" x14ac:dyDescent="0.3">
      <c r="A44" s="566">
        <v>2</v>
      </c>
      <c r="B44" s="573" t="str">
        <f>IF(E16=2,IF(E14="2D","SHARED CTL","CTL"),IF(E14="1A","ATL",IF(E14="1B","SHARED ATL",IF(E14="1C","RT",""))))</f>
        <v/>
      </c>
      <c r="C44" s="568" t="str">
        <f>IF(E14="1A",'COMBINED OUTPUT'!I19,IF(E14="1B",'COMBINED OUTPUT'!I19,IF(E14="1C",0,IF(E14="2A",'COMBINED OUTPUT'!I20/2,IF(E14="2B",'COMBINED OUTPUT'!I20/2,IF(E14="2C",'COMBINED OUTPUT'!I20/2,'COMBINED OUTPUT'!I16))))))</f>
        <v xml:space="preserve"> </v>
      </c>
      <c r="D44" s="568" t="str">
        <f>IF(E14="1A",'COMBINED OUTPUT'!J19,IF(E14="1B",'COMBINED OUTPUT'!J19,IF(E14="1C",'COMBINED OUTPUT'!J19,IF(E14="2A",0,IF(E14="2B",0,IF(E14="2C",0,'COMBINED OUTPUT'!J16))))))</f>
        <v xml:space="preserve"> </v>
      </c>
      <c r="E44" s="568" t="str">
        <f>IF(E14="1D","",C44+D44)</f>
        <v/>
      </c>
      <c r="F44" s="569" t="str">
        <f>IF(E14="1A",'COMBINED OUTPUT'!L19,IF(E14="1B",'COMBINED OUTPUT'!L19,IF(E14="1C",'COMBINED OUTPUT'!L19,IF(E14="2A",'COMBINED OUTPUT'!L20,IF(E14="2B",'COMBINED OUTPUT'!L20,IF(E14="2C",'COMBINED OUTPUT'!L20,'COMBINED OUTPUT'!L16))))))</f>
        <v xml:space="preserve"> </v>
      </c>
      <c r="G44" s="570" t="str">
        <f>IF(E14="1A",'COMBINED OUTPUT'!M19,IF(E14="1B",'COMBINED OUTPUT'!M19,IF(E14="1C",'COMBINED OUTPUT'!M19,IF(E14="2A",'COMBINED OUTPUT'!M20,IF(E14="2B",'COMBINED OUTPUT'!M20,IF(E14="2C",'COMBINED OUTPUT'!M20,'COMBINED OUTPUT'!M16))))))</f>
        <v xml:space="preserve"> </v>
      </c>
      <c r="H44" s="571" t="str">
        <f>IF(G44=" "," ",IF(G44&gt;'LOS Lookup'!$C$7,'LOS Lookup'!$B$8,IF(G44&gt;'LOS Lookup'!$C$6,'LOS Lookup'!$B$7,IF(G44&gt;'LOS Lookup'!$C$5,'LOS Lookup'!$B$6,IF(G44&gt;'LOS Lookup'!$C$4,'LOS Lookup'!$B$5,IF(G44&gt;'LOS Lookup'!$C$3,'LOS Lookup'!$B$4,'LOS Lookup'!$B$3))))))</f>
        <v xml:space="preserve"> </v>
      </c>
      <c r="I44" s="572" t="str">
        <f>IF(E14="1A",'COMBINED OUTPUT'!O19,IF(E14="1B",'COMBINED OUTPUT'!O19,IF(E14="1C",'COMBINED OUTPUT'!O19,IF(E14="2A",'COMBINED OUTPUT'!O20,IF(E14="2B",'COMBINED OUTPUT'!O20,IF(E14="2C",'COMBINED OUTPUT'!O20,'COMBINED OUTPUT'!O16))))))</f>
        <v xml:space="preserve"> </v>
      </c>
    </row>
    <row r="45" spans="1:15" ht="18.75" x14ac:dyDescent="0.3">
      <c r="A45" s="566">
        <v>3</v>
      </c>
      <c r="B45" s="574" t="str">
        <f>IF(E14="1A","RT",IF(E14="2A","ATL",IF(E14="2B","SHARED ATL",IF(E14="2C","RT",""))))</f>
        <v/>
      </c>
      <c r="C45" s="568" t="str">
        <f>IF(E14="1A","",IF(E14="2A",'COMBINED OUTPUT'!I19,IF(E14="2B",'COMBINED OUTPUT'!I19,IF(E14="2C",0,""))))</f>
        <v/>
      </c>
      <c r="D45" s="568" t="str">
        <f>IF(E14="1A",'COMBINED OUTPUT'!J18,IF(E14="2A",0,IF(E14="2B",'COMBINED OUTPUT'!J19,IF(E14="2C",'COMBINED OUTPUT'!J18,""))))</f>
        <v/>
      </c>
      <c r="E45" s="568" t="str">
        <f>IF(E14="1A",D45,IF(E14="2A",C45,IF(E14="2B",'COMBINED OUTPUT'!K19,IF(E14="2C",D45,""))))</f>
        <v/>
      </c>
      <c r="F45" s="569" t="str">
        <f>IF(E14="1A",'COMBINED OUTPUT'!L18,IF(E14="2A",'COMBINED OUTPUT'!L19,IF(E14="2B",'COMBINED OUTPUT'!L19,IF(E14="2C",'COMBINED OUTPUT'!L18,""))))</f>
        <v/>
      </c>
      <c r="G45" s="570" t="str">
        <f>IF(E14="1A",'COMBINED OUTPUT'!M18,IF(E14="2A",'COMBINED OUTPUT'!M19,IF(E14="2B",'COMBINED OUTPUT'!M19,IF(E14="2C",'COMBINED OUTPUT'!M18,""))))</f>
        <v/>
      </c>
      <c r="H45" s="571" t="str">
        <f>IF(G45="","",IF(G45&gt;'LOS Lookup'!$C$7,'LOS Lookup'!$B$8,IF(G45&gt;'LOS Lookup'!$C$6,'LOS Lookup'!$B$7,IF(G45&gt;'LOS Lookup'!$C$5,'LOS Lookup'!$B$6,IF(G45&gt;'LOS Lookup'!$C$4,'LOS Lookup'!$B$5,IF(G45&gt;'LOS Lookup'!$C$3,'LOS Lookup'!$B$4,'LOS Lookup'!$B$3))))))</f>
        <v/>
      </c>
      <c r="I45" s="572" t="str">
        <f>IF(E14="1A",'COMBINED OUTPUT'!O18,IF(E14="2A",'COMBINED OUTPUT'!O19,IF(E14="2B",'COMBINED OUTPUT'!O19,IF(E14="2C",'COMBINED OUTPUT'!O18,""))))</f>
        <v/>
      </c>
    </row>
    <row r="46" spans="1:15" ht="18.75" x14ac:dyDescent="0.3">
      <c r="A46" s="575">
        <v>4</v>
      </c>
      <c r="B46" s="576" t="str">
        <f>IF(E14="2A","RT","")</f>
        <v/>
      </c>
      <c r="C46" s="576"/>
      <c r="D46" s="577" t="str">
        <f>IF(E14="2A",'COMBINED OUTPUT'!J18,"")</f>
        <v/>
      </c>
      <c r="E46" s="577" t="str">
        <f>IF(E14="2A",D46,"")</f>
        <v/>
      </c>
      <c r="F46" s="578" t="str">
        <f>IF(E14="2A",'COMBINED OUTPUT'!L18,"")</f>
        <v/>
      </c>
      <c r="G46" s="579" t="str">
        <f>IF(E14="2A",'COMBINED OUTPUT'!M18,"")</f>
        <v/>
      </c>
      <c r="H46" s="580" t="str">
        <f>IF(G46="","",IF(G46&gt;'LOS Lookup'!$C$7,'LOS Lookup'!$B$8,IF(G46&gt;'LOS Lookup'!$C$6,'LOS Lookup'!$B$7,IF(G46&gt;'LOS Lookup'!$C$5,'LOS Lookup'!$B$6,IF(G46&gt;'LOS Lookup'!$C$4,'LOS Lookup'!$B$5,IF(G46&gt;'LOS Lookup'!$C$3,'LOS Lookup'!$B$4,'LOS Lookup'!$B$3))))))</f>
        <v/>
      </c>
      <c r="I46" s="581" t="str">
        <f>IF(E14="2A",'COMBINED OUTPUT'!O18,"")</f>
        <v/>
      </c>
    </row>
    <row r="47" spans="1:15" s="497" customFormat="1" ht="19.5" thickBot="1" x14ac:dyDescent="0.35">
      <c r="A47" s="582" t="s">
        <v>304</v>
      </c>
      <c r="B47" s="583"/>
      <c r="C47" s="584">
        <f>SUM(C43:C46)</f>
        <v>425</v>
      </c>
      <c r="D47" s="584">
        <f>SUM(D43:D46)</f>
        <v>75</v>
      </c>
      <c r="E47" s="584">
        <f>SUM(E43:E46)</f>
        <v>500</v>
      </c>
      <c r="F47" s="585"/>
      <c r="G47" s="586"/>
      <c r="H47" s="587"/>
      <c r="I47" s="588"/>
    </row>
    <row r="48" spans="1:15" ht="18.75" x14ac:dyDescent="0.3">
      <c r="A48" s="589" t="s">
        <v>253</v>
      </c>
      <c r="B48" s="590"/>
      <c r="C48" s="591"/>
      <c r="D48" s="591"/>
      <c r="E48" s="591"/>
      <c r="F48" s="592"/>
      <c r="G48" s="593"/>
      <c r="H48" s="594"/>
      <c r="I48" s="595"/>
    </row>
    <row r="49" spans="1:15" ht="18.75" x14ac:dyDescent="0.3">
      <c r="A49" s="566">
        <v>1</v>
      </c>
      <c r="B49" s="596" t="str">
        <f>IF(F14="1D","SHARED LANE","CTL")</f>
        <v>CTL</v>
      </c>
      <c r="C49" s="568">
        <f>IF(F14="1A",'COMBINED OUTPUT2'!I20,IF(F14="1B",'COMBINED OUTPUT2'!I20,IF(F14="1C",'COMBINED OUTPUT2'!I20,IF(F14="1D",'COMBINED OUTPUT2'!I15,IF(F14="2A",'COMBINED OUTPUT2'!I20/2,IF(F14="2B",'COMBINED OUTPUT2'!I20/2,IF(F14="2C",'COMBINED OUTPUT2'!I20/2,'COMBINED OUTPUT2'!I15)))))))</f>
        <v>287</v>
      </c>
      <c r="D49" s="568">
        <f>IF(F14="1D",'COMBINED OUTPUT2'!J15,0)</f>
        <v>0</v>
      </c>
      <c r="E49" s="568">
        <f>C49+D49</f>
        <v>287</v>
      </c>
      <c r="F49" s="569">
        <f>IF(F14="1A",'COMBINED OUTPUT2'!L20,IF(F14="1B",'COMBINED OUTPUT2'!L20,IF(F14="1C",'COMBINED OUTPUT2'!L20,IF(F14="1D",'COMBINED OUTPUT2'!L15,IF(F14="2A",'COMBINED OUTPUT2'!L20,IF(F14="2B",'COMBINED OUTPUT2'!L20,IF(F14="2C",'COMBINED OUTPUT2'!L20,'COMBINED OUTPUT2'!L15)))))))</f>
        <v>0.7015555555555556</v>
      </c>
      <c r="G49" s="570">
        <f>IF(F14="1A",'COMBINED OUTPUT2'!M20,IF(F14="1B",'COMBINED OUTPUT2'!M20,IF(F14="1C",'COMBINED OUTPUT2'!M20,IF(F14="1D",C61,IF(F14="2A",'COMBINED OUTPUT2'!M20,IF(F14="2B",'COMBINED OUTPUT2'!M20,IF(F14="2C",'COMBINED OUTPUT2'!M20,'COMBINED OUTPUT2'!M15)))))))</f>
        <v>48.720235940702985</v>
      </c>
      <c r="H49" s="571" t="str">
        <f>IF(G49&gt;'LOS Lookup'!$C$7,'LOS Lookup'!$B$8,IF(G49&gt;'LOS Lookup'!$C$6,'LOS Lookup'!$B$7,IF(G49&gt;'LOS Lookup'!$C$5,'LOS Lookup'!$B$6,IF(G49&gt;'LOS Lookup'!$C$4,'LOS Lookup'!$B$5,IF(G49&gt;'LOS Lookup'!$C$3,'LOS Lookup'!$B$4,'LOS Lookup'!$B$3)))))</f>
        <v>D</v>
      </c>
      <c r="I49" s="572">
        <f>IF(F14="1A",'COMBINED OUTPUT2'!O20,IF(F14="1B",'COMBINED OUTPUT2'!O20,IF(F14="1C",'COMBINED OUTPUT2'!O20,IF(F14="1D",'COMBINED OUTPUT2'!O15,IF(F14="2A",'COMBINED OUTPUT2'!O20,IF(F14="2B",'COMBINED OUTPUT2'!O20,IF(F14="2C",'COMBINED OUTPUT2'!O20,'COMBINED OUTPUT2'!O15)))))))</f>
        <v>400</v>
      </c>
    </row>
    <row r="50" spans="1:15" ht="18.75" x14ac:dyDescent="0.3">
      <c r="A50" s="566">
        <v>2</v>
      </c>
      <c r="B50" s="596" t="str">
        <f>IF(F16=2,IF(F14="2D","SHARED CTL","CTL"),IF(F14="1A","ATL",IF(F14="1B","SHARED ATL",IF(F14="1C","RT",""))))</f>
        <v>SHARED ATL</v>
      </c>
      <c r="C50" s="568">
        <f>IF(F14="1A",'COMBINED OUTPUT2'!I19,IF(F14="1B",'COMBINED OUTPUT2'!I19,IF(F14="1C",0,IF(F14="2A",'COMBINED OUTPUT2'!I20/2,IF(F14="2B",'COMBINED OUTPUT2'!I20/2,IF(F14="2C",'COMBINED OUTPUT2'!I20/2,'COMBINED OUTPUT2'!I16))))))</f>
        <v>138</v>
      </c>
      <c r="D50" s="568">
        <f>IF(F14="1A",'COMBINED OUTPUT2'!J19,IF(F14="1B",'COMBINED OUTPUT2'!J19,IF(F14="1C",'COMBINED OUTPUT2'!J19,IF(F14="2A",0,IF(F14="2B",0,IF(F14="2C",0,'COMBINED OUTPUT2'!J16))))))</f>
        <v>75</v>
      </c>
      <c r="E50" s="568">
        <f>IF(F14="1D","",C50+D50)</f>
        <v>213</v>
      </c>
      <c r="F50" s="569">
        <f>IF(F14="1A",'COMBINED OUTPUT2'!L19,IF(F14="1B",'COMBINED OUTPUT2'!L19,IF(F14="1C",'COMBINED OUTPUT2'!L19,IF(F14="2A",'COMBINED OUTPUT2'!L20,IF(F14="2B",'COMBINED OUTPUT2'!L20,IF(F14="2C",'COMBINED OUTPUT2'!L20,'COMBINED OUTPUT2'!L16))))))</f>
        <v>0.55129411764705893</v>
      </c>
      <c r="G50" s="570">
        <f>IF(F14="1A",'COMBINED OUTPUT2'!M19,IF(F14="1B",'COMBINED OUTPUT2'!M19,IF(F14="1C",'COMBINED OUTPUT2'!M19,IF(F14="2A",'COMBINED OUTPUT2'!M20,IF(F14="2B",'COMBINED OUTPUT2'!M20,IF(F14="2C",'COMBINED OUTPUT2'!M20,'COMBINED OUTPUT2'!M16))))))</f>
        <v>43.115396139049885</v>
      </c>
      <c r="H50" s="571" t="str">
        <f>IF(G50="","",IF(G50&gt;'LOS Lookup'!$C$7,'LOS Lookup'!$B$8,IF(G50&gt;'LOS Lookup'!$C$6,'LOS Lookup'!$B$7,IF(G50&gt;'LOS Lookup'!$C$5,'LOS Lookup'!$B$6,IF(G50&gt;'LOS Lookup'!$C$4,'LOS Lookup'!$B$5,IF(G50&gt;'LOS Lookup'!$C$3,'LOS Lookup'!$B$4,'LOS Lookup'!$B$3))))))</f>
        <v>D</v>
      </c>
      <c r="I50" s="572">
        <f>IF(F14="1A",'COMBINED OUTPUT2'!O19,IF(F14="1B",'COMBINED OUTPUT2'!O19,IF(F14="1C",'COMBINED OUTPUT2'!O19,IF(F14="2A",'COMBINED OUTPUT2'!O20,IF(F14="2B",'COMBINED OUTPUT2'!O20,IF(F14="2C",'COMBINED OUTPUT2'!O20,'COMBINED OUTPUT2'!O16))))))</f>
        <v>300</v>
      </c>
    </row>
    <row r="51" spans="1:15" ht="18.75" x14ac:dyDescent="0.3">
      <c r="A51" s="566">
        <v>3</v>
      </c>
      <c r="B51" s="596" t="str">
        <f>IF(F14="1A","RT",IF(F14="2A","ATL",IF(F14="2B","SHARED ATL",IF(F14="2C","RT",""))))</f>
        <v/>
      </c>
      <c r="C51" s="568" t="str">
        <f>IF(F14="1A","",IF(F14="2A",'COMBINED OUTPUT2'!I19,IF(F14="2B",'COMBINED OUTPUT2'!I19,IF(F14="2C",0,""))))</f>
        <v/>
      </c>
      <c r="D51" s="568" t="str">
        <f>IF(F14="1A",'COMBINED OUTPUT2'!J18,IF(F14="2A",0,IF(F14="2B",'COMBINED OUTPUT2'!J19,IF(F14="2C",'COMBINED OUTPUT2'!J18,""))))</f>
        <v/>
      </c>
      <c r="E51" s="568" t="str">
        <f>IF(E14="1A",D51,IF(E14="2A",C51,IF(E14="2B",'COMBINED OUTPUT2'!K19,IF(E14="2C",D51,""))))</f>
        <v/>
      </c>
      <c r="F51" s="597" t="str">
        <f>IF(F14="1A",'COMBINED OUTPUT2'!L18,IF(F14="2A",'COMBINED OUTPUT2'!L19,IF(F14="2B",'COMBINED OUTPUT2'!L19,IF(F14="2C",'COMBINED OUTPUT2'!L18,""))))</f>
        <v/>
      </c>
      <c r="G51" s="570" t="str">
        <f>IF(F14="1A",'COMBINED OUTPUT2'!M18,IF(F14="2A",'COMBINED OUTPUT2'!M19,IF(F14="2B",'COMBINED OUTPUT2'!M19,IF(F14="2C",'COMBINED OUTPUT2'!M18,""))))</f>
        <v/>
      </c>
      <c r="H51" s="571" t="str">
        <f>IF(G51="","",IF(G51&gt;'LOS Lookup'!$C$7,'LOS Lookup'!$B$8,IF(G51&gt;'LOS Lookup'!$C$6,'LOS Lookup'!$B$7,IF(G51&gt;'LOS Lookup'!$C$5,'LOS Lookup'!$B$6,IF(G51&gt;'LOS Lookup'!$C$4,'LOS Lookup'!$B$5,IF(G51&gt;'LOS Lookup'!$C$3,'LOS Lookup'!$B$4,'LOS Lookup'!$B$3))))))</f>
        <v/>
      </c>
      <c r="I51" s="572" t="str">
        <f>IF(F14="1A",'COMBINED OUTPUT2'!O18,IF(F14="2A",'COMBINED OUTPUT2'!O19,IF(F14="2B",'COMBINED OUTPUT2'!O19,IF(F14="2C",'COMBINED OUTPUT2'!O18,""))))</f>
        <v/>
      </c>
    </row>
    <row r="52" spans="1:15" ht="18.75" x14ac:dyDescent="0.3">
      <c r="A52" s="575">
        <v>4</v>
      </c>
      <c r="B52" s="598" t="str">
        <f>IF(F14="2A","RT","")</f>
        <v/>
      </c>
      <c r="C52" s="599"/>
      <c r="D52" s="577" t="str">
        <f>IF(F14="2A",'COMBINED OUTPUT2'!J18,"")</f>
        <v/>
      </c>
      <c r="E52" s="577" t="str">
        <f>IF(E14="2A",D52,"")</f>
        <v/>
      </c>
      <c r="F52" s="600" t="str">
        <f>IF(F14="2A",'COMBINED OUTPUT2'!L18,"")</f>
        <v/>
      </c>
      <c r="G52" s="579" t="str">
        <f>IF(F14="2A",'COMBINED OUTPUT2'!M18,"")</f>
        <v/>
      </c>
      <c r="H52" s="580" t="str">
        <f>IF(G52="","",IF(G52&gt;'LOS Lookup'!$C$7,'LOS Lookup'!$B$8,IF(G52&gt;'LOS Lookup'!$C$6,'LOS Lookup'!$B$7,IF(G52&gt;'LOS Lookup'!$C$5,'LOS Lookup'!$B$6,IF(G52&gt;'LOS Lookup'!$C$4,'LOS Lookup'!$B$5,IF(G52&gt;'LOS Lookup'!$C$3,'LOS Lookup'!$B$4,'LOS Lookup'!$B$3))))))</f>
        <v/>
      </c>
      <c r="I52" s="601" t="str">
        <f>IF(F14="2A",'COMBINED OUTPUT2'!O18,"")</f>
        <v/>
      </c>
    </row>
    <row r="53" spans="1:15" s="497" customFormat="1" ht="19.5" thickBot="1" x14ac:dyDescent="0.35">
      <c r="A53" s="582" t="s">
        <v>304</v>
      </c>
      <c r="B53" s="583"/>
      <c r="C53" s="584">
        <f>SUM(C49:C52)</f>
        <v>425</v>
      </c>
      <c r="D53" s="584">
        <f>SUM(D49:D52)</f>
        <v>75</v>
      </c>
      <c r="E53" s="584">
        <f>SUM(E49:E52)</f>
        <v>500</v>
      </c>
      <c r="F53" s="585"/>
      <c r="G53" s="586"/>
      <c r="H53" s="587"/>
      <c r="I53" s="588"/>
    </row>
    <row r="54" spans="1:15" s="497" customFormat="1" ht="15.75" x14ac:dyDescent="0.25">
      <c r="A54" s="507"/>
      <c r="B54" s="508"/>
      <c r="C54" s="502"/>
      <c r="D54" s="507"/>
      <c r="E54" s="507"/>
      <c r="F54" s="511"/>
      <c r="G54" s="512"/>
      <c r="H54" s="513"/>
      <c r="I54" s="507"/>
    </row>
    <row r="55" spans="1:15" s="497" customFormat="1" ht="15.75" x14ac:dyDescent="0.25">
      <c r="A55" s="507"/>
      <c r="B55" s="508"/>
      <c r="C55" s="502"/>
      <c r="D55" s="507"/>
      <c r="E55" s="507"/>
      <c r="F55" s="511"/>
      <c r="G55" s="512"/>
      <c r="H55" s="518"/>
      <c r="I55" s="507"/>
    </row>
    <row r="56" spans="1:15" s="497" customFormat="1" ht="21.75" thickBot="1" x14ac:dyDescent="0.4">
      <c r="A56" s="538" t="s">
        <v>316</v>
      </c>
      <c r="B56" s="508"/>
      <c r="C56" s="502"/>
      <c r="D56" s="507"/>
      <c r="E56" s="507"/>
      <c r="F56" s="511"/>
      <c r="G56" s="512"/>
      <c r="H56" s="518"/>
      <c r="I56" s="507"/>
    </row>
    <row r="57" spans="1:15" ht="19.5" thickBot="1" x14ac:dyDescent="0.35">
      <c r="A57" s="602"/>
      <c r="B57" s="602"/>
      <c r="C57" s="603"/>
      <c r="D57" s="603"/>
      <c r="E57" s="604"/>
      <c r="F57" s="605" t="s">
        <v>298</v>
      </c>
      <c r="G57" s="606"/>
      <c r="I57" s="497"/>
      <c r="J57" s="497"/>
      <c r="K57" s="497"/>
      <c r="L57" s="497"/>
      <c r="M57" s="497"/>
      <c r="N57" s="497"/>
      <c r="O57" s="497"/>
    </row>
    <row r="58" spans="1:15" ht="18.75" x14ac:dyDescent="0.3">
      <c r="A58" s="602"/>
      <c r="B58" s="607"/>
      <c r="C58" s="608" t="s">
        <v>273</v>
      </c>
      <c r="D58" s="609" t="s">
        <v>71</v>
      </c>
      <c r="E58" s="610" t="s">
        <v>303</v>
      </c>
      <c r="F58" s="611" t="s">
        <v>275</v>
      </c>
      <c r="G58" s="612" t="s">
        <v>276</v>
      </c>
    </row>
    <row r="59" spans="1:15" ht="19.5" thickBot="1" x14ac:dyDescent="0.35">
      <c r="A59" s="613"/>
      <c r="B59" s="614"/>
      <c r="C59" s="615" t="s">
        <v>280</v>
      </c>
      <c r="D59" s="616"/>
      <c r="E59" s="617" t="s">
        <v>305</v>
      </c>
      <c r="F59" s="618" t="s">
        <v>281</v>
      </c>
      <c r="G59" s="561" t="s">
        <v>281</v>
      </c>
    </row>
    <row r="60" spans="1:15" ht="18.75" x14ac:dyDescent="0.3">
      <c r="A60" s="562" t="s">
        <v>252</v>
      </c>
      <c r="B60" s="563"/>
      <c r="C60" s="619">
        <f>IF(E14="1D",'COMBINED OUTPUT'!P15,IF(E14="2D",'COMBINED OUTPUT'!P15,'COMBINED OUTPUT'!P22))</f>
        <v>174.217294240618</v>
      </c>
      <c r="D60" s="620" t="str">
        <f>IF(C60&gt;'LOS Lookup'!$C$7,'LOS Lookup'!$B$8,IF(C60&gt;'LOS Lookup'!$C$6,'LOS Lookup'!$B$7,IF(C60&gt;'LOS Lookup'!$C$5,'LOS Lookup'!$B$6,IF(C60&gt;'LOS Lookup'!$C$4,'LOS Lookup'!$B$5,IF(C60&gt;'LOS Lookup'!$C$3,'LOS Lookup'!$B$4,'LOS Lookup'!$B$3)))))</f>
        <v>F</v>
      </c>
      <c r="E60" s="621" t="str">
        <f>IF(B44="ATL",C44/C47,IF(B44="SHARED ATL",C44/C47,IF(B45="ATL",C45/C47,IF(B45="SHARED ATL",C45/C47,"N/A"))))</f>
        <v>N/A</v>
      </c>
      <c r="F60" s="622" t="s">
        <v>320</v>
      </c>
      <c r="G60" s="623" t="str">
        <f>IF(E14="1D","NA",IF(E14="2D","NA",'COMBINED OUTPUT'!S22))</f>
        <v>NA</v>
      </c>
    </row>
    <row r="61" spans="1:15" ht="19.5" thickBot="1" x14ac:dyDescent="0.35">
      <c r="A61" s="624" t="s">
        <v>253</v>
      </c>
      <c r="B61" s="625"/>
      <c r="C61" s="626">
        <f>IF(F14="1D",'COMBINED OUTPUT2'!P15,IF(F14="2D",'COMBINED OUTPUT2'!P15,'COMBINED OUTPUT2'!P22))</f>
        <v>46.332574185198766</v>
      </c>
      <c r="D61" s="627" t="str">
        <f>IF(C61&gt;'LOS Lookup'!$C$7,'LOS Lookup'!$B$8,IF(C61&gt;'LOS Lookup'!$C$6,'LOS Lookup'!$B$7,IF(C61&gt;'LOS Lookup'!$C$5,'LOS Lookup'!$B$6,IF(C61&gt;'LOS Lookup'!$C$4,'LOS Lookup'!$B$5,IF(C61&gt;'LOS Lookup'!$C$3,'LOS Lookup'!$B$4,'LOS Lookup'!$B$3)))))</f>
        <v>D</v>
      </c>
      <c r="E61" s="628">
        <f>IF(B50="ATL",C50/C53,IF(B50="SHARED ATL",C50/C53,IF(B51="ATL",C51/C53,IF(B51="SHARED ATL",C51/C53,"N/A"))))</f>
        <v>0.32470588235294118</v>
      </c>
      <c r="F61" s="629">
        <f>MAX(I49:I52)</f>
        <v>400</v>
      </c>
      <c r="G61" s="630">
        <f>IF(F14="1D","NA",IF(F14="2D","NA",'COMBINED OUTPUT2'!S22))</f>
        <v>230</v>
      </c>
    </row>
    <row r="63" spans="1:15" x14ac:dyDescent="0.25">
      <c r="A63" s="509" t="s">
        <v>291</v>
      </c>
    </row>
    <row r="64" spans="1:15" x14ac:dyDescent="0.25">
      <c r="A64" t="s">
        <v>292</v>
      </c>
      <c r="B64" t="s">
        <v>293</v>
      </c>
    </row>
    <row r="65" spans="1:2" x14ac:dyDescent="0.25">
      <c r="A65" t="s">
        <v>294</v>
      </c>
      <c r="B65" t="s">
        <v>297</v>
      </c>
    </row>
    <row r="66" spans="1:2" x14ac:dyDescent="0.25">
      <c r="A66" t="s">
        <v>295</v>
      </c>
      <c r="B66" t="s">
        <v>296</v>
      </c>
    </row>
    <row r="67" spans="1:2" x14ac:dyDescent="0.25">
      <c r="A67" t="s">
        <v>302</v>
      </c>
      <c r="B67" t="s">
        <v>319</v>
      </c>
    </row>
    <row r="68" spans="1:2" s="497" customFormat="1" x14ac:dyDescent="0.25">
      <c r="A68" s="497" t="s">
        <v>321</v>
      </c>
    </row>
    <row r="69" spans="1:2" s="497" customFormat="1" x14ac:dyDescent="0.25"/>
    <row r="70" spans="1:2" ht="15.75" x14ac:dyDescent="0.25">
      <c r="A70" s="537" t="s">
        <v>317</v>
      </c>
      <c r="B70" s="537"/>
    </row>
    <row r="71" spans="1:2" ht="15.75" x14ac:dyDescent="0.25">
      <c r="A71" s="537" t="s">
        <v>318</v>
      </c>
    </row>
  </sheetData>
  <mergeCells count="43">
    <mergeCell ref="F25:H25"/>
    <mergeCell ref="F34:H34"/>
    <mergeCell ref="F35:H35"/>
    <mergeCell ref="A38:I38"/>
    <mergeCell ref="F30:H30"/>
    <mergeCell ref="F31:H31"/>
    <mergeCell ref="F32:H32"/>
    <mergeCell ref="F33:H33"/>
    <mergeCell ref="B16:D16"/>
    <mergeCell ref="B17:D17"/>
    <mergeCell ref="B18:D18"/>
    <mergeCell ref="A24:D24"/>
    <mergeCell ref="B25:D25"/>
    <mergeCell ref="A48:B48"/>
    <mergeCell ref="F24:H24"/>
    <mergeCell ref="B26:D26"/>
    <mergeCell ref="B27:D27"/>
    <mergeCell ref="B28:D28"/>
    <mergeCell ref="B29:D29"/>
    <mergeCell ref="B19:D19"/>
    <mergeCell ref="A60:B60"/>
    <mergeCell ref="A61:B61"/>
    <mergeCell ref="B34:D34"/>
    <mergeCell ref="F26:H26"/>
    <mergeCell ref="F27:H27"/>
    <mergeCell ref="F28:H28"/>
    <mergeCell ref="F29:H29"/>
    <mergeCell ref="A2:I2"/>
    <mergeCell ref="A3:I3"/>
    <mergeCell ref="A59:B59"/>
    <mergeCell ref="F57:G57"/>
    <mergeCell ref="A6:D6"/>
    <mergeCell ref="A7:D7"/>
    <mergeCell ref="A8:D8"/>
    <mergeCell ref="A9:D9"/>
    <mergeCell ref="A10:D10"/>
    <mergeCell ref="B20:D20"/>
    <mergeCell ref="B30:D30"/>
    <mergeCell ref="B31:D31"/>
    <mergeCell ref="B32:D32"/>
    <mergeCell ref="B33:D33"/>
    <mergeCell ref="C57:D57"/>
    <mergeCell ref="A42:B42"/>
  </mergeCells>
  <pageMargins left="0.7" right="0.7" top="0.75" bottom="0.75" header="0.3" footer="0.3"/>
  <pageSetup scale="4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F1:S29"/>
  <sheetViews>
    <sheetView workbookViewId="0">
      <selection activeCell="I26" sqref="I26"/>
    </sheetView>
  </sheetViews>
  <sheetFormatPr defaultRowHeight="15" x14ac:dyDescent="0.25"/>
  <cols>
    <col min="1" max="1" width="1.5703125" customWidth="1"/>
    <col min="2" max="2" width="1.7109375" customWidth="1"/>
    <col min="3" max="3" width="1.85546875" customWidth="1"/>
    <col min="4" max="4" width="0.5703125" customWidth="1"/>
    <col min="5" max="5" width="7.42578125" customWidth="1"/>
    <col min="6" max="6" width="13.28515625" customWidth="1"/>
    <col min="7" max="7" width="11.28515625" customWidth="1"/>
    <col min="8" max="8" width="32.7109375" customWidth="1"/>
    <col min="9" max="9" width="11.28515625" customWidth="1"/>
    <col min="10" max="10" width="12.140625" customWidth="1"/>
    <col min="11" max="11" width="10.140625" customWidth="1"/>
    <col min="12" max="12" width="11.85546875" style="411" customWidth="1"/>
    <col min="13" max="13" width="8.7109375" style="307" customWidth="1"/>
    <col min="14" max="14" width="4.85546875" customWidth="1"/>
    <col min="15" max="15" width="8.7109375" bestFit="1" customWidth="1"/>
    <col min="16" max="16" width="11.85546875" customWidth="1"/>
    <col min="17" max="17" width="5.42578125" customWidth="1"/>
    <col min="18" max="19" width="17.140625" customWidth="1"/>
    <col min="26" max="26" width="5.7109375" customWidth="1"/>
  </cols>
  <sheetData>
    <row r="1" spans="6:19" ht="15.75" thickBot="1" x14ac:dyDescent="0.3"/>
    <row r="2" spans="6:19" ht="18.75" x14ac:dyDescent="0.3">
      <c r="G2" s="452" t="s">
        <v>232</v>
      </c>
      <c r="H2" s="453"/>
      <c r="I2" s="453"/>
      <c r="J2" s="18"/>
      <c r="K2" s="19"/>
      <c r="L2" s="457"/>
      <c r="M2" s="458"/>
      <c r="N2" s="19"/>
    </row>
    <row r="3" spans="6:19" ht="19.5" thickBot="1" x14ac:dyDescent="0.35">
      <c r="G3" s="454" t="s">
        <v>233</v>
      </c>
      <c r="H3" s="455"/>
      <c r="I3" s="455"/>
      <c r="J3" s="23"/>
      <c r="K3" s="24"/>
      <c r="L3" s="459"/>
      <c r="M3" s="460"/>
      <c r="N3" s="24"/>
    </row>
    <row r="6" spans="6:19" ht="15.75" thickBot="1" x14ac:dyDescent="0.3"/>
    <row r="7" spans="6:19" ht="19.5" thickBot="1" x14ac:dyDescent="0.35">
      <c r="J7" s="524" t="str">
        <f>'COMBINED INPUT'!H7</f>
        <v>HYPOTHETICAL SITE</v>
      </c>
      <c r="K7" s="525"/>
      <c r="L7" s="525"/>
      <c r="M7" s="526"/>
    </row>
    <row r="8" spans="6:19" ht="15.75" thickBot="1" x14ac:dyDescent="0.3"/>
    <row r="9" spans="6:19" ht="19.5" thickBot="1" x14ac:dyDescent="0.35">
      <c r="G9" s="407"/>
      <c r="H9" s="28"/>
      <c r="I9" s="435" t="s">
        <v>231</v>
      </c>
      <c r="J9" s="436"/>
      <c r="K9" s="436"/>
      <c r="L9" s="437"/>
      <c r="M9" s="438" t="str">
        <f>'COMBINED INPUT'!J26</f>
        <v>1-CTL + RT LANE</v>
      </c>
      <c r="N9" s="436"/>
      <c r="O9" s="439"/>
      <c r="P9" s="440"/>
      <c r="Q9" s="439"/>
    </row>
    <row r="10" spans="6:19" ht="15.75" thickBot="1" x14ac:dyDescent="0.3"/>
    <row r="11" spans="6:19" ht="15.75" x14ac:dyDescent="0.25">
      <c r="F11" s="44"/>
      <c r="G11" s="29"/>
      <c r="H11" s="29"/>
      <c r="I11" s="74"/>
      <c r="J11" s="74"/>
      <c r="K11" s="74"/>
      <c r="L11" s="442"/>
      <c r="M11" s="447"/>
      <c r="N11" s="29"/>
      <c r="O11" s="86" t="s">
        <v>20</v>
      </c>
      <c r="P11" s="86" t="s">
        <v>74</v>
      </c>
      <c r="Q11" s="18"/>
      <c r="R11" s="372" t="s">
        <v>127</v>
      </c>
      <c r="S11" s="372" t="s">
        <v>221</v>
      </c>
    </row>
    <row r="12" spans="6:19" ht="18.75" x14ac:dyDescent="0.3">
      <c r="F12" s="475" t="s">
        <v>241</v>
      </c>
      <c r="G12" s="30"/>
      <c r="H12" s="30"/>
      <c r="I12" s="77" t="s">
        <v>65</v>
      </c>
      <c r="J12" s="77" t="s">
        <v>66</v>
      </c>
      <c r="K12" s="77" t="s">
        <v>73</v>
      </c>
      <c r="L12" s="443" t="s">
        <v>69</v>
      </c>
      <c r="M12" s="448" t="s">
        <v>70</v>
      </c>
      <c r="N12" s="108" t="s">
        <v>71</v>
      </c>
      <c r="O12" s="75" t="s">
        <v>72</v>
      </c>
      <c r="P12" s="75" t="s">
        <v>75</v>
      </c>
      <c r="Q12" s="129" t="s">
        <v>71</v>
      </c>
      <c r="R12" s="373" t="s">
        <v>113</v>
      </c>
      <c r="S12" s="387" t="s">
        <v>124</v>
      </c>
    </row>
    <row r="13" spans="6:19" ht="15.75" thickBot="1" x14ac:dyDescent="0.3">
      <c r="F13" s="69"/>
      <c r="G13" s="70"/>
      <c r="H13" s="70"/>
      <c r="I13" s="76" t="s">
        <v>14</v>
      </c>
      <c r="J13" s="76" t="s">
        <v>14</v>
      </c>
      <c r="K13" s="76" t="s">
        <v>14</v>
      </c>
      <c r="L13" s="450"/>
      <c r="M13" s="451" t="s">
        <v>76</v>
      </c>
      <c r="N13" s="70"/>
      <c r="O13" s="76" t="s">
        <v>77</v>
      </c>
      <c r="P13" s="76" t="s">
        <v>76</v>
      </c>
      <c r="Q13" s="23"/>
      <c r="R13" s="374" t="s">
        <v>112</v>
      </c>
      <c r="S13" s="374"/>
    </row>
    <row r="14" spans="6:19" ht="15.75" thickBot="1" x14ac:dyDescent="0.3">
      <c r="F14" s="20"/>
      <c r="G14" s="8"/>
      <c r="H14" s="8"/>
      <c r="I14" s="49"/>
      <c r="J14" s="49"/>
      <c r="K14" s="49"/>
      <c r="L14" s="444"/>
      <c r="M14" s="241"/>
      <c r="N14" s="8"/>
      <c r="O14" s="51"/>
      <c r="P14" s="371"/>
      <c r="Q14" s="74"/>
      <c r="R14" s="375"/>
      <c r="S14" s="376"/>
    </row>
    <row r="15" spans="6:19" ht="19.5" thickBot="1" x14ac:dyDescent="0.35">
      <c r="F15" s="414" t="s">
        <v>234</v>
      </c>
      <c r="G15" s="478" t="str">
        <f>'COMBINED INPUT'!G25</f>
        <v>1A</v>
      </c>
      <c r="H15" s="415" t="str">
        <f>IF('COMBINED INPUT'!G8=1,IF('COMBINED INPUT'!G9="Y","SINGLE SHARED LANE","SINGLE THROUGH LANE"),"THROUGH LANE")</f>
        <v>SINGLE SHARED LANE</v>
      </c>
      <c r="I15" s="441">
        <f>IF('COMBINED INPUT'!G8=1,'COMBINED INPUT'!G12,'SUMMARY 2'!J10)</f>
        <v>425</v>
      </c>
      <c r="J15" s="441">
        <f>IF('COMBINED INPUT'!G8=1,'COMBINED INPUT'!G14,0)</f>
        <v>75</v>
      </c>
      <c r="K15" s="441">
        <f>I15+J15</f>
        <v>500</v>
      </c>
      <c r="L15" s="445">
        <f>IF('COMBINED INPUT'!G8=1,'SUMMARY 1'!N10,'SUMMARY 2'!N10)</f>
        <v>1.2500000000000002</v>
      </c>
      <c r="M15" s="449">
        <f>IF('COMBINED INPUT'!G8=1,'SUMMARY 1'!O10,'SUMMARY 2'!O10)</f>
        <v>174.217294240618</v>
      </c>
      <c r="N15" s="476" t="str">
        <f>IF(M15&gt;'LOS Lookup'!$C$7,'LOS Lookup'!$B$8,IF(M15&gt;'LOS Lookup'!$C$6,'LOS Lookup'!$B$7,IF(M15&gt;'LOS Lookup'!$C$5,'LOS Lookup'!$B$6,IF(M15&gt;'LOS Lookup'!$C$4,'LOS Lookup'!$B$5,IF(M15&gt;'LOS Lookup'!$C$3,'LOS Lookup'!$B$4,'LOS Lookup'!$B$3)))))</f>
        <v>F</v>
      </c>
      <c r="O15" s="416">
        <f>IF('COMBINED INPUT'!G8=1,'SUMMARY 1'!Q10,'SUMMARY 2'!Q10)</f>
        <v>1000</v>
      </c>
      <c r="P15" s="479">
        <f>IF('COMBINED INPUT'!G8=1,'SUMMARY 1'!R10,'SUMMARY 2'!R11)</f>
        <v>174.217294240618</v>
      </c>
      <c r="Q15" s="477" t="str">
        <f>IF('SUMMARY 1'!R10&gt;'LOS Lookup'!$C$7,'LOS Lookup'!$B$8,IF('SUMMARY 1'!R10&gt;'LOS Lookup'!$C$6,'LOS Lookup'!$B$7,IF('SUMMARY 1'!R10&gt;'LOS Lookup'!$C$5,'LOS Lookup'!$B$6,IF('SUMMARY 1'!R10&gt;'LOS Lookup'!$C$4,'LOS Lookup'!$B$5,IF('SUMMARY 1'!R10&gt;'LOS Lookup'!$C$3,'LOS Lookup'!$B$4,'LOS Lookup'!$B$3)))))</f>
        <v>F</v>
      </c>
      <c r="R15" s="480">
        <f>MAX(O15,O16)</f>
        <v>1000</v>
      </c>
      <c r="S15" s="377"/>
    </row>
    <row r="16" spans="6:19" ht="16.5" thickBot="1" x14ac:dyDescent="0.3">
      <c r="F16" s="414" t="str">
        <f>IF('COMBINED INPUT'!G8=1," ","BASE CASE")</f>
        <v xml:space="preserve"> </v>
      </c>
      <c r="G16" s="415"/>
      <c r="H16" s="415" t="str">
        <f>IF('COMBINED INPUT'!G8=1," ",IF('COMBINED INPUT'!G9="N","THROUGH LANE","SHARED LANE"))</f>
        <v xml:space="preserve"> </v>
      </c>
      <c r="I16" s="441" t="str">
        <f>IF('COMBINED INPUT'!G8=1," ",'SUMMARY 2'!J11)</f>
        <v xml:space="preserve"> </v>
      </c>
      <c r="J16" s="441" t="str">
        <f>IF('COMBINED INPUT'!G8=1," ",'COMBINED INPUT'!G14)</f>
        <v xml:space="preserve"> </v>
      </c>
      <c r="K16" s="441" t="str">
        <f>IF('COMBINED INPUT'!G8=1," ",'COMBINED OUTPUT'!I16+J16)</f>
        <v xml:space="preserve"> </v>
      </c>
      <c r="L16" s="445" t="str">
        <f>IF('COMBINED INPUT'!G8=1," ",'SUMMARY 2'!N11)</f>
        <v xml:space="preserve"> </v>
      </c>
      <c r="M16" s="449" t="str">
        <f>IF('COMBINED INPUT'!G8=1," ",'SUMMARY 2'!O11)</f>
        <v xml:space="preserve"> </v>
      </c>
      <c r="N16" s="481" t="str">
        <f>IF('COMBINED INPUT'!G8=2,IF(M16&gt;'LOS Lookup'!$C$7,'LOS Lookup'!$B$8,IF(M16&gt;'LOS Lookup'!$C$6,'LOS Lookup'!$B$7,IF(M16&gt;'LOS Lookup'!$C$5,'LOS Lookup'!$B$6,IF(M16&gt;'LOS Lookup'!$C$4,'LOS Lookup'!$B$5,IF(M16&gt;'LOS Lookup'!$C$3,'LOS Lookup'!$B$4,'LOS Lookup'!$B$3)))))," ")</f>
        <v xml:space="preserve"> </v>
      </c>
      <c r="O16" s="416" t="str">
        <f>IF('COMBINED INPUT'!G8=1," ",'SUMMARY 2'!Q11)</f>
        <v xml:space="preserve"> </v>
      </c>
      <c r="P16" s="471"/>
      <c r="Q16" s="77"/>
      <c r="R16" s="378"/>
      <c r="S16" s="377"/>
    </row>
    <row r="17" spans="6:19" ht="16.5" thickBot="1" x14ac:dyDescent="0.3">
      <c r="F17" s="527"/>
      <c r="G17" s="528"/>
      <c r="H17" s="528"/>
      <c r="I17" s="528"/>
      <c r="J17" s="528"/>
      <c r="K17" s="528"/>
      <c r="L17" s="528"/>
      <c r="M17" s="528"/>
      <c r="N17" s="528"/>
      <c r="O17" s="529"/>
      <c r="P17" s="482"/>
      <c r="Q17" s="77"/>
      <c r="R17" s="378"/>
      <c r="S17" s="377"/>
    </row>
    <row r="18" spans="6:19" ht="16.5" thickBot="1" x14ac:dyDescent="0.3">
      <c r="F18" s="485" t="str">
        <f>IF('COMBINED INPUT'!G8=1,IF('BASELINE-APP'!I9=2,'RT+ATL'!I13,""),IF('APP-BASELINE'!J7=1,"RT-EXCLUSIVE POCKET", " "))</f>
        <v/>
      </c>
      <c r="G18" s="486"/>
      <c r="H18" s="487"/>
      <c r="I18" s="488"/>
      <c r="J18" s="488" t="str">
        <f>IF('COMBINED INPUT'!G8=1,IF('BASELINE-APP'!I9=2,'RT+ATL'!E16," "),IF('APP-BASELINE'!J9 &gt;= 1,'APP-BASELINE'!F10, " "))</f>
        <v xml:space="preserve"> </v>
      </c>
      <c r="K18" s="488" t="str">
        <f>J18</f>
        <v xml:space="preserve"> </v>
      </c>
      <c r="L18" s="489" t="str">
        <f>IF('COMBINED INPUT'!G26="1D",'SUMMARY 1'!N12,IF('COMBINED INPUT'!G26="2D",'SUMMARY 2'!N13,IF('COMBINED INPUT'!G26="2B",'SUMMARY 2'!N13," ")))</f>
        <v xml:space="preserve"> </v>
      </c>
      <c r="M18" s="490" t="str">
        <f>IF('COMBINED INPUT'!G9="N"," ",IF('COMBINED INPUT'!G8=1,IF('BASELINE-APP'!I9=2,'RT+ATL'!J22," "),IF('APP-BASELINE'!J9&gt;=1,'APP-BASELINE'!K35," ")))</f>
        <v xml:space="preserve"> </v>
      </c>
      <c r="N18" s="491" t="str">
        <f>IF(M18=" ","",IF(M18&gt;'LOS Lookup'!$C$7,'LOS Lookup'!$B$8,IF(M18&gt;'LOS Lookup'!$C$6,'LOS Lookup'!$B$7,IF(M18&gt;'LOS Lookup'!$C$5,'LOS Lookup'!$B$6,IF(M18&gt;'LOS Lookup'!$C$4,'LOS Lookup'!$B$5,IF(M18&gt;'LOS Lookup'!$C$3,'LOS Lookup'!$B$4,'LOS Lookup'!$B$3))))))</f>
        <v/>
      </c>
      <c r="O18" s="417" t="str">
        <f>IF(M18=" "," ",IF('COMBINED INPUT'!G26="1D",'RT+ATL'!O29,IF('COMBINED INPUT'!G26="2B",'APP-BASELINE'!Q49,IF('COMBINED INPUT'!G26="2D",'APP-BASELINE'!Q49," "))))</f>
        <v xml:space="preserve"> </v>
      </c>
      <c r="P18" s="472"/>
      <c r="Q18" s="77"/>
      <c r="R18" s="377"/>
      <c r="S18" s="377"/>
    </row>
    <row r="19" spans="6:19" ht="16.5" thickBot="1" x14ac:dyDescent="0.3">
      <c r="F19" s="418" t="str">
        <f>IF('COMBINED INPUT'!G9="N","ATL",IF('COMBINED INPUT'!G26="1B","RT LANE",IF('COMBINED INPUT'!G26="2B","NO ATL","ATL")))</f>
        <v>RT LANE</v>
      </c>
      <c r="G19" s="419" t="str">
        <f>IF('COMBINED INPUT'!G26="1B"," ",IF('COMBINED INPUT'!G26="2B"," ",IF(I19=0,IF(J19=0,"NO RIGHT TURNS"," "),"")))</f>
        <v xml:space="preserve"> </v>
      </c>
      <c r="H19" s="461" t="str">
        <f>IF(F19="NO ATL"," ",IF(J19=0,"THROUGH ONLY",IF(MIN(I19,J19)&gt;0,"SHARED LANE"," ")))</f>
        <v xml:space="preserve"> </v>
      </c>
      <c r="I19" s="441">
        <f>IF('COMBINED INPUT'!G8=1,ATL!E16,'SUMMARY 2'!J14)</f>
        <v>0</v>
      </c>
      <c r="J19" s="441">
        <f>IF('COMBINED INPUT'!G8=1,ATL!E7,'SUMMARY 2'!K14)</f>
        <v>75</v>
      </c>
      <c r="K19" s="441">
        <f>I19+J19</f>
        <v>75</v>
      </c>
      <c r="L19" s="445">
        <f>IF('COMBINED INPUT'!G26="1B",'SUMMARY 1'!N13,IF('COMBINED INPUT'!G26="2B",0,IF('COMBINED INPUT'!G8=1,'SUMMARY 1'!N13,'SUMMARY 2'!N14)))</f>
        <v>0.2129032258064516</v>
      </c>
      <c r="M19" s="449">
        <f>IF('COMBINED INPUT'!G8=1,ATL!J23,'SUMMARY 2'!O14)</f>
        <v>35.887560069201569</v>
      </c>
      <c r="N19" s="446" t="str">
        <f>IF(M19=0," ",IF(M19&gt;'LOS Lookup'!$C$7,'LOS Lookup'!$B$8,IF(M19&gt;'LOS Lookup'!$C$6,'LOS Lookup'!$B$7,IF(M19&gt;'LOS Lookup'!$C$5,'LOS Lookup'!$B$6,IF(M19&gt;'LOS Lookup'!$C$4,'LOS Lookup'!$B$5,IF(M19&gt;'LOS Lookup'!$C$3,'LOS Lookup'!$B$4,'LOS Lookup'!$B$3))))))</f>
        <v>D</v>
      </c>
      <c r="O19" s="416">
        <f>IF('COMBINED INPUT'!G8=1,ATL!O31,'SUMMARY 2'!Q14)</f>
        <v>100</v>
      </c>
      <c r="P19" s="472"/>
      <c r="Q19" s="77"/>
      <c r="R19" s="377"/>
      <c r="S19" s="377"/>
    </row>
    <row r="20" spans="6:19" ht="16.5" thickBot="1" x14ac:dyDescent="0.3">
      <c r="F20" s="414" t="str">
        <f>IF('COMBINED INPUT'!G8=1,"CTL","2 CTL'S")</f>
        <v>CTL</v>
      </c>
      <c r="G20" s="415"/>
      <c r="H20" s="420"/>
      <c r="I20" s="441">
        <f>IF('COMBINED INPUT'!G8=1,CTL!E16,'SUMMARY 2'!J15)</f>
        <v>425</v>
      </c>
      <c r="J20" s="441">
        <v>0</v>
      </c>
      <c r="K20" s="441">
        <f t="shared" ref="K20" si="0">I20+J20</f>
        <v>425</v>
      </c>
      <c r="L20" s="445">
        <f>IF('COMBINED INPUT'!G8=1,'SUMMARY 1'!N14,'SUMMARY 2'!N15)</f>
        <v>1.038888888888889</v>
      </c>
      <c r="M20" s="449">
        <f>IF('COMBINED INPUT'!G8=1,CTL!J23,'SUMMARY 2'!O15)</f>
        <v>97.44050227048848</v>
      </c>
      <c r="N20" s="446" t="str">
        <f>IF(M20&gt;'LOS Lookup'!$C$7,'LOS Lookup'!$B$8,IF(M20&gt;'LOS Lookup'!$C$6,'LOS Lookup'!$B$7,IF(M20&gt;'LOS Lookup'!$C$5,'LOS Lookup'!$B$6,IF(M20&gt;'LOS Lookup'!$C$4,'LOS Lookup'!$B$5,IF(M20&gt;'LOS Lookup'!$C$3,'LOS Lookup'!$B$4,'LOS Lookup'!$B$3)))))</f>
        <v>F</v>
      </c>
      <c r="O20" s="416">
        <f>IF('COMBINED INPUT'!G8=1,CTL!O32,'SUMMARY 2'!Q15)</f>
        <v>700</v>
      </c>
      <c r="P20" s="473"/>
      <c r="Q20" s="77"/>
      <c r="R20" s="377"/>
      <c r="S20" s="377"/>
    </row>
    <row r="21" spans="6:19" ht="15.75" thickBot="1" x14ac:dyDescent="0.3">
      <c r="P21" s="473"/>
      <c r="Q21" s="49"/>
      <c r="R21" s="377"/>
      <c r="S21" s="377"/>
    </row>
    <row r="22" spans="6:19" ht="21.75" thickBot="1" x14ac:dyDescent="0.4">
      <c r="F22" s="52" t="s">
        <v>93</v>
      </c>
      <c r="G22" s="40"/>
      <c r="H22" s="40"/>
      <c r="I22" s="26"/>
      <c r="J22" s="26"/>
      <c r="K22" s="26"/>
      <c r="L22" s="421"/>
      <c r="M22" s="422"/>
      <c r="N22" s="26"/>
      <c r="O22" s="26"/>
      <c r="P22" s="474">
        <f>IF('COMBINED INPUT'!G8=1,'SUMMARY 1'!R16,'SUMMARY 2'!R17)</f>
        <v>88.207560940295437</v>
      </c>
      <c r="Q22" s="219" t="str">
        <f>IF('SUMMARY 1'!R16&gt;'LOS Lookup'!$C$7,'LOS Lookup'!$B$8,IF('SUMMARY 1'!R16&gt;'LOS Lookup'!$C$6,'LOS Lookup'!$B$7,IF('SUMMARY 1'!R16&gt;'LOS Lookup'!$C$5,'LOS Lookup'!$B$6,IF('SUMMARY 1'!R16&gt;'LOS Lookup'!$C$4,'LOS Lookup'!$B$5,IF('SUMMARY 1'!R16&gt;'LOS Lookup'!$C$3,'LOS Lookup'!$B$4,'LOS Lookup'!$B$3)))))</f>
        <v>F</v>
      </c>
      <c r="R22" s="423">
        <f>MAX(O18:O20)</f>
        <v>700</v>
      </c>
      <c r="S22" s="423" t="str">
        <f>IF('COMBINED INPUT'!G26="1B","NA",IF('COMBINED INPUT'!G26="2B","NA",IF('COMBINED INPUT'!G8=1,MAX('SUMMARY 1'!U16,'SUMMARY 1'!V16),MAX('SUMMARY 2'!U17,'SUMMARY 2'!V17))))</f>
        <v>NA</v>
      </c>
    </row>
    <row r="23" spans="6:19" x14ac:dyDescent="0.25">
      <c r="F23" s="228"/>
      <c r="G23" s="228"/>
      <c r="H23" s="228"/>
      <c r="I23" s="28"/>
      <c r="J23" s="28"/>
      <c r="K23" s="28"/>
      <c r="L23" s="408"/>
      <c r="M23" s="28"/>
      <c r="N23" s="28"/>
      <c r="O23" s="28"/>
      <c r="P23" s="409"/>
      <c r="Q23" s="28"/>
      <c r="R23" s="28"/>
      <c r="S23" s="28"/>
    </row>
    <row r="24" spans="6:19" ht="18.75" x14ac:dyDescent="0.3">
      <c r="F24" s="228"/>
      <c r="G24" s="228"/>
      <c r="H24" s="228"/>
      <c r="I24" s="28"/>
      <c r="J24" s="28"/>
      <c r="K24" s="28"/>
      <c r="L24" s="408"/>
      <c r="M24" s="28"/>
      <c r="N24" s="28"/>
      <c r="O24" s="28"/>
      <c r="P24" s="410"/>
      <c r="Q24" s="28"/>
      <c r="R24" s="28"/>
      <c r="S24" s="28"/>
    </row>
    <row r="25" spans="6:19" x14ac:dyDescent="0.25">
      <c r="H25" s="412"/>
      <c r="I25" s="307"/>
      <c r="J25" s="307"/>
      <c r="K25" s="307"/>
      <c r="N25" s="307"/>
      <c r="O25" s="307"/>
      <c r="P25" s="307"/>
      <c r="Q25" s="307"/>
      <c r="R25" s="307"/>
    </row>
    <row r="26" spans="6:19" x14ac:dyDescent="0.25">
      <c r="H26" s="412"/>
      <c r="I26" s="307"/>
      <c r="J26" s="413"/>
      <c r="K26" s="307"/>
      <c r="N26" s="307"/>
      <c r="O26" s="307"/>
      <c r="P26" s="307"/>
      <c r="Q26" s="307"/>
      <c r="R26" s="307"/>
    </row>
    <row r="27" spans="6:19" x14ac:dyDescent="0.25">
      <c r="H27" s="412"/>
      <c r="I27" s="307"/>
      <c r="J27" s="307"/>
      <c r="K27" s="307"/>
      <c r="N27" s="307"/>
      <c r="O27" s="307"/>
      <c r="P27" s="412"/>
      <c r="Q27" s="412"/>
      <c r="R27" s="412"/>
    </row>
    <row r="28" spans="6:19" x14ac:dyDescent="0.25">
      <c r="H28" s="412"/>
      <c r="I28" s="307"/>
      <c r="J28" s="307"/>
      <c r="K28" s="307"/>
      <c r="N28" s="307"/>
      <c r="O28" s="307"/>
      <c r="P28" s="412"/>
      <c r="Q28" s="412"/>
      <c r="R28" s="412"/>
    </row>
    <row r="29" spans="6:19" x14ac:dyDescent="0.25">
      <c r="H29" s="28"/>
      <c r="I29" s="307"/>
      <c r="J29" s="307"/>
      <c r="K29" s="307"/>
      <c r="N29" s="307"/>
      <c r="O29" s="307"/>
      <c r="P29" s="412"/>
      <c r="Q29" s="412"/>
      <c r="R29" s="412"/>
    </row>
  </sheetData>
  <mergeCells count="2">
    <mergeCell ref="J7:M7"/>
    <mergeCell ref="F17:O17"/>
  </mergeCells>
  <conditionalFormatting sqref="N19:N20 Q15 Q22 N15:N16 N18">
    <cfRule type="cellIs" dxfId="219" priority="32" operator="equal">
      <formula>"A"</formula>
    </cfRule>
    <cfRule type="cellIs" dxfId="218" priority="33" operator="equal">
      <formula>"B"</formula>
    </cfRule>
    <cfRule type="cellIs" dxfId="217" priority="34" operator="equal">
      <formula>"C"</formula>
    </cfRule>
    <cfRule type="cellIs" dxfId="216" priority="35" operator="equal">
      <formula>"D"</formula>
    </cfRule>
    <cfRule type="cellIs" dxfId="215" priority="37" operator="equal">
      <formula>"F"</formula>
    </cfRule>
  </conditionalFormatting>
  <conditionalFormatting sqref="N18">
    <cfRule type="colorScale" priority="1">
      <colorScale>
        <cfvo type="min"/>
        <cfvo type="max"/>
        <color rgb="FFFF7128"/>
        <color rgb="FFFFEF9C"/>
      </colorScale>
    </cfRule>
  </conditionalFormatting>
  <conditionalFormatting sqref="I37:I40 I42:I45 L37 L42">
    <cfRule type="cellIs" dxfId="214" priority="36" operator="equal">
      <formula>"E"</formula>
    </cfRule>
  </conditionalFormatting>
  <pageMargins left="0.7" right="0.7" top="0.75" bottom="0.75" header="0.3" footer="0.3"/>
  <pageSetup scale="6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0"/>
  <sheetViews>
    <sheetView workbookViewId="0">
      <selection activeCell="E9" sqref="E9:E21"/>
    </sheetView>
  </sheetViews>
  <sheetFormatPr defaultRowHeight="15" x14ac:dyDescent="0.25"/>
  <cols>
    <col min="1" max="1" width="4.7109375" customWidth="1"/>
    <col min="4" max="4" width="36.28515625" customWidth="1"/>
    <col min="6" max="6" width="13" customWidth="1"/>
    <col min="7" max="7" width="11.5703125" customWidth="1"/>
    <col min="8" max="8" width="31.5703125" customWidth="1"/>
    <col min="9" max="9" width="15.7109375" customWidth="1"/>
    <col min="11" max="11" width="11.5703125" customWidth="1"/>
    <col min="12" max="12" width="11.28515625" customWidth="1"/>
    <col min="16" max="16" width="13.140625" customWidth="1"/>
  </cols>
  <sheetData>
    <row r="1" spans="1:22" ht="21.75" thickBot="1" x14ac:dyDescent="0.4">
      <c r="D1" s="124" t="s">
        <v>98</v>
      </c>
      <c r="I1" s="390"/>
      <c r="J1" s="227"/>
      <c r="K1" s="227"/>
      <c r="L1" s="227"/>
      <c r="M1" s="227"/>
      <c r="N1" s="227"/>
      <c r="O1" s="227"/>
      <c r="P1" s="227"/>
      <c r="Q1" s="227"/>
      <c r="R1" s="227"/>
      <c r="S1" s="227"/>
      <c r="T1" s="227"/>
      <c r="U1" s="227"/>
      <c r="V1" s="227"/>
    </row>
    <row r="2" spans="1:22" ht="16.5" thickBot="1" x14ac:dyDescent="0.3">
      <c r="B2" s="43" t="s">
        <v>102</v>
      </c>
      <c r="C2" s="2"/>
      <c r="D2" s="2"/>
      <c r="E2" s="2"/>
      <c r="F2" s="2"/>
      <c r="I2" s="390"/>
      <c r="J2" s="392"/>
      <c r="K2" s="393" t="s">
        <v>45</v>
      </c>
      <c r="L2" s="393"/>
      <c r="M2" s="393"/>
      <c r="N2" s="393"/>
      <c r="O2" s="393"/>
      <c r="P2" s="393"/>
      <c r="Q2" s="393"/>
      <c r="R2" s="394"/>
      <c r="S2" s="227"/>
      <c r="T2" s="227"/>
      <c r="U2" s="227"/>
      <c r="V2" s="227"/>
    </row>
    <row r="3" spans="1:22" ht="18.75" x14ac:dyDescent="0.3">
      <c r="A3" s="162"/>
      <c r="B3" s="163"/>
      <c r="C3" s="164"/>
      <c r="D3" s="164"/>
      <c r="E3" s="164"/>
      <c r="F3" s="164"/>
      <c r="G3" s="165"/>
      <c r="H3" s="166"/>
      <c r="I3" s="390"/>
      <c r="J3" s="395"/>
      <c r="K3" s="396"/>
      <c r="L3" s="396"/>
      <c r="M3" s="396"/>
      <c r="N3" s="396"/>
      <c r="O3" s="396"/>
      <c r="P3" s="396"/>
      <c r="Q3" s="396"/>
      <c r="R3" s="397"/>
      <c r="S3" s="227"/>
      <c r="T3" s="227"/>
      <c r="U3" s="227"/>
      <c r="V3" s="227"/>
    </row>
    <row r="4" spans="1:22" ht="18" customHeight="1" x14ac:dyDescent="0.35">
      <c r="A4" s="167"/>
      <c r="B4" s="186" t="s">
        <v>129</v>
      </c>
      <c r="C4" s="187"/>
      <c r="D4" s="187"/>
      <c r="E4" s="187"/>
      <c r="F4" s="187"/>
      <c r="G4" s="188"/>
      <c r="H4" s="189"/>
      <c r="I4" s="390"/>
      <c r="J4" s="398" t="s">
        <v>48</v>
      </c>
      <c r="K4" s="399"/>
      <c r="L4" s="399"/>
      <c r="M4" s="389">
        <f>ROUND((E9+E10)/(E9/E12+E10/E13)/10,0)*10</f>
        <v>1760</v>
      </c>
      <c r="N4" s="389" t="s">
        <v>14</v>
      </c>
      <c r="O4" s="389" t="s">
        <v>63</v>
      </c>
      <c r="P4" s="389"/>
      <c r="Q4" s="389"/>
      <c r="R4" s="400"/>
      <c r="S4" s="227"/>
      <c r="T4" s="227"/>
      <c r="U4" s="227"/>
      <c r="V4" s="227"/>
    </row>
    <row r="5" spans="1:22" ht="19.5" thickBot="1" x14ac:dyDescent="0.35">
      <c r="A5" s="167"/>
      <c r="B5" s="190" t="s">
        <v>131</v>
      </c>
      <c r="C5" s="185"/>
      <c r="D5" s="185"/>
      <c r="E5" s="177" t="s">
        <v>53</v>
      </c>
      <c r="F5" s="176">
        <f>IF(E5="APP",1,0)</f>
        <v>1</v>
      </c>
      <c r="G5" s="168"/>
      <c r="H5" s="169"/>
      <c r="I5" s="390"/>
      <c r="J5" s="398" t="s">
        <v>46</v>
      </c>
      <c r="K5" s="399"/>
      <c r="L5" s="399"/>
      <c r="M5" s="401">
        <f>E9/(E12*J28)</f>
        <v>1.038888888888889</v>
      </c>
      <c r="N5" s="389"/>
      <c r="O5" s="389" t="s">
        <v>57</v>
      </c>
      <c r="P5" s="389"/>
      <c r="Q5" s="389"/>
      <c r="R5" s="400"/>
      <c r="S5" s="227"/>
      <c r="T5" s="227"/>
      <c r="U5" s="227"/>
      <c r="V5" s="227"/>
    </row>
    <row r="6" spans="1:22" ht="19.5" thickBot="1" x14ac:dyDescent="0.35">
      <c r="A6" s="167"/>
      <c r="B6" s="209" t="s">
        <v>136</v>
      </c>
      <c r="C6" s="210"/>
      <c r="D6" s="210"/>
      <c r="E6" s="213"/>
      <c r="F6" s="214" t="str">
        <f>'COMBINED INPUT'!H7</f>
        <v>HYPOTHETICAL SITE</v>
      </c>
      <c r="G6" s="211"/>
      <c r="H6" s="212"/>
      <c r="I6" s="390"/>
      <c r="J6" s="398"/>
      <c r="K6" s="399"/>
      <c r="L6" s="399"/>
      <c r="M6" s="401"/>
      <c r="N6" s="389"/>
      <c r="O6" s="389"/>
      <c r="P6" s="389"/>
      <c r="Q6" s="389"/>
      <c r="R6" s="400"/>
      <c r="S6" s="227"/>
      <c r="T6" s="227"/>
      <c r="U6" s="227"/>
      <c r="V6" s="227"/>
    </row>
    <row r="7" spans="1:22" ht="18.75" x14ac:dyDescent="0.3">
      <c r="A7" s="167"/>
      <c r="B7" s="144" t="s">
        <v>90</v>
      </c>
      <c r="C7" s="207"/>
      <c r="D7" s="207"/>
      <c r="E7" s="184" t="str">
        <f>'COMBINED INPUT'!G10</f>
        <v>Y</v>
      </c>
      <c r="F7" s="208" t="s">
        <v>128</v>
      </c>
      <c r="G7" s="168"/>
      <c r="H7" s="169"/>
      <c r="I7" s="390">
        <f>IF(E7="Y",1,0)</f>
        <v>1</v>
      </c>
      <c r="J7" s="398"/>
      <c r="K7" s="399"/>
      <c r="L7" s="399"/>
      <c r="M7" s="401"/>
      <c r="N7" s="389"/>
      <c r="O7" s="389"/>
      <c r="P7" s="389"/>
      <c r="Q7" s="389"/>
      <c r="R7" s="400"/>
      <c r="S7" s="227"/>
      <c r="T7" s="227"/>
      <c r="U7" s="227"/>
      <c r="V7" s="227"/>
    </row>
    <row r="8" spans="1:22" ht="19.5" thickBot="1" x14ac:dyDescent="0.35">
      <c r="A8" s="167"/>
      <c r="B8" s="149" t="s">
        <v>91</v>
      </c>
      <c r="C8" s="178"/>
      <c r="D8" s="178"/>
      <c r="E8" s="183" t="str">
        <f>'COMBINED INPUT'!G11</f>
        <v>N</v>
      </c>
      <c r="F8" s="179" t="s">
        <v>94</v>
      </c>
      <c r="G8" s="180"/>
      <c r="H8" s="181"/>
      <c r="I8" s="390">
        <f>IF(E8="Y",1,0)</f>
        <v>0</v>
      </c>
      <c r="J8" s="398" t="s">
        <v>58</v>
      </c>
      <c r="K8" s="399"/>
      <c r="L8" s="399"/>
      <c r="M8" s="389">
        <f>ROUND(20.226+81.791*M5^2+1.65*E9^2/10000,0)</f>
        <v>138</v>
      </c>
      <c r="N8" s="389" t="s">
        <v>14</v>
      </c>
      <c r="O8" s="389"/>
      <c r="P8" s="389"/>
      <c r="Q8" s="389"/>
      <c r="R8" s="400"/>
      <c r="S8" s="227"/>
      <c r="T8" s="227"/>
      <c r="U8" s="227"/>
      <c r="V8" s="227"/>
    </row>
    <row r="9" spans="1:22" ht="19.5" thickBot="1" x14ac:dyDescent="0.35">
      <c r="A9" s="167"/>
      <c r="B9" s="144" t="s">
        <v>50</v>
      </c>
      <c r="C9" s="145"/>
      <c r="D9" s="145"/>
      <c r="E9" s="183">
        <f>'COMBINED INPUT'!G12</f>
        <v>425</v>
      </c>
      <c r="F9" s="146" t="s">
        <v>14</v>
      </c>
      <c r="G9" s="147"/>
      <c r="H9" s="170"/>
      <c r="I9" s="390">
        <f>I8+I7</f>
        <v>1</v>
      </c>
      <c r="J9" s="402" t="s">
        <v>59</v>
      </c>
      <c r="K9" s="403"/>
      <c r="L9" s="403"/>
      <c r="M9" s="404">
        <f>IF(E8="Y",M8,ROUND(MAX(0,0.5*(E9-E10*E12/E13)),0))</f>
        <v>169</v>
      </c>
      <c r="N9" s="404" t="s">
        <v>14</v>
      </c>
      <c r="O9" s="404"/>
      <c r="P9" s="404"/>
      <c r="Q9" s="404"/>
      <c r="R9" s="405"/>
      <c r="S9" s="227"/>
      <c r="T9" s="227"/>
      <c r="U9" s="227"/>
      <c r="V9" s="227"/>
    </row>
    <row r="10" spans="1:22" ht="19.5" thickBot="1" x14ac:dyDescent="0.35">
      <c r="A10" s="167"/>
      <c r="B10" s="144" t="s">
        <v>80</v>
      </c>
      <c r="C10" s="145"/>
      <c r="D10" s="145"/>
      <c r="E10" s="183">
        <f>'COMBINED INPUT'!G14</f>
        <v>75</v>
      </c>
      <c r="F10" s="148" t="s">
        <v>14</v>
      </c>
      <c r="G10" s="168"/>
      <c r="H10" s="169"/>
      <c r="I10" s="390"/>
      <c r="J10" s="399" t="s">
        <v>60</v>
      </c>
      <c r="K10" s="399"/>
      <c r="L10" s="399"/>
      <c r="M10" s="406">
        <f>IF(E7="",0,MIN(M8,M9))</f>
        <v>138</v>
      </c>
      <c r="N10" s="389" t="s">
        <v>14</v>
      </c>
      <c r="O10" s="389"/>
      <c r="P10" s="389"/>
      <c r="Q10" s="389"/>
      <c r="R10" s="389"/>
      <c r="S10" s="227"/>
      <c r="T10" s="227"/>
      <c r="U10" s="227"/>
      <c r="V10" s="227"/>
    </row>
    <row r="11" spans="1:22" ht="19.5" thickBot="1" x14ac:dyDescent="0.35">
      <c r="A11" s="167"/>
      <c r="B11" s="144" t="s">
        <v>103</v>
      </c>
      <c r="C11" s="145"/>
      <c r="D11" s="145"/>
      <c r="E11" s="183">
        <f>'COMBINED INPUT'!G16</f>
        <v>35</v>
      </c>
      <c r="F11" s="148" t="s">
        <v>107</v>
      </c>
      <c r="G11" s="168"/>
      <c r="H11" s="169"/>
      <c r="I11" s="390"/>
      <c r="J11" s="399"/>
      <c r="K11" s="399"/>
      <c r="L11" s="399"/>
      <c r="M11" s="406"/>
      <c r="N11" s="389"/>
      <c r="O11" s="389"/>
      <c r="P11" s="389"/>
      <c r="Q11" s="389"/>
      <c r="R11" s="389"/>
      <c r="S11" s="227"/>
      <c r="T11" s="227"/>
      <c r="U11" s="227"/>
      <c r="V11" s="227"/>
    </row>
    <row r="12" spans="1:22" ht="19.5" thickBot="1" x14ac:dyDescent="0.35">
      <c r="A12" s="167"/>
      <c r="B12" s="144" t="s">
        <v>223</v>
      </c>
      <c r="C12" s="145"/>
      <c r="D12" s="145"/>
      <c r="E12" s="183">
        <f>'COMBINED INPUT'!G13</f>
        <v>1800</v>
      </c>
      <c r="F12" s="148" t="s">
        <v>14</v>
      </c>
      <c r="G12" s="148"/>
      <c r="H12" s="169"/>
      <c r="I12" s="390"/>
      <c r="J12" s="399" t="s">
        <v>61</v>
      </c>
      <c r="K12" s="399"/>
      <c r="L12" s="399"/>
      <c r="M12" s="406">
        <f>E9-M10</f>
        <v>287</v>
      </c>
      <c r="N12" s="407" t="s">
        <v>14</v>
      </c>
      <c r="O12" s="389"/>
      <c r="P12" s="389"/>
      <c r="Q12" s="389"/>
      <c r="R12" s="389"/>
      <c r="S12" s="227"/>
      <c r="T12" s="227"/>
      <c r="U12" s="227"/>
      <c r="V12" s="227"/>
    </row>
    <row r="13" spans="1:22" ht="19.5" thickBot="1" x14ac:dyDescent="0.35">
      <c r="A13" s="167"/>
      <c r="B13" s="144" t="s">
        <v>110</v>
      </c>
      <c r="C13" s="145"/>
      <c r="D13" s="145"/>
      <c r="E13" s="183">
        <f>IF('COMBINED INPUT'!G15=0,0.85*'COMBINED INPUT'!G13,'COMBINED INPUT'!G15)</f>
        <v>1550</v>
      </c>
      <c r="F13" s="148" t="s">
        <v>14</v>
      </c>
      <c r="G13" s="148"/>
      <c r="H13" s="171"/>
      <c r="I13" s="390"/>
      <c r="J13" s="227"/>
      <c r="K13" s="227"/>
      <c r="L13" s="227"/>
      <c r="M13" s="227"/>
      <c r="N13" s="227"/>
      <c r="O13" s="227"/>
      <c r="P13" s="227"/>
      <c r="Q13" s="227"/>
      <c r="R13" s="227"/>
      <c r="S13" s="227"/>
      <c r="T13" s="227"/>
      <c r="U13" s="227"/>
      <c r="V13" s="227"/>
    </row>
    <row r="14" spans="1:22" ht="19.5" thickBot="1" x14ac:dyDescent="0.35">
      <c r="A14" s="167"/>
      <c r="B14" s="144" t="s">
        <v>51</v>
      </c>
      <c r="C14" s="145"/>
      <c r="D14" s="145"/>
      <c r="E14" s="183">
        <f>'COMBINED INPUT'!G17</f>
        <v>25</v>
      </c>
      <c r="F14" s="148" t="s">
        <v>15</v>
      </c>
      <c r="G14" s="148"/>
      <c r="H14" s="169"/>
      <c r="I14" s="390"/>
      <c r="J14" s="227"/>
      <c r="K14" s="227"/>
      <c r="L14" s="227"/>
      <c r="M14" s="227"/>
      <c r="N14" s="227"/>
      <c r="O14" s="227"/>
      <c r="P14" s="227"/>
      <c r="Q14" s="227"/>
      <c r="R14" s="227"/>
      <c r="S14" s="227"/>
      <c r="T14" s="227"/>
      <c r="U14" s="227"/>
      <c r="V14" s="227"/>
    </row>
    <row r="15" spans="1:22" ht="19.5" thickBot="1" x14ac:dyDescent="0.35">
      <c r="A15" s="167"/>
      <c r="B15" s="144" t="s">
        <v>111</v>
      </c>
      <c r="C15" s="145"/>
      <c r="D15" s="145"/>
      <c r="E15" s="183">
        <f>'COMBINED INPUT'!G18</f>
        <v>110</v>
      </c>
      <c r="F15" s="148" t="s">
        <v>15</v>
      </c>
      <c r="G15" s="148"/>
      <c r="H15" s="169"/>
      <c r="I15" s="390"/>
      <c r="J15" s="227"/>
      <c r="K15" s="227"/>
      <c r="L15" s="227"/>
      <c r="M15" s="227"/>
      <c r="N15" s="227"/>
      <c r="O15" s="227"/>
      <c r="P15" s="227"/>
      <c r="Q15" s="227"/>
      <c r="R15" s="227"/>
      <c r="S15" s="227"/>
      <c r="T15" s="227"/>
      <c r="U15" s="227"/>
      <c r="V15" s="227"/>
    </row>
    <row r="16" spans="1:22" ht="19.5" thickBot="1" x14ac:dyDescent="0.35">
      <c r="A16" s="167"/>
      <c r="B16" s="149" t="s">
        <v>99</v>
      </c>
      <c r="C16" s="150"/>
      <c r="D16" s="150"/>
      <c r="E16" s="183">
        <f>E14</f>
        <v>25</v>
      </c>
      <c r="F16" s="148" t="s">
        <v>15</v>
      </c>
      <c r="G16" s="172" t="s">
        <v>104</v>
      </c>
      <c r="H16" s="169"/>
      <c r="I16" s="390"/>
      <c r="J16" s="227"/>
      <c r="K16" s="227"/>
      <c r="L16" s="227"/>
      <c r="M16" s="227"/>
      <c r="N16" s="227"/>
      <c r="O16" s="227"/>
      <c r="P16" s="227"/>
      <c r="Q16" s="227"/>
      <c r="R16" s="227"/>
      <c r="S16" s="227"/>
      <c r="T16" s="227"/>
      <c r="U16" s="227"/>
      <c r="V16" s="227"/>
    </row>
    <row r="17" spans="1:22" ht="19.5" thickBot="1" x14ac:dyDescent="0.35">
      <c r="A17" s="167"/>
      <c r="B17" s="151" t="s">
        <v>43</v>
      </c>
      <c r="C17" s="145"/>
      <c r="D17" s="145"/>
      <c r="E17" s="183">
        <f>'COMBINED INPUT'!G19</f>
        <v>25</v>
      </c>
      <c r="F17" s="152" t="s">
        <v>16</v>
      </c>
      <c r="G17" s="153">
        <v>20</v>
      </c>
      <c r="H17" s="169"/>
      <c r="I17" s="391"/>
      <c r="J17" s="389"/>
      <c r="K17" s="389"/>
      <c r="L17" s="389"/>
      <c r="M17" s="389"/>
      <c r="N17" s="389"/>
      <c r="O17" s="389"/>
      <c r="P17" s="389"/>
      <c r="Q17" s="389"/>
      <c r="R17" s="389"/>
      <c r="S17" s="389"/>
      <c r="T17" s="227"/>
      <c r="U17" s="227"/>
      <c r="V17" s="227"/>
    </row>
    <row r="18" spans="1:22" ht="19.5" thickBot="1" x14ac:dyDescent="0.35">
      <c r="A18" s="167"/>
      <c r="B18" s="151" t="s">
        <v>105</v>
      </c>
      <c r="C18" s="145"/>
      <c r="D18" s="145"/>
      <c r="E18" s="183">
        <f>'COMBINED INPUT'!G20</f>
        <v>10</v>
      </c>
      <c r="F18" s="148" t="s">
        <v>106</v>
      </c>
      <c r="G18" s="154">
        <v>10</v>
      </c>
      <c r="H18" s="169"/>
      <c r="I18" s="391"/>
      <c r="J18" s="8"/>
      <c r="K18" s="8"/>
      <c r="L18" s="8"/>
      <c r="M18" s="8"/>
      <c r="N18" s="8"/>
      <c r="O18" s="8"/>
      <c r="P18" s="8"/>
      <c r="Q18" s="8"/>
      <c r="R18" s="8"/>
      <c r="S18" s="8"/>
    </row>
    <row r="19" spans="1:22" ht="19.5" thickBot="1" x14ac:dyDescent="0.35">
      <c r="A19" s="167"/>
      <c r="B19" s="151" t="s">
        <v>121</v>
      </c>
      <c r="C19" s="145"/>
      <c r="D19" s="145"/>
      <c r="E19" s="183">
        <f>'COMBINED INPUT'!G21</f>
        <v>110</v>
      </c>
      <c r="F19" s="148" t="s">
        <v>16</v>
      </c>
      <c r="G19" s="154">
        <v>40</v>
      </c>
      <c r="H19" s="169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</row>
    <row r="20" spans="1:22" ht="19.5" thickBot="1" x14ac:dyDescent="0.35">
      <c r="A20" s="167"/>
      <c r="B20" s="151" t="s">
        <v>108</v>
      </c>
      <c r="C20" s="145"/>
      <c r="D20" s="145"/>
      <c r="E20" s="183">
        <f>'COMBINED INPUT'!G22</f>
        <v>6</v>
      </c>
      <c r="F20" s="148" t="s">
        <v>15</v>
      </c>
      <c r="G20" s="154">
        <v>6</v>
      </c>
      <c r="H20" s="169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</row>
    <row r="21" spans="1:22" ht="19.5" thickBot="1" x14ac:dyDescent="0.35">
      <c r="A21" s="167"/>
      <c r="B21" s="143" t="s">
        <v>109</v>
      </c>
      <c r="C21" s="155"/>
      <c r="D21" s="155"/>
      <c r="E21" s="183">
        <f>'COMBINED INPUT'!G23</f>
        <v>1</v>
      </c>
      <c r="F21" s="156" t="s">
        <v>15</v>
      </c>
      <c r="G21" s="157">
        <v>1</v>
      </c>
      <c r="H21" s="169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</row>
    <row r="22" spans="1:22" ht="15.75" thickBot="1" x14ac:dyDescent="0.3">
      <c r="A22" s="173"/>
      <c r="B22" s="174"/>
      <c r="C22" s="174"/>
      <c r="D22" s="174"/>
      <c r="E22" s="174"/>
      <c r="F22" s="174"/>
      <c r="G22" s="174"/>
      <c r="H22" s="175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</row>
    <row r="23" spans="1:22" ht="19.5" thickBot="1" x14ac:dyDescent="0.35">
      <c r="B23" s="158" t="s">
        <v>87</v>
      </c>
      <c r="C23" s="159"/>
      <c r="D23" s="159"/>
      <c r="E23" s="160" t="str">
        <f>IF(I9=0,"III",IF(I9=2,"IV","II"))</f>
        <v>II</v>
      </c>
      <c r="F23" s="161"/>
      <c r="G23" s="161"/>
      <c r="H23" s="191" t="str">
        <f>IF(E23="III","1-CTL+SHARED ATL",IF(E23="II","NO ATL--&gt; 1-CTL+ RT LANE","1-CTL+ ATL+RT LANE"))</f>
        <v>NO ATL--&gt; 1-CTL+ RT LANE</v>
      </c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</row>
    <row r="24" spans="1:22" ht="15.75" thickBot="1" x14ac:dyDescent="0.3"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</row>
    <row r="25" spans="1:22" x14ac:dyDescent="0.25">
      <c r="B25" s="44" t="s">
        <v>44</v>
      </c>
      <c r="C25" s="29"/>
      <c r="D25" s="29"/>
      <c r="E25" s="48">
        <f>(1-F5)*IF(E5="ATL",M10,M12)+E9*F5</f>
        <v>425</v>
      </c>
      <c r="F25" s="42" t="s">
        <v>14</v>
      </c>
      <c r="G25" s="29" t="s">
        <v>10</v>
      </c>
      <c r="H25" s="29"/>
      <c r="I25" s="29"/>
      <c r="J25" s="53">
        <f>E27*(E14/E15)/3600</f>
        <v>0.1111111111111111</v>
      </c>
      <c r="K25" s="18" t="s">
        <v>12</v>
      </c>
      <c r="L25" s="19"/>
    </row>
    <row r="26" spans="1:22" x14ac:dyDescent="0.25">
      <c r="B26" s="36" t="s">
        <v>0</v>
      </c>
      <c r="C26" s="30"/>
      <c r="D26" s="8"/>
      <c r="E26" s="49">
        <f>E25+IF(E5="CTL",0,E10)</f>
        <v>500</v>
      </c>
      <c r="F26" s="8" t="s">
        <v>14</v>
      </c>
      <c r="G26" s="30" t="s">
        <v>5</v>
      </c>
      <c r="H26" s="30"/>
      <c r="I26" s="30"/>
      <c r="J26" s="54">
        <f>E15-E14</f>
        <v>85</v>
      </c>
      <c r="K26" s="8" t="s">
        <v>15</v>
      </c>
      <c r="L26" s="21"/>
    </row>
    <row r="27" spans="1:22" ht="15.75" thickBot="1" x14ac:dyDescent="0.3">
      <c r="B27" s="36" t="s">
        <v>1</v>
      </c>
      <c r="C27" s="30"/>
      <c r="D27" s="8"/>
      <c r="E27" s="49">
        <f>IF(E5  &lt;&gt; "CTL",ROUND(E26/(E10/E13+E25/E12)/10,0)*10,E12)</f>
        <v>1760</v>
      </c>
      <c r="F27" s="8" t="s">
        <v>14</v>
      </c>
      <c r="G27" s="30" t="s">
        <v>2</v>
      </c>
      <c r="H27" s="30"/>
      <c r="I27" s="30"/>
      <c r="J27" s="55">
        <f>E26/E27</f>
        <v>0.28409090909090912</v>
      </c>
      <c r="K27" s="8"/>
      <c r="L27" s="21"/>
      <c r="P27" s="2" t="s">
        <v>41</v>
      </c>
      <c r="Q27" s="2"/>
    </row>
    <row r="28" spans="1:22" ht="19.5" thickBot="1" x14ac:dyDescent="0.35">
      <c r="B28" s="36" t="s">
        <v>62</v>
      </c>
      <c r="C28" s="30"/>
      <c r="D28" s="8"/>
      <c r="E28" s="50">
        <f>E10/(E10+E9)</f>
        <v>0.15</v>
      </c>
      <c r="F28" s="8"/>
      <c r="G28" s="30" t="s">
        <v>3</v>
      </c>
      <c r="H28" s="30"/>
      <c r="I28" s="30"/>
      <c r="J28" s="55">
        <f>E14/E15</f>
        <v>0.22727272727272727</v>
      </c>
      <c r="K28" s="8"/>
      <c r="L28" s="21" t="s">
        <v>21</v>
      </c>
      <c r="N28" s="80" t="s">
        <v>35</v>
      </c>
      <c r="O28" s="81" t="s">
        <v>36</v>
      </c>
      <c r="P28" s="82" t="s">
        <v>37</v>
      </c>
      <c r="Q28" s="83" t="s">
        <v>38</v>
      </c>
      <c r="R28" s="84" t="s">
        <v>39</v>
      </c>
      <c r="S28" s="85" t="s">
        <v>40</v>
      </c>
    </row>
    <row r="29" spans="1:22" x14ac:dyDescent="0.25">
      <c r="B29" s="20"/>
      <c r="C29" s="8"/>
      <c r="D29" s="8"/>
      <c r="E29" s="8"/>
      <c r="F29" s="8"/>
      <c r="G29" s="30" t="s">
        <v>4</v>
      </c>
      <c r="H29" s="30"/>
      <c r="I29" s="30"/>
      <c r="J29" s="56">
        <f>J27/J28</f>
        <v>1.2500000000000002</v>
      </c>
      <c r="K29" s="8"/>
      <c r="L29" s="96">
        <f>IF(J29&gt;1,1,0)</f>
        <v>1</v>
      </c>
      <c r="M29" t="s">
        <v>85</v>
      </c>
      <c r="N29" s="1">
        <v>10</v>
      </c>
      <c r="O29" s="1">
        <v>20</v>
      </c>
      <c r="P29" s="1">
        <v>35</v>
      </c>
      <c r="Q29" s="1">
        <v>55</v>
      </c>
      <c r="R29" s="1">
        <v>80</v>
      </c>
      <c r="S29" s="1" t="s">
        <v>42</v>
      </c>
      <c r="V29" s="2"/>
    </row>
    <row r="30" spans="1:22" ht="15.75" thickBot="1" x14ac:dyDescent="0.3">
      <c r="B30" s="20"/>
      <c r="C30" s="8"/>
      <c r="D30" s="8"/>
      <c r="E30" s="8"/>
      <c r="F30" s="8"/>
      <c r="G30" s="30" t="s">
        <v>6</v>
      </c>
      <c r="H30" s="30"/>
      <c r="I30" s="30"/>
      <c r="J30" s="57">
        <f>MIN(E14,J26*J27/(1-J27))</f>
        <v>25</v>
      </c>
      <c r="K30" s="8" t="s">
        <v>15</v>
      </c>
      <c r="L30" s="21"/>
      <c r="N30" s="16">
        <f t="shared" ref="N30:S30" si="0">IF($K$32&lt;=N29,1,0)</f>
        <v>0</v>
      </c>
      <c r="O30" s="16">
        <f t="shared" si="0"/>
        <v>0</v>
      </c>
      <c r="P30" s="16">
        <f t="shared" si="0"/>
        <v>0</v>
      </c>
      <c r="Q30" s="16">
        <f t="shared" si="0"/>
        <v>0</v>
      </c>
      <c r="R30" s="16">
        <f t="shared" si="0"/>
        <v>0</v>
      </c>
      <c r="S30" s="16">
        <f t="shared" si="0"/>
        <v>1</v>
      </c>
      <c r="V30" s="2"/>
    </row>
    <row r="31" spans="1:22" ht="15.75" thickBot="1" x14ac:dyDescent="0.3">
      <c r="B31" s="22"/>
      <c r="C31" s="23"/>
      <c r="D31" s="23"/>
      <c r="E31" s="23"/>
      <c r="F31" s="23"/>
      <c r="G31" s="23"/>
      <c r="H31" s="23"/>
      <c r="I31" s="23"/>
      <c r="J31" s="23"/>
      <c r="K31" s="23"/>
      <c r="L31" s="24"/>
      <c r="N31" s="16">
        <f>N30-M32</f>
        <v>0</v>
      </c>
      <c r="O31" s="16">
        <f t="shared" ref="O31:S31" si="1">O30-N30</f>
        <v>0</v>
      </c>
      <c r="P31" s="16">
        <f t="shared" si="1"/>
        <v>0</v>
      </c>
      <c r="Q31" s="16">
        <f t="shared" si="1"/>
        <v>0</v>
      </c>
      <c r="R31" s="16">
        <f t="shared" si="1"/>
        <v>0</v>
      </c>
      <c r="S31" s="16">
        <f t="shared" si="1"/>
        <v>1</v>
      </c>
      <c r="V31" s="2"/>
    </row>
    <row r="32" spans="1:22" ht="19.5" thickBot="1" x14ac:dyDescent="0.35">
      <c r="B32" s="52" t="s">
        <v>31</v>
      </c>
      <c r="C32" s="58">
        <f>0.5*E15*(1-J28)^2/(1-MIN(1,J29)*J28)</f>
        <v>42.499999999999993</v>
      </c>
      <c r="D32" s="26"/>
      <c r="E32" s="26"/>
      <c r="F32" s="40" t="s">
        <v>11</v>
      </c>
      <c r="G32" s="58">
        <f>225*((J29-1)+SQRT((J29-1)^2+16*J29/(J25*3600)))</f>
        <v>131.717294240618</v>
      </c>
      <c r="H32" s="26"/>
      <c r="I32" s="26"/>
      <c r="J32" s="40" t="s">
        <v>32</v>
      </c>
      <c r="K32" s="87">
        <f>G32+C32</f>
        <v>174.217294240618</v>
      </c>
      <c r="L32" s="27" t="s">
        <v>33</v>
      </c>
      <c r="N32" s="67">
        <f t="shared" ref="N32:S32" si="2">IF(N31=1,N28,0)</f>
        <v>0</v>
      </c>
      <c r="O32" s="67">
        <f t="shared" si="2"/>
        <v>0</v>
      </c>
      <c r="P32" s="67">
        <f t="shared" si="2"/>
        <v>0</v>
      </c>
      <c r="Q32" s="67">
        <f t="shared" si="2"/>
        <v>0</v>
      </c>
      <c r="R32" s="67">
        <f t="shared" si="2"/>
        <v>0</v>
      </c>
      <c r="S32" s="67" t="str">
        <f t="shared" si="2"/>
        <v>F</v>
      </c>
    </row>
    <row r="33" spans="2:17" ht="15.75" thickBot="1" x14ac:dyDescent="0.3"/>
    <row r="34" spans="2:17" ht="16.5" thickBot="1" x14ac:dyDescent="0.3">
      <c r="B34" s="52" t="s">
        <v>7</v>
      </c>
      <c r="C34" s="59">
        <f>J30*E27/3600</f>
        <v>12.222222222222221</v>
      </c>
      <c r="D34" s="26" t="s">
        <v>8</v>
      </c>
      <c r="E34" s="26"/>
      <c r="F34" s="40" t="s">
        <v>9</v>
      </c>
      <c r="G34" s="59">
        <f>J25*G32</f>
        <v>14.635254915624222</v>
      </c>
      <c r="H34" s="26" t="s">
        <v>8</v>
      </c>
      <c r="I34" s="26"/>
      <c r="J34" s="40" t="s">
        <v>13</v>
      </c>
      <c r="K34" s="59">
        <f>G34+C34</f>
        <v>26.857477137846445</v>
      </c>
      <c r="L34" s="27" t="s">
        <v>34</v>
      </c>
    </row>
    <row r="37" spans="2:17" ht="15.75" x14ac:dyDescent="0.25">
      <c r="B37" s="43" t="s">
        <v>17</v>
      </c>
      <c r="C37" s="43"/>
      <c r="D37" s="94" t="s">
        <v>22</v>
      </c>
      <c r="E37" s="43"/>
      <c r="F37" s="43" t="s">
        <v>23</v>
      </c>
      <c r="G37" s="43"/>
      <c r="H37" s="43"/>
      <c r="I37" s="43"/>
      <c r="J37" s="43" t="s">
        <v>24</v>
      </c>
      <c r="K37" s="43" t="s">
        <v>25</v>
      </c>
      <c r="L37" s="43"/>
      <c r="M37" s="43" t="s">
        <v>26</v>
      </c>
      <c r="N37" s="43"/>
      <c r="O37" s="43"/>
      <c r="P37" s="43" t="s">
        <v>27</v>
      </c>
      <c r="Q37" s="2"/>
    </row>
    <row r="38" spans="2:17" x14ac:dyDescent="0.25">
      <c r="B38" s="45" t="s">
        <v>18</v>
      </c>
      <c r="C38" s="4"/>
      <c r="D38" s="4">
        <v>1.04</v>
      </c>
      <c r="E38" s="4"/>
      <c r="F38" s="5">
        <f>D38*SQRT(1/K34)</f>
        <v>0.2006784472163734</v>
      </c>
      <c r="G38" s="4"/>
      <c r="H38" s="4"/>
      <c r="I38" s="4"/>
      <c r="J38" s="5">
        <f>$L$29*MIN(1.8,1+F38+0.6*D38^0.24*$J$28^0.33*(1-EXP(2-2*$J$29)))</f>
        <v>1.3468324673822265</v>
      </c>
      <c r="K38" s="6">
        <f>(1-$L$29)*MIN(1.8, 1+F38)</f>
        <v>0</v>
      </c>
      <c r="L38" s="4"/>
      <c r="M38" s="4">
        <f>MAX(J38,K38)*$K$34</f>
        <v>36.172522201227466</v>
      </c>
      <c r="N38" s="4"/>
      <c r="O38" s="4"/>
      <c r="P38" s="7">
        <f>ROUND(M38*$E$17/100,0)*100</f>
        <v>900</v>
      </c>
    </row>
    <row r="39" spans="2:17" ht="15.75" thickBot="1" x14ac:dyDescent="0.3">
      <c r="B39" s="46" t="s">
        <v>19</v>
      </c>
      <c r="C39" s="8"/>
      <c r="D39" s="8">
        <v>1.28</v>
      </c>
      <c r="E39" s="8"/>
      <c r="F39" s="9">
        <f>D39*SQRT(1/K34)</f>
        <v>0.24698885811245955</v>
      </c>
      <c r="G39" s="8"/>
      <c r="H39" s="8"/>
      <c r="I39" s="8"/>
      <c r="J39" s="9">
        <f t="shared" ref="J39:J40" si="3">$L$29*MIN(1.8,1+F39+0.6*D39^0.24*$J$28^0.33*(1-EXP(2-2*$J$29)))</f>
        <v>1.4006107668953705</v>
      </c>
      <c r="K39" s="10">
        <f t="shared" ref="K39:K40" si="4">(1-$L$29)*MIN(1.8, 1+F39)</f>
        <v>0</v>
      </c>
      <c r="L39" s="8"/>
      <c r="M39" s="8">
        <f t="shared" ref="M39:M40" si="5">MAX(J39,K39)*$K$34</f>
        <v>37.616871650913986</v>
      </c>
      <c r="N39" s="8"/>
      <c r="O39" s="8"/>
      <c r="P39" s="11">
        <f>ROUND(M39*$E$17/100,0)*100</f>
        <v>900</v>
      </c>
    </row>
    <row r="40" spans="2:17" ht="19.5" thickBot="1" x14ac:dyDescent="0.35">
      <c r="B40" s="47" t="s">
        <v>20</v>
      </c>
      <c r="C40" s="12"/>
      <c r="D40" s="12">
        <v>1.64</v>
      </c>
      <c r="E40" s="12"/>
      <c r="F40" s="13">
        <f>D40*SQRT(1/K34)</f>
        <v>0.31645447445658875</v>
      </c>
      <c r="G40" s="12"/>
      <c r="H40" s="12"/>
      <c r="I40" s="12"/>
      <c r="J40" s="13">
        <f t="shared" si="3"/>
        <v>1.4794911412536553</v>
      </c>
      <c r="K40" s="14">
        <f t="shared" si="4"/>
        <v>0</v>
      </c>
      <c r="L40" s="12"/>
      <c r="M40" s="12">
        <f t="shared" si="5"/>
        <v>39.735399501866389</v>
      </c>
      <c r="N40" s="12"/>
      <c r="O40" s="12"/>
      <c r="P40" s="88">
        <f>ROUND(M40*$E$17/100,0)*100</f>
        <v>1000</v>
      </c>
    </row>
  </sheetData>
  <conditionalFormatting sqref="N32:S32">
    <cfRule type="cellIs" dxfId="213" priority="1" operator="equal">
      <formula>0</formula>
    </cfRule>
    <cfRule type="cellIs" dxfId="212" priority="2" operator="equal">
      <formula>0</formula>
    </cfRule>
    <cfRule type="cellIs" dxfId="211" priority="3" operator="equal">
      <formula>0</formula>
    </cfRule>
  </conditionalFormatting>
  <pageMargins left="0.7" right="0.7" top="0.75" bottom="0.75" header="0.3" footer="0.3"/>
  <pageSetup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0"/>
  <sheetViews>
    <sheetView workbookViewId="0">
      <selection activeCell="E25" sqref="E25"/>
    </sheetView>
  </sheetViews>
  <sheetFormatPr defaultRowHeight="15" x14ac:dyDescent="0.25"/>
  <cols>
    <col min="1" max="1" width="4.7109375" style="497" customWidth="1"/>
    <col min="2" max="3" width="9.140625" style="497"/>
    <col min="4" max="4" width="36.28515625" style="497" customWidth="1"/>
    <col min="5" max="5" width="9.140625" style="497"/>
    <col min="6" max="6" width="13" style="497" customWidth="1"/>
    <col min="7" max="7" width="11.5703125" style="497" customWidth="1"/>
    <col min="8" max="8" width="31.5703125" style="497" customWidth="1"/>
    <col min="9" max="9" width="15.7109375" style="497" customWidth="1"/>
    <col min="10" max="10" width="9.140625" style="497"/>
    <col min="11" max="11" width="11.5703125" style="497" customWidth="1"/>
    <col min="12" max="12" width="11.28515625" style="497" customWidth="1"/>
    <col min="13" max="15" width="9.140625" style="497"/>
    <col min="16" max="16" width="13.140625" style="497" customWidth="1"/>
    <col min="17" max="16384" width="9.140625" style="497"/>
  </cols>
  <sheetData>
    <row r="1" spans="1:22" ht="21.75" thickBot="1" x14ac:dyDescent="0.4">
      <c r="D1" s="124" t="s">
        <v>98</v>
      </c>
      <c r="I1" s="390"/>
      <c r="J1" s="227"/>
      <c r="K1" s="227"/>
      <c r="L1" s="227"/>
      <c r="M1" s="227"/>
      <c r="N1" s="227"/>
      <c r="O1" s="227"/>
      <c r="P1" s="227"/>
      <c r="Q1" s="227"/>
      <c r="R1" s="227"/>
      <c r="S1" s="227"/>
      <c r="T1" s="227"/>
      <c r="U1" s="227"/>
      <c r="V1" s="227"/>
    </row>
    <row r="2" spans="1:22" ht="16.5" thickBot="1" x14ac:dyDescent="0.3">
      <c r="B2" s="43" t="s">
        <v>102</v>
      </c>
      <c r="C2" s="2"/>
      <c r="D2" s="2"/>
      <c r="E2" s="2"/>
      <c r="F2" s="2"/>
      <c r="I2" s="390"/>
      <c r="J2" s="392"/>
      <c r="K2" s="393" t="s">
        <v>45</v>
      </c>
      <c r="L2" s="393"/>
      <c r="M2" s="393"/>
      <c r="N2" s="393"/>
      <c r="O2" s="393"/>
      <c r="P2" s="393"/>
      <c r="Q2" s="393"/>
      <c r="R2" s="394"/>
      <c r="S2" s="227"/>
      <c r="T2" s="227"/>
      <c r="U2" s="227"/>
      <c r="V2" s="227"/>
    </row>
    <row r="3" spans="1:22" ht="18.75" x14ac:dyDescent="0.3">
      <c r="A3" s="162"/>
      <c r="B3" s="163"/>
      <c r="C3" s="164"/>
      <c r="D3" s="164"/>
      <c r="E3" s="164"/>
      <c r="F3" s="164"/>
      <c r="G3" s="165"/>
      <c r="H3" s="166"/>
      <c r="I3" s="390"/>
      <c r="J3" s="395"/>
      <c r="K3" s="396"/>
      <c r="L3" s="396"/>
      <c r="M3" s="396"/>
      <c r="N3" s="396"/>
      <c r="O3" s="396"/>
      <c r="P3" s="396"/>
      <c r="Q3" s="396"/>
      <c r="R3" s="397"/>
      <c r="S3" s="227"/>
      <c r="T3" s="227"/>
      <c r="U3" s="227"/>
      <c r="V3" s="227"/>
    </row>
    <row r="4" spans="1:22" ht="18" customHeight="1" x14ac:dyDescent="0.35">
      <c r="A4" s="167"/>
      <c r="B4" s="186" t="s">
        <v>129</v>
      </c>
      <c r="C4" s="187"/>
      <c r="D4" s="187"/>
      <c r="E4" s="187"/>
      <c r="F4" s="187"/>
      <c r="G4" s="188"/>
      <c r="H4" s="189"/>
      <c r="I4" s="390"/>
      <c r="J4" s="398" t="s">
        <v>48</v>
      </c>
      <c r="K4" s="399"/>
      <c r="L4" s="399"/>
      <c r="M4" s="389">
        <f>ROUND((E9+E10)/(E9/E12+E10/E13)/10,0)*10</f>
        <v>1760</v>
      </c>
      <c r="N4" s="389" t="s">
        <v>14</v>
      </c>
      <c r="O4" s="389" t="s">
        <v>63</v>
      </c>
      <c r="P4" s="389"/>
      <c r="Q4" s="389"/>
      <c r="R4" s="400"/>
      <c r="S4" s="227"/>
      <c r="T4" s="227"/>
      <c r="U4" s="227"/>
      <c r="V4" s="227"/>
    </row>
    <row r="5" spans="1:22" ht="19.5" thickBot="1" x14ac:dyDescent="0.35">
      <c r="A5" s="167"/>
      <c r="B5" s="190" t="s">
        <v>131</v>
      </c>
      <c r="C5" s="185"/>
      <c r="D5" s="185"/>
      <c r="E5" s="177" t="s">
        <v>53</v>
      </c>
      <c r="F5" s="176">
        <f>IF(E5="APP",1,0)</f>
        <v>1</v>
      </c>
      <c r="G5" s="168"/>
      <c r="H5" s="169"/>
      <c r="I5" s="390"/>
      <c r="J5" s="398" t="s">
        <v>46</v>
      </c>
      <c r="K5" s="399"/>
      <c r="L5" s="399"/>
      <c r="M5" s="401">
        <f>E9/(E12*J28)</f>
        <v>1.038888888888889</v>
      </c>
      <c r="N5" s="389"/>
      <c r="O5" s="389" t="s">
        <v>57</v>
      </c>
      <c r="P5" s="389"/>
      <c r="Q5" s="389"/>
      <c r="R5" s="400"/>
      <c r="S5" s="227"/>
      <c r="T5" s="227"/>
      <c r="U5" s="227"/>
      <c r="V5" s="227"/>
    </row>
    <row r="6" spans="1:22" ht="19.5" thickBot="1" x14ac:dyDescent="0.35">
      <c r="A6" s="167"/>
      <c r="B6" s="209" t="s">
        <v>136</v>
      </c>
      <c r="C6" s="210"/>
      <c r="D6" s="210"/>
      <c r="E6" s="213"/>
      <c r="F6" s="214" t="str">
        <f>'COMBINED INPUT2'!H7</f>
        <v>HYPOTHETICAL SITE</v>
      </c>
      <c r="G6" s="211"/>
      <c r="H6" s="212"/>
      <c r="I6" s="390"/>
      <c r="J6" s="398"/>
      <c r="K6" s="399"/>
      <c r="L6" s="399"/>
      <c r="M6" s="401"/>
      <c r="N6" s="389"/>
      <c r="O6" s="389"/>
      <c r="P6" s="389"/>
      <c r="Q6" s="389"/>
      <c r="R6" s="400"/>
      <c r="S6" s="227"/>
      <c r="T6" s="227"/>
      <c r="U6" s="227"/>
      <c r="V6" s="227"/>
    </row>
    <row r="7" spans="1:22" ht="18.75" x14ac:dyDescent="0.3">
      <c r="A7" s="167"/>
      <c r="B7" s="144" t="s">
        <v>90</v>
      </c>
      <c r="C7" s="207"/>
      <c r="D7" s="207"/>
      <c r="E7" s="184" t="str">
        <f>'COMBINED INPUT2'!G10</f>
        <v>N</v>
      </c>
      <c r="F7" s="208" t="s">
        <v>128</v>
      </c>
      <c r="G7" s="168"/>
      <c r="H7" s="169"/>
      <c r="I7" s="390">
        <f>IF(E7="Y",1,0)</f>
        <v>0</v>
      </c>
      <c r="J7" s="398"/>
      <c r="K7" s="399"/>
      <c r="L7" s="399"/>
      <c r="M7" s="401"/>
      <c r="N7" s="389"/>
      <c r="O7" s="389"/>
      <c r="P7" s="389"/>
      <c r="Q7" s="389"/>
      <c r="R7" s="400"/>
      <c r="S7" s="227"/>
      <c r="T7" s="227"/>
      <c r="U7" s="227"/>
      <c r="V7" s="227"/>
    </row>
    <row r="8" spans="1:22" ht="19.5" thickBot="1" x14ac:dyDescent="0.35">
      <c r="A8" s="167"/>
      <c r="B8" s="149" t="s">
        <v>91</v>
      </c>
      <c r="C8" s="178"/>
      <c r="D8" s="178"/>
      <c r="E8" s="183" t="str">
        <f>'COMBINED INPUT2'!G11</f>
        <v>N</v>
      </c>
      <c r="F8" s="179" t="s">
        <v>94</v>
      </c>
      <c r="G8" s="180"/>
      <c r="H8" s="181"/>
      <c r="I8" s="390">
        <f>IF(E8="Y",1,0)</f>
        <v>0</v>
      </c>
      <c r="J8" s="398" t="s">
        <v>58</v>
      </c>
      <c r="K8" s="399"/>
      <c r="L8" s="399"/>
      <c r="M8" s="389">
        <f>ROUND(20.226+81.791*M5^2+1.65*E9^2/10000,0)</f>
        <v>138</v>
      </c>
      <c r="N8" s="389" t="s">
        <v>14</v>
      </c>
      <c r="O8" s="389"/>
      <c r="P8" s="389"/>
      <c r="Q8" s="389"/>
      <c r="R8" s="400"/>
      <c r="S8" s="227"/>
      <c r="T8" s="227"/>
      <c r="U8" s="227"/>
      <c r="V8" s="227"/>
    </row>
    <row r="9" spans="1:22" ht="19.5" thickBot="1" x14ac:dyDescent="0.35">
      <c r="A9" s="167"/>
      <c r="B9" s="144" t="s">
        <v>50</v>
      </c>
      <c r="C9" s="145"/>
      <c r="D9" s="145"/>
      <c r="E9" s="183">
        <f>'COMBINED INPUT2'!G12</f>
        <v>425</v>
      </c>
      <c r="F9" s="146" t="s">
        <v>14</v>
      </c>
      <c r="G9" s="147"/>
      <c r="H9" s="170"/>
      <c r="I9" s="390">
        <f>I8+I7</f>
        <v>0</v>
      </c>
      <c r="J9" s="402" t="s">
        <v>59</v>
      </c>
      <c r="K9" s="403"/>
      <c r="L9" s="403"/>
      <c r="M9" s="404">
        <f>IF(E8="Y",M8,ROUND(MAX(0,0.5*(E9-E10*E12/E13)),0))</f>
        <v>169</v>
      </c>
      <c r="N9" s="404" t="s">
        <v>14</v>
      </c>
      <c r="O9" s="404"/>
      <c r="P9" s="404"/>
      <c r="Q9" s="404"/>
      <c r="R9" s="405"/>
      <c r="S9" s="227"/>
      <c r="T9" s="227"/>
      <c r="U9" s="227"/>
      <c r="V9" s="227"/>
    </row>
    <row r="10" spans="1:22" ht="19.5" thickBot="1" x14ac:dyDescent="0.35">
      <c r="A10" s="167"/>
      <c r="B10" s="144" t="s">
        <v>80</v>
      </c>
      <c r="C10" s="145"/>
      <c r="D10" s="145"/>
      <c r="E10" s="183">
        <f>'COMBINED INPUT2'!G14</f>
        <v>75</v>
      </c>
      <c r="F10" s="148" t="s">
        <v>14</v>
      </c>
      <c r="G10" s="168"/>
      <c r="H10" s="169"/>
      <c r="I10" s="390"/>
      <c r="J10" s="399" t="s">
        <v>60</v>
      </c>
      <c r="K10" s="399"/>
      <c r="L10" s="399"/>
      <c r="M10" s="406">
        <f>IF(E7="",0,MIN(M8,M9))</f>
        <v>138</v>
      </c>
      <c r="N10" s="389" t="s">
        <v>14</v>
      </c>
      <c r="O10" s="389"/>
      <c r="P10" s="389"/>
      <c r="Q10" s="389"/>
      <c r="R10" s="389"/>
      <c r="S10" s="227"/>
      <c r="T10" s="227"/>
      <c r="U10" s="227"/>
      <c r="V10" s="227"/>
    </row>
    <row r="11" spans="1:22" ht="19.5" thickBot="1" x14ac:dyDescent="0.35">
      <c r="A11" s="167"/>
      <c r="B11" s="144" t="s">
        <v>103</v>
      </c>
      <c r="C11" s="145"/>
      <c r="D11" s="145"/>
      <c r="E11" s="183">
        <f>'COMBINED INPUT2'!G16</f>
        <v>35</v>
      </c>
      <c r="F11" s="148" t="s">
        <v>107</v>
      </c>
      <c r="G11" s="168"/>
      <c r="H11" s="169"/>
      <c r="I11" s="390"/>
      <c r="J11" s="399"/>
      <c r="K11" s="399"/>
      <c r="L11" s="399"/>
      <c r="M11" s="406"/>
      <c r="N11" s="389"/>
      <c r="O11" s="389"/>
      <c r="P11" s="389"/>
      <c r="Q11" s="389"/>
      <c r="R11" s="389"/>
      <c r="S11" s="227"/>
      <c r="T11" s="227"/>
      <c r="U11" s="227"/>
      <c r="V11" s="227"/>
    </row>
    <row r="12" spans="1:22" ht="19.5" thickBot="1" x14ac:dyDescent="0.35">
      <c r="A12" s="167"/>
      <c r="B12" s="144" t="s">
        <v>223</v>
      </c>
      <c r="C12" s="145"/>
      <c r="D12" s="145"/>
      <c r="E12" s="183">
        <f>'COMBINED INPUT2'!G13</f>
        <v>1800</v>
      </c>
      <c r="F12" s="148" t="s">
        <v>14</v>
      </c>
      <c r="G12" s="148"/>
      <c r="H12" s="169"/>
      <c r="I12" s="390"/>
      <c r="J12" s="399" t="s">
        <v>61</v>
      </c>
      <c r="K12" s="399"/>
      <c r="L12" s="399"/>
      <c r="M12" s="406">
        <f>E9-M10</f>
        <v>287</v>
      </c>
      <c r="N12" s="407" t="s">
        <v>14</v>
      </c>
      <c r="O12" s="389"/>
      <c r="P12" s="389"/>
      <c r="Q12" s="389"/>
      <c r="R12" s="389"/>
      <c r="S12" s="227"/>
      <c r="T12" s="227"/>
      <c r="U12" s="227"/>
      <c r="V12" s="227"/>
    </row>
    <row r="13" spans="1:22" ht="19.5" thickBot="1" x14ac:dyDescent="0.35">
      <c r="A13" s="167"/>
      <c r="B13" s="144" t="s">
        <v>110</v>
      </c>
      <c r="C13" s="145"/>
      <c r="D13" s="145"/>
      <c r="E13" s="183">
        <f>IF('COMBINED INPUT2'!G15=0,0.85*'COMBINED INPUT2'!G13,'COMBINED INPUT2'!G15)</f>
        <v>1550</v>
      </c>
      <c r="F13" s="148" t="s">
        <v>14</v>
      </c>
      <c r="G13" s="148"/>
      <c r="H13" s="171"/>
      <c r="I13" s="390"/>
      <c r="J13" s="227"/>
      <c r="K13" s="227"/>
      <c r="L13" s="227"/>
      <c r="M13" s="227"/>
      <c r="N13" s="227"/>
      <c r="O13" s="227"/>
      <c r="P13" s="227"/>
      <c r="Q13" s="227"/>
      <c r="R13" s="227"/>
      <c r="S13" s="227"/>
      <c r="T13" s="227"/>
      <c r="U13" s="227"/>
      <c r="V13" s="227"/>
    </row>
    <row r="14" spans="1:22" ht="19.5" thickBot="1" x14ac:dyDescent="0.35">
      <c r="A14" s="167"/>
      <c r="B14" s="144" t="s">
        <v>51</v>
      </c>
      <c r="C14" s="145"/>
      <c r="D14" s="145"/>
      <c r="E14" s="183">
        <f>'COMBINED INPUT2'!G17</f>
        <v>25</v>
      </c>
      <c r="F14" s="148" t="s">
        <v>15</v>
      </c>
      <c r="G14" s="148"/>
      <c r="H14" s="169"/>
      <c r="I14" s="390"/>
      <c r="J14" s="227"/>
      <c r="K14" s="227"/>
      <c r="L14" s="227"/>
      <c r="M14" s="227"/>
      <c r="N14" s="227"/>
      <c r="O14" s="227"/>
      <c r="P14" s="227"/>
      <c r="Q14" s="227"/>
      <c r="R14" s="227"/>
      <c r="S14" s="227"/>
      <c r="T14" s="227"/>
      <c r="U14" s="227"/>
      <c r="V14" s="227"/>
    </row>
    <row r="15" spans="1:22" ht="19.5" thickBot="1" x14ac:dyDescent="0.35">
      <c r="A15" s="167"/>
      <c r="B15" s="144" t="s">
        <v>111</v>
      </c>
      <c r="C15" s="145"/>
      <c r="D15" s="145"/>
      <c r="E15" s="183">
        <f>'COMBINED INPUT2'!G18</f>
        <v>110</v>
      </c>
      <c r="F15" s="148" t="s">
        <v>15</v>
      </c>
      <c r="G15" s="148"/>
      <c r="H15" s="169"/>
      <c r="I15" s="390"/>
      <c r="J15" s="227"/>
      <c r="K15" s="227"/>
      <c r="L15" s="227"/>
      <c r="M15" s="227"/>
      <c r="N15" s="227"/>
      <c r="O15" s="227"/>
      <c r="P15" s="227"/>
      <c r="Q15" s="227"/>
      <c r="R15" s="227"/>
      <c r="S15" s="227"/>
      <c r="T15" s="227"/>
      <c r="U15" s="227"/>
      <c r="V15" s="227"/>
    </row>
    <row r="16" spans="1:22" ht="19.5" thickBot="1" x14ac:dyDescent="0.35">
      <c r="A16" s="167"/>
      <c r="B16" s="149" t="s">
        <v>99</v>
      </c>
      <c r="C16" s="150"/>
      <c r="D16" s="150"/>
      <c r="E16" s="183">
        <f>E14</f>
        <v>25</v>
      </c>
      <c r="F16" s="148" t="s">
        <v>15</v>
      </c>
      <c r="G16" s="172" t="s">
        <v>104</v>
      </c>
      <c r="H16" s="169"/>
      <c r="I16" s="390"/>
      <c r="J16" s="227"/>
      <c r="K16" s="227"/>
      <c r="L16" s="227"/>
      <c r="M16" s="227"/>
      <c r="N16" s="227"/>
      <c r="O16" s="227"/>
      <c r="P16" s="227"/>
      <c r="Q16" s="227"/>
      <c r="R16" s="227"/>
      <c r="S16" s="227"/>
      <c r="T16" s="227"/>
      <c r="U16" s="227"/>
      <c r="V16" s="227"/>
    </row>
    <row r="17" spans="1:22" ht="19.5" thickBot="1" x14ac:dyDescent="0.35">
      <c r="A17" s="167"/>
      <c r="B17" s="151" t="s">
        <v>43</v>
      </c>
      <c r="C17" s="145"/>
      <c r="D17" s="145"/>
      <c r="E17" s="183">
        <f>'COMBINED INPUT2'!G19</f>
        <v>25</v>
      </c>
      <c r="F17" s="152" t="s">
        <v>16</v>
      </c>
      <c r="G17" s="153">
        <v>20</v>
      </c>
      <c r="H17" s="169"/>
      <c r="I17" s="391"/>
      <c r="J17" s="389"/>
      <c r="K17" s="389"/>
      <c r="L17" s="389"/>
      <c r="M17" s="389"/>
      <c r="N17" s="389"/>
      <c r="O17" s="389"/>
      <c r="P17" s="389"/>
      <c r="Q17" s="389"/>
      <c r="R17" s="389"/>
      <c r="S17" s="389"/>
      <c r="T17" s="227"/>
      <c r="U17" s="227"/>
      <c r="V17" s="227"/>
    </row>
    <row r="18" spans="1:22" ht="19.5" thickBot="1" x14ac:dyDescent="0.35">
      <c r="A18" s="167"/>
      <c r="B18" s="151" t="s">
        <v>105</v>
      </c>
      <c r="C18" s="145"/>
      <c r="D18" s="145"/>
      <c r="E18" s="183">
        <f>'COMBINED INPUT2'!G20</f>
        <v>10</v>
      </c>
      <c r="F18" s="148" t="s">
        <v>106</v>
      </c>
      <c r="G18" s="154">
        <v>10</v>
      </c>
      <c r="H18" s="169"/>
      <c r="I18" s="391"/>
      <c r="J18" s="8"/>
      <c r="K18" s="8"/>
      <c r="L18" s="8"/>
      <c r="M18" s="8"/>
      <c r="N18" s="8"/>
      <c r="O18" s="8"/>
      <c r="P18" s="8"/>
      <c r="Q18" s="8"/>
      <c r="R18" s="8"/>
      <c r="S18" s="8"/>
    </row>
    <row r="19" spans="1:22" ht="19.5" thickBot="1" x14ac:dyDescent="0.35">
      <c r="A19" s="167"/>
      <c r="B19" s="151" t="s">
        <v>121</v>
      </c>
      <c r="C19" s="145"/>
      <c r="D19" s="145"/>
      <c r="E19" s="183">
        <f>'COMBINED INPUT2'!G21</f>
        <v>110</v>
      </c>
      <c r="F19" s="148" t="s">
        <v>16</v>
      </c>
      <c r="G19" s="154">
        <v>40</v>
      </c>
      <c r="H19" s="169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</row>
    <row r="20" spans="1:22" ht="19.5" thickBot="1" x14ac:dyDescent="0.35">
      <c r="A20" s="167"/>
      <c r="B20" s="151" t="s">
        <v>108</v>
      </c>
      <c r="C20" s="145"/>
      <c r="D20" s="145"/>
      <c r="E20" s="183">
        <f>'COMBINED INPUT2'!G22</f>
        <v>6</v>
      </c>
      <c r="F20" s="148" t="s">
        <v>15</v>
      </c>
      <c r="G20" s="154">
        <v>6</v>
      </c>
      <c r="H20" s="169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</row>
    <row r="21" spans="1:22" ht="19.5" thickBot="1" x14ac:dyDescent="0.35">
      <c r="A21" s="167"/>
      <c r="B21" s="143" t="s">
        <v>109</v>
      </c>
      <c r="C21" s="155"/>
      <c r="D21" s="155"/>
      <c r="E21" s="183">
        <f>'COMBINED INPUT2'!G23</f>
        <v>1</v>
      </c>
      <c r="F21" s="156" t="s">
        <v>15</v>
      </c>
      <c r="G21" s="157">
        <v>1</v>
      </c>
      <c r="H21" s="169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</row>
    <row r="22" spans="1:22" ht="15.75" thickBot="1" x14ac:dyDescent="0.3">
      <c r="A22" s="173"/>
      <c r="B22" s="174"/>
      <c r="C22" s="174"/>
      <c r="D22" s="174"/>
      <c r="E22" s="174"/>
      <c r="F22" s="174"/>
      <c r="G22" s="174"/>
      <c r="H22" s="175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</row>
    <row r="23" spans="1:22" ht="19.5" thickBot="1" x14ac:dyDescent="0.35">
      <c r="B23" s="158" t="s">
        <v>87</v>
      </c>
      <c r="C23" s="159"/>
      <c r="D23" s="159"/>
      <c r="E23" s="160" t="str">
        <f>IF(I9=0,"III",IF(I9=2,"IV","II"))</f>
        <v>III</v>
      </c>
      <c r="F23" s="161"/>
      <c r="G23" s="161"/>
      <c r="H23" s="191" t="str">
        <f>IF(E23="III","1-CTL+SHARED ATL",IF(E23="II","NO ATL--&gt; 1-CTL+ RT LANE","1-CTL+ ATL+RT LANE"))</f>
        <v>1-CTL+SHARED ATL</v>
      </c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</row>
    <row r="24" spans="1:22" ht="15.75" thickBot="1" x14ac:dyDescent="0.3"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</row>
    <row r="25" spans="1:22" x14ac:dyDescent="0.25">
      <c r="B25" s="44" t="s">
        <v>44</v>
      </c>
      <c r="C25" s="29"/>
      <c r="D25" s="29"/>
      <c r="E25" s="48">
        <f>(1-F5)*IF(E5="ATL",M10,M12)+E9*F5</f>
        <v>425</v>
      </c>
      <c r="F25" s="42" t="s">
        <v>14</v>
      </c>
      <c r="G25" s="29" t="s">
        <v>10</v>
      </c>
      <c r="H25" s="29"/>
      <c r="I25" s="29"/>
      <c r="J25" s="53">
        <f>E27*(E14/E15)/3600</f>
        <v>0.1111111111111111</v>
      </c>
      <c r="K25" s="18" t="s">
        <v>12</v>
      </c>
      <c r="L25" s="19"/>
    </row>
    <row r="26" spans="1:22" x14ac:dyDescent="0.25">
      <c r="B26" s="36" t="s">
        <v>0</v>
      </c>
      <c r="C26" s="30"/>
      <c r="D26" s="8"/>
      <c r="E26" s="49">
        <f>E25+IF(E5="CTL",0,E10)</f>
        <v>500</v>
      </c>
      <c r="F26" s="8" t="s">
        <v>14</v>
      </c>
      <c r="G26" s="30" t="s">
        <v>5</v>
      </c>
      <c r="H26" s="30"/>
      <c r="I26" s="30"/>
      <c r="J26" s="54">
        <f>E15-E14</f>
        <v>85</v>
      </c>
      <c r="K26" s="8" t="s">
        <v>15</v>
      </c>
      <c r="L26" s="21"/>
    </row>
    <row r="27" spans="1:22" ht="15.75" thickBot="1" x14ac:dyDescent="0.3">
      <c r="B27" s="36" t="s">
        <v>1</v>
      </c>
      <c r="C27" s="30"/>
      <c r="D27" s="8"/>
      <c r="E27" s="49">
        <f>IF(E5  &lt;&gt; "CTL",ROUND(E26/(E10/E13+E25/E12)/10,0)*10,E12)</f>
        <v>1760</v>
      </c>
      <c r="F27" s="8" t="s">
        <v>14</v>
      </c>
      <c r="G27" s="30" t="s">
        <v>2</v>
      </c>
      <c r="H27" s="30"/>
      <c r="I27" s="30"/>
      <c r="J27" s="55">
        <f>E26/E27</f>
        <v>0.28409090909090912</v>
      </c>
      <c r="K27" s="8"/>
      <c r="L27" s="21"/>
      <c r="P27" s="2" t="s">
        <v>41</v>
      </c>
      <c r="Q27" s="2"/>
    </row>
    <row r="28" spans="1:22" ht="19.5" thickBot="1" x14ac:dyDescent="0.35">
      <c r="B28" s="36" t="s">
        <v>62</v>
      </c>
      <c r="C28" s="30"/>
      <c r="D28" s="8"/>
      <c r="E28" s="50">
        <f>E10/(E10+E9)</f>
        <v>0.15</v>
      </c>
      <c r="F28" s="8"/>
      <c r="G28" s="30" t="s">
        <v>3</v>
      </c>
      <c r="H28" s="30"/>
      <c r="I28" s="30"/>
      <c r="J28" s="55">
        <f>E14/E15</f>
        <v>0.22727272727272727</v>
      </c>
      <c r="K28" s="8"/>
      <c r="L28" s="21" t="s">
        <v>21</v>
      </c>
      <c r="N28" s="80" t="s">
        <v>35</v>
      </c>
      <c r="O28" s="81" t="s">
        <v>36</v>
      </c>
      <c r="P28" s="82" t="s">
        <v>37</v>
      </c>
      <c r="Q28" s="83" t="s">
        <v>38</v>
      </c>
      <c r="R28" s="84" t="s">
        <v>39</v>
      </c>
      <c r="S28" s="85" t="s">
        <v>40</v>
      </c>
    </row>
    <row r="29" spans="1:22" x14ac:dyDescent="0.25">
      <c r="B29" s="20"/>
      <c r="C29" s="8"/>
      <c r="D29" s="8"/>
      <c r="E29" s="8"/>
      <c r="F29" s="8"/>
      <c r="G29" s="30" t="s">
        <v>4</v>
      </c>
      <c r="H29" s="30"/>
      <c r="I29" s="30"/>
      <c r="J29" s="56">
        <f>J27/J28</f>
        <v>1.2500000000000002</v>
      </c>
      <c r="K29" s="8"/>
      <c r="L29" s="96">
        <f>IF(J29&gt;1,1,0)</f>
        <v>1</v>
      </c>
      <c r="M29" s="497" t="s">
        <v>85</v>
      </c>
      <c r="N29" s="1">
        <v>10</v>
      </c>
      <c r="O29" s="1">
        <v>20</v>
      </c>
      <c r="P29" s="1">
        <v>35</v>
      </c>
      <c r="Q29" s="1">
        <v>55</v>
      </c>
      <c r="R29" s="1">
        <v>80</v>
      </c>
      <c r="S29" s="1" t="s">
        <v>42</v>
      </c>
      <c r="V29" s="2"/>
    </row>
    <row r="30" spans="1:22" ht="15.75" thickBot="1" x14ac:dyDescent="0.3">
      <c r="B30" s="20"/>
      <c r="C30" s="8"/>
      <c r="D30" s="8"/>
      <c r="E30" s="8"/>
      <c r="F30" s="8"/>
      <c r="G30" s="30" t="s">
        <v>6</v>
      </c>
      <c r="H30" s="30"/>
      <c r="I30" s="30"/>
      <c r="J30" s="57">
        <f>MIN(E14,J26*J27/(1-J27))</f>
        <v>25</v>
      </c>
      <c r="K30" s="8" t="s">
        <v>15</v>
      </c>
      <c r="L30" s="21"/>
      <c r="N30" s="16">
        <f t="shared" ref="N30:S30" si="0">IF($K$32&lt;=N29,1,0)</f>
        <v>0</v>
      </c>
      <c r="O30" s="16">
        <f t="shared" si="0"/>
        <v>0</v>
      </c>
      <c r="P30" s="16">
        <f t="shared" si="0"/>
        <v>0</v>
      </c>
      <c r="Q30" s="16">
        <f t="shared" si="0"/>
        <v>0</v>
      </c>
      <c r="R30" s="16">
        <f t="shared" si="0"/>
        <v>0</v>
      </c>
      <c r="S30" s="16">
        <f t="shared" si="0"/>
        <v>1</v>
      </c>
      <c r="V30" s="2"/>
    </row>
    <row r="31" spans="1:22" ht="15.75" thickBot="1" x14ac:dyDescent="0.3">
      <c r="B31" s="22"/>
      <c r="C31" s="23"/>
      <c r="D31" s="23"/>
      <c r="E31" s="23"/>
      <c r="F31" s="23"/>
      <c r="G31" s="23"/>
      <c r="H31" s="23"/>
      <c r="I31" s="23"/>
      <c r="J31" s="23"/>
      <c r="K31" s="23"/>
      <c r="L31" s="24"/>
      <c r="N31" s="16">
        <f>N30-M32</f>
        <v>0</v>
      </c>
      <c r="O31" s="16">
        <f t="shared" ref="O31:S31" si="1">O30-N30</f>
        <v>0</v>
      </c>
      <c r="P31" s="16">
        <f t="shared" si="1"/>
        <v>0</v>
      </c>
      <c r="Q31" s="16">
        <f t="shared" si="1"/>
        <v>0</v>
      </c>
      <c r="R31" s="16">
        <f t="shared" si="1"/>
        <v>0</v>
      </c>
      <c r="S31" s="16">
        <f t="shared" si="1"/>
        <v>1</v>
      </c>
      <c r="V31" s="2"/>
    </row>
    <row r="32" spans="1:22" ht="19.5" thickBot="1" x14ac:dyDescent="0.35">
      <c r="B32" s="52" t="s">
        <v>31</v>
      </c>
      <c r="C32" s="58">
        <f>0.5*E15*(1-J28)^2/(1-MIN(1,J29)*J28)</f>
        <v>42.499999999999993</v>
      </c>
      <c r="D32" s="26"/>
      <c r="E32" s="26"/>
      <c r="F32" s="40" t="s">
        <v>11</v>
      </c>
      <c r="G32" s="58">
        <f>225*((J29-1)+SQRT((J29-1)^2+16*J29/(J25*3600)))</f>
        <v>131.717294240618</v>
      </c>
      <c r="H32" s="26"/>
      <c r="I32" s="26"/>
      <c r="J32" s="40" t="s">
        <v>32</v>
      </c>
      <c r="K32" s="87">
        <f>G32+C32</f>
        <v>174.217294240618</v>
      </c>
      <c r="L32" s="27" t="s">
        <v>33</v>
      </c>
      <c r="N32" s="67">
        <f t="shared" ref="N32:S32" si="2">IF(N31=1,N28,0)</f>
        <v>0</v>
      </c>
      <c r="O32" s="67">
        <f t="shared" si="2"/>
        <v>0</v>
      </c>
      <c r="P32" s="67">
        <f t="shared" si="2"/>
        <v>0</v>
      </c>
      <c r="Q32" s="67">
        <f t="shared" si="2"/>
        <v>0</v>
      </c>
      <c r="R32" s="67">
        <f t="shared" si="2"/>
        <v>0</v>
      </c>
      <c r="S32" s="67" t="str">
        <f t="shared" si="2"/>
        <v>F</v>
      </c>
    </row>
    <row r="33" spans="2:17" ht="15.75" thickBot="1" x14ac:dyDescent="0.3"/>
    <row r="34" spans="2:17" ht="16.5" thickBot="1" x14ac:dyDescent="0.3">
      <c r="B34" s="52" t="s">
        <v>7</v>
      </c>
      <c r="C34" s="59">
        <f>J30*E27/3600</f>
        <v>12.222222222222221</v>
      </c>
      <c r="D34" s="26" t="s">
        <v>8</v>
      </c>
      <c r="E34" s="26"/>
      <c r="F34" s="40" t="s">
        <v>9</v>
      </c>
      <c r="G34" s="59">
        <f>J25*G32</f>
        <v>14.635254915624222</v>
      </c>
      <c r="H34" s="26" t="s">
        <v>8</v>
      </c>
      <c r="I34" s="26"/>
      <c r="J34" s="40" t="s">
        <v>13</v>
      </c>
      <c r="K34" s="59">
        <f>G34+C34</f>
        <v>26.857477137846445</v>
      </c>
      <c r="L34" s="27" t="s">
        <v>34</v>
      </c>
    </row>
    <row r="37" spans="2:17" ht="15.75" x14ac:dyDescent="0.25">
      <c r="B37" s="43" t="s">
        <v>17</v>
      </c>
      <c r="C37" s="43"/>
      <c r="D37" s="94" t="s">
        <v>22</v>
      </c>
      <c r="E37" s="43"/>
      <c r="F37" s="43" t="s">
        <v>23</v>
      </c>
      <c r="G37" s="43"/>
      <c r="H37" s="43"/>
      <c r="I37" s="43"/>
      <c r="J37" s="43" t="s">
        <v>24</v>
      </c>
      <c r="K37" s="43" t="s">
        <v>25</v>
      </c>
      <c r="L37" s="43"/>
      <c r="M37" s="43" t="s">
        <v>26</v>
      </c>
      <c r="N37" s="43"/>
      <c r="O37" s="43"/>
      <c r="P37" s="43" t="s">
        <v>27</v>
      </c>
      <c r="Q37" s="2"/>
    </row>
    <row r="38" spans="2:17" x14ac:dyDescent="0.25">
      <c r="B38" s="45" t="s">
        <v>18</v>
      </c>
      <c r="C38" s="4"/>
      <c r="D38" s="4">
        <v>1.04</v>
      </c>
      <c r="E38" s="4"/>
      <c r="F38" s="5">
        <f>D38*SQRT(1/K34)</f>
        <v>0.2006784472163734</v>
      </c>
      <c r="G38" s="4"/>
      <c r="H38" s="4"/>
      <c r="I38" s="4"/>
      <c r="J38" s="5">
        <f>$L$29*MIN(1.8,1+F38+0.6*D38^0.24*$J$28^0.33*(1-EXP(2-2*$J$29)))</f>
        <v>1.3468324673822265</v>
      </c>
      <c r="K38" s="6">
        <f>(1-$L$29)*MIN(1.8, 1+F38)</f>
        <v>0</v>
      </c>
      <c r="L38" s="4"/>
      <c r="M38" s="4">
        <f>MAX(J38,K38)*$K$34</f>
        <v>36.172522201227466</v>
      </c>
      <c r="N38" s="4"/>
      <c r="O38" s="4"/>
      <c r="P38" s="7">
        <f>ROUND(M38*$E$17/100,0)*100</f>
        <v>900</v>
      </c>
    </row>
    <row r="39" spans="2:17" ht="15.75" thickBot="1" x14ac:dyDescent="0.3">
      <c r="B39" s="46" t="s">
        <v>19</v>
      </c>
      <c r="C39" s="8"/>
      <c r="D39" s="8">
        <v>1.28</v>
      </c>
      <c r="E39" s="8"/>
      <c r="F39" s="9">
        <f>D39*SQRT(1/K34)</f>
        <v>0.24698885811245955</v>
      </c>
      <c r="G39" s="8"/>
      <c r="H39" s="8"/>
      <c r="I39" s="8"/>
      <c r="J39" s="9">
        <f t="shared" ref="J39:J40" si="3">$L$29*MIN(1.8,1+F39+0.6*D39^0.24*$J$28^0.33*(1-EXP(2-2*$J$29)))</f>
        <v>1.4006107668953705</v>
      </c>
      <c r="K39" s="10">
        <f t="shared" ref="K39:K40" si="4">(1-$L$29)*MIN(1.8, 1+F39)</f>
        <v>0</v>
      </c>
      <c r="L39" s="8"/>
      <c r="M39" s="8">
        <f t="shared" ref="M39:M40" si="5">MAX(J39,K39)*$K$34</f>
        <v>37.616871650913986</v>
      </c>
      <c r="N39" s="8"/>
      <c r="O39" s="8"/>
      <c r="P39" s="11">
        <f>ROUND(M39*$E$17/100,0)*100</f>
        <v>900</v>
      </c>
    </row>
    <row r="40" spans="2:17" ht="19.5" thickBot="1" x14ac:dyDescent="0.35">
      <c r="B40" s="47" t="s">
        <v>20</v>
      </c>
      <c r="C40" s="12"/>
      <c r="D40" s="12">
        <v>1.64</v>
      </c>
      <c r="E40" s="12"/>
      <c r="F40" s="13">
        <f>D40*SQRT(1/K34)</f>
        <v>0.31645447445658875</v>
      </c>
      <c r="G40" s="12"/>
      <c r="H40" s="12"/>
      <c r="I40" s="12"/>
      <c r="J40" s="13">
        <f t="shared" si="3"/>
        <v>1.4794911412536553</v>
      </c>
      <c r="K40" s="14">
        <f t="shared" si="4"/>
        <v>0</v>
      </c>
      <c r="L40" s="12"/>
      <c r="M40" s="12">
        <f t="shared" si="5"/>
        <v>39.735399501866389</v>
      </c>
      <c r="N40" s="12"/>
      <c r="O40" s="12"/>
      <c r="P40" s="88">
        <f>ROUND(M40*$E$17/100,0)*100</f>
        <v>1000</v>
      </c>
    </row>
  </sheetData>
  <conditionalFormatting sqref="N32:S32">
    <cfRule type="cellIs" dxfId="210" priority="1" operator="equal">
      <formula>0</formula>
    </cfRule>
    <cfRule type="cellIs" dxfId="209" priority="2" operator="equal">
      <formula>0</formula>
    </cfRule>
    <cfRule type="cellIs" dxfId="208" priority="3" operator="equal">
      <formula>0</formula>
    </cfRule>
  </conditionalFormatting>
  <pageMargins left="0.7" right="0.7" top="0.75" bottom="0.75" header="0.3" footer="0.3"/>
  <pageSetup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F1:S29"/>
  <sheetViews>
    <sheetView topLeftCell="A4" workbookViewId="0">
      <selection activeCell="O21" sqref="O21"/>
    </sheetView>
  </sheetViews>
  <sheetFormatPr defaultRowHeight="15" x14ac:dyDescent="0.25"/>
  <cols>
    <col min="1" max="1" width="1.5703125" style="497" customWidth="1"/>
    <col min="2" max="2" width="1.7109375" style="497" customWidth="1"/>
    <col min="3" max="3" width="1.85546875" style="497" customWidth="1"/>
    <col min="4" max="4" width="0.5703125" style="497" customWidth="1"/>
    <col min="5" max="5" width="7.42578125" style="497" customWidth="1"/>
    <col min="6" max="6" width="13.28515625" style="497" customWidth="1"/>
    <col min="7" max="7" width="11.28515625" style="497" customWidth="1"/>
    <col min="8" max="8" width="32.7109375" style="497" customWidth="1"/>
    <col min="9" max="9" width="11.28515625" style="497" customWidth="1"/>
    <col min="10" max="10" width="12.140625" style="497" customWidth="1"/>
    <col min="11" max="11" width="10.140625" style="497" customWidth="1"/>
    <col min="12" max="12" width="11.85546875" style="411" customWidth="1"/>
    <col min="13" max="13" width="8.7109375" style="307" customWidth="1"/>
    <col min="14" max="14" width="4.85546875" style="497" customWidth="1"/>
    <col min="15" max="15" width="8.7109375" style="497" bestFit="1" customWidth="1"/>
    <col min="16" max="16" width="11.85546875" style="497" customWidth="1"/>
    <col min="17" max="17" width="5.42578125" style="497" customWidth="1"/>
    <col min="18" max="19" width="17.140625" style="497" customWidth="1"/>
    <col min="20" max="25" width="9.140625" style="497"/>
    <col min="26" max="26" width="5.7109375" style="497" customWidth="1"/>
    <col min="27" max="16384" width="9.140625" style="497"/>
  </cols>
  <sheetData>
    <row r="1" spans="6:19" ht="15.75" thickBot="1" x14ac:dyDescent="0.3"/>
    <row r="2" spans="6:19" ht="18.75" x14ac:dyDescent="0.3">
      <c r="G2" s="452" t="s">
        <v>232</v>
      </c>
      <c r="H2" s="453"/>
      <c r="I2" s="453"/>
      <c r="J2" s="18"/>
      <c r="K2" s="19"/>
      <c r="L2" s="457"/>
      <c r="M2" s="458"/>
      <c r="N2" s="19"/>
    </row>
    <row r="3" spans="6:19" ht="19.5" thickBot="1" x14ac:dyDescent="0.35">
      <c r="G3" s="454" t="s">
        <v>233</v>
      </c>
      <c r="H3" s="455"/>
      <c r="I3" s="455"/>
      <c r="J3" s="23"/>
      <c r="K3" s="24"/>
      <c r="L3" s="459"/>
      <c r="M3" s="460"/>
      <c r="N3" s="24"/>
    </row>
    <row r="6" spans="6:19" ht="15.75" thickBot="1" x14ac:dyDescent="0.3"/>
    <row r="7" spans="6:19" ht="19.5" thickBot="1" x14ac:dyDescent="0.35">
      <c r="J7" s="524" t="str">
        <f>'COMBINED INPUT'!H7</f>
        <v>HYPOTHETICAL SITE</v>
      </c>
      <c r="K7" s="525"/>
      <c r="L7" s="525"/>
      <c r="M7" s="526"/>
    </row>
    <row r="8" spans="6:19" ht="15.75" thickBot="1" x14ac:dyDescent="0.3"/>
    <row r="9" spans="6:19" ht="19.5" thickBot="1" x14ac:dyDescent="0.35">
      <c r="G9" s="407"/>
      <c r="H9" s="28"/>
      <c r="I9" s="435" t="s">
        <v>231</v>
      </c>
      <c r="J9" s="436"/>
      <c r="K9" s="436"/>
      <c r="L9" s="437"/>
      <c r="M9" s="438" t="str">
        <f>'COMBINED INPUT2'!J26</f>
        <v>1-CTL + SHARED ATL</v>
      </c>
      <c r="N9" s="436"/>
      <c r="O9" s="439"/>
      <c r="P9" s="440"/>
      <c r="Q9" s="439"/>
    </row>
    <row r="10" spans="6:19" ht="15.75" thickBot="1" x14ac:dyDescent="0.3"/>
    <row r="11" spans="6:19" ht="15.75" x14ac:dyDescent="0.25">
      <c r="F11" s="44"/>
      <c r="G11" s="29"/>
      <c r="H11" s="29"/>
      <c r="I11" s="74"/>
      <c r="J11" s="74"/>
      <c r="K11" s="74"/>
      <c r="L11" s="442"/>
      <c r="M11" s="447"/>
      <c r="N11" s="29"/>
      <c r="O11" s="86" t="s">
        <v>20</v>
      </c>
      <c r="P11" s="86" t="s">
        <v>74</v>
      </c>
      <c r="Q11" s="18"/>
      <c r="R11" s="372" t="s">
        <v>127</v>
      </c>
      <c r="S11" s="372" t="s">
        <v>221</v>
      </c>
    </row>
    <row r="12" spans="6:19" ht="18.75" x14ac:dyDescent="0.3">
      <c r="F12" s="475" t="s">
        <v>241</v>
      </c>
      <c r="G12" s="30"/>
      <c r="H12" s="30"/>
      <c r="I12" s="77" t="s">
        <v>65</v>
      </c>
      <c r="J12" s="77" t="s">
        <v>66</v>
      </c>
      <c r="K12" s="77" t="s">
        <v>73</v>
      </c>
      <c r="L12" s="443" t="s">
        <v>69</v>
      </c>
      <c r="M12" s="448" t="s">
        <v>70</v>
      </c>
      <c r="N12" s="108" t="s">
        <v>71</v>
      </c>
      <c r="O12" s="75" t="s">
        <v>72</v>
      </c>
      <c r="P12" s="75" t="s">
        <v>75</v>
      </c>
      <c r="Q12" s="129" t="s">
        <v>71</v>
      </c>
      <c r="R12" s="373" t="s">
        <v>113</v>
      </c>
      <c r="S12" s="387" t="s">
        <v>124</v>
      </c>
    </row>
    <row r="13" spans="6:19" ht="15.75" thickBot="1" x14ac:dyDescent="0.3">
      <c r="F13" s="69"/>
      <c r="G13" s="70"/>
      <c r="H13" s="70"/>
      <c r="I13" s="76" t="s">
        <v>14</v>
      </c>
      <c r="J13" s="76" t="s">
        <v>14</v>
      </c>
      <c r="K13" s="76" t="s">
        <v>14</v>
      </c>
      <c r="L13" s="450"/>
      <c r="M13" s="451" t="s">
        <v>76</v>
      </c>
      <c r="N13" s="70"/>
      <c r="O13" s="76" t="s">
        <v>77</v>
      </c>
      <c r="P13" s="76" t="s">
        <v>76</v>
      </c>
      <c r="Q13" s="23"/>
      <c r="R13" s="374" t="s">
        <v>112</v>
      </c>
      <c r="S13" s="374"/>
    </row>
    <row r="14" spans="6:19" ht="15.75" thickBot="1" x14ac:dyDescent="0.3">
      <c r="F14" s="20"/>
      <c r="G14" s="8"/>
      <c r="H14" s="8"/>
      <c r="I14" s="49"/>
      <c r="J14" s="49"/>
      <c r="K14" s="49"/>
      <c r="L14" s="444"/>
      <c r="M14" s="241"/>
      <c r="N14" s="8"/>
      <c r="O14" s="51"/>
      <c r="P14" s="371"/>
      <c r="Q14" s="74"/>
      <c r="R14" s="375"/>
      <c r="S14" s="376"/>
    </row>
    <row r="15" spans="6:19" ht="19.5" thickBot="1" x14ac:dyDescent="0.35">
      <c r="F15" s="414" t="s">
        <v>234</v>
      </c>
      <c r="G15" s="478" t="str">
        <f>'COMBINED INPUT'!G25</f>
        <v>1A</v>
      </c>
      <c r="H15" s="415" t="str">
        <f>IF('COMBINED INPUT2'!G8=1,IF('COMBINED INPUT2'!G9="Y","SINGLE SHARED LANE","SINGLE THROUGH LANE"),"THROUGH LANE")</f>
        <v>SINGLE SHARED LANE</v>
      </c>
      <c r="I15" s="441">
        <f>IF('COMBINED INPUT2'!G8=1,'COMBINED INPUT2'!G12,'SUMMARY 22'!J10)</f>
        <v>425</v>
      </c>
      <c r="J15" s="441">
        <f>IF('COMBINED INPUT2'!G8=1,'COMBINED INPUT2'!G14,0)</f>
        <v>75</v>
      </c>
      <c r="K15" s="441">
        <f>I15+J15</f>
        <v>500</v>
      </c>
      <c r="L15" s="445">
        <f>IF('COMBINED INPUT2'!G8=1,'SUMMARY 12'!N10,'SUMMARY 22'!N10)</f>
        <v>1.2500000000000002</v>
      </c>
      <c r="M15" s="449">
        <f>IF('COMBINED INPUT2'!G8=1,'SUMMARY 12'!O10,'SUMMARY 22'!O10)</f>
        <v>174.217294240618</v>
      </c>
      <c r="N15" s="476" t="str">
        <f>IF(M15&gt;'LOS Lookup'!$C$7,'LOS Lookup'!$B$8,IF(M15&gt;'LOS Lookup'!$C$6,'LOS Lookup'!$B$7,IF(M15&gt;'LOS Lookup'!$C$5,'LOS Lookup'!$B$6,IF(M15&gt;'LOS Lookup'!$C$4,'LOS Lookup'!$B$5,IF(M15&gt;'LOS Lookup'!$C$3,'LOS Lookup'!$B$4,'LOS Lookup'!$B$3)))))</f>
        <v>F</v>
      </c>
      <c r="O15" s="416">
        <f>IF('COMBINED INPUT2'!G8=1,'SUMMARY 12'!Q10,'SUMMARY 22'!Q10)</f>
        <v>1000</v>
      </c>
      <c r="P15" s="479">
        <f>IF('COMBINED INPUT2'!G8=1,'SUMMARY 12'!R10,'SUMMARY 22'!R11)</f>
        <v>174.217294240618</v>
      </c>
      <c r="Q15" s="477" t="str">
        <f>IF('SUMMARY 1'!R10&gt;'LOS Lookup'!$C$7,'LOS Lookup'!$B$8,IF('SUMMARY 1'!R10&gt;'LOS Lookup'!$C$6,'LOS Lookup'!$B$7,IF('SUMMARY 1'!R10&gt;'LOS Lookup'!$C$5,'LOS Lookup'!$B$6,IF('SUMMARY 1'!R10&gt;'LOS Lookup'!$C$4,'LOS Lookup'!$B$5,IF('SUMMARY 1'!R10&gt;'LOS Lookup'!$C$3,'LOS Lookup'!$B$4,'LOS Lookup'!$B$3)))))</f>
        <v>F</v>
      </c>
      <c r="R15" s="480">
        <f>MAX(O15,O16)</f>
        <v>1000</v>
      </c>
      <c r="S15" s="377"/>
    </row>
    <row r="16" spans="6:19" ht="16.5" thickBot="1" x14ac:dyDescent="0.3">
      <c r="F16" s="414" t="str">
        <f>IF('COMBINED INPUT'!G8=1," ","BASE CASE")</f>
        <v xml:space="preserve"> </v>
      </c>
      <c r="G16" s="415"/>
      <c r="H16" s="415" t="str">
        <f>IF('COMBINED INPUT2'!G8=1," ",IF('COMBINED INPUT2'!G9="N","THROUGH LANE","SHARED LANE"))</f>
        <v xml:space="preserve"> </v>
      </c>
      <c r="I16" s="441" t="str">
        <f>IF('COMBINED INPUT2'!G8=1," ",'SUMMARY 22'!J11)</f>
        <v xml:space="preserve"> </v>
      </c>
      <c r="J16" s="441" t="str">
        <f>IF('COMBINED INPUT2'!G8=1," ",'COMBINED INPUT2'!G14)</f>
        <v xml:space="preserve"> </v>
      </c>
      <c r="K16" s="441" t="str">
        <f>IF('COMBINED INPUT2'!G8=1," ",'COMBINED OUTPUT2'!I16+J16)</f>
        <v xml:space="preserve"> </v>
      </c>
      <c r="L16" s="445" t="str">
        <f>IF('COMBINED INPUT2'!G8=1," ",'SUMMARY 22'!N11)</f>
        <v xml:space="preserve"> </v>
      </c>
      <c r="M16" s="449" t="str">
        <f>IF('COMBINED INPUT2'!G8=1," ",'SUMMARY 22'!O11)</f>
        <v xml:space="preserve"> </v>
      </c>
      <c r="N16" s="481" t="str">
        <f>IF('COMBINED INPUT'!G8=2,IF(M16&gt;'LOS Lookup'!$C$7,'LOS Lookup'!$B$8,IF(M16&gt;'LOS Lookup'!$C$6,'LOS Lookup'!$B$7,IF(M16&gt;'LOS Lookup'!$C$5,'LOS Lookup'!$B$6,IF(M16&gt;'LOS Lookup'!$C$4,'LOS Lookup'!$B$5,IF(M16&gt;'LOS Lookup'!$C$3,'LOS Lookup'!$B$4,'LOS Lookup'!$B$3)))))," ")</f>
        <v xml:space="preserve"> </v>
      </c>
      <c r="O16" s="416" t="str">
        <f>IF('COMBINED INPUT2'!G8=1," ",'SUMMARY 22'!Q11)</f>
        <v xml:space="preserve"> </v>
      </c>
      <c r="P16" s="471"/>
      <c r="Q16" s="77"/>
      <c r="R16" s="378"/>
      <c r="S16" s="377"/>
    </row>
    <row r="17" spans="6:19" ht="16.5" thickBot="1" x14ac:dyDescent="0.3">
      <c r="F17" s="527"/>
      <c r="G17" s="528"/>
      <c r="H17" s="528"/>
      <c r="I17" s="528"/>
      <c r="J17" s="528"/>
      <c r="K17" s="528"/>
      <c r="L17" s="528"/>
      <c r="M17" s="528"/>
      <c r="N17" s="528"/>
      <c r="O17" s="529"/>
      <c r="P17" s="482"/>
      <c r="Q17" s="77"/>
      <c r="R17" s="378"/>
      <c r="S17" s="377"/>
    </row>
    <row r="18" spans="6:19" ht="16.5" thickBot="1" x14ac:dyDescent="0.3">
      <c r="F18" s="485" t="str">
        <f>IF('COMBINED INPUT2'!G8=1,IF('BASELINE-APP2'!I9=2,'RT+ATL2'!I13,""),IF('APP-BASELINE2'!J7=1,"RT-EXCLUSIVE POCKET", " "))</f>
        <v/>
      </c>
      <c r="G18" s="486"/>
      <c r="H18" s="487"/>
      <c r="I18" s="488"/>
      <c r="J18" s="488" t="str">
        <f>IF('COMBINED INPUT2'!G8=1,IF('BASELINE-APP2'!I9=2,'RT+ATL2'!E16," "),IF('APP-BASELINE2'!J9 &gt;= 1,'APP-BASELINE2'!F10, " "))</f>
        <v xml:space="preserve"> </v>
      </c>
      <c r="K18" s="488" t="str">
        <f>J18</f>
        <v xml:space="preserve"> </v>
      </c>
      <c r="L18" s="489" t="str">
        <f>IF('COMBINED INPUT2'!G26="1D",'SUMMARY 12'!N12,IF('COMBINED INPUT2'!G26="2D",'SUMMARY 22'!N13,IF('COMBINED INPUT2'!G26="2B",'SUMMARY 22'!N13," ")))</f>
        <v xml:space="preserve"> </v>
      </c>
      <c r="M18" s="490" t="str">
        <f>IF('COMBINED INPUT2'!G9="N"," ",IF('COMBINED INPUT2'!G8=1,IF('BASELINE-APP2'!I9=2,'RT+ATL2'!J22," "),IF('APP-BASELINE2'!J9&gt;=1,'APP-BASELINE2'!K35," ")))</f>
        <v xml:space="preserve"> </v>
      </c>
      <c r="N18" s="491" t="str">
        <f>IF(M18=" ","",IF(M18&gt;'LOS Lookup'!$C$7,'LOS Lookup'!$B$8,IF(M18&gt;'LOS Lookup'!$C$6,'LOS Lookup'!$B$7,IF(M18&gt;'LOS Lookup'!$C$5,'LOS Lookup'!$B$6,IF(M18&gt;'LOS Lookup'!$C$4,'LOS Lookup'!$B$5,IF(M18&gt;'LOS Lookup'!$C$3,'LOS Lookup'!$B$4,'LOS Lookup'!$B$3))))))</f>
        <v/>
      </c>
      <c r="O18" s="417" t="str">
        <f>IF(M18=" "," ",IF('COMBINED INPUT2'!G26="1D",'RT+ATL2'!O29,IF('COMBINED INPUT2'!G26="2B",'APP-BASELINE2'!Q49,IF('COMBINED INPUT2'!G26="2D",'APP-BASELINE2'!Q49," "))))</f>
        <v xml:space="preserve"> </v>
      </c>
      <c r="P18" s="472"/>
      <c r="Q18" s="77"/>
      <c r="R18" s="377"/>
      <c r="S18" s="377"/>
    </row>
    <row r="19" spans="6:19" ht="16.5" thickBot="1" x14ac:dyDescent="0.3">
      <c r="F19" s="418" t="str">
        <f>IF('COMBINED INPUT2'!G9="N","ATL",IF('COMBINED INPUT2'!G26="1B","RT LANE",IF('COMBINED INPUT2'!G26="2B","NO ATL","ATL")))</f>
        <v>ATL</v>
      </c>
      <c r="G19" s="419" t="str">
        <f>IF('COMBINED INPUT'!G26="1B"," ",IF('COMBINED INPUT'!G26="2B"," ",IF(I19=0,IF(J19=0,"NO RIGHT TURNS"," "),"")))</f>
        <v xml:space="preserve"> </v>
      </c>
      <c r="H19" s="461" t="str">
        <f>IF(F19="NO ATL"," ",IF(J19=0,"THROUGH ONLY",IF(MIN(I19,J19)&gt;0,"SHARED LANE"," ")))</f>
        <v>SHARED LANE</v>
      </c>
      <c r="I19" s="441">
        <f>IF('COMBINED INPUT2'!G8=1,'ATL2'!E16,'SUMMARY 22'!J14)</f>
        <v>138</v>
      </c>
      <c r="J19" s="441">
        <f>IF('COMBINED INPUT2'!G8=1,'ATL2'!E7,'SUMMARY 22'!K14)</f>
        <v>75</v>
      </c>
      <c r="K19" s="441">
        <f>I19+J19</f>
        <v>213</v>
      </c>
      <c r="L19" s="445">
        <f>IF('COMBINED INPUT2'!G26="1B",'SUMMARY 12'!N13,IF('COMBINED INPUT2'!G26="2B",0,IF('COMBINED INPUT2'!G8=1,'SUMMARY 12'!N13,'SUMMARY 22'!N14)))</f>
        <v>0.55129411764705893</v>
      </c>
      <c r="M19" s="449">
        <f>IF('COMBINED INPUT2'!G8=1,'ATL2'!J23,'SUMMARY 22'!O14)</f>
        <v>43.115396139049885</v>
      </c>
      <c r="N19" s="446" t="str">
        <f>IF(M19=0," ",IF(M19&gt;'LOS Lookup'!$C$7,'LOS Lookup'!$B$8,IF(M19&gt;'LOS Lookup'!$C$6,'LOS Lookup'!$B$7,IF(M19&gt;'LOS Lookup'!$C$5,'LOS Lookup'!$B$6,IF(M19&gt;'LOS Lookup'!$C$4,'LOS Lookup'!$B$5,IF(M19&gt;'LOS Lookup'!$C$3,'LOS Lookup'!$B$4,'LOS Lookup'!$B$3))))))</f>
        <v>D</v>
      </c>
      <c r="O19" s="416">
        <f>IF('COMBINED INPUT2'!G8=1,'ATL2'!O31,'SUMMARY 22'!Q14)</f>
        <v>300</v>
      </c>
      <c r="P19" s="472"/>
      <c r="Q19" s="77"/>
      <c r="R19" s="377"/>
      <c r="S19" s="377"/>
    </row>
    <row r="20" spans="6:19" ht="16.5" thickBot="1" x14ac:dyDescent="0.3">
      <c r="F20" s="414" t="str">
        <f>IF('COMBINED INPUT2'!G8=1,"CTL","2 CTL'S")</f>
        <v>CTL</v>
      </c>
      <c r="G20" s="415"/>
      <c r="H20" s="420"/>
      <c r="I20" s="441">
        <f>IF('COMBINED INPUT2'!G8=1,'CTL2'!E16,'SUMMARY 22'!J15)</f>
        <v>287</v>
      </c>
      <c r="J20" s="441">
        <v>0</v>
      </c>
      <c r="K20" s="441">
        <f t="shared" ref="K20" si="0">I20+J20</f>
        <v>287</v>
      </c>
      <c r="L20" s="445">
        <f>IF('COMBINED INPUT2'!G8=1,'SUMMARY 12'!N14,'SUMMARY 22'!N15)</f>
        <v>0.7015555555555556</v>
      </c>
      <c r="M20" s="449">
        <f>IF('COMBINED INPUT2'!G8=1,'CTL2'!J23,'SUMMARY 22'!O15)</f>
        <v>48.720235940702985</v>
      </c>
      <c r="N20" s="446" t="str">
        <f>IF(M20&gt;'LOS Lookup'!$C$7,'LOS Lookup'!$B$8,IF(M20&gt;'LOS Lookup'!$C$6,'LOS Lookup'!$B$7,IF(M20&gt;'LOS Lookup'!$C$5,'LOS Lookup'!$B$6,IF(M20&gt;'LOS Lookup'!$C$4,'LOS Lookup'!$B$5,IF(M20&gt;'LOS Lookup'!$C$3,'LOS Lookup'!$B$4,'LOS Lookup'!$B$3)))))</f>
        <v>D</v>
      </c>
      <c r="O20" s="416">
        <f>IF('COMBINED INPUT2'!G8=1,'CTL2'!O32,'SUMMARY 22'!Q15)</f>
        <v>400</v>
      </c>
      <c r="P20" s="473"/>
      <c r="Q20" s="77"/>
      <c r="R20" s="377"/>
      <c r="S20" s="377"/>
    </row>
    <row r="21" spans="6:19" ht="15.75" thickBot="1" x14ac:dyDescent="0.3">
      <c r="P21" s="473"/>
      <c r="Q21" s="49"/>
      <c r="R21" s="377"/>
      <c r="S21" s="377"/>
    </row>
    <row r="22" spans="6:19" ht="21.75" thickBot="1" x14ac:dyDescent="0.4">
      <c r="F22" s="52" t="s">
        <v>93</v>
      </c>
      <c r="G22" s="40"/>
      <c r="H22" s="40"/>
      <c r="I22" s="26"/>
      <c r="J22" s="26"/>
      <c r="K22" s="26"/>
      <c r="L22" s="421"/>
      <c r="M22" s="422"/>
      <c r="N22" s="26"/>
      <c r="O22" s="26"/>
      <c r="P22" s="474">
        <f>IF('COMBINED INPUT2'!G8=1,'SUMMARY 12'!R16,'SUMMARY 22'!R17)</f>
        <v>46.332574185198766</v>
      </c>
      <c r="Q22" s="219" t="str">
        <f>IF('SUMMARY 1'!R16&gt;'LOS Lookup'!$C$7,'LOS Lookup'!$B$8,IF('SUMMARY 1'!R16&gt;'LOS Lookup'!$C$6,'LOS Lookup'!$B$7,IF('SUMMARY 1'!R16&gt;'LOS Lookup'!$C$5,'LOS Lookup'!$B$6,IF('SUMMARY 1'!R16&gt;'LOS Lookup'!$C$4,'LOS Lookup'!$B$5,IF('SUMMARY 1'!R16&gt;'LOS Lookup'!$C$3,'LOS Lookup'!$B$4,'LOS Lookup'!$B$3)))))</f>
        <v>F</v>
      </c>
      <c r="R22" s="423">
        <f>MAX(O18:O20)</f>
        <v>400</v>
      </c>
      <c r="S22" s="423">
        <f>IF('COMBINED INPUT2'!G26="1B","NA",IF('COMBINED INPUT2'!G26="2B","NA",IF('COMBINED INPUT2'!G8=1,MAX('SUMMARY 12'!U16,'SUMMARY 12'!V16),MAX('SUMMARY 22'!U17,'SUMMARY 22'!V17))))</f>
        <v>230</v>
      </c>
    </row>
    <row r="23" spans="6:19" x14ac:dyDescent="0.25">
      <c r="F23" s="228"/>
      <c r="G23" s="228"/>
      <c r="H23" s="228"/>
      <c r="I23" s="28"/>
      <c r="J23" s="28"/>
      <c r="K23" s="28"/>
      <c r="L23" s="408"/>
      <c r="M23" s="28"/>
      <c r="N23" s="28"/>
      <c r="O23" s="28"/>
      <c r="P23" s="409"/>
      <c r="Q23" s="28"/>
      <c r="R23" s="28"/>
      <c r="S23" s="28"/>
    </row>
    <row r="24" spans="6:19" ht="18.75" x14ac:dyDescent="0.3">
      <c r="F24" s="228"/>
      <c r="G24" s="228"/>
      <c r="H24" s="228"/>
      <c r="I24" s="28"/>
      <c r="J24" s="28"/>
      <c r="K24" s="28"/>
      <c r="L24" s="408"/>
      <c r="M24" s="28"/>
      <c r="N24" s="28"/>
      <c r="O24" s="28"/>
      <c r="P24" s="410"/>
      <c r="Q24" s="28"/>
      <c r="R24" s="28"/>
      <c r="S24" s="28"/>
    </row>
    <row r="25" spans="6:19" x14ac:dyDescent="0.25">
      <c r="H25" s="412"/>
      <c r="I25" s="307"/>
      <c r="J25" s="307"/>
      <c r="K25" s="307"/>
      <c r="N25" s="307"/>
      <c r="O25" s="307"/>
      <c r="P25" s="307"/>
      <c r="Q25" s="307"/>
      <c r="R25" s="307"/>
    </row>
    <row r="26" spans="6:19" x14ac:dyDescent="0.25">
      <c r="H26" s="412"/>
      <c r="I26" s="307"/>
      <c r="J26" s="413"/>
      <c r="K26" s="307"/>
      <c r="N26" s="307"/>
      <c r="O26" s="307"/>
      <c r="P26" s="307"/>
      <c r="Q26" s="307"/>
      <c r="R26" s="307"/>
    </row>
    <row r="27" spans="6:19" x14ac:dyDescent="0.25">
      <c r="H27" s="412"/>
      <c r="I27" s="307"/>
      <c r="J27" s="307"/>
      <c r="K27" s="307"/>
      <c r="N27" s="307"/>
      <c r="O27" s="307"/>
      <c r="P27" s="412"/>
      <c r="Q27" s="412"/>
      <c r="R27" s="412"/>
    </row>
    <row r="28" spans="6:19" x14ac:dyDescent="0.25">
      <c r="H28" s="412"/>
      <c r="I28" s="307"/>
      <c r="J28" s="307"/>
      <c r="K28" s="307"/>
      <c r="N28" s="307"/>
      <c r="O28" s="307"/>
      <c r="P28" s="412"/>
      <c r="Q28" s="412"/>
      <c r="R28" s="412"/>
    </row>
    <row r="29" spans="6:19" x14ac:dyDescent="0.25">
      <c r="H29" s="28"/>
      <c r="I29" s="307"/>
      <c r="J29" s="307"/>
      <c r="K29" s="307"/>
      <c r="N29" s="307"/>
      <c r="O29" s="307"/>
      <c r="P29" s="412"/>
      <c r="Q29" s="412"/>
      <c r="R29" s="412"/>
    </row>
  </sheetData>
  <mergeCells count="2">
    <mergeCell ref="J7:M7"/>
    <mergeCell ref="F17:O17"/>
  </mergeCells>
  <conditionalFormatting sqref="Q15 Q22 N15:N16 N18:N20">
    <cfRule type="cellIs" dxfId="207" priority="3" operator="equal">
      <formula>"A"</formula>
    </cfRule>
    <cfRule type="cellIs" dxfId="206" priority="4" operator="equal">
      <formula>"B"</formula>
    </cfRule>
    <cfRule type="cellIs" dxfId="205" priority="5" operator="equal">
      <formula>"C"</formula>
    </cfRule>
    <cfRule type="cellIs" dxfId="204" priority="6" operator="equal">
      <formula>"D"</formula>
    </cfRule>
    <cfRule type="cellIs" dxfId="203" priority="7" operator="equal">
      <formula>"F"</formula>
    </cfRule>
  </conditionalFormatting>
  <conditionalFormatting sqref="N18">
    <cfRule type="colorScale" priority="2">
      <colorScale>
        <cfvo type="min"/>
        <cfvo type="max"/>
        <color rgb="FFFF7128"/>
        <color rgb="FFFFEF9C"/>
      </colorScale>
    </cfRule>
  </conditionalFormatting>
  <conditionalFormatting sqref="I37:I40 I42:I45 L37 L42">
    <cfRule type="cellIs" dxfId="202" priority="1" operator="equal">
      <formula>"E"</formula>
    </cfRule>
  </conditionalFormatting>
  <pageMargins left="0.7" right="0.7" top="0.75" bottom="0.75" header="0.3" footer="0.3"/>
  <pageSetup scale="6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V27"/>
  <sheetViews>
    <sheetView topLeftCell="E1" zoomScale="69" zoomScaleNormal="69" workbookViewId="0">
      <selection activeCell="I12" sqref="I12"/>
    </sheetView>
  </sheetViews>
  <sheetFormatPr defaultRowHeight="15" x14ac:dyDescent="0.25"/>
  <cols>
    <col min="1" max="2" width="0" hidden="1" customWidth="1"/>
    <col min="3" max="3" width="3.140625" hidden="1" customWidth="1"/>
    <col min="4" max="4" width="4.140625" hidden="1" customWidth="1"/>
    <col min="5" max="5" width="1.140625" customWidth="1"/>
    <col min="6" max="6" width="9.28515625" customWidth="1"/>
    <col min="7" max="7" width="16.28515625" customWidth="1"/>
    <col min="8" max="8" width="12.28515625" customWidth="1"/>
    <col min="9" max="9" width="14.42578125" customWidth="1"/>
    <col min="10" max="10" width="11" customWidth="1"/>
    <col min="11" max="11" width="11.7109375" customWidth="1"/>
    <col min="12" max="12" width="16.28515625" customWidth="1"/>
    <col min="13" max="13" width="0" hidden="1" customWidth="1"/>
    <col min="15" max="15" width="11.5703125" customWidth="1"/>
    <col min="16" max="16" width="11.85546875" customWidth="1"/>
    <col min="17" max="17" width="10.5703125" bestFit="1" customWidth="1"/>
    <col min="18" max="18" width="13.85546875" customWidth="1"/>
    <col min="19" max="19" width="7.7109375" customWidth="1"/>
    <col min="20" max="20" width="18.7109375" customWidth="1"/>
    <col min="21" max="21" width="24.140625" customWidth="1"/>
    <col min="22" max="22" width="28.42578125" customWidth="1"/>
  </cols>
  <sheetData>
    <row r="1" spans="6:22" ht="15.75" thickBot="1" x14ac:dyDescent="0.3"/>
    <row r="2" spans="6:22" ht="19.5" thickBot="1" x14ac:dyDescent="0.35">
      <c r="K2" s="215" t="str">
        <f>'BASELINE-APP'!F6</f>
        <v>HYPOTHETICAL SITE</v>
      </c>
      <c r="L2" s="216"/>
      <c r="M2" s="216"/>
      <c r="N2" s="216"/>
      <c r="O2" s="217"/>
    </row>
    <row r="3" spans="6:22" ht="15.75" thickBot="1" x14ac:dyDescent="0.3"/>
    <row r="4" spans="6:22" ht="19.5" thickBot="1" x14ac:dyDescent="0.35">
      <c r="J4" s="104" t="s">
        <v>88</v>
      </c>
      <c r="K4" s="105"/>
      <c r="L4" s="105"/>
      <c r="M4" s="105"/>
      <c r="N4" s="106" t="str">
        <f>'BASELINE-APP'!E23</f>
        <v>II</v>
      </c>
      <c r="O4" s="106" t="str">
        <f>'BASELINE-APP'!H23</f>
        <v>NO ATL--&gt; 1-CTL+ RT LANE</v>
      </c>
      <c r="P4" s="26"/>
      <c r="Q4" s="27"/>
    </row>
    <row r="5" spans="6:22" ht="15.75" thickBot="1" x14ac:dyDescent="0.3"/>
    <row r="6" spans="6:22" ht="15.75" x14ac:dyDescent="0.25">
      <c r="F6" s="44"/>
      <c r="G6" s="29"/>
      <c r="H6" s="29"/>
      <c r="I6" s="86" t="s">
        <v>97</v>
      </c>
      <c r="J6" s="44"/>
      <c r="K6" s="29"/>
      <c r="L6" s="29"/>
      <c r="M6" s="29"/>
      <c r="N6" s="29"/>
      <c r="O6" s="29"/>
      <c r="P6" s="29"/>
      <c r="Q6" s="86" t="s">
        <v>225</v>
      </c>
      <c r="R6" s="86" t="s">
        <v>74</v>
      </c>
      <c r="S6" s="18"/>
      <c r="T6" s="141" t="s">
        <v>127</v>
      </c>
      <c r="U6" s="142" t="s">
        <v>126</v>
      </c>
      <c r="V6" s="142" t="s">
        <v>126</v>
      </c>
    </row>
    <row r="7" spans="6:22" ht="15.75" x14ac:dyDescent="0.25">
      <c r="F7" s="71" t="s">
        <v>67</v>
      </c>
      <c r="G7" s="30"/>
      <c r="H7" s="30"/>
      <c r="I7" s="75" t="s">
        <v>95</v>
      </c>
      <c r="J7" s="107" t="s">
        <v>65</v>
      </c>
      <c r="K7" s="108" t="s">
        <v>66</v>
      </c>
      <c r="L7" s="108" t="s">
        <v>73</v>
      </c>
      <c r="M7" s="108" t="s">
        <v>68</v>
      </c>
      <c r="N7" s="108" t="s">
        <v>69</v>
      </c>
      <c r="O7" s="108" t="s">
        <v>70</v>
      </c>
      <c r="P7" s="108" t="s">
        <v>71</v>
      </c>
      <c r="Q7" s="75" t="s">
        <v>72</v>
      </c>
      <c r="R7" s="75" t="s">
        <v>75</v>
      </c>
      <c r="S7" s="129" t="s">
        <v>71</v>
      </c>
      <c r="T7" s="137" t="s">
        <v>113</v>
      </c>
      <c r="U7" s="137" t="s">
        <v>113</v>
      </c>
      <c r="V7" s="137" t="s">
        <v>118</v>
      </c>
    </row>
    <row r="8" spans="6:22" ht="15.75" thickBot="1" x14ac:dyDescent="0.3">
      <c r="F8" s="69"/>
      <c r="G8" s="70"/>
      <c r="H8" s="70"/>
      <c r="I8" s="76" t="s">
        <v>76</v>
      </c>
      <c r="J8" s="69"/>
      <c r="K8" s="70"/>
      <c r="L8" s="70"/>
      <c r="M8" s="70"/>
      <c r="N8" s="70"/>
      <c r="O8" s="70"/>
      <c r="P8" s="70"/>
      <c r="Q8" s="76" t="s">
        <v>77</v>
      </c>
      <c r="R8" s="76" t="s">
        <v>76</v>
      </c>
      <c r="S8" s="23"/>
      <c r="T8" s="138" t="s">
        <v>112</v>
      </c>
      <c r="U8" s="139" t="s">
        <v>124</v>
      </c>
      <c r="V8" s="138" t="s">
        <v>125</v>
      </c>
    </row>
    <row r="9" spans="6:22" ht="15.75" thickBot="1" x14ac:dyDescent="0.3">
      <c r="F9" s="20"/>
      <c r="G9" s="8"/>
      <c r="H9" s="8"/>
      <c r="I9" s="8"/>
      <c r="J9" s="20"/>
      <c r="K9" s="8"/>
      <c r="L9" s="8"/>
      <c r="M9" s="8"/>
      <c r="N9" s="8"/>
      <c r="O9" s="8"/>
      <c r="P9" s="8"/>
      <c r="Q9" s="51"/>
      <c r="R9" s="44"/>
      <c r="S9" s="74"/>
      <c r="T9" s="74"/>
      <c r="U9" s="51"/>
      <c r="V9" s="49"/>
    </row>
    <row r="10" spans="6:22" ht="19.5" thickBot="1" x14ac:dyDescent="0.35">
      <c r="F10" s="89" t="s">
        <v>89</v>
      </c>
      <c r="G10" s="90"/>
      <c r="H10" s="90"/>
      <c r="I10" s="118">
        <f>'BASELINE-APP'!E14</f>
        <v>25</v>
      </c>
      <c r="J10" s="131">
        <f>'BASELINE-APP'!E9</f>
        <v>425</v>
      </c>
      <c r="K10" s="117">
        <f>'BASELINE-APP'!E10</f>
        <v>75</v>
      </c>
      <c r="L10" s="117">
        <f>J10+K10</f>
        <v>500</v>
      </c>
      <c r="M10" s="117">
        <f>'BASELINE-APP'!M5</f>
        <v>1.038888888888889</v>
      </c>
      <c r="N10" s="132">
        <f>'BASELINE-APP'!J29</f>
        <v>1.2500000000000002</v>
      </c>
      <c r="O10" s="140">
        <f>'BASELINE-APP'!K32</f>
        <v>174.217294240618</v>
      </c>
      <c r="P10" s="219" t="str">
        <f>IF('SUMMARY 1'!O10&gt;'LOS Lookup'!$C$7,'LOS Lookup'!$B$8,IF('SUMMARY 1'!O10&gt;'LOS Lookup'!$C$6,'LOS Lookup'!$B$7,IF('SUMMARY 1'!O10&gt;'LOS Lookup'!$C$5,'LOS Lookup'!$B$6,IF('SUMMARY 1'!O10&gt;'LOS Lookup'!$C$4,'LOS Lookup'!$B$5,IF('SUMMARY 1'!O10&gt;'LOS Lookup'!$C$3,'LOS Lookup'!$B$4,'LOS Lookup'!$B$3)))))</f>
        <v>F</v>
      </c>
      <c r="Q10" s="79">
        <f>'BASELINE-APP'!P40</f>
        <v>1000</v>
      </c>
      <c r="R10" s="192">
        <f>O10</f>
        <v>174.217294240618</v>
      </c>
      <c r="S10" s="219" t="str">
        <f>IF('SUMMARY 1'!R10&gt;'LOS Lookup'!$C$7,'LOS Lookup'!$B$8,IF('SUMMARY 1'!R10&gt;'LOS Lookup'!$C$6,'LOS Lookup'!$B$7,IF('SUMMARY 1'!R10&gt;'LOS Lookup'!$C$5,'LOS Lookup'!$B$6,IF('SUMMARY 1'!R10&gt;'LOS Lookup'!$C$4,'LOS Lookup'!$B$5,IF('SUMMARY 1'!R10&gt;'LOS Lookup'!$C$3,'LOS Lookup'!$B$4,'LOS Lookup'!$B$3)))))</f>
        <v>F</v>
      </c>
      <c r="T10" s="194">
        <f>Q10</f>
        <v>1000</v>
      </c>
      <c r="U10" s="49"/>
      <c r="V10" s="49"/>
    </row>
    <row r="11" spans="6:22" ht="16.5" thickBot="1" x14ac:dyDescent="0.3">
      <c r="F11" s="89"/>
      <c r="G11" s="90"/>
      <c r="H11" s="90"/>
      <c r="I11" s="117"/>
      <c r="J11" s="131"/>
      <c r="K11" s="117"/>
      <c r="L11" s="117"/>
      <c r="M11" s="117"/>
      <c r="N11" s="132"/>
      <c r="O11" s="133"/>
      <c r="P11" s="79"/>
      <c r="Q11" s="79"/>
      <c r="R11" s="78"/>
      <c r="S11" s="77"/>
      <c r="T11" s="75"/>
      <c r="U11" s="49"/>
      <c r="V11" s="49"/>
    </row>
    <row r="12" spans="6:22" ht="16.5" thickBot="1" x14ac:dyDescent="0.3">
      <c r="F12" s="52" t="str">
        <f>IF('BASELINE-APP'!I9=2,'RT+ATL'!I13,"")</f>
        <v/>
      </c>
      <c r="G12" s="40"/>
      <c r="H12" s="98"/>
      <c r="I12" s="117">
        <f>IF('BASELINE-APP'!I9=2,'RT+ATL'!E10,0)</f>
        <v>0</v>
      </c>
      <c r="J12" s="131"/>
      <c r="K12" s="117">
        <f>IF('BASELINE-APP'!I9=2,'RT+ATL'!E16,0)</f>
        <v>0</v>
      </c>
      <c r="L12" s="117">
        <f>IF('BASELINE-APP'!I9=2,'RT+ATL'!E16,0)</f>
        <v>0</v>
      </c>
      <c r="M12" s="117">
        <f>IF('BASELINE-APP'!I9=2,'BASELINE-APP'!M5,0)</f>
        <v>0</v>
      </c>
      <c r="N12" s="132">
        <f>IF('BASELINE-APP'!I9=2,'RT+ATL'!I19,0)</f>
        <v>0</v>
      </c>
      <c r="O12" s="133">
        <f>IF('BASELINE-APP'!I9=2,'RT+ATL'!J22,0)</f>
        <v>0</v>
      </c>
      <c r="P12" s="219" t="str">
        <f>IF(L12=0,"",IF('SUMMARY 1'!O12&gt;'LOS Lookup'!$C$7,'LOS Lookup'!$B$8,IF('SUMMARY 1'!O12&gt;'LOS Lookup'!$C$6,'LOS Lookup'!$B$7,IF('SUMMARY 1'!O12&gt;'LOS Lookup'!$C$5,'LOS Lookup'!$B$6,IF('SUMMARY 1'!O12&gt;'LOS Lookup'!$C$4,'LOS Lookup'!$B$5,IF('SUMMARY 1'!O12&gt;'LOS Lookup'!$C$3,'LOS Lookup'!$B$4,'LOS Lookup'!$B$3))))))</f>
        <v/>
      </c>
      <c r="Q12" s="54" t="str">
        <f>IF(L12=0,"",IF('BASELINE-APP'!I9=2,'RT+ATL'!O30,0))</f>
        <v/>
      </c>
      <c r="S12" s="77"/>
      <c r="T12" s="49"/>
      <c r="U12" s="49"/>
      <c r="V12" s="49"/>
    </row>
    <row r="13" spans="6:22" ht="16.5" thickBot="1" x14ac:dyDescent="0.3">
      <c r="F13" s="114" t="str">
        <f>IF('BASELINE-APP'!E23="II", "NO- ATL","ATL")</f>
        <v>NO- ATL</v>
      </c>
      <c r="G13" s="91" t="str">
        <f>IF(J13=0," RT ONLY","")</f>
        <v xml:space="preserve"> RT ONLY</v>
      </c>
      <c r="H13" s="115" t="str">
        <f>IF('BASELINE-APP'!I7=0,"",IF('BASELINE-APP'!I8=1,"THRU-ONLY",""))</f>
        <v/>
      </c>
      <c r="I13" s="118">
        <f>ATL!E10</f>
        <v>25</v>
      </c>
      <c r="J13" s="131">
        <f>ATL!E16</f>
        <v>0</v>
      </c>
      <c r="K13" s="117">
        <f>ATL!E7</f>
        <v>75</v>
      </c>
      <c r="L13" s="117">
        <f t="shared" ref="L13:L14" si="0">J13+K13</f>
        <v>75</v>
      </c>
      <c r="M13" s="117">
        <f>ATL!L7</f>
        <v>1.038888888888889</v>
      </c>
      <c r="N13" s="132">
        <f>ATL!I20</f>
        <v>0.2129032258064516</v>
      </c>
      <c r="O13" s="133">
        <f>ATL!J23</f>
        <v>35.887560069201569</v>
      </c>
      <c r="P13" s="219" t="str">
        <f>IF('SUMMARY 1'!O13&gt;'LOS Lookup'!$C$7,'LOS Lookup'!$B$8,IF('SUMMARY 1'!O13&gt;'LOS Lookup'!$C$6,'LOS Lookup'!$B$7,IF('SUMMARY 1'!O13&gt;'LOS Lookup'!$C$5,'LOS Lookup'!$B$6,IF('SUMMARY 1'!O13&gt;'LOS Lookup'!$C$4,'LOS Lookup'!$B$5,IF('SUMMARY 1'!O13&gt;'LOS Lookup'!$C$3,'LOS Lookup'!$B$4,'LOS Lookup'!$B$3)))))</f>
        <v>D</v>
      </c>
      <c r="Q13" s="79">
        <f>ATL!O31</f>
        <v>100</v>
      </c>
      <c r="S13" s="77"/>
      <c r="T13" s="49"/>
      <c r="U13" s="49"/>
      <c r="V13" s="49"/>
    </row>
    <row r="14" spans="6:22" ht="16.5" thickBot="1" x14ac:dyDescent="0.3">
      <c r="F14" s="89" t="s">
        <v>49</v>
      </c>
      <c r="G14" s="90"/>
      <c r="H14" s="116"/>
      <c r="I14" s="117">
        <f>CTL!E9</f>
        <v>25</v>
      </c>
      <c r="J14" s="131">
        <f>CTL!E16</f>
        <v>425</v>
      </c>
      <c r="K14" s="117">
        <v>0</v>
      </c>
      <c r="L14" s="117">
        <f t="shared" si="0"/>
        <v>425</v>
      </c>
      <c r="M14" s="117">
        <f>CTL!L6</f>
        <v>1.038888888888889</v>
      </c>
      <c r="N14" s="132">
        <f>CTL!I20</f>
        <v>1.038888888888889</v>
      </c>
      <c r="O14" s="133">
        <f>CTL!J23</f>
        <v>97.44050227048848</v>
      </c>
      <c r="P14" s="219" t="str">
        <f>IF('SUMMARY 1'!O14&gt;'LOS Lookup'!$C$7,'LOS Lookup'!$B$8,IF('SUMMARY 1'!O14&gt;'LOS Lookup'!$C$6,'LOS Lookup'!$B$7,IF('SUMMARY 1'!O14&gt;'LOS Lookup'!$C$5,'LOS Lookup'!$B$6,IF('SUMMARY 1'!O14&gt;'LOS Lookup'!$C$4,'LOS Lookup'!$B$5,IF('SUMMARY 1'!O14&gt;'LOS Lookup'!$C$3,'LOS Lookup'!$B$4,'LOS Lookup'!$B$3)))))</f>
        <v>F</v>
      </c>
      <c r="Q14" s="79">
        <f>CTL!O32</f>
        <v>700</v>
      </c>
      <c r="R14" s="20"/>
      <c r="S14" s="77"/>
      <c r="T14" s="49"/>
      <c r="U14" s="49"/>
      <c r="V14" s="49"/>
    </row>
    <row r="15" spans="6:22" ht="15.75" thickBot="1" x14ac:dyDescent="0.3">
      <c r="R15" s="20"/>
      <c r="S15" s="49"/>
      <c r="T15" s="130"/>
      <c r="U15" s="49"/>
      <c r="V15" s="49"/>
    </row>
    <row r="16" spans="6:22" ht="21.75" thickBot="1" x14ac:dyDescent="0.4">
      <c r="F16" s="110" t="s">
        <v>93</v>
      </c>
      <c r="G16" s="111"/>
      <c r="H16" s="111"/>
      <c r="I16" s="111"/>
      <c r="J16" s="112"/>
      <c r="K16" s="112"/>
      <c r="L16" s="112"/>
      <c r="M16" s="112"/>
      <c r="N16" s="112"/>
      <c r="O16" s="112"/>
      <c r="P16" s="113"/>
      <c r="Q16" s="27"/>
      <c r="R16" s="136">
        <f>(L13*O13+L14*O14+L12*O12)/L10</f>
        <v>88.207560940295437</v>
      </c>
      <c r="S16" s="219" t="str">
        <f>IF('SUMMARY 1'!R16&gt;'LOS Lookup'!$C$7,'LOS Lookup'!$B$8,IF('SUMMARY 1'!R16&gt;'LOS Lookup'!$C$6,'LOS Lookup'!$B$7,IF('SUMMARY 1'!R16&gt;'LOS Lookup'!$C$5,'LOS Lookup'!$B$6,IF('SUMMARY 1'!R16&gt;'LOS Lookup'!$C$4,'LOS Lookup'!$B$5,IF('SUMMARY 1'!R16&gt;'LOS Lookup'!$C$3,'LOS Lookup'!$B$4,'LOS Lookup'!$B$3)))))</f>
        <v>F</v>
      </c>
      <c r="T16" s="135">
        <f>MAX(Q12:Q14)</f>
        <v>700</v>
      </c>
      <c r="U16" s="135">
        <f>ROUND((ATL!L13+('BASELINE-APP'!E17+ATL!L14)*(ATL!L12-1)-'BASELINE-APP'!E19)/10,0)*10</f>
        <v>90</v>
      </c>
      <c r="V16" s="135">
        <f>ROUND(CTL!L15*'BASELINE-APP'!E11*22/15/10,0)*10</f>
        <v>300</v>
      </c>
    </row>
    <row r="17" spans="6:22" ht="15.75" thickBot="1" x14ac:dyDescent="0.3">
      <c r="F17" s="36"/>
      <c r="G17" s="30"/>
      <c r="H17" s="30"/>
      <c r="I17" s="30"/>
      <c r="J17" s="8"/>
      <c r="K17" s="8"/>
      <c r="L17" s="8"/>
      <c r="M17" s="8"/>
      <c r="N17" s="8"/>
      <c r="O17" s="8"/>
      <c r="P17" s="8"/>
      <c r="Q17" s="49"/>
      <c r="R17" s="20"/>
      <c r="S17" s="49"/>
      <c r="T17" s="49"/>
      <c r="U17" s="49"/>
      <c r="V17" s="49"/>
    </row>
    <row r="18" spans="6:22" ht="19.5" thickBot="1" x14ac:dyDescent="0.35">
      <c r="F18" s="52" t="s">
        <v>78</v>
      </c>
      <c r="G18" s="40"/>
      <c r="H18" s="40"/>
      <c r="I18" s="40"/>
      <c r="J18" s="26"/>
      <c r="K18" s="26"/>
      <c r="L18" s="26"/>
      <c r="M18" s="26"/>
      <c r="N18" s="26"/>
      <c r="O18" s="26"/>
      <c r="P18" s="26"/>
      <c r="Q18" s="38" t="s">
        <v>79</v>
      </c>
      <c r="R18" s="125">
        <f>L10*(O10-R16)/3600</f>
        <v>11.945796291711467</v>
      </c>
      <c r="S18" s="38"/>
      <c r="T18" s="38"/>
      <c r="U18" s="130"/>
      <c r="V18" s="130"/>
    </row>
    <row r="19" spans="6:22" ht="15.75" thickBot="1" x14ac:dyDescent="0.3"/>
    <row r="20" spans="6:22" ht="15.75" thickBot="1" x14ac:dyDescent="0.3">
      <c r="F20" s="17" t="s">
        <v>137</v>
      </c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 t="s">
        <v>79</v>
      </c>
      <c r="R20" s="193">
        <f>R18*2*5*50</f>
        <v>5972.8981458557337</v>
      </c>
    </row>
    <row r="21" spans="6:22" ht="19.5" thickBot="1" x14ac:dyDescent="0.35">
      <c r="F21" s="109" t="s">
        <v>81</v>
      </c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182">
        <v>10</v>
      </c>
      <c r="R21" s="93">
        <f>Q21*R20</f>
        <v>59728.981458557333</v>
      </c>
    </row>
    <row r="22" spans="6:22" x14ac:dyDescent="0.25">
      <c r="F22" t="s">
        <v>100</v>
      </c>
      <c r="J22" t="s">
        <v>101</v>
      </c>
    </row>
    <row r="24" spans="6:22" x14ac:dyDescent="0.25">
      <c r="I24" s="103">
        <f>'BASELINE-APP'!M8</f>
        <v>138</v>
      </c>
    </row>
    <row r="27" spans="6:22" x14ac:dyDescent="0.25">
      <c r="S27" s="92"/>
    </row>
  </sheetData>
  <conditionalFormatting sqref="J13">
    <cfRule type="expression" dxfId="201" priority="115">
      <formula>$J$13=$I$24</formula>
    </cfRule>
  </conditionalFormatting>
  <conditionalFormatting sqref="P10">
    <cfRule type="cellIs" dxfId="200" priority="109" operator="equal">
      <formula>"A"</formula>
    </cfRule>
    <cfRule type="cellIs" dxfId="199" priority="110" operator="equal">
      <formula>"B"</formula>
    </cfRule>
    <cfRule type="cellIs" dxfId="198" priority="111" operator="equal">
      <formula>"C"</formula>
    </cfRule>
    <cfRule type="cellIs" dxfId="197" priority="112" operator="equal">
      <formula>"D"</formula>
    </cfRule>
    <cfRule type="cellIs" dxfId="196" priority="113" operator="equal">
      <formula>"E"</formula>
    </cfRule>
    <cfRule type="cellIs" dxfId="195" priority="114" operator="equal">
      <formula>"F"</formula>
    </cfRule>
  </conditionalFormatting>
  <conditionalFormatting sqref="P12">
    <cfRule type="cellIs" dxfId="194" priority="67" operator="equal">
      <formula>"A"</formula>
    </cfRule>
    <cfRule type="cellIs" dxfId="193" priority="68" operator="equal">
      <formula>"B"</formula>
    </cfRule>
    <cfRule type="cellIs" dxfId="192" priority="69" operator="equal">
      <formula>"C"</formula>
    </cfRule>
    <cfRule type="cellIs" dxfId="191" priority="70" operator="equal">
      <formula>"D"</formula>
    </cfRule>
    <cfRule type="cellIs" dxfId="190" priority="71" operator="equal">
      <formula>"E"</formula>
    </cfRule>
    <cfRule type="cellIs" dxfId="189" priority="72" operator="equal">
      <formula>"F"</formula>
    </cfRule>
  </conditionalFormatting>
  <conditionalFormatting sqref="P13">
    <cfRule type="cellIs" dxfId="188" priority="61" operator="equal">
      <formula>"A"</formula>
    </cfRule>
    <cfRule type="cellIs" dxfId="187" priority="62" operator="equal">
      <formula>"B"</formula>
    </cfRule>
    <cfRule type="cellIs" dxfId="186" priority="63" operator="equal">
      <formula>"C"</formula>
    </cfRule>
    <cfRule type="cellIs" dxfId="185" priority="64" operator="equal">
      <formula>"D"</formula>
    </cfRule>
    <cfRule type="cellIs" dxfId="184" priority="65" operator="equal">
      <formula>"E"</formula>
    </cfRule>
    <cfRule type="cellIs" dxfId="183" priority="66" operator="equal">
      <formula>"F"</formula>
    </cfRule>
  </conditionalFormatting>
  <conditionalFormatting sqref="P14">
    <cfRule type="cellIs" dxfId="182" priority="43" operator="equal">
      <formula>"A"</formula>
    </cfRule>
    <cfRule type="cellIs" dxfId="181" priority="44" operator="equal">
      <formula>"B"</formula>
    </cfRule>
    <cfRule type="cellIs" dxfId="180" priority="45" operator="equal">
      <formula>"C"</formula>
    </cfRule>
    <cfRule type="cellIs" dxfId="179" priority="46" operator="equal">
      <formula>"D"</formula>
    </cfRule>
    <cfRule type="cellIs" dxfId="178" priority="47" operator="equal">
      <formula>"E"</formula>
    </cfRule>
    <cfRule type="cellIs" dxfId="177" priority="48" operator="equal">
      <formula>"F"</formula>
    </cfRule>
  </conditionalFormatting>
  <conditionalFormatting sqref="S16">
    <cfRule type="cellIs" dxfId="176" priority="7" operator="equal">
      <formula>"A"</formula>
    </cfRule>
    <cfRule type="cellIs" dxfId="175" priority="8" operator="equal">
      <formula>"B"</formula>
    </cfRule>
    <cfRule type="cellIs" dxfId="174" priority="9" operator="equal">
      <formula>"C"</formula>
    </cfRule>
    <cfRule type="cellIs" dxfId="173" priority="10" operator="equal">
      <formula>"D"</formula>
    </cfRule>
    <cfRule type="cellIs" dxfId="172" priority="11" operator="equal">
      <formula>"E"</formula>
    </cfRule>
    <cfRule type="cellIs" dxfId="171" priority="12" operator="equal">
      <formula>"F"</formula>
    </cfRule>
  </conditionalFormatting>
  <conditionalFormatting sqref="S10">
    <cfRule type="cellIs" dxfId="170" priority="1" operator="equal">
      <formula>"A"</formula>
    </cfRule>
    <cfRule type="cellIs" dxfId="169" priority="2" operator="equal">
      <formula>"B"</formula>
    </cfRule>
    <cfRule type="cellIs" dxfId="168" priority="3" operator="equal">
      <formula>"C"</formula>
    </cfRule>
    <cfRule type="cellIs" dxfId="167" priority="4" operator="equal">
      <formula>"D"</formula>
    </cfRule>
    <cfRule type="cellIs" dxfId="166" priority="5" operator="equal">
      <formula>"E"</formula>
    </cfRule>
    <cfRule type="cellIs" dxfId="165" priority="6" operator="equal">
      <formula>"F"</formula>
    </cfRule>
  </conditionalFormatting>
  <pageMargins left="0.7" right="0.7" top="0.75" bottom="0.75" header="0.3" footer="0.3"/>
  <pageSetup orientation="portrait" horizontalDpi="300" verticalDpi="3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1"/>
  <sheetViews>
    <sheetView workbookViewId="0">
      <selection activeCell="E11" sqref="E11"/>
    </sheetView>
  </sheetViews>
  <sheetFormatPr defaultRowHeight="15" x14ac:dyDescent="0.25"/>
  <cols>
    <col min="1" max="1" width="6.42578125" customWidth="1"/>
    <col min="3" max="3" width="13.140625" customWidth="1"/>
    <col min="4" max="4" width="22.28515625" customWidth="1"/>
    <col min="6" max="6" width="10" customWidth="1"/>
    <col min="8" max="8" width="15.7109375" customWidth="1"/>
    <col min="10" max="10" width="11.5703125" customWidth="1"/>
    <col min="11" max="11" width="11.28515625" customWidth="1"/>
    <col min="12" max="12" width="11.7109375" customWidth="1"/>
    <col min="15" max="15" width="13.140625" customWidth="1"/>
  </cols>
  <sheetData>
    <row r="1" spans="1:20" ht="15.75" thickBot="1" x14ac:dyDescent="0.3"/>
    <row r="2" spans="1:20" ht="19.5" thickBot="1" x14ac:dyDescent="0.35">
      <c r="A2" s="39" t="s">
        <v>56</v>
      </c>
      <c r="B2" s="43" t="s">
        <v>55</v>
      </c>
      <c r="C2" s="2"/>
      <c r="D2" s="2"/>
      <c r="E2" s="2"/>
      <c r="F2" s="2"/>
      <c r="I2" s="25"/>
      <c r="J2" s="41" t="s">
        <v>45</v>
      </c>
      <c r="K2" s="41"/>
      <c r="L2" s="41"/>
      <c r="M2" s="41"/>
      <c r="N2" s="41"/>
      <c r="O2" s="41"/>
      <c r="P2" s="41"/>
      <c r="Q2" s="27"/>
    </row>
    <row r="3" spans="1:20" x14ac:dyDescent="0.25">
      <c r="G3" s="2"/>
      <c r="I3" s="17"/>
      <c r="J3" s="18"/>
      <c r="K3" s="18"/>
      <c r="L3" s="18"/>
      <c r="M3" s="18"/>
      <c r="N3" s="18"/>
      <c r="O3" s="18"/>
      <c r="P3" s="18"/>
      <c r="Q3" s="19"/>
    </row>
    <row r="4" spans="1:20" ht="15.75" thickBot="1" x14ac:dyDescent="0.3">
      <c r="G4" s="2"/>
      <c r="I4" s="20"/>
      <c r="J4" s="8"/>
      <c r="K4" s="8"/>
      <c r="L4" s="8"/>
      <c r="M4" s="8"/>
      <c r="N4" s="8"/>
      <c r="O4" s="8"/>
      <c r="P4" s="8"/>
      <c r="Q4" s="21"/>
    </row>
    <row r="5" spans="1:20" ht="19.5" thickBot="1" x14ac:dyDescent="0.35">
      <c r="B5" s="122" t="s">
        <v>54</v>
      </c>
      <c r="C5" s="119"/>
      <c r="D5" s="119"/>
      <c r="E5" s="121" t="s">
        <v>47</v>
      </c>
      <c r="F5" s="120">
        <f>IF(E5="APP",1,0)</f>
        <v>0</v>
      </c>
      <c r="G5" s="2"/>
      <c r="I5" s="20"/>
      <c r="J5" s="8"/>
      <c r="K5" s="8"/>
      <c r="L5" s="8"/>
      <c r="M5" s="8"/>
      <c r="N5" s="8"/>
      <c r="O5" s="8"/>
      <c r="P5" s="8"/>
      <c r="Q5" s="21"/>
    </row>
    <row r="6" spans="1:20" ht="18.75" x14ac:dyDescent="0.3">
      <c r="B6" s="33" t="s">
        <v>50</v>
      </c>
      <c r="C6" s="32"/>
      <c r="D6" s="32"/>
      <c r="E6" s="127">
        <f>'BASELINE-APP'!E9</f>
        <v>425</v>
      </c>
      <c r="F6" s="97" t="s">
        <v>14</v>
      </c>
      <c r="G6" s="2"/>
      <c r="I6" s="36" t="s">
        <v>48</v>
      </c>
      <c r="J6" s="30"/>
      <c r="K6" s="30"/>
      <c r="L6" s="8">
        <f>ROUND((E6+E7)/(E6/E8+E7/E9)/10,0)*10</f>
        <v>1760</v>
      </c>
      <c r="M6" s="8" t="s">
        <v>14</v>
      </c>
      <c r="N6" s="8" t="s">
        <v>63</v>
      </c>
      <c r="O6" s="8"/>
      <c r="P6" s="8"/>
      <c r="Q6" s="21"/>
    </row>
    <row r="7" spans="1:20" ht="18.75" x14ac:dyDescent="0.3">
      <c r="B7" s="33" t="s">
        <v>29</v>
      </c>
      <c r="C7" s="32"/>
      <c r="D7" s="32"/>
      <c r="E7" s="72">
        <f>IF('BASELINE-APP'!E8="Y",0,'BASELINE-APP'!E10)</f>
        <v>75</v>
      </c>
      <c r="F7" s="21" t="s">
        <v>14</v>
      </c>
      <c r="G7" s="2"/>
      <c r="I7" s="36" t="s">
        <v>46</v>
      </c>
      <c r="J7" s="30"/>
      <c r="K7" s="30"/>
      <c r="L7" s="8">
        <f>E6/(E8*'BASELINE-APP'!J28)</f>
        <v>1.038888888888889</v>
      </c>
      <c r="M7" s="8"/>
      <c r="N7" s="8" t="s">
        <v>57</v>
      </c>
      <c r="O7" s="8"/>
      <c r="P7" s="8"/>
      <c r="Q7" s="21"/>
    </row>
    <row r="8" spans="1:20" ht="18.75" x14ac:dyDescent="0.3">
      <c r="B8" s="33" t="s">
        <v>28</v>
      </c>
      <c r="C8" s="32"/>
      <c r="D8" s="32"/>
      <c r="E8" s="72">
        <f>'BASELINE-APP'!E12</f>
        <v>1800</v>
      </c>
      <c r="F8" s="21" t="s">
        <v>14</v>
      </c>
      <c r="H8" s="68"/>
      <c r="I8" s="36" t="s">
        <v>58</v>
      </c>
      <c r="J8" s="30"/>
      <c r="K8" s="30"/>
      <c r="L8" s="8">
        <f>ROUND(20.226+81.791*L7^2+1.65*E6^2/10000,0)</f>
        <v>138</v>
      </c>
      <c r="M8" s="8" t="s">
        <v>14</v>
      </c>
      <c r="N8" s="8"/>
      <c r="O8" s="8"/>
      <c r="P8" s="8"/>
      <c r="Q8" s="21"/>
    </row>
    <row r="9" spans="1:20" ht="18.75" x14ac:dyDescent="0.3">
      <c r="B9" s="33" t="s">
        <v>30</v>
      </c>
      <c r="C9" s="32"/>
      <c r="D9" s="32"/>
      <c r="E9" s="72">
        <f>'BASELINE-APP'!E13</f>
        <v>1550</v>
      </c>
      <c r="F9" s="21" t="s">
        <v>14</v>
      </c>
      <c r="I9" s="36" t="s">
        <v>59</v>
      </c>
      <c r="J9" s="30"/>
      <c r="K9" s="30"/>
      <c r="L9" s="8">
        <f>ROUND(MAX(0,0.5*(E6-E7*E8/E9)),0)</f>
        <v>169</v>
      </c>
      <c r="M9" s="8" t="s">
        <v>14</v>
      </c>
      <c r="N9" s="8"/>
      <c r="O9" s="8"/>
      <c r="P9" s="8"/>
      <c r="Q9" s="21"/>
    </row>
    <row r="10" spans="1:20" ht="18.75" x14ac:dyDescent="0.3">
      <c r="B10" s="33" t="s">
        <v>130</v>
      </c>
      <c r="C10" s="32"/>
      <c r="D10" s="32"/>
      <c r="E10" s="128">
        <f>'COMBINED INPUT'!G17</f>
        <v>25</v>
      </c>
      <c r="F10" s="21" t="s">
        <v>15</v>
      </c>
      <c r="I10" s="36" t="s">
        <v>60</v>
      </c>
      <c r="J10" s="30"/>
      <c r="K10" s="30"/>
      <c r="L10" s="8">
        <f>IF('BASELINE-APP'!I7=0,'BASELINE-APP'!M10,IF('BASELINE-APP'!I8=0,'BASELINE-APP'!E10,'BASELINE-APP'!M10))</f>
        <v>75</v>
      </c>
      <c r="M10" s="8" t="s">
        <v>14</v>
      </c>
      <c r="N10" s="8">
        <f>IF('BASELINE-APP'!I7=0,0,IF('BASELINE-APP'!I8=0,1,0))</f>
        <v>1</v>
      </c>
      <c r="O10" s="8" t="s">
        <v>86</v>
      </c>
      <c r="P10" s="8"/>
      <c r="Q10" s="21"/>
    </row>
    <row r="11" spans="1:20" ht="18.75" x14ac:dyDescent="0.3">
      <c r="B11" s="33" t="s">
        <v>52</v>
      </c>
      <c r="C11" s="32"/>
      <c r="D11" s="32"/>
      <c r="E11" s="72">
        <f>'BASELINE-APP'!E15</f>
        <v>110</v>
      </c>
      <c r="F11" s="21" t="s">
        <v>15</v>
      </c>
      <c r="I11" s="36" t="s">
        <v>61</v>
      </c>
      <c r="J11" s="30"/>
      <c r="K11" s="30"/>
      <c r="L11" s="8">
        <f>E6-(1-N10)*L10</f>
        <v>425</v>
      </c>
      <c r="M11" s="28" t="s">
        <v>14</v>
      </c>
      <c r="N11" s="8"/>
      <c r="O11" s="8"/>
      <c r="P11" s="8"/>
      <c r="Q11" s="21"/>
      <c r="T11" s="64"/>
    </row>
    <row r="12" spans="1:20" ht="19.5" thickBot="1" x14ac:dyDescent="0.35">
      <c r="B12" s="34" t="s">
        <v>43</v>
      </c>
      <c r="C12" s="35"/>
      <c r="D12" s="35"/>
      <c r="E12" s="73">
        <f>'BASELINE-APP'!E17</f>
        <v>25</v>
      </c>
      <c r="F12" s="24" t="s">
        <v>16</v>
      </c>
      <c r="I12" s="36" t="s">
        <v>114</v>
      </c>
      <c r="J12" s="8"/>
      <c r="K12" s="8"/>
      <c r="L12" s="199">
        <f>J26</f>
        <v>1.8478260869565215</v>
      </c>
      <c r="M12" s="28" t="s">
        <v>8</v>
      </c>
      <c r="N12" s="8"/>
      <c r="O12" s="8" t="s">
        <v>115</v>
      </c>
      <c r="P12" s="8"/>
      <c r="Q12" s="21"/>
    </row>
    <row r="13" spans="1:20" x14ac:dyDescent="0.25">
      <c r="I13" s="36" t="s">
        <v>116</v>
      </c>
      <c r="J13" s="30"/>
      <c r="K13" s="30"/>
      <c r="L13" s="134">
        <f>(('BASELINE-APP'!E11)*22/15)^2/(2*'BASELINE-APP'!E18)</f>
        <v>131.75555555555556</v>
      </c>
      <c r="M13" s="28" t="s">
        <v>16</v>
      </c>
      <c r="N13" s="8"/>
      <c r="O13" s="8"/>
      <c r="P13" s="8"/>
      <c r="Q13" s="21"/>
    </row>
    <row r="14" spans="1:20" x14ac:dyDescent="0.25">
      <c r="I14" s="36" t="s">
        <v>117</v>
      </c>
      <c r="J14" s="30"/>
      <c r="K14" s="30"/>
      <c r="L14" s="134">
        <f>'BASELINE-APP'!E11*22/15*'BASELINE-APP'!E21</f>
        <v>51.333333333333336</v>
      </c>
      <c r="M14" s="28" t="s">
        <v>16</v>
      </c>
      <c r="N14" s="8"/>
      <c r="O14" s="8"/>
      <c r="P14" s="8"/>
      <c r="Q14" s="21"/>
    </row>
    <row r="15" spans="1:20" ht="15.75" thickBot="1" x14ac:dyDescent="0.3">
      <c r="I15" s="22"/>
      <c r="J15" s="23"/>
      <c r="K15" s="23"/>
      <c r="L15" s="23"/>
      <c r="M15" s="23"/>
      <c r="N15" s="23"/>
      <c r="O15" s="23"/>
      <c r="P15" s="23"/>
      <c r="Q15" s="24"/>
    </row>
    <row r="16" spans="1:20" x14ac:dyDescent="0.25">
      <c r="B16" s="44" t="s">
        <v>44</v>
      </c>
      <c r="C16" s="29"/>
      <c r="D16" s="29"/>
      <c r="E16" s="48">
        <f>(1-N10)*((1-F5)*IF(E5="ATL",L10,L11)+E6*F5)</f>
        <v>0</v>
      </c>
      <c r="F16" s="42" t="s">
        <v>14</v>
      </c>
      <c r="G16" s="29" t="s">
        <v>10</v>
      </c>
      <c r="H16" s="29"/>
      <c r="I16" s="53">
        <f>E18*(E10/E11)/3600</f>
        <v>9.7853535353535345E-2</v>
      </c>
      <c r="J16" s="18" t="s">
        <v>12</v>
      </c>
      <c r="K16" s="19"/>
    </row>
    <row r="17" spans="2:22" x14ac:dyDescent="0.25">
      <c r="B17" s="36" t="s">
        <v>0</v>
      </c>
      <c r="C17" s="30"/>
      <c r="D17" s="8"/>
      <c r="E17" s="49">
        <f>E16+IF(E5="CTL",0,E7)</f>
        <v>75</v>
      </c>
      <c r="F17" s="8" t="s">
        <v>14</v>
      </c>
      <c r="G17" s="30" t="s">
        <v>5</v>
      </c>
      <c r="H17" s="30"/>
      <c r="I17" s="54">
        <f>E11-E10</f>
        <v>85</v>
      </c>
      <c r="J17" s="8" t="s">
        <v>15</v>
      </c>
      <c r="K17" s="21"/>
    </row>
    <row r="18" spans="2:22" ht="15.75" thickBot="1" x14ac:dyDescent="0.3">
      <c r="B18" s="36" t="s">
        <v>1</v>
      </c>
      <c r="C18" s="30"/>
      <c r="D18" s="8"/>
      <c r="E18" s="49">
        <f>IF(E5  &lt;&gt; "CTL",ROUND(E17/(E7/E9+E16/E8)/10,0)*10,E8)</f>
        <v>1550</v>
      </c>
      <c r="F18" s="8" t="s">
        <v>14</v>
      </c>
      <c r="G18" s="30" t="s">
        <v>2</v>
      </c>
      <c r="H18" s="30"/>
      <c r="I18" s="55">
        <f>E17/E18</f>
        <v>4.8387096774193547E-2</v>
      </c>
      <c r="J18" s="8"/>
      <c r="K18" s="21"/>
      <c r="O18" s="2" t="s">
        <v>41</v>
      </c>
      <c r="P18" s="2"/>
    </row>
    <row r="19" spans="2:22" ht="16.5" thickBot="1" x14ac:dyDescent="0.3">
      <c r="B19" s="36" t="s">
        <v>82</v>
      </c>
      <c r="C19" s="30"/>
      <c r="D19" s="8"/>
      <c r="E19" s="50">
        <f>E7/(E7+E6)</f>
        <v>0.15</v>
      </c>
      <c r="F19" s="8"/>
      <c r="G19" s="30" t="s">
        <v>3</v>
      </c>
      <c r="H19" s="30"/>
      <c r="I19" s="55">
        <f>E10/E11</f>
        <v>0.22727272727272727</v>
      </c>
      <c r="J19" s="8"/>
      <c r="K19" s="21" t="s">
        <v>21</v>
      </c>
      <c r="M19" s="61" t="s">
        <v>35</v>
      </c>
      <c r="N19" s="62" t="s">
        <v>36</v>
      </c>
      <c r="O19" s="63" t="s">
        <v>37</v>
      </c>
      <c r="P19" s="65" t="s">
        <v>38</v>
      </c>
      <c r="Q19" s="60" t="s">
        <v>39</v>
      </c>
      <c r="R19" s="66" t="s">
        <v>40</v>
      </c>
    </row>
    <row r="20" spans="2:22" ht="15.75" x14ac:dyDescent="0.25">
      <c r="B20" s="36" t="s">
        <v>135</v>
      </c>
      <c r="C20" s="8"/>
      <c r="D20" s="200">
        <f>E16/(E8*I19)</f>
        <v>0</v>
      </c>
      <c r="E20" s="8"/>
      <c r="F20" s="8"/>
      <c r="G20" s="30" t="s">
        <v>4</v>
      </c>
      <c r="H20" s="30"/>
      <c r="I20" s="56">
        <f>I18/I19</f>
        <v>0.2129032258064516</v>
      </c>
      <c r="J20" s="8"/>
      <c r="K20" s="21">
        <f>IF(I20&gt;1,1,0)</f>
        <v>0</v>
      </c>
      <c r="L20" s="1" t="s">
        <v>64</v>
      </c>
      <c r="M20" s="1">
        <v>10</v>
      </c>
      <c r="N20" s="1">
        <v>20</v>
      </c>
      <c r="O20" s="1">
        <v>35</v>
      </c>
      <c r="P20" s="1">
        <v>55</v>
      </c>
      <c r="Q20" s="1">
        <v>80</v>
      </c>
      <c r="R20" s="1" t="s">
        <v>42</v>
      </c>
      <c r="V20" s="2"/>
    </row>
    <row r="21" spans="2:22" ht="15.75" thickBot="1" x14ac:dyDescent="0.3">
      <c r="B21" s="20"/>
      <c r="C21" s="8"/>
      <c r="D21" s="8"/>
      <c r="E21" s="8"/>
      <c r="F21" s="8"/>
      <c r="G21" s="30" t="s">
        <v>6</v>
      </c>
      <c r="H21" s="30"/>
      <c r="I21" s="57">
        <f>MIN(E10,I17*I18/(1-I18))</f>
        <v>4.3220338983050839</v>
      </c>
      <c r="J21" s="8" t="s">
        <v>15</v>
      </c>
      <c r="K21" s="21"/>
      <c r="M21" s="16">
        <f t="shared" ref="M21:R21" si="0">IF($J$23&lt;=M20,1,0)</f>
        <v>0</v>
      </c>
      <c r="N21" s="16">
        <f t="shared" si="0"/>
        <v>0</v>
      </c>
      <c r="O21" s="16">
        <f t="shared" si="0"/>
        <v>0</v>
      </c>
      <c r="P21" s="16">
        <f t="shared" si="0"/>
        <v>1</v>
      </c>
      <c r="Q21" s="16">
        <f t="shared" si="0"/>
        <v>1</v>
      </c>
      <c r="R21" s="16">
        <f t="shared" si="0"/>
        <v>1</v>
      </c>
      <c r="V21" s="2"/>
    </row>
    <row r="22" spans="2:22" ht="15.75" thickBot="1" x14ac:dyDescent="0.3">
      <c r="B22" s="22"/>
      <c r="C22" s="23"/>
      <c r="D22" s="23"/>
      <c r="E22" s="23"/>
      <c r="F22" s="23"/>
      <c r="G22" s="23"/>
      <c r="H22" s="23"/>
      <c r="I22" s="23"/>
      <c r="J22" s="23"/>
      <c r="K22" s="24"/>
      <c r="M22" s="16">
        <f>M21-L23</f>
        <v>0</v>
      </c>
      <c r="N22" s="16">
        <f t="shared" ref="N22:R22" si="1">N21-M21</f>
        <v>0</v>
      </c>
      <c r="O22" s="16">
        <f t="shared" si="1"/>
        <v>0</v>
      </c>
      <c r="P22" s="16">
        <f t="shared" si="1"/>
        <v>1</v>
      </c>
      <c r="Q22" s="16">
        <f t="shared" si="1"/>
        <v>0</v>
      </c>
      <c r="R22" s="16">
        <f t="shared" si="1"/>
        <v>0</v>
      </c>
      <c r="V22" s="2"/>
    </row>
    <row r="23" spans="2:22" ht="19.5" thickBot="1" x14ac:dyDescent="0.35">
      <c r="B23" s="52" t="s">
        <v>31</v>
      </c>
      <c r="C23" s="58">
        <f>0.5*E11*(1-I19)^2/(1-MIN(1,I20)*I19)</f>
        <v>34.510785824345142</v>
      </c>
      <c r="D23" s="26"/>
      <c r="E23" s="26"/>
      <c r="F23" s="40" t="s">
        <v>11</v>
      </c>
      <c r="G23" s="58">
        <f>225*((I20-1)+SQRT((I20-1)^2+16*I20/(I16*3600)))</f>
        <v>1.3767742448564242</v>
      </c>
      <c r="H23" s="26"/>
      <c r="I23" s="40" t="s">
        <v>32</v>
      </c>
      <c r="J23" s="58">
        <f>G23+C23</f>
        <v>35.887560069201569</v>
      </c>
      <c r="K23" s="27" t="s">
        <v>33</v>
      </c>
      <c r="M23" s="67">
        <f t="shared" ref="M23:R23" si="2">IF(M22=1,M19,0)</f>
        <v>0</v>
      </c>
      <c r="N23" s="67">
        <f t="shared" si="2"/>
        <v>0</v>
      </c>
      <c r="O23" s="67">
        <f t="shared" si="2"/>
        <v>0</v>
      </c>
      <c r="P23" s="67" t="str">
        <f t="shared" si="2"/>
        <v>D</v>
      </c>
      <c r="Q23" s="67">
        <f t="shared" si="2"/>
        <v>0</v>
      </c>
      <c r="R23" s="67">
        <f t="shared" si="2"/>
        <v>0</v>
      </c>
    </row>
    <row r="24" spans="2:22" ht="15.75" thickBot="1" x14ac:dyDescent="0.3"/>
    <row r="25" spans="2:22" ht="15.75" x14ac:dyDescent="0.25">
      <c r="B25" s="44" t="s">
        <v>7</v>
      </c>
      <c r="C25" s="196">
        <f>I21*E18/3600</f>
        <v>1.8608757062146888</v>
      </c>
      <c r="D25" s="18" t="s">
        <v>8</v>
      </c>
      <c r="E25" s="18"/>
      <c r="F25" s="29" t="s">
        <v>9</v>
      </c>
      <c r="G25" s="196">
        <f>I16*G23</f>
        <v>0.13472222724289504</v>
      </c>
      <c r="H25" s="18" t="s">
        <v>8</v>
      </c>
      <c r="I25" s="29" t="s">
        <v>13</v>
      </c>
      <c r="J25" s="196">
        <f>G25+C25</f>
        <v>1.9955979334575837</v>
      </c>
      <c r="K25" s="19" t="s">
        <v>8</v>
      </c>
    </row>
    <row r="26" spans="2:22" ht="16.5" thickBot="1" x14ac:dyDescent="0.3">
      <c r="B26" s="69" t="s">
        <v>132</v>
      </c>
      <c r="C26" s="197">
        <f>(E11-E10)*L10/3600/(1-L10/E8)</f>
        <v>1.8478260869565215</v>
      </c>
      <c r="D26" s="23" t="s">
        <v>8</v>
      </c>
      <c r="E26" s="23"/>
      <c r="F26" s="70" t="s">
        <v>133</v>
      </c>
      <c r="G26" s="197">
        <f>(225*((D20-1)+SQRT((D20-1)^2+16*D20/(3600*I16))))*I16</f>
        <v>0</v>
      </c>
      <c r="H26" s="23" t="s">
        <v>8</v>
      </c>
      <c r="I26" s="70" t="s">
        <v>134</v>
      </c>
      <c r="J26" s="198">
        <f>C26+G26</f>
        <v>1.8478260869565215</v>
      </c>
      <c r="K26" s="24" t="s">
        <v>8</v>
      </c>
    </row>
    <row r="27" spans="2:22" x14ac:dyDescent="0.25">
      <c r="I27" s="95" t="s">
        <v>83</v>
      </c>
      <c r="J27" s="95"/>
    </row>
    <row r="28" spans="2:22" x14ac:dyDescent="0.25">
      <c r="B28" s="2" t="s">
        <v>17</v>
      </c>
      <c r="C28" s="2"/>
      <c r="D28" s="3" t="s">
        <v>22</v>
      </c>
      <c r="E28" s="2"/>
      <c r="F28" s="2" t="s">
        <v>23</v>
      </c>
      <c r="G28" s="2"/>
      <c r="H28" s="2"/>
      <c r="I28" s="2" t="s">
        <v>24</v>
      </c>
      <c r="J28" s="2" t="s">
        <v>25</v>
      </c>
      <c r="K28" s="2"/>
      <c r="L28" s="2" t="s">
        <v>26</v>
      </c>
      <c r="M28" s="2"/>
      <c r="N28" s="2"/>
      <c r="O28" s="2" t="s">
        <v>27</v>
      </c>
      <c r="P28" s="2"/>
    </row>
    <row r="29" spans="2:22" x14ac:dyDescent="0.25">
      <c r="B29" s="45" t="s">
        <v>18</v>
      </c>
      <c r="C29" s="4"/>
      <c r="D29" s="4">
        <v>1.04</v>
      </c>
      <c r="E29" s="4"/>
      <c r="F29" s="5">
        <f>D29*SQRT(1/J25)</f>
        <v>0.73620170096490034</v>
      </c>
      <c r="G29" s="4"/>
      <c r="H29" s="4"/>
      <c r="I29" s="5">
        <f>$K$20*MIN(1.8,1+F29+0.6*D29^0.24*$I$19^0.33*(1-EXP(2-2*$I$20)))</f>
        <v>0</v>
      </c>
      <c r="J29" s="6">
        <f>(1-$K$20)*MIN(1.8, 1+F29)</f>
        <v>1.7362017009649002</v>
      </c>
      <c r="K29" s="4"/>
      <c r="L29" s="4">
        <f>MAX(I29,J29)*$J$25</f>
        <v>3.4647605265110966</v>
      </c>
      <c r="M29" s="4"/>
      <c r="N29" s="4"/>
      <c r="O29" s="7">
        <f>ROUND(L29*$E$12/100,0)*100</f>
        <v>100</v>
      </c>
    </row>
    <row r="30" spans="2:22" x14ac:dyDescent="0.25">
      <c r="B30" s="46" t="s">
        <v>19</v>
      </c>
      <c r="C30" s="8"/>
      <c r="D30" s="8">
        <v>1.28</v>
      </c>
      <c r="E30" s="8"/>
      <c r="F30" s="9">
        <f>D30*SQRT(1/J25)</f>
        <v>0.90609440118756968</v>
      </c>
      <c r="G30" s="8"/>
      <c r="H30" s="8"/>
      <c r="I30" s="9">
        <f t="shared" ref="I30:I31" si="3">$K$20*MIN(1.8,1+F30+0.6*D30^0.24*$I$19^0.33*(1-EXP(2-2*$I$20)))</f>
        <v>0</v>
      </c>
      <c r="J30" s="10">
        <f t="shared" ref="J30:J31" si="4">(1-$K$20)*MIN(1.8, 1+F30)</f>
        <v>1.8</v>
      </c>
      <c r="K30" s="8"/>
      <c r="L30" s="8">
        <f t="shared" ref="L30:L31" si="5">MAX(I30,J30)*$J$25</f>
        <v>3.592076280223651</v>
      </c>
      <c r="M30" s="8"/>
      <c r="N30" s="8"/>
      <c r="O30" s="11">
        <f>ROUND(L30*$E$12/100,0)*100</f>
        <v>100</v>
      </c>
    </row>
    <row r="31" spans="2:22" x14ac:dyDescent="0.25">
      <c r="B31" s="47" t="s">
        <v>20</v>
      </c>
      <c r="C31" s="12"/>
      <c r="D31" s="12">
        <v>1.64</v>
      </c>
      <c r="E31" s="12"/>
      <c r="F31" s="13">
        <f>D31*SQRT(1/J25)</f>
        <v>1.1609334515215735</v>
      </c>
      <c r="G31" s="12"/>
      <c r="H31" s="12"/>
      <c r="I31" s="13">
        <f t="shared" si="3"/>
        <v>0</v>
      </c>
      <c r="J31" s="14">
        <f t="shared" si="4"/>
        <v>1.8</v>
      </c>
      <c r="K31" s="12"/>
      <c r="L31" s="12">
        <f t="shared" si="5"/>
        <v>3.592076280223651</v>
      </c>
      <c r="M31" s="12"/>
      <c r="N31" s="12"/>
      <c r="O31" s="15">
        <f>ROUND(L31*$E$12/100,0)*100</f>
        <v>100</v>
      </c>
    </row>
  </sheetData>
  <conditionalFormatting sqref="M23:R23">
    <cfRule type="cellIs" dxfId="164" priority="1" operator="equal">
      <formula>0</formula>
    </cfRule>
    <cfRule type="cellIs" dxfId="163" priority="2" operator="equal">
      <formula>0</formula>
    </cfRule>
    <cfRule type="cellIs" dxfId="162" priority="3" operator="equal">
      <formula>0</formula>
    </cfRule>
  </conditionalFormatting>
  <pageMargins left="0.7" right="0.7" top="0.75" bottom="0.75" header="0.3" footer="0.3"/>
  <pageSetup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1"/>
  <sheetViews>
    <sheetView workbookViewId="0">
      <selection activeCell="J30" sqref="J30"/>
    </sheetView>
  </sheetViews>
  <sheetFormatPr defaultRowHeight="15" x14ac:dyDescent="0.25"/>
  <cols>
    <col min="1" max="1" width="6.42578125" style="497" customWidth="1"/>
    <col min="2" max="2" width="9.140625" style="497"/>
    <col min="3" max="3" width="13.140625" style="497" customWidth="1"/>
    <col min="4" max="4" width="22.28515625" style="497" customWidth="1"/>
    <col min="5" max="5" width="9.140625" style="497"/>
    <col min="6" max="6" width="10" style="497" customWidth="1"/>
    <col min="7" max="7" width="9.140625" style="497"/>
    <col min="8" max="8" width="15.7109375" style="497" customWidth="1"/>
    <col min="9" max="9" width="9.140625" style="497"/>
    <col min="10" max="10" width="11.5703125" style="497" customWidth="1"/>
    <col min="11" max="11" width="11.28515625" style="497" customWidth="1"/>
    <col min="12" max="12" width="11.7109375" style="497" customWidth="1"/>
    <col min="13" max="14" width="9.140625" style="497"/>
    <col min="15" max="15" width="13.140625" style="497" customWidth="1"/>
    <col min="16" max="16384" width="9.140625" style="497"/>
  </cols>
  <sheetData>
    <row r="1" spans="1:20" ht="15.75" thickBot="1" x14ac:dyDescent="0.3"/>
    <row r="2" spans="1:20" ht="19.5" thickBot="1" x14ac:dyDescent="0.35">
      <c r="A2" s="39" t="s">
        <v>56</v>
      </c>
      <c r="B2" s="43" t="s">
        <v>55</v>
      </c>
      <c r="C2" s="2"/>
      <c r="D2" s="2"/>
      <c r="E2" s="2"/>
      <c r="F2" s="2"/>
      <c r="I2" s="25"/>
      <c r="J2" s="41" t="s">
        <v>45</v>
      </c>
      <c r="K2" s="41"/>
      <c r="L2" s="41"/>
      <c r="M2" s="41"/>
      <c r="N2" s="41"/>
      <c r="O2" s="41"/>
      <c r="P2" s="41"/>
      <c r="Q2" s="27"/>
    </row>
    <row r="3" spans="1:20" x14ac:dyDescent="0.25">
      <c r="G3" s="2"/>
      <c r="I3" s="17"/>
      <c r="J3" s="18"/>
      <c r="K3" s="18"/>
      <c r="L3" s="18"/>
      <c r="M3" s="18"/>
      <c r="N3" s="18"/>
      <c r="O3" s="18"/>
      <c r="P3" s="18"/>
      <c r="Q3" s="19"/>
    </row>
    <row r="4" spans="1:20" ht="15.75" thickBot="1" x14ac:dyDescent="0.3">
      <c r="G4" s="2"/>
      <c r="I4" s="20"/>
      <c r="J4" s="8"/>
      <c r="K4" s="8"/>
      <c r="L4" s="8"/>
      <c r="M4" s="8"/>
      <c r="N4" s="8"/>
      <c r="O4" s="8"/>
      <c r="P4" s="8"/>
      <c r="Q4" s="21"/>
    </row>
    <row r="5" spans="1:20" ht="19.5" thickBot="1" x14ac:dyDescent="0.35">
      <c r="B5" s="122" t="s">
        <v>54</v>
      </c>
      <c r="C5" s="119"/>
      <c r="D5" s="119"/>
      <c r="E5" s="121" t="s">
        <v>47</v>
      </c>
      <c r="F5" s="120">
        <f>IF(E5="APP",1,0)</f>
        <v>0</v>
      </c>
      <c r="G5" s="2"/>
      <c r="I5" s="20"/>
      <c r="J5" s="8"/>
      <c r="K5" s="8"/>
      <c r="L5" s="8"/>
      <c r="M5" s="8"/>
      <c r="N5" s="8"/>
      <c r="O5" s="8"/>
      <c r="P5" s="8"/>
      <c r="Q5" s="21"/>
    </row>
    <row r="6" spans="1:20" ht="18.75" x14ac:dyDescent="0.3">
      <c r="B6" s="33" t="s">
        <v>50</v>
      </c>
      <c r="C6" s="32"/>
      <c r="D6" s="32"/>
      <c r="E6" s="127">
        <f>'BASELINE-APP2'!E9</f>
        <v>425</v>
      </c>
      <c r="F6" s="97" t="s">
        <v>14</v>
      </c>
      <c r="G6" s="2"/>
      <c r="I6" s="36" t="s">
        <v>48</v>
      </c>
      <c r="J6" s="30"/>
      <c r="K6" s="30"/>
      <c r="L6" s="8">
        <f>ROUND((E6+E7)/(E6/E8+E7/E9)/10,0)*10</f>
        <v>1760</v>
      </c>
      <c r="M6" s="8" t="s">
        <v>14</v>
      </c>
      <c r="N6" s="8" t="s">
        <v>63</v>
      </c>
      <c r="O6" s="8"/>
      <c r="P6" s="8"/>
      <c r="Q6" s="21"/>
    </row>
    <row r="7" spans="1:20" ht="18.75" x14ac:dyDescent="0.3">
      <c r="B7" s="33" t="s">
        <v>29</v>
      </c>
      <c r="C7" s="32"/>
      <c r="D7" s="32"/>
      <c r="E7" s="72">
        <f>IF('BASELINE-APP2'!E8="Y",0,'BASELINE-APP2'!E10)</f>
        <v>75</v>
      </c>
      <c r="F7" s="21" t="s">
        <v>14</v>
      </c>
      <c r="G7" s="2"/>
      <c r="I7" s="36" t="s">
        <v>46</v>
      </c>
      <c r="J7" s="30"/>
      <c r="K7" s="30"/>
      <c r="L7" s="8">
        <f>E6/(E8*'BASELINE-APP2'!J28)</f>
        <v>1.038888888888889</v>
      </c>
      <c r="M7" s="8"/>
      <c r="N7" s="8" t="s">
        <v>57</v>
      </c>
      <c r="O7" s="8"/>
      <c r="P7" s="8"/>
      <c r="Q7" s="21"/>
    </row>
    <row r="8" spans="1:20" ht="18.75" x14ac:dyDescent="0.3">
      <c r="B8" s="33" t="s">
        <v>28</v>
      </c>
      <c r="C8" s="32"/>
      <c r="D8" s="32"/>
      <c r="E8" s="72">
        <f>'BASELINE-APP2'!E12</f>
        <v>1800</v>
      </c>
      <c r="F8" s="21" t="s">
        <v>14</v>
      </c>
      <c r="H8" s="68"/>
      <c r="I8" s="36" t="s">
        <v>58</v>
      </c>
      <c r="J8" s="30"/>
      <c r="K8" s="30"/>
      <c r="L8" s="8">
        <f>ROUND(20.226+81.791*L7^2+1.65*E6^2/10000,0)</f>
        <v>138</v>
      </c>
      <c r="M8" s="8" t="s">
        <v>14</v>
      </c>
      <c r="N8" s="8"/>
      <c r="O8" s="8"/>
      <c r="P8" s="8"/>
      <c r="Q8" s="21"/>
    </row>
    <row r="9" spans="1:20" ht="18.75" x14ac:dyDescent="0.3">
      <c r="B9" s="33" t="s">
        <v>30</v>
      </c>
      <c r="C9" s="32"/>
      <c r="D9" s="32"/>
      <c r="E9" s="72">
        <f>'BASELINE-APP2'!E13</f>
        <v>1550</v>
      </c>
      <c r="F9" s="21" t="s">
        <v>14</v>
      </c>
      <c r="I9" s="36" t="s">
        <v>59</v>
      </c>
      <c r="J9" s="30"/>
      <c r="K9" s="30"/>
      <c r="L9" s="8">
        <f>ROUND(MAX(0,0.5*(E6-E7*E8/E9)),0)</f>
        <v>169</v>
      </c>
      <c r="M9" s="8" t="s">
        <v>14</v>
      </c>
      <c r="N9" s="8"/>
      <c r="O9" s="8"/>
      <c r="P9" s="8"/>
      <c r="Q9" s="21"/>
    </row>
    <row r="10" spans="1:20" ht="18.75" x14ac:dyDescent="0.3">
      <c r="B10" s="33" t="s">
        <v>130</v>
      </c>
      <c r="C10" s="32"/>
      <c r="D10" s="32"/>
      <c r="E10" s="128">
        <f>'COMBINED INPUT'!G17</f>
        <v>25</v>
      </c>
      <c r="F10" s="21" t="s">
        <v>15</v>
      </c>
      <c r="I10" s="36" t="s">
        <v>60</v>
      </c>
      <c r="J10" s="30"/>
      <c r="K10" s="30"/>
      <c r="L10" s="8">
        <f>IF('BASELINE-APP2'!I7=0,'BASELINE-APP2'!M10,IF('BASELINE-APP2'!I8=0,'BASELINE-APP2'!E10,'BASELINE-APP2'!M10))</f>
        <v>138</v>
      </c>
      <c r="M10" s="8" t="s">
        <v>14</v>
      </c>
      <c r="N10" s="8">
        <f>IF('BASELINE-APP2'!I7=0,0,IF('BASELINE-APP2'!I8=0,1,0))</f>
        <v>0</v>
      </c>
      <c r="O10" s="8" t="s">
        <v>86</v>
      </c>
      <c r="P10" s="8"/>
      <c r="Q10" s="21"/>
    </row>
    <row r="11" spans="1:20" ht="18.75" x14ac:dyDescent="0.3">
      <c r="B11" s="33" t="s">
        <v>52</v>
      </c>
      <c r="C11" s="32"/>
      <c r="D11" s="32"/>
      <c r="E11" s="72">
        <f>'BASELINE-APP2'!E15</f>
        <v>110</v>
      </c>
      <c r="F11" s="21" t="s">
        <v>15</v>
      </c>
      <c r="I11" s="36" t="s">
        <v>61</v>
      </c>
      <c r="J11" s="30"/>
      <c r="K11" s="30"/>
      <c r="L11" s="8">
        <f>E6-(1-N10)*L10</f>
        <v>287</v>
      </c>
      <c r="M11" s="28" t="s">
        <v>14</v>
      </c>
      <c r="N11" s="8"/>
      <c r="O11" s="8"/>
      <c r="P11" s="8"/>
      <c r="Q11" s="21"/>
      <c r="T11" s="64"/>
    </row>
    <row r="12" spans="1:20" ht="19.5" thickBot="1" x14ac:dyDescent="0.35">
      <c r="B12" s="34" t="s">
        <v>43</v>
      </c>
      <c r="C12" s="35"/>
      <c r="D12" s="35"/>
      <c r="E12" s="73">
        <f>'BASELINE-APP2'!E17</f>
        <v>25</v>
      </c>
      <c r="F12" s="24" t="s">
        <v>16</v>
      </c>
      <c r="I12" s="36" t="s">
        <v>114</v>
      </c>
      <c r="J12" s="8"/>
      <c r="K12" s="8"/>
      <c r="L12" s="199">
        <f>J26</f>
        <v>3.7814153384203109</v>
      </c>
      <c r="M12" s="28" t="s">
        <v>8</v>
      </c>
      <c r="N12" s="8"/>
      <c r="O12" s="8" t="s">
        <v>115</v>
      </c>
      <c r="P12" s="8"/>
      <c r="Q12" s="21"/>
    </row>
    <row r="13" spans="1:20" x14ac:dyDescent="0.25">
      <c r="I13" s="36" t="s">
        <v>116</v>
      </c>
      <c r="J13" s="30"/>
      <c r="K13" s="30"/>
      <c r="L13" s="134">
        <f>(('BASELINE-APP2'!E11)*22/15)^2/(2*'BASELINE-APP2'!E18)</f>
        <v>131.75555555555556</v>
      </c>
      <c r="M13" s="28" t="s">
        <v>16</v>
      </c>
      <c r="N13" s="8"/>
      <c r="O13" s="8"/>
      <c r="P13" s="8"/>
      <c r="Q13" s="21"/>
    </row>
    <row r="14" spans="1:20" x14ac:dyDescent="0.25">
      <c r="I14" s="36" t="s">
        <v>117</v>
      </c>
      <c r="J14" s="30"/>
      <c r="K14" s="30"/>
      <c r="L14" s="134">
        <f>'BASELINE-APP2'!E11*22/15*'BASELINE-APP2'!E21</f>
        <v>51.333333333333336</v>
      </c>
      <c r="M14" s="28" t="s">
        <v>16</v>
      </c>
      <c r="N14" s="8"/>
      <c r="O14" s="8"/>
      <c r="P14" s="8"/>
      <c r="Q14" s="21"/>
    </row>
    <row r="15" spans="1:20" ht="15.75" thickBot="1" x14ac:dyDescent="0.3">
      <c r="I15" s="22"/>
      <c r="J15" s="23"/>
      <c r="K15" s="23"/>
      <c r="L15" s="23"/>
      <c r="M15" s="23"/>
      <c r="N15" s="23"/>
      <c r="O15" s="23"/>
      <c r="P15" s="23"/>
      <c r="Q15" s="24"/>
    </row>
    <row r="16" spans="1:20" x14ac:dyDescent="0.25">
      <c r="B16" s="44" t="s">
        <v>44</v>
      </c>
      <c r="C16" s="29"/>
      <c r="D16" s="29"/>
      <c r="E16" s="48">
        <f>(1-N10)*((1-F5)*IF(E5="ATL",L10,L11)+E6*F5)</f>
        <v>138</v>
      </c>
      <c r="F16" s="42" t="s">
        <v>14</v>
      </c>
      <c r="G16" s="29" t="s">
        <v>10</v>
      </c>
      <c r="H16" s="29"/>
      <c r="I16" s="53">
        <f>E18*(E10/E11)/3600</f>
        <v>0.10732323232323232</v>
      </c>
      <c r="J16" s="18" t="s">
        <v>12</v>
      </c>
      <c r="K16" s="19"/>
    </row>
    <row r="17" spans="2:22" x14ac:dyDescent="0.25">
      <c r="B17" s="36" t="s">
        <v>0</v>
      </c>
      <c r="C17" s="30"/>
      <c r="D17" s="8"/>
      <c r="E17" s="49">
        <f>E16+IF(E5="CTL",0,E7)</f>
        <v>213</v>
      </c>
      <c r="F17" s="8" t="s">
        <v>14</v>
      </c>
      <c r="G17" s="30" t="s">
        <v>5</v>
      </c>
      <c r="H17" s="30"/>
      <c r="I17" s="54">
        <f>E11-E10</f>
        <v>85</v>
      </c>
      <c r="J17" s="8" t="s">
        <v>15</v>
      </c>
      <c r="K17" s="21"/>
    </row>
    <row r="18" spans="2:22" ht="15.75" thickBot="1" x14ac:dyDescent="0.3">
      <c r="B18" s="36" t="s">
        <v>1</v>
      </c>
      <c r="C18" s="30"/>
      <c r="D18" s="8"/>
      <c r="E18" s="49">
        <f>IF(E5  &lt;&gt; "CTL",ROUND(E17/(E7/E9+E16/E8)/10,0)*10,E8)</f>
        <v>1700</v>
      </c>
      <c r="F18" s="8" t="s">
        <v>14</v>
      </c>
      <c r="G18" s="30" t="s">
        <v>2</v>
      </c>
      <c r="H18" s="30"/>
      <c r="I18" s="55">
        <f>E17/E18</f>
        <v>0.12529411764705883</v>
      </c>
      <c r="J18" s="8"/>
      <c r="K18" s="21"/>
      <c r="O18" s="2" t="s">
        <v>41</v>
      </c>
      <c r="P18" s="2"/>
    </row>
    <row r="19" spans="2:22" ht="16.5" thickBot="1" x14ac:dyDescent="0.3">
      <c r="B19" s="36" t="s">
        <v>82</v>
      </c>
      <c r="C19" s="30"/>
      <c r="D19" s="8"/>
      <c r="E19" s="50">
        <f>E7/(E7+E6)</f>
        <v>0.15</v>
      </c>
      <c r="F19" s="8"/>
      <c r="G19" s="30" t="s">
        <v>3</v>
      </c>
      <c r="H19" s="30"/>
      <c r="I19" s="55">
        <f>E10/E11</f>
        <v>0.22727272727272727</v>
      </c>
      <c r="J19" s="8"/>
      <c r="K19" s="21" t="s">
        <v>21</v>
      </c>
      <c r="M19" s="61" t="s">
        <v>35</v>
      </c>
      <c r="N19" s="62" t="s">
        <v>36</v>
      </c>
      <c r="O19" s="63" t="s">
        <v>37</v>
      </c>
      <c r="P19" s="65" t="s">
        <v>38</v>
      </c>
      <c r="Q19" s="60" t="s">
        <v>39</v>
      </c>
      <c r="R19" s="66" t="s">
        <v>40</v>
      </c>
    </row>
    <row r="20" spans="2:22" ht="15.75" x14ac:dyDescent="0.25">
      <c r="B20" s="36" t="s">
        <v>135</v>
      </c>
      <c r="C20" s="8"/>
      <c r="D20" s="200">
        <f>E16/(E8*I19)</f>
        <v>0.33733333333333337</v>
      </c>
      <c r="E20" s="8"/>
      <c r="F20" s="8"/>
      <c r="G20" s="30" t="s">
        <v>4</v>
      </c>
      <c r="H20" s="30"/>
      <c r="I20" s="56">
        <f>I18/I19</f>
        <v>0.55129411764705893</v>
      </c>
      <c r="J20" s="8"/>
      <c r="K20" s="21">
        <f>IF(I20&gt;1,1,0)</f>
        <v>0</v>
      </c>
      <c r="L20" s="1" t="s">
        <v>64</v>
      </c>
      <c r="M20" s="1">
        <v>10</v>
      </c>
      <c r="N20" s="1">
        <v>20</v>
      </c>
      <c r="O20" s="1">
        <v>35</v>
      </c>
      <c r="P20" s="1">
        <v>55</v>
      </c>
      <c r="Q20" s="1">
        <v>80</v>
      </c>
      <c r="R20" s="1" t="s">
        <v>42</v>
      </c>
      <c r="V20" s="2"/>
    </row>
    <row r="21" spans="2:22" ht="15.75" thickBot="1" x14ac:dyDescent="0.3">
      <c r="B21" s="20"/>
      <c r="C21" s="8"/>
      <c r="D21" s="8"/>
      <c r="E21" s="8"/>
      <c r="F21" s="8"/>
      <c r="G21" s="30" t="s">
        <v>6</v>
      </c>
      <c r="H21" s="30"/>
      <c r="I21" s="57">
        <f>MIN(E10,I17*I18/(1-I18))</f>
        <v>12.175521183591123</v>
      </c>
      <c r="J21" s="8" t="s">
        <v>15</v>
      </c>
      <c r="K21" s="21"/>
      <c r="M21" s="16">
        <f t="shared" ref="M21:R21" si="0">IF($J$23&lt;=M20,1,0)</f>
        <v>0</v>
      </c>
      <c r="N21" s="16">
        <f t="shared" si="0"/>
        <v>0</v>
      </c>
      <c r="O21" s="16">
        <f t="shared" si="0"/>
        <v>0</v>
      </c>
      <c r="P21" s="16">
        <f t="shared" si="0"/>
        <v>1</v>
      </c>
      <c r="Q21" s="16">
        <f t="shared" si="0"/>
        <v>1</v>
      </c>
      <c r="R21" s="16">
        <f t="shared" si="0"/>
        <v>1</v>
      </c>
      <c r="V21" s="2"/>
    </row>
    <row r="22" spans="2:22" ht="15.75" thickBot="1" x14ac:dyDescent="0.3">
      <c r="B22" s="22"/>
      <c r="C22" s="23"/>
      <c r="D22" s="23"/>
      <c r="E22" s="23"/>
      <c r="F22" s="23"/>
      <c r="G22" s="23"/>
      <c r="H22" s="23"/>
      <c r="I22" s="23"/>
      <c r="J22" s="23"/>
      <c r="K22" s="24"/>
      <c r="M22" s="16">
        <f>M21-L23</f>
        <v>0</v>
      </c>
      <c r="N22" s="16">
        <f t="shared" ref="N22:R22" si="1">N21-M21</f>
        <v>0</v>
      </c>
      <c r="O22" s="16">
        <f t="shared" si="1"/>
        <v>0</v>
      </c>
      <c r="P22" s="16">
        <f t="shared" si="1"/>
        <v>1</v>
      </c>
      <c r="Q22" s="16">
        <f t="shared" si="1"/>
        <v>0</v>
      </c>
      <c r="R22" s="16">
        <f t="shared" si="1"/>
        <v>0</v>
      </c>
      <c r="V22" s="2"/>
    </row>
    <row r="23" spans="2:22" ht="19.5" thickBot="1" x14ac:dyDescent="0.35">
      <c r="B23" s="52" t="s">
        <v>31</v>
      </c>
      <c r="C23" s="58">
        <f>0.5*E11*(1-I19)^2/(1-MIN(1,I20)*I19)</f>
        <v>37.545087730023837</v>
      </c>
      <c r="D23" s="26"/>
      <c r="E23" s="26"/>
      <c r="F23" s="40" t="s">
        <v>11</v>
      </c>
      <c r="G23" s="58">
        <f>225*((I20-1)+SQRT((I20-1)^2+16*I20/(I16*3600)))</f>
        <v>5.5703084090260493</v>
      </c>
      <c r="H23" s="26"/>
      <c r="I23" s="40" t="s">
        <v>32</v>
      </c>
      <c r="J23" s="58">
        <f>G23+C23</f>
        <v>43.115396139049885</v>
      </c>
      <c r="K23" s="27" t="s">
        <v>33</v>
      </c>
      <c r="M23" s="67">
        <f t="shared" ref="M23:R23" si="2">IF(M22=1,M19,0)</f>
        <v>0</v>
      </c>
      <c r="N23" s="67">
        <f t="shared" si="2"/>
        <v>0</v>
      </c>
      <c r="O23" s="67">
        <f t="shared" si="2"/>
        <v>0</v>
      </c>
      <c r="P23" s="67" t="str">
        <f t="shared" si="2"/>
        <v>D</v>
      </c>
      <c r="Q23" s="67">
        <f t="shared" si="2"/>
        <v>0</v>
      </c>
      <c r="R23" s="67">
        <f t="shared" si="2"/>
        <v>0</v>
      </c>
    </row>
    <row r="24" spans="2:22" ht="15.75" thickBot="1" x14ac:dyDescent="0.3"/>
    <row r="25" spans="2:22" ht="15.75" x14ac:dyDescent="0.25">
      <c r="B25" s="44" t="s">
        <v>7</v>
      </c>
      <c r="C25" s="196">
        <f>I21*E18/3600</f>
        <v>5.7495516700291409</v>
      </c>
      <c r="D25" s="18" t="s">
        <v>8</v>
      </c>
      <c r="E25" s="18"/>
      <c r="F25" s="29" t="s">
        <v>9</v>
      </c>
      <c r="G25" s="196">
        <f>I16*G23</f>
        <v>0.5978235034939573</v>
      </c>
      <c r="H25" s="18" t="s">
        <v>8</v>
      </c>
      <c r="I25" s="29" t="s">
        <v>13</v>
      </c>
      <c r="J25" s="196">
        <f>G25+C25</f>
        <v>6.3473751735230985</v>
      </c>
      <c r="K25" s="19" t="s">
        <v>8</v>
      </c>
    </row>
    <row r="26" spans="2:22" ht="16.5" thickBot="1" x14ac:dyDescent="0.3">
      <c r="B26" s="69" t="s">
        <v>132</v>
      </c>
      <c r="C26" s="197">
        <f>(E11-E10)*L10/3600/(1-L10/E8)</f>
        <v>3.5288808664259927</v>
      </c>
      <c r="D26" s="23" t="s">
        <v>8</v>
      </c>
      <c r="E26" s="23"/>
      <c r="F26" s="70" t="s">
        <v>133</v>
      </c>
      <c r="G26" s="197">
        <f>(225*((D20-1)+SQRT((D20-1)^2+16*D20/(3600*I16))))*I16</f>
        <v>0.25253447199431811</v>
      </c>
      <c r="H26" s="23" t="s">
        <v>8</v>
      </c>
      <c r="I26" s="70" t="s">
        <v>134</v>
      </c>
      <c r="J26" s="198">
        <f>C26+G26</f>
        <v>3.7814153384203109</v>
      </c>
      <c r="K26" s="24" t="s">
        <v>8</v>
      </c>
    </row>
    <row r="27" spans="2:22" x14ac:dyDescent="0.25">
      <c r="I27" s="95" t="s">
        <v>83</v>
      </c>
      <c r="J27" s="95"/>
    </row>
    <row r="28" spans="2:22" x14ac:dyDescent="0.25">
      <c r="B28" s="2" t="s">
        <v>17</v>
      </c>
      <c r="C28" s="2"/>
      <c r="D28" s="3" t="s">
        <v>22</v>
      </c>
      <c r="E28" s="2"/>
      <c r="F28" s="2" t="s">
        <v>23</v>
      </c>
      <c r="G28" s="2"/>
      <c r="H28" s="2"/>
      <c r="I28" s="2" t="s">
        <v>24</v>
      </c>
      <c r="J28" s="2" t="s">
        <v>25</v>
      </c>
      <c r="K28" s="2"/>
      <c r="L28" s="2" t="s">
        <v>26</v>
      </c>
      <c r="M28" s="2"/>
      <c r="N28" s="2"/>
      <c r="O28" s="2" t="s">
        <v>27</v>
      </c>
      <c r="P28" s="2"/>
    </row>
    <row r="29" spans="2:22" x14ac:dyDescent="0.25">
      <c r="B29" s="45" t="s">
        <v>18</v>
      </c>
      <c r="C29" s="4"/>
      <c r="D29" s="4">
        <v>1.04</v>
      </c>
      <c r="E29" s="4"/>
      <c r="F29" s="5">
        <f>D29*SQRT(1/J25)</f>
        <v>0.4127967362072269</v>
      </c>
      <c r="G29" s="4"/>
      <c r="H29" s="4"/>
      <c r="I29" s="5">
        <f>$K$20*MIN(1.8,1+F29+0.6*D29^0.24*$I$19^0.33*(1-EXP(2-2*$I$20)))</f>
        <v>0</v>
      </c>
      <c r="J29" s="6">
        <f>(1-$K$20)*MIN(1.8, 1+F29)</f>
        <v>1.4127967362072269</v>
      </c>
      <c r="K29" s="4"/>
      <c r="L29" s="4">
        <f>MAX(I29,J29)*$J$25</f>
        <v>8.9675509286362143</v>
      </c>
      <c r="M29" s="4"/>
      <c r="N29" s="4"/>
      <c r="O29" s="7">
        <f>ROUND(L29*$E$12/100,0)*100</f>
        <v>200</v>
      </c>
    </row>
    <row r="30" spans="2:22" x14ac:dyDescent="0.25">
      <c r="B30" s="46" t="s">
        <v>19</v>
      </c>
      <c r="C30" s="8"/>
      <c r="D30" s="8">
        <v>1.28</v>
      </c>
      <c r="E30" s="8"/>
      <c r="F30" s="9">
        <f>D30*SQRT(1/J25)</f>
        <v>0.50805752148581773</v>
      </c>
      <c r="G30" s="8"/>
      <c r="H30" s="8"/>
      <c r="I30" s="9">
        <f t="shared" ref="I30:I31" si="3">$K$20*MIN(1.8,1+F30+0.6*D30^0.24*$I$19^0.33*(1-EXP(2-2*$I$20)))</f>
        <v>0</v>
      </c>
      <c r="J30" s="10">
        <f t="shared" ref="J30:J31" si="4">(1-$K$20)*MIN(1.8, 1+F30)</f>
        <v>1.5080575214858176</v>
      </c>
      <c r="K30" s="8"/>
      <c r="L30" s="8">
        <f t="shared" ref="L30:L31" si="5">MAX(I30,J30)*$J$25</f>
        <v>9.5722068721238553</v>
      </c>
      <c r="M30" s="8"/>
      <c r="N30" s="8"/>
      <c r="O30" s="11">
        <f>ROUND(L30*$E$12/100,0)*100</f>
        <v>200</v>
      </c>
    </row>
    <row r="31" spans="2:22" x14ac:dyDescent="0.25">
      <c r="B31" s="47" t="s">
        <v>20</v>
      </c>
      <c r="C31" s="12"/>
      <c r="D31" s="12">
        <v>1.64</v>
      </c>
      <c r="E31" s="12"/>
      <c r="F31" s="13">
        <f>D31*SQRT(1/J25)</f>
        <v>0.65094869940370381</v>
      </c>
      <c r="G31" s="12"/>
      <c r="H31" s="12"/>
      <c r="I31" s="13">
        <f t="shared" si="3"/>
        <v>0</v>
      </c>
      <c r="J31" s="14">
        <f t="shared" si="4"/>
        <v>1.6509486994037039</v>
      </c>
      <c r="K31" s="12"/>
      <c r="L31" s="12">
        <f t="shared" si="5"/>
        <v>10.47919078735532</v>
      </c>
      <c r="M31" s="12"/>
      <c r="N31" s="12"/>
      <c r="O31" s="15">
        <f>ROUND(L31*$E$12/100,0)*100</f>
        <v>300</v>
      </c>
    </row>
  </sheetData>
  <conditionalFormatting sqref="M23:R23">
    <cfRule type="cellIs" dxfId="161" priority="1" operator="equal">
      <formula>0</formula>
    </cfRule>
    <cfRule type="cellIs" dxfId="160" priority="2" operator="equal">
      <formula>0</formula>
    </cfRule>
    <cfRule type="cellIs" dxfId="159" priority="3" operator="equal">
      <formula>0</formula>
    </cfRule>
  </conditionalFormatting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26</vt:i4>
      </vt:variant>
      <vt:variant>
        <vt:lpstr>Named Ranges</vt:lpstr>
      </vt:variant>
      <vt:variant>
        <vt:i4>1</vt:i4>
      </vt:variant>
    </vt:vector>
  </HeadingPairs>
  <TitlesOfParts>
    <vt:vector size="27" baseType="lpstr">
      <vt:lpstr>COMBINED INPUT</vt:lpstr>
      <vt:lpstr>COMBINED INPUT2</vt:lpstr>
      <vt:lpstr>COMBINED OUTPUT</vt:lpstr>
      <vt:lpstr>BASELINE-APP</vt:lpstr>
      <vt:lpstr>BASELINE-APP2</vt:lpstr>
      <vt:lpstr>COMBINED OUTPUT2</vt:lpstr>
      <vt:lpstr>SUMMARY 1</vt:lpstr>
      <vt:lpstr>ATL</vt:lpstr>
      <vt:lpstr>ATL2</vt:lpstr>
      <vt:lpstr>CTL</vt:lpstr>
      <vt:lpstr>CTL2</vt:lpstr>
      <vt:lpstr>RT+ATL</vt:lpstr>
      <vt:lpstr>RT+ATL2</vt:lpstr>
      <vt:lpstr>APP-BASELINE</vt:lpstr>
      <vt:lpstr>APP-BASELINE2</vt:lpstr>
      <vt:lpstr>SUMMARY 12</vt:lpstr>
      <vt:lpstr>SUMMARY 2</vt:lpstr>
      <vt:lpstr>LOS Lookup</vt:lpstr>
      <vt:lpstr>ATL 2</vt:lpstr>
      <vt:lpstr>ATL 22</vt:lpstr>
      <vt:lpstr>2-CTL</vt:lpstr>
      <vt:lpstr>2-CTL2</vt:lpstr>
      <vt:lpstr>RT+ATL 2</vt:lpstr>
      <vt:lpstr>RT+ATL 22</vt:lpstr>
      <vt:lpstr>SUMMARY 22</vt:lpstr>
      <vt:lpstr>MAIN</vt:lpstr>
      <vt:lpstr>MAIN!Print_Area</vt:lpstr>
    </vt:vector>
  </TitlesOfParts>
  <Company>ITRE @NCSU Centennial Campus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nagui</dc:creator>
  <cp:lastModifiedBy>Brandon Nevers</cp:lastModifiedBy>
  <cp:lastPrinted>2011-09-07T20:48:25Z</cp:lastPrinted>
  <dcterms:created xsi:type="dcterms:W3CDTF">2010-10-05T17:33:32Z</dcterms:created>
  <dcterms:modified xsi:type="dcterms:W3CDTF">2011-09-07T21:01:42Z</dcterms:modified>
</cp:coreProperties>
</file>