
<file path=[Content_Types].xml><?xml version="1.0" encoding="utf-8"?>
<Types xmlns="http://schemas.openxmlformats.org/package/2006/content-types">
  <Override PartName="/xl/worksheets/sheet35.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178.xml" ContentType="application/vnd.openxmlformats-officedocument.drawingml.chart+xml"/>
  <Override PartName="/xl/charts/chart230.xml" ContentType="application/vnd.openxmlformats-officedocument.drawingml.chart+xml"/>
  <Override PartName="/xl/charts/chart109.xml" ContentType="application/vnd.openxmlformats-officedocument.drawingml.chart+xml"/>
  <Override PartName="/xl/drawings/drawing17.xml" ContentType="application/vnd.openxmlformats-officedocument.drawing+xml"/>
  <Override PartName="/xl/charts/chart156.xml" ContentType="application/vnd.openxmlformats-officedocument.drawingml.chart+xml"/>
  <Override PartName="/xl/charts/chart167.xml" ContentType="application/vnd.openxmlformats-officedocument.drawingml.chart+xml"/>
  <Override PartName="/xl/drawings/drawing28.xml" ContentType="application/vnd.openxmlformats-officedocument.drawing+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charts/chart192.xml" ContentType="application/vnd.openxmlformats-officedocument.drawingml.chart+xml"/>
  <Override PartName="/xl/charts/chart279.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268.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charts/chart112.xml" ContentType="application/vnd.openxmlformats-officedocument.drawingml.chart+xml"/>
  <Override PartName="/xl/charts/chart123.xml" ContentType="application/vnd.openxmlformats-officedocument.drawingml.chart+xml"/>
  <Override PartName="/xl/drawings/drawing20.xml" ContentType="application/vnd.openxmlformats-officedocument.drawing+xml"/>
  <Override PartName="/xl/charts/chart170.xml" ContentType="application/vnd.openxmlformats-officedocument.drawingml.chart+xml"/>
  <Override PartName="/xl/drawings/drawing31.xml" ContentType="application/vnd.openxmlformats-officedocument.drawing+xml"/>
  <Override PartName="/xl/charts/chart257.xml" ContentType="application/vnd.openxmlformats-officedocument.drawingml.chart+xml"/>
  <Override PartName="/xl/worksheets/sheet29.xml" ContentType="application/vnd.openxmlformats-officedocument.spreadsheetml.worksheet+xml"/>
  <Override PartName="/xl/charts/chart52.xml" ContentType="application/vnd.openxmlformats-officedocument.drawingml.chart+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35.xml" ContentType="application/vnd.openxmlformats-officedocument.drawingml.chart+xml"/>
  <Override PartName="/xl/charts/chart271.xml" ContentType="application/vnd.openxmlformats-officedocument.drawingml.chart+xml"/>
  <Override PartName="/xl/charts/chart282.xml" ContentType="application/vnd.openxmlformats-officedocument.drawingml.chart+xml"/>
  <Override PartName="/xl/charts/chart213.xml" ContentType="application/vnd.openxmlformats-officedocument.drawingml.chart+xml"/>
  <Override PartName="/xl/charts/chart260.xml" ContentType="application/vnd.openxmlformats-officedocument.drawingml.chart+xml"/>
  <Override PartName="/xl/worksheets/sheet32.xml" ContentType="application/vnd.openxmlformats-officedocument.spreadsheetml.worksheet+xml"/>
  <Override PartName="/xl/drawings/drawing7.xml" ContentType="application/vnd.openxmlformats-officedocument.drawing+xml"/>
  <Override PartName="/xl/charts/chart139.xml" ContentType="application/vnd.openxmlformats-officedocument.drawingml.chart+xml"/>
  <Override PartName="/xl/charts/chart186.xml" ContentType="application/vnd.openxmlformats-officedocument.drawingml.chart+xml"/>
  <Override PartName="/xl/charts/chart197.xml" ContentType="application/vnd.openxmlformats-officedocument.drawingml.chart+xml"/>
  <Override PartName="/xl/charts/chart202.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charts/chart79.xml" ContentType="application/vnd.openxmlformats-officedocument.drawingml.chart+xml"/>
  <Override PartName="/xl/charts/chart128.xml" ContentType="application/vnd.openxmlformats-officedocument.drawingml.chart+xml"/>
  <Override PartName="/xl/charts/chart175.xml" ContentType="application/vnd.openxmlformats-officedocument.drawingml.chart+xml"/>
  <Override PartName="/xl/drawings/drawing36.xml" ContentType="application/vnd.openxmlformats-officedocument.drawing+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drawings/drawing25.xml" ContentType="application/vnd.openxmlformats-officedocument.drawing+xml"/>
  <Override PartName="/xl/charts/chart298.xml" ContentType="application/vnd.openxmlformats-officedocument.drawingml.chart+xml"/>
  <Override PartName="/docProps/app.xml" ContentType="application/vnd.openxmlformats-officedocument.extended-properties+xml"/>
  <Override PartName="/xl/charts/chart46.xml" ContentType="application/vnd.openxmlformats-officedocument.drawingml.chart+xml"/>
  <Override PartName="/xl/drawings/drawing14.xml" ContentType="application/vnd.openxmlformats-officedocument.drawing+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charts/chart207.xml" ContentType="application/vnd.openxmlformats-officedocument.drawingml.chart+xml"/>
  <Override PartName="/xl/charts/chart218.xml" ContentType="application/vnd.openxmlformats-officedocument.drawingml.chart+xml"/>
  <Override PartName="/xl/charts/chart254.xml" ContentType="application/vnd.openxmlformats-officedocument.drawingml.chart+xml"/>
  <Override PartName="/xl/charts/chart265.xml" ContentType="application/vnd.openxmlformats-officedocument.drawingml.chart+xml"/>
  <Override PartName="/xl/worksheets/sheet26.xml" ContentType="application/vnd.openxmlformats-officedocument.spreadsheetml.worksheet+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charts/chart232.xml" ContentType="application/vnd.openxmlformats-officedocument.drawingml.chart+xml"/>
  <Override PartName="/xl/drawings/drawing19.xml" ContentType="application/vnd.openxmlformats-officedocument.drawing+xml"/>
  <Override PartName="/xl/charts/chart158.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221.xml" ContentType="application/vnd.openxmlformats-officedocument.drawingml.chart+xml"/>
  <Override PartName="/xl/drawings/drawing4.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harts/chart18.xml" ContentType="application/vnd.openxmlformats-officedocument.drawingml.chart+xml"/>
  <Override PartName="/xl/charts/chart65.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drawings/drawing22.xml" ContentType="application/vnd.openxmlformats-officedocument.drawing+xml"/>
  <Override PartName="/xl/charts/chart172.xml" ContentType="application/vnd.openxmlformats-officedocument.drawingml.chart+xml"/>
  <Override PartName="/xl/charts/chart259.xml" ContentType="application/vnd.openxmlformats-officedocument.drawingml.chart+xml"/>
  <Override PartName="/xl/drawings/drawing33.xml" ContentType="application/vnd.openxmlformats-officedocument.drawing+xml"/>
  <Override PartName="/xl/drawings/drawing11.xml" ContentType="application/vnd.openxmlformats-officedocument.drawing+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300.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37.xml" ContentType="application/vnd.openxmlformats-officedocument.drawingml.chart+xml"/>
  <Override PartName="/xl/charts/chart273.xml" ContentType="application/vnd.openxmlformats-officedocument.drawingml.chart+xml"/>
  <Override PartName="/xl/charts/chart284.xml" ContentType="application/vnd.openxmlformats-officedocument.drawingml.chart+xml"/>
  <Override PartName="/xl/charts/chart21.xml" ContentType="application/vnd.openxmlformats-officedocument.drawingml.chart+xml"/>
  <Override PartName="/xl/charts/chart215.xml" ContentType="application/vnd.openxmlformats-officedocument.drawingml.chart+xml"/>
  <Override PartName="/xl/charts/chart262.xml" ContentType="application/vnd.openxmlformats-officedocument.drawingml.chart+xml"/>
  <Override PartName="/xl/worksheets/sheet34.xml" ContentType="application/vnd.openxmlformats-officedocument.spreadsheetml.worksheet+xml"/>
  <Override PartName="/xl/charts/chart10.xml" ContentType="application/vnd.openxmlformats-officedocument.drawingml.chart+xml"/>
  <Override PartName="/xl/drawings/drawing9.xml" ContentType="application/vnd.openxmlformats-officedocument.drawing+xml"/>
  <Override PartName="/xl/charts/chart188.xml" ContentType="application/vnd.openxmlformats-officedocument.drawingml.chart+xml"/>
  <Override PartName="/xl/charts/chart199.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worksheets/sheet23.xml" ContentType="application/vnd.openxmlformats-officedocument.spreadsheetml.worksheet+xml"/>
  <Override PartName="/xl/charts/chart177.xml" ContentType="application/vnd.openxmlformats-officedocument.drawingml.chart+xml"/>
  <Override PartName="/xl/charts/chart240.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drawings/drawing27.xml" ContentType="application/vnd.openxmlformats-officedocument.drawing+xml"/>
  <Override PartName="/xl/charts/chart48.xml" ContentType="application/vnd.openxmlformats-officedocument.drawingml.chart+xml"/>
  <Override PartName="/xl/charts/chart95.xml" ContentType="application/vnd.openxmlformats-officedocument.drawingml.chart+xml"/>
  <Override PartName="/xl/drawings/drawing16.xml" ContentType="application/vnd.openxmlformats-officedocument.drawing+xml"/>
  <Override PartName="/xl/charts/chart108.xml" ContentType="application/vnd.openxmlformats-officedocument.drawingml.chart+xml"/>
  <Override PartName="/xl/charts/chart155.xml" ContentType="application/vnd.openxmlformats-officedocument.drawingml.chart+xml"/>
  <Override PartName="/xl/charts/chart289.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charts/chart278.xml" ContentType="application/vnd.openxmlformats-officedocument.drawingml.chart+xml"/>
  <Override PartName="/xl/charts/chart26.xml" ContentType="application/vnd.openxmlformats-officedocument.drawingml.chart+xml"/>
  <Override PartName="/xl/charts/chart73.xml" ContentType="application/vnd.openxmlformats-officedocument.drawingml.chart+xml"/>
  <Override PartName="/xl/charts/chart122.xml" ContentType="application/vnd.openxmlformats-officedocument.drawingml.chart+xml"/>
  <Override PartName="/xl/charts/chart209.xml" ContentType="application/vnd.openxmlformats-officedocument.drawingml.chart+xml"/>
  <Override PartName="/xl/drawings/drawing30.xml" ContentType="application/vnd.openxmlformats-officedocument.drawing+xml"/>
  <Override PartName="/xl/charts/chart256.xml" ContentType="application/vnd.openxmlformats-officedocument.drawingml.chart+xml"/>
  <Override PartName="/xl/charts/chart267.xml" ContentType="application/vnd.openxmlformats-officedocument.drawingml.chart+xml"/>
  <Override PartName="/xl/worksheets/sheet28.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223.xml" ContentType="application/vnd.openxmlformats-officedocument.drawingml.chart+xml"/>
  <Override PartName="/xl/charts/chart270.xml" ContentType="application/vnd.openxmlformats-officedocument.drawingml.chart+xml"/>
  <Override PartName="/xl/drawings/drawing6.xml" ContentType="application/vnd.openxmlformats-officedocument.drawing+xml"/>
  <Override PartName="/xl/charts/chart149.xml" ContentType="application/vnd.openxmlformats-officedocument.drawingml.chart+xml"/>
  <Override PartName="/xl/charts/chart196.xml" ContentType="application/vnd.openxmlformats-officedocument.drawingml.chart+xml"/>
  <Override PartName="/xl/charts/chart201.xml" ContentType="application/vnd.openxmlformats-officedocument.drawingml.chart+xml"/>
  <Override PartName="/xl/charts/chart212.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35.xml" ContentType="application/vnd.openxmlformats-officedocument.drawing+xml"/>
  <Override PartName="/xl/charts/chart56.xml" ContentType="application/vnd.openxmlformats-officedocument.drawingml.chart+xml"/>
  <Override PartName="/xl/drawings/drawing13.xml" ContentType="application/vnd.openxmlformats-officedocument.drawing+xml"/>
  <Override PartName="/xl/charts/chart105.xml" ContentType="application/vnd.openxmlformats-officedocument.drawingml.chart+xml"/>
  <Override PartName="/xl/charts/chart152.xml" ContentType="application/vnd.openxmlformats-officedocument.drawingml.chart+xml"/>
  <Override PartName="/xl/drawings/drawing24.xml" ContentType="application/vnd.openxmlformats-officedocument.drawing+xml"/>
  <Override PartName="/xl/charts/chart297.xml" ContentType="application/vnd.openxmlformats-officedocument.drawingml.chart+xml"/>
  <Override PartName="/xl/charts/chart302.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harts/chart228.xml" ContentType="application/vnd.openxmlformats-officedocument.drawingml.chart+xml"/>
  <Override PartName="/xl/charts/chart239.xml" ContentType="application/vnd.openxmlformats-officedocument.drawingml.chart+xml"/>
  <Override PartName="/xl/charts/chart275.xml" ContentType="application/vnd.openxmlformats-officedocument.drawingml.chart+xml"/>
  <Override PartName="/xl/charts/chart286.xml" ContentType="application/vnd.openxmlformats-officedocument.drawingml.char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217.xml" ContentType="application/vnd.openxmlformats-officedocument.drawingml.chart+xml"/>
  <Override PartName="/xl/charts/chart264.xml" ContentType="application/vnd.openxmlformats-officedocument.drawingml.chart+xml"/>
  <Override PartName="/xl/charts/chart12.xml" ContentType="application/vnd.openxmlformats-officedocument.drawingml.chart+xml"/>
  <Override PartName="/xl/charts/chart206.xml" ContentType="application/vnd.openxmlformats-officedocument.drawingml.chart+xml"/>
  <Override PartName="/xl/charts/chart253.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charts/chart231.xml" ContentType="application/vnd.openxmlformats-officedocument.drawingml.chart+xml"/>
  <Override PartName="/xl/charts/chart242.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220.xml" ContentType="application/vnd.openxmlformats-officedocument.drawingml.chart+xml"/>
  <Override PartName="/xl/drawings/drawing29.xml" ContentType="application/vnd.openxmlformats-officedocument.drawing+xml"/>
  <Override PartName="/xl/charts/chart97.xml" ContentType="application/vnd.openxmlformats-officedocument.drawingml.chart+xml"/>
  <Override PartName="/xl/drawings/drawing18.xml" ContentType="application/vnd.openxmlformats-officedocument.drawing+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39.xml" ContentType="application/vnd.openxmlformats-officedocument.drawingml.chart+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drawings/drawing32.xml" ContentType="application/vnd.openxmlformats-officedocument.drawing+xml"/>
  <Override PartName="/xl/charts/chart269.xml" ContentType="application/vnd.openxmlformats-officedocument.drawingml.chart+xml"/>
  <Override PartName="/xl/charts/chart17.xml" ContentType="application/vnd.openxmlformats-officedocument.drawingml.chart+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drawings/drawing21.xml" ContentType="application/vnd.openxmlformats-officedocument.drawing+xml"/>
  <Override PartName="/xl/charts/chart160.xml" ContentType="application/vnd.openxmlformats-officedocument.drawingml.chart+xml"/>
  <Override PartName="/xl/charts/chart247.xml" ContentType="application/vnd.openxmlformats-officedocument.drawingml.chart+xml"/>
  <Override PartName="/xl/charts/chart258.xml" ContentType="application/vnd.openxmlformats-officedocument.drawingml.chart+xml"/>
  <Override PartName="/xl/charts/chart294.xml" ContentType="application/vnd.openxmlformats-officedocument.drawingml.chart+xml"/>
  <Override PartName="/xl/worksheets/sheet19.xml" ContentType="application/vnd.openxmlformats-officedocument.spreadsheetml.worksheet+xml"/>
  <Override PartName="/xl/charts/chart42.xml" ContentType="application/vnd.openxmlformats-officedocument.drawingml.chart+xml"/>
  <Override PartName="/xl/drawings/drawing10.xml" ContentType="application/vnd.openxmlformats-officedocument.drawing+xml"/>
  <Override PartName="/xl/charts/chart102.xml" ContentType="application/vnd.openxmlformats-officedocument.drawingml.chart+xml"/>
  <Override PartName="/xl/charts/chart236.xml" ContentType="application/vnd.openxmlformats-officedocument.drawingml.chart+xml"/>
  <Override PartName="/xl/charts/chart283.xml" ContentType="application/vnd.openxmlformats-officedocument.drawingml.chart+xml"/>
  <Override PartName="/xl/charts/chart31.xml" ContentType="application/vnd.openxmlformats-officedocument.drawingml.chart+xml"/>
  <Override PartName="/xl/charts/chart225.xml" ContentType="application/vnd.openxmlformats-officedocument.drawingml.chart+xml"/>
  <Override PartName="/xl/charts/chart272.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charts/chart203.xml" ContentType="application/vnd.openxmlformats-officedocument.drawingml.chart+xml"/>
  <Override PartName="/xl/charts/chart214.xml" ContentType="application/vnd.openxmlformats-officedocument.drawingml.chart+xml"/>
  <Override PartName="/xl/charts/chart250.xml" ContentType="application/vnd.openxmlformats-officedocument.drawingml.chart+xml"/>
  <Override PartName="/xl/charts/chart261.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charts/chart187.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drawings/drawing37.xml" ContentType="application/vnd.openxmlformats-officedocument.drawing+xml"/>
  <Default Extension="rels" ContentType="application/vnd.openxmlformats-package.relationships+xml"/>
  <Override PartName="/xl/charts/chart58.xml" ContentType="application/vnd.openxmlformats-officedocument.drawingml.chart+xml"/>
  <Override PartName="/xl/drawings/drawing15.xml" ContentType="application/vnd.openxmlformats-officedocument.drawing+xml"/>
  <Override PartName="/xl/charts/chart107.xml" ContentType="application/vnd.openxmlformats-officedocument.drawingml.chart+xml"/>
  <Override PartName="/xl/charts/chart154.xml" ContentType="application/vnd.openxmlformats-officedocument.drawingml.chart+xml"/>
  <Override PartName="/xl/drawings/drawing26.xml" ContentType="application/vnd.openxmlformats-officedocument.drawing+xml"/>
  <Override PartName="/xl/charts/chart299.xml" ContentType="application/vnd.openxmlformats-officedocument.drawingml.chart+xml"/>
  <Override PartName="/xl/charts/chart304.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77.xml" ContentType="application/vnd.openxmlformats-officedocument.drawingml.chart+xml"/>
  <Override PartName="/xl/charts/chart288.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charts/chart219.xml" ContentType="application/vnd.openxmlformats-officedocument.drawingml.chart+xml"/>
  <Override PartName="/xl/charts/chart266.xml" ContentType="application/vnd.openxmlformats-officedocument.drawingml.char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worksheets/sheet27.xml" ContentType="application/vnd.openxmlformats-officedocument.spreadsheetml.worksheet+xml"/>
  <Override PartName="/xl/charts/chart50.xml" ContentType="application/vnd.openxmlformats-officedocument.drawingml.chart+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291.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222.xml" ContentType="application/vnd.openxmlformats-officedocument.drawingml.chart+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ml.chartshapes+xml"/>
  <Override PartName="/xl/charts/chart88.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charts/chart77.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drawings/drawing34.xml" ContentType="application/vnd.openxmlformats-officedocument.drawing+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drawings/drawing23.xml" ContentType="application/vnd.openxmlformats-officedocument.drawing+xml"/>
  <Override PartName="/xl/charts/chart249.xml" ContentType="application/vnd.openxmlformats-officedocument.drawingml.chart+xml"/>
  <Override PartName="/xl/charts/chart296.xml" ContentType="application/vnd.openxmlformats-officedocument.drawingml.chart+xml"/>
  <Override PartName="/xl/charts/chart301.xml" ContentType="application/vnd.openxmlformats-officedocument.drawingml.chart+xml"/>
  <Override PartName="/xl/charts/chart44.xml" ContentType="application/vnd.openxmlformats-officedocument.drawingml.chart+xml"/>
  <Override PartName="/xl/drawings/drawing12.xml" ContentType="application/vnd.openxmlformats-officedocument.drawing+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worksheets/sheet24.xml" ContentType="application/vnd.openxmlformats-officedocument.spreadsheetml.worksheet+xml"/>
  <Override PartName="/xl/charts/chart241.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48" windowWidth="12384" windowHeight="6528" tabRatio="396" activeTab="2"/>
  </bookViews>
  <sheets>
    <sheet name="Description and Assumptions" sheetId="54" r:id="rId1"/>
    <sheet name="Detention" sheetId="29" r:id="rId2"/>
    <sheet name="Media filter" sheetId="51" r:id="rId3"/>
    <sheet name="Northeast-DT" sheetId="36" state="hidden" r:id="rId4"/>
    <sheet name="Northeast-MF" sheetId="14" state="hidden" r:id="rId5"/>
    <sheet name="Northeast Coastal-DT" sheetId="35" state="hidden" r:id="rId6"/>
    <sheet name="Northeast Coastal-MF" sheetId="16" state="hidden" r:id="rId7"/>
    <sheet name="Mid-Atlantic-DT" sheetId="38" state="hidden" r:id="rId8"/>
    <sheet name="Mid-Atlantic-MF" sheetId="17" state="hidden" r:id="rId9"/>
    <sheet name="Central-DT" sheetId="39" state="hidden" r:id="rId10"/>
    <sheet name="Central-MF" sheetId="18" state="hidden" r:id="rId11"/>
    <sheet name="North Central-DT" sheetId="40" state="hidden" r:id="rId12"/>
    <sheet name="North Central-MF" sheetId="19" state="hidden" r:id="rId13"/>
    <sheet name="Southeast-DT" sheetId="41" state="hidden" r:id="rId14"/>
    <sheet name="Southeast-MF" sheetId="20" state="hidden" r:id="rId15"/>
    <sheet name="East Gulf-DT" sheetId="42" state="hidden" r:id="rId16"/>
    <sheet name="East Gulf-MF" sheetId="9" state="hidden" r:id="rId17"/>
    <sheet name="East Texas-DT" sheetId="43" state="hidden" r:id="rId18"/>
    <sheet name="East Texas-MF" sheetId="21" state="hidden" r:id="rId19"/>
    <sheet name="West Texas-DT" sheetId="44" state="hidden" r:id="rId20"/>
    <sheet name="West Texas-MF" sheetId="22" state="hidden" r:id="rId21"/>
    <sheet name="Southwest-DT" sheetId="45" state="hidden" r:id="rId22"/>
    <sheet name="Southwest-MF" sheetId="23" state="hidden" r:id="rId23"/>
    <sheet name="West Inland-DT" sheetId="46" state="hidden" r:id="rId24"/>
    <sheet name="West Inland-MF" sheetId="24" state="hidden" r:id="rId25"/>
    <sheet name="Pacific Southwest-DT" sheetId="30" state="hidden" r:id="rId26"/>
    <sheet name="Pacific Southwest-MF" sheetId="25" state="hidden" r:id="rId27"/>
    <sheet name="Northwest Inland-DT" sheetId="47" state="hidden" r:id="rId28"/>
    <sheet name="Northwest Inland-MF" sheetId="26" state="hidden" r:id="rId29"/>
    <sheet name="Pacific Central-DT" sheetId="48" state="hidden" r:id="rId30"/>
    <sheet name="Pacific Central-MF" sheetId="27" state="hidden" r:id="rId31"/>
    <sheet name="Pacific Northwest-DT" sheetId="49" state="hidden" r:id="rId32"/>
    <sheet name="Pacific Northwest-MF" sheetId="28" state="hidden" r:id="rId33"/>
    <sheet name="rain zones" sheetId="13" state="hidden" r:id="rId34"/>
    <sheet name="Example SWMM files" sheetId="53" state="hidden" r:id="rId35"/>
  </sheets>
  <calcPr calcId="125725"/>
</workbook>
</file>

<file path=xl/calcChain.xml><?xml version="1.0" encoding="utf-8"?>
<calcChain xmlns="http://schemas.openxmlformats.org/spreadsheetml/2006/main">
  <c r="H15" i="51"/>
  <c r="G15"/>
  <c r="H20" i="29"/>
  <c r="G20"/>
  <c r="C49"/>
  <c r="D11" i="51" l="1"/>
  <c r="D10"/>
  <c r="BE4" i="16"/>
  <c r="E31" i="19"/>
  <c r="BO4"/>
  <c r="A50" i="14"/>
  <c r="A39"/>
  <c r="A50" i="16"/>
  <c r="A39"/>
  <c r="A50" i="17"/>
  <c r="A39"/>
  <c r="A50" i="18"/>
  <c r="E45"/>
  <c r="A39"/>
  <c r="A50" i="19"/>
  <c r="A39"/>
  <c r="A50" i="20"/>
  <c r="A39"/>
  <c r="A50" i="9"/>
  <c r="A39"/>
  <c r="A50" i="21"/>
  <c r="A39"/>
  <c r="A50" i="22"/>
  <c r="A39"/>
  <c r="A50" i="23"/>
  <c r="A39"/>
  <c r="A50" i="24"/>
  <c r="A39"/>
  <c r="A50" i="25"/>
  <c r="A39"/>
  <c r="A50" i="26"/>
  <c r="F42"/>
  <c r="B41"/>
  <c r="A39"/>
  <c r="A25" i="14"/>
  <c r="A25" i="16"/>
  <c r="A25" i="17"/>
  <c r="A25" i="18"/>
  <c r="A25" i="19"/>
  <c r="A25" i="20"/>
  <c r="A25" i="9"/>
  <c r="A25" i="21"/>
  <c r="A25" i="22"/>
  <c r="A25" i="23"/>
  <c r="A25" i="24"/>
  <c r="A25" i="25"/>
  <c r="A25" i="26"/>
  <c r="BO9" i="14"/>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16"/>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F41"/>
  <c r="BC4"/>
  <c r="C41" s="1"/>
  <c r="AU4"/>
  <c r="E41" s="1"/>
  <c r="AS4"/>
  <c r="B41" s="1"/>
  <c r="BO9" i="17"/>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18"/>
  <c r="G46" s="1"/>
  <c r="BM9"/>
  <c r="D46" s="1"/>
  <c r="BE9"/>
  <c r="F46" s="1"/>
  <c r="BC9"/>
  <c r="C46" s="1"/>
  <c r="AU9"/>
  <c r="E46" s="1"/>
  <c r="AS9"/>
  <c r="B46" s="1"/>
  <c r="BO8"/>
  <c r="G45" s="1"/>
  <c r="BM8"/>
  <c r="D45" s="1"/>
  <c r="BE8"/>
  <c r="F45" s="1"/>
  <c r="BC8"/>
  <c r="C45" s="1"/>
  <c r="AU8"/>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19"/>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G41"/>
  <c r="BM4"/>
  <c r="D41" s="1"/>
  <c r="BE4"/>
  <c r="F41" s="1"/>
  <c r="BC4"/>
  <c r="C41" s="1"/>
  <c r="AU4"/>
  <c r="E41" s="1"/>
  <c r="AS4"/>
  <c r="B41" s="1"/>
  <c r="BO9" i="20"/>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9"/>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21"/>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22"/>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23"/>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24"/>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BO9" i="25"/>
  <c r="G46" s="1"/>
  <c r="G57" s="1"/>
  <c r="BM9"/>
  <c r="D46" s="1"/>
  <c r="BE9"/>
  <c r="F46" s="1"/>
  <c r="F57" s="1"/>
  <c r="BC9"/>
  <c r="C46" s="1"/>
  <c r="AU9"/>
  <c r="E46" s="1"/>
  <c r="E57" s="1"/>
  <c r="AS9"/>
  <c r="B46" s="1"/>
  <c r="BO8"/>
  <c r="G45" s="1"/>
  <c r="G56" s="1"/>
  <c r="BM8"/>
  <c r="D45" s="1"/>
  <c r="BE8"/>
  <c r="F45" s="1"/>
  <c r="F56" s="1"/>
  <c r="BC8"/>
  <c r="C45" s="1"/>
  <c r="AU8"/>
  <c r="E45" s="1"/>
  <c r="E56" s="1"/>
  <c r="AS8"/>
  <c r="B45" s="1"/>
  <c r="BO7"/>
  <c r="G44" s="1"/>
  <c r="G55" s="1"/>
  <c r="BM7"/>
  <c r="D44" s="1"/>
  <c r="BE7"/>
  <c r="F44" s="1"/>
  <c r="F55" s="1"/>
  <c r="BC7"/>
  <c r="C44" s="1"/>
  <c r="AU7"/>
  <c r="E44" s="1"/>
  <c r="E55" s="1"/>
  <c r="AS7"/>
  <c r="B44" s="1"/>
  <c r="BO6"/>
  <c r="G43" s="1"/>
  <c r="G54" s="1"/>
  <c r="BM6"/>
  <c r="D43" s="1"/>
  <c r="BE6"/>
  <c r="F43" s="1"/>
  <c r="F54" s="1"/>
  <c r="BC6"/>
  <c r="C43" s="1"/>
  <c r="AU6"/>
  <c r="E43" s="1"/>
  <c r="E54" s="1"/>
  <c r="AS6"/>
  <c r="B43" s="1"/>
  <c r="BO5"/>
  <c r="G42" s="1"/>
  <c r="G53" s="1"/>
  <c r="BM5"/>
  <c r="D42" s="1"/>
  <c r="BE5"/>
  <c r="F42" s="1"/>
  <c r="F53" s="1"/>
  <c r="BC5"/>
  <c r="C42" s="1"/>
  <c r="AU5"/>
  <c r="E42" s="1"/>
  <c r="E53" s="1"/>
  <c r="AS5"/>
  <c r="B42" s="1"/>
  <c r="BO4"/>
  <c r="G41" s="1"/>
  <c r="G52" s="1"/>
  <c r="BM4"/>
  <c r="D41" s="1"/>
  <c r="BE4"/>
  <c r="F41" s="1"/>
  <c r="F52" s="1"/>
  <c r="BC4"/>
  <c r="C41" s="1"/>
  <c r="AU4"/>
  <c r="E41" s="1"/>
  <c r="E52" s="1"/>
  <c r="AS4"/>
  <c r="B41" s="1"/>
  <c r="BO9" i="26"/>
  <c r="G46" s="1"/>
  <c r="BM9"/>
  <c r="D46" s="1"/>
  <c r="D57" s="1"/>
  <c r="BE9"/>
  <c r="F46" s="1"/>
  <c r="BC9"/>
  <c r="C46" s="1"/>
  <c r="C57" s="1"/>
  <c r="AU9"/>
  <c r="E46" s="1"/>
  <c r="AS9"/>
  <c r="B46" s="1"/>
  <c r="B57" s="1"/>
  <c r="BO8"/>
  <c r="G45" s="1"/>
  <c r="BM8"/>
  <c r="D45" s="1"/>
  <c r="D56" s="1"/>
  <c r="BE8"/>
  <c r="F45" s="1"/>
  <c r="BC8"/>
  <c r="C45" s="1"/>
  <c r="C56" s="1"/>
  <c r="AU8"/>
  <c r="E45" s="1"/>
  <c r="AS8"/>
  <c r="B45" s="1"/>
  <c r="B56" s="1"/>
  <c r="BO7"/>
  <c r="G44" s="1"/>
  <c r="BM7"/>
  <c r="D44" s="1"/>
  <c r="D55" s="1"/>
  <c r="BE7"/>
  <c r="F44" s="1"/>
  <c r="BC7"/>
  <c r="C44" s="1"/>
  <c r="C55" s="1"/>
  <c r="AU7"/>
  <c r="E44" s="1"/>
  <c r="AS7"/>
  <c r="B44" s="1"/>
  <c r="B55" s="1"/>
  <c r="BO6"/>
  <c r="G43" s="1"/>
  <c r="BM6"/>
  <c r="D43" s="1"/>
  <c r="D54" s="1"/>
  <c r="BE6"/>
  <c r="F43" s="1"/>
  <c r="BC6"/>
  <c r="C43" s="1"/>
  <c r="C54" s="1"/>
  <c r="AU6"/>
  <c r="E43" s="1"/>
  <c r="AS6"/>
  <c r="B43" s="1"/>
  <c r="B54" s="1"/>
  <c r="BO5"/>
  <c r="G42" s="1"/>
  <c r="BM5"/>
  <c r="D42" s="1"/>
  <c r="D53" s="1"/>
  <c r="BE5"/>
  <c r="BC5"/>
  <c r="C42" s="1"/>
  <c r="C53" s="1"/>
  <c r="AU5"/>
  <c r="E42" s="1"/>
  <c r="AS5"/>
  <c r="B42" s="1"/>
  <c r="B53" s="1"/>
  <c r="BO4"/>
  <c r="G41" s="1"/>
  <c r="BM4"/>
  <c r="D41" s="1"/>
  <c r="D52" s="1"/>
  <c r="BE4"/>
  <c r="F41" s="1"/>
  <c r="BC4"/>
  <c r="C41" s="1"/>
  <c r="C52" s="1"/>
  <c r="AU4"/>
  <c r="E41" s="1"/>
  <c r="AS4"/>
  <c r="BO9" i="27"/>
  <c r="G46" s="1"/>
  <c r="BM9"/>
  <c r="D46" s="1"/>
  <c r="BE9"/>
  <c r="F46" s="1"/>
  <c r="BC9"/>
  <c r="C46" s="1"/>
  <c r="AU9"/>
  <c r="E46" s="1"/>
  <c r="AS9"/>
  <c r="B46" s="1"/>
  <c r="BO8"/>
  <c r="G45" s="1"/>
  <c r="BM8"/>
  <c r="D45" s="1"/>
  <c r="BE8"/>
  <c r="F45" s="1"/>
  <c r="BC8"/>
  <c r="C45" s="1"/>
  <c r="AU8"/>
  <c r="E45" s="1"/>
  <c r="AS8"/>
  <c r="B45" s="1"/>
  <c r="BO7"/>
  <c r="G44" s="1"/>
  <c r="BM7"/>
  <c r="D44" s="1"/>
  <c r="BE7"/>
  <c r="F44" s="1"/>
  <c r="BC7"/>
  <c r="C44" s="1"/>
  <c r="AU7"/>
  <c r="E44" s="1"/>
  <c r="AS7"/>
  <c r="B44" s="1"/>
  <c r="BO6"/>
  <c r="G43" s="1"/>
  <c r="BM6"/>
  <c r="D43" s="1"/>
  <c r="BE6"/>
  <c r="F43" s="1"/>
  <c r="BC6"/>
  <c r="C43" s="1"/>
  <c r="AU6"/>
  <c r="E43" s="1"/>
  <c r="AS6"/>
  <c r="B43" s="1"/>
  <c r="BO5"/>
  <c r="G42" s="1"/>
  <c r="BM5"/>
  <c r="D42" s="1"/>
  <c r="BE5"/>
  <c r="F42" s="1"/>
  <c r="BC5"/>
  <c r="C42" s="1"/>
  <c r="AU5"/>
  <c r="E42" s="1"/>
  <c r="AS5"/>
  <c r="B42" s="1"/>
  <c r="BO4"/>
  <c r="G41" s="1"/>
  <c r="BM4"/>
  <c r="D41" s="1"/>
  <c r="BE4"/>
  <c r="F41" s="1"/>
  <c r="BC4"/>
  <c r="C41" s="1"/>
  <c r="AU4"/>
  <c r="E41" s="1"/>
  <c r="AS4"/>
  <c r="B41" s="1"/>
  <c r="A25"/>
  <c r="A50"/>
  <c r="A39"/>
  <c r="A25" i="28"/>
  <c r="G52" s="1"/>
  <c r="E18" i="51"/>
  <c r="D18"/>
  <c r="C18"/>
  <c r="A50" i="28"/>
  <c r="AA6" i="9"/>
  <c r="Q7" i="19"/>
  <c r="C30" i="28"/>
  <c r="BM4"/>
  <c r="D41" s="1"/>
  <c r="BM9"/>
  <c r="D46" s="1"/>
  <c r="BM8"/>
  <c r="D45" s="1"/>
  <c r="BM7"/>
  <c r="D44" s="1"/>
  <c r="BM6"/>
  <c r="D43" s="1"/>
  <c r="BM5"/>
  <c r="D42" s="1"/>
  <c r="BC4"/>
  <c r="C41" s="1"/>
  <c r="BC9"/>
  <c r="C46" s="1"/>
  <c r="BC8"/>
  <c r="C45" s="1"/>
  <c r="BC7"/>
  <c r="C44" s="1"/>
  <c r="BC6"/>
  <c r="C43" s="1"/>
  <c r="BC5"/>
  <c r="C42" s="1"/>
  <c r="AS9"/>
  <c r="B46" s="1"/>
  <c r="AS8"/>
  <c r="B45" s="1"/>
  <c r="AS7"/>
  <c r="B44" s="1"/>
  <c r="AS6"/>
  <c r="B43" s="1"/>
  <c r="AS5"/>
  <c r="B42" s="1"/>
  <c r="AS4"/>
  <c r="B41" s="1"/>
  <c r="BO9"/>
  <c r="G46" s="1"/>
  <c r="BE9"/>
  <c r="F46" s="1"/>
  <c r="AU9"/>
  <c r="E46" s="1"/>
  <c r="BO8"/>
  <c r="G45" s="1"/>
  <c r="BE8"/>
  <c r="F45" s="1"/>
  <c r="AU8"/>
  <c r="E45" s="1"/>
  <c r="BO7"/>
  <c r="G44" s="1"/>
  <c r="BE7"/>
  <c r="F44" s="1"/>
  <c r="AU7"/>
  <c r="E44" s="1"/>
  <c r="BO6"/>
  <c r="G43" s="1"/>
  <c r="BE6"/>
  <c r="F43" s="1"/>
  <c r="AU6"/>
  <c r="E43" s="1"/>
  <c r="BO5"/>
  <c r="G42" s="1"/>
  <c r="BE5"/>
  <c r="F42" s="1"/>
  <c r="AU5"/>
  <c r="E42" s="1"/>
  <c r="BO4"/>
  <c r="G41" s="1"/>
  <c r="BE4"/>
  <c r="F41" s="1"/>
  <c r="AU4"/>
  <c r="E41" s="1"/>
  <c r="A39"/>
  <c r="I15" i="51"/>
  <c r="F15"/>
  <c r="E15"/>
  <c r="D15"/>
  <c r="C15"/>
  <c r="E52" i="26" l="1"/>
  <c r="F52"/>
  <c r="G52"/>
  <c r="E53"/>
  <c r="G53"/>
  <c r="E54"/>
  <c r="F54"/>
  <c r="G54"/>
  <c r="E55"/>
  <c r="F55"/>
  <c r="G55"/>
  <c r="E56"/>
  <c r="F56"/>
  <c r="G56"/>
  <c r="E57"/>
  <c r="F57"/>
  <c r="G57"/>
  <c r="E57" i="17"/>
  <c r="B52" i="25"/>
  <c r="C52"/>
  <c r="D52"/>
  <c r="B53"/>
  <c r="C53"/>
  <c r="D53"/>
  <c r="B54"/>
  <c r="C54"/>
  <c r="D54"/>
  <c r="B55"/>
  <c r="C55"/>
  <c r="D55"/>
  <c r="B56"/>
  <c r="C56"/>
  <c r="D56"/>
  <c r="B57"/>
  <c r="C57"/>
  <c r="D57"/>
  <c r="E57" i="9"/>
  <c r="E57" i="21"/>
  <c r="E57" i="23"/>
  <c r="B52" i="24"/>
  <c r="D52"/>
  <c r="F52"/>
  <c r="B53"/>
  <c r="D53"/>
  <c r="F53"/>
  <c r="B54"/>
  <c r="D54"/>
  <c r="F54"/>
  <c r="B55"/>
  <c r="D55"/>
  <c r="F55"/>
  <c r="B56"/>
  <c r="D56"/>
  <c r="F56"/>
  <c r="B57"/>
  <c r="D57"/>
  <c r="F57"/>
  <c r="B52" i="23"/>
  <c r="D52"/>
  <c r="F52"/>
  <c r="B53"/>
  <c r="D53"/>
  <c r="F53"/>
  <c r="B54"/>
  <c r="D54"/>
  <c r="F54"/>
  <c r="B55"/>
  <c r="D55"/>
  <c r="F55"/>
  <c r="B56"/>
  <c r="D56"/>
  <c r="F56"/>
  <c r="B57"/>
  <c r="D57"/>
  <c r="F57"/>
  <c r="E52"/>
  <c r="C53"/>
  <c r="G53"/>
  <c r="E54"/>
  <c r="C55"/>
  <c r="G55"/>
  <c r="E56"/>
  <c r="C57"/>
  <c r="G57"/>
  <c r="B52" i="22"/>
  <c r="D52"/>
  <c r="F52"/>
  <c r="B53"/>
  <c r="D53"/>
  <c r="F53"/>
  <c r="B54"/>
  <c r="D54"/>
  <c r="F54"/>
  <c r="B55"/>
  <c r="D55"/>
  <c r="F55"/>
  <c r="B56"/>
  <c r="D56"/>
  <c r="F56"/>
  <c r="B57"/>
  <c r="D57"/>
  <c r="F57"/>
  <c r="B52" i="21"/>
  <c r="D52"/>
  <c r="F52"/>
  <c r="B53"/>
  <c r="D53"/>
  <c r="F53"/>
  <c r="B54"/>
  <c r="D54"/>
  <c r="F54"/>
  <c r="B55"/>
  <c r="D55"/>
  <c r="F55"/>
  <c r="B56"/>
  <c r="D56"/>
  <c r="F56"/>
  <c r="B57"/>
  <c r="D57"/>
  <c r="F57"/>
  <c r="E52"/>
  <c r="C53"/>
  <c r="G53"/>
  <c r="E54"/>
  <c r="C55"/>
  <c r="G55"/>
  <c r="E56"/>
  <c r="C57"/>
  <c r="G57"/>
  <c r="B52" i="9"/>
  <c r="D52"/>
  <c r="F52"/>
  <c r="B53"/>
  <c r="D53"/>
  <c r="F53"/>
  <c r="B54"/>
  <c r="D54"/>
  <c r="F54"/>
  <c r="B55"/>
  <c r="D55"/>
  <c r="F55"/>
  <c r="B56"/>
  <c r="D56"/>
  <c r="F56"/>
  <c r="B57"/>
  <c r="D57"/>
  <c r="F57"/>
  <c r="E52"/>
  <c r="C53"/>
  <c r="G53"/>
  <c r="E54"/>
  <c r="C55"/>
  <c r="G55"/>
  <c r="E56"/>
  <c r="C57"/>
  <c r="G57"/>
  <c r="B52" i="20"/>
  <c r="D52"/>
  <c r="F52"/>
  <c r="B53"/>
  <c r="D53"/>
  <c r="F53"/>
  <c r="B54"/>
  <c r="D54"/>
  <c r="F54"/>
  <c r="B55"/>
  <c r="D55"/>
  <c r="F55"/>
  <c r="B56"/>
  <c r="D56"/>
  <c r="F56"/>
  <c r="B57"/>
  <c r="D57"/>
  <c r="F57"/>
  <c r="B52" i="19"/>
  <c r="D52"/>
  <c r="F52"/>
  <c r="B53"/>
  <c r="D53"/>
  <c r="F53"/>
  <c r="B54"/>
  <c r="D54"/>
  <c r="F54"/>
  <c r="B55"/>
  <c r="D55"/>
  <c r="F55"/>
  <c r="B56"/>
  <c r="D56"/>
  <c r="F56"/>
  <c r="B57"/>
  <c r="D57"/>
  <c r="F57"/>
  <c r="B52" i="18"/>
  <c r="D52"/>
  <c r="F52"/>
  <c r="B53"/>
  <c r="D53"/>
  <c r="F53"/>
  <c r="B54"/>
  <c r="D54"/>
  <c r="F54"/>
  <c r="B55"/>
  <c r="D55"/>
  <c r="F55"/>
  <c r="B56"/>
  <c r="D56"/>
  <c r="F56"/>
  <c r="B57"/>
  <c r="D57"/>
  <c r="F57"/>
  <c r="B52" i="17"/>
  <c r="D52"/>
  <c r="F52"/>
  <c r="B53"/>
  <c r="D53"/>
  <c r="F53"/>
  <c r="B54"/>
  <c r="D54"/>
  <c r="F54"/>
  <c r="B55"/>
  <c r="D55"/>
  <c r="F55"/>
  <c r="B56"/>
  <c r="D56"/>
  <c r="F56"/>
  <c r="B57"/>
  <c r="D57"/>
  <c r="F57"/>
  <c r="E52"/>
  <c r="C53"/>
  <c r="G53"/>
  <c r="E54"/>
  <c r="C55"/>
  <c r="G55"/>
  <c r="E56"/>
  <c r="C57"/>
  <c r="G57"/>
  <c r="B52" i="16"/>
  <c r="D52"/>
  <c r="F52"/>
  <c r="B53"/>
  <c r="D53"/>
  <c r="F53"/>
  <c r="B54"/>
  <c r="D54"/>
  <c r="F54"/>
  <c r="B55"/>
  <c r="D55"/>
  <c r="F55"/>
  <c r="B56"/>
  <c r="D56"/>
  <c r="F56"/>
  <c r="B57"/>
  <c r="D57"/>
  <c r="F57"/>
  <c r="B52" i="14"/>
  <c r="D52"/>
  <c r="F52"/>
  <c r="B53"/>
  <c r="D53"/>
  <c r="F53"/>
  <c r="B54"/>
  <c r="D54"/>
  <c r="F54"/>
  <c r="B55"/>
  <c r="D55"/>
  <c r="F55"/>
  <c r="B56"/>
  <c r="D56"/>
  <c r="F56"/>
  <c r="B57"/>
  <c r="D57"/>
  <c r="F57"/>
  <c r="C52" i="24"/>
  <c r="E52"/>
  <c r="G52"/>
  <c r="C53"/>
  <c r="E53"/>
  <c r="G53"/>
  <c r="C54"/>
  <c r="E54"/>
  <c r="G54"/>
  <c r="C55"/>
  <c r="E55"/>
  <c r="G55"/>
  <c r="C56"/>
  <c r="E56"/>
  <c r="G56"/>
  <c r="C57"/>
  <c r="E57"/>
  <c r="G57"/>
  <c r="C52" i="23"/>
  <c r="G52"/>
  <c r="E53"/>
  <c r="C54"/>
  <c r="G54"/>
  <c r="E55"/>
  <c r="C56"/>
  <c r="G56"/>
  <c r="C52" i="22"/>
  <c r="E52"/>
  <c r="G52"/>
  <c r="C53"/>
  <c r="E53"/>
  <c r="G53"/>
  <c r="C54"/>
  <c r="E54"/>
  <c r="G54"/>
  <c r="C55"/>
  <c r="E55"/>
  <c r="G55"/>
  <c r="C56"/>
  <c r="E56"/>
  <c r="G56"/>
  <c r="C57"/>
  <c r="E57"/>
  <c r="G57"/>
  <c r="C52" i="21"/>
  <c r="G52"/>
  <c r="E53"/>
  <c r="C54"/>
  <c r="G54"/>
  <c r="E55"/>
  <c r="C56"/>
  <c r="G56"/>
  <c r="C52" i="9"/>
  <c r="G52"/>
  <c r="E53"/>
  <c r="C54"/>
  <c r="G54"/>
  <c r="E55"/>
  <c r="C56"/>
  <c r="G56"/>
  <c r="C52" i="20"/>
  <c r="E52"/>
  <c r="G52"/>
  <c r="C53"/>
  <c r="E53"/>
  <c r="G53"/>
  <c r="C54"/>
  <c r="E54"/>
  <c r="G54"/>
  <c r="C55"/>
  <c r="E55"/>
  <c r="G55"/>
  <c r="C56"/>
  <c r="E56"/>
  <c r="G56"/>
  <c r="C57"/>
  <c r="E57"/>
  <c r="G57"/>
  <c r="C52" i="19"/>
  <c r="E52"/>
  <c r="G52"/>
  <c r="C53"/>
  <c r="E53"/>
  <c r="G53"/>
  <c r="C54"/>
  <c r="E54"/>
  <c r="G54"/>
  <c r="C55"/>
  <c r="E55"/>
  <c r="G55"/>
  <c r="C56"/>
  <c r="E56"/>
  <c r="G56"/>
  <c r="C57"/>
  <c r="E57"/>
  <c r="G57"/>
  <c r="C52" i="18"/>
  <c r="E52"/>
  <c r="G52"/>
  <c r="C53"/>
  <c r="E53"/>
  <c r="G53"/>
  <c r="C54"/>
  <c r="E54"/>
  <c r="G54"/>
  <c r="C55"/>
  <c r="E55"/>
  <c r="G55"/>
  <c r="C56"/>
  <c r="E56"/>
  <c r="G56"/>
  <c r="C57"/>
  <c r="E57"/>
  <c r="G57"/>
  <c r="C52" i="17"/>
  <c r="G52"/>
  <c r="E53"/>
  <c r="C54"/>
  <c r="G54"/>
  <c r="E55"/>
  <c r="C56"/>
  <c r="G56"/>
  <c r="C52" i="16"/>
  <c r="E52"/>
  <c r="G52"/>
  <c r="C53"/>
  <c r="E53"/>
  <c r="G53"/>
  <c r="C54"/>
  <c r="E54"/>
  <c r="G54"/>
  <c r="C55"/>
  <c r="E55"/>
  <c r="G55"/>
  <c r="C56"/>
  <c r="E56"/>
  <c r="G56"/>
  <c r="C57"/>
  <c r="E57"/>
  <c r="G57"/>
  <c r="C52" i="14"/>
  <c r="E52"/>
  <c r="G52"/>
  <c r="C53"/>
  <c r="E53"/>
  <c r="G53"/>
  <c r="C54"/>
  <c r="E54"/>
  <c r="G54"/>
  <c r="C55"/>
  <c r="E55"/>
  <c r="G55"/>
  <c r="C56"/>
  <c r="E56"/>
  <c r="G56"/>
  <c r="C57"/>
  <c r="E57"/>
  <c r="G57"/>
  <c r="B52" i="26"/>
  <c r="F53"/>
  <c r="B57" i="28"/>
  <c r="B55"/>
  <c r="B53"/>
  <c r="C57"/>
  <c r="C55"/>
  <c r="C53"/>
  <c r="D57"/>
  <c r="D55"/>
  <c r="D53"/>
  <c r="E57"/>
  <c r="E55"/>
  <c r="E53"/>
  <c r="F57"/>
  <c r="F56"/>
  <c r="F55"/>
  <c r="F54"/>
  <c r="F53"/>
  <c r="F52"/>
  <c r="B52"/>
  <c r="B56"/>
  <c r="B54"/>
  <c r="C52"/>
  <c r="C56"/>
  <c r="C54"/>
  <c r="D52"/>
  <c r="D56"/>
  <c r="D54"/>
  <c r="E52"/>
  <c r="E56"/>
  <c r="E54"/>
  <c r="G57"/>
  <c r="G56"/>
  <c r="G55"/>
  <c r="G54"/>
  <c r="G53"/>
  <c r="G18" i="51"/>
  <c r="G17"/>
  <c r="J15"/>
  <c r="C48"/>
  <c r="B48" s="1"/>
  <c r="C47"/>
  <c r="B47" s="1"/>
  <c r="C46"/>
  <c r="B46" s="1"/>
  <c r="C45"/>
  <c r="B45" s="1"/>
  <c r="C44"/>
  <c r="B44" s="1"/>
  <c r="C43"/>
  <c r="B43" s="1"/>
  <c r="M42"/>
  <c r="I42"/>
  <c r="I20" i="29"/>
  <c r="J20" s="1"/>
  <c r="C7" i="45"/>
  <c r="C7" i="48"/>
  <c r="G7"/>
  <c r="L44" i="51"/>
  <c r="J43"/>
  <c r="K45"/>
  <c r="K46"/>
  <c r="K48"/>
  <c r="L47"/>
  <c r="K43"/>
  <c r="L43"/>
  <c r="K47"/>
  <c r="L48"/>
  <c r="L45"/>
  <c r="H43"/>
  <c r="K44"/>
  <c r="J46"/>
  <c r="J48"/>
  <c r="J44"/>
  <c r="J47"/>
  <c r="J45"/>
  <c r="L46"/>
  <c r="M43" l="1"/>
  <c r="M44"/>
  <c r="M45"/>
  <c r="M46"/>
  <c r="M47"/>
  <c r="M48"/>
  <c r="E43"/>
  <c r="E45"/>
  <c r="E48"/>
  <c r="E46"/>
  <c r="E44"/>
  <c r="E47"/>
  <c r="D48"/>
  <c r="D46"/>
  <c r="D44"/>
  <c r="D43"/>
  <c r="D47"/>
  <c r="D45"/>
  <c r="AE19" i="49"/>
  <c r="AC19"/>
  <c r="AB19"/>
  <c r="AA19"/>
  <c r="AD19" s="1"/>
  <c r="Z19"/>
  <c r="X19"/>
  <c r="T19"/>
  <c r="R19"/>
  <c r="Q19"/>
  <c r="P19"/>
  <c r="O19"/>
  <c r="M19"/>
  <c r="I19"/>
  <c r="G19"/>
  <c r="F19"/>
  <c r="E19"/>
  <c r="H19" s="1"/>
  <c r="D19"/>
  <c r="C19"/>
  <c r="CG26" s="1"/>
  <c r="B19"/>
  <c r="AE18"/>
  <c r="AC18"/>
  <c r="AB18"/>
  <c r="AA18"/>
  <c r="Z18"/>
  <c r="Y18" s="1"/>
  <c r="CI25" s="1"/>
  <c r="X18"/>
  <c r="T18"/>
  <c r="R18"/>
  <c r="Q18"/>
  <c r="P18"/>
  <c r="O18"/>
  <c r="M18"/>
  <c r="I18"/>
  <c r="G18"/>
  <c r="F18"/>
  <c r="E18"/>
  <c r="D18"/>
  <c r="C18"/>
  <c r="CG25" s="1"/>
  <c r="B18"/>
  <c r="AE17"/>
  <c r="AC17"/>
  <c r="AB17"/>
  <c r="AA17"/>
  <c r="Z17"/>
  <c r="X17"/>
  <c r="T17"/>
  <c r="R17"/>
  <c r="Q17"/>
  <c r="P17"/>
  <c r="O17"/>
  <c r="M17"/>
  <c r="I17"/>
  <c r="G17"/>
  <c r="F17"/>
  <c r="E17"/>
  <c r="D17"/>
  <c r="B17"/>
  <c r="AE16"/>
  <c r="AC16"/>
  <c r="AB16"/>
  <c r="AA16"/>
  <c r="AD16" s="1"/>
  <c r="Z16"/>
  <c r="Y16"/>
  <c r="CI23" s="1"/>
  <c r="X16"/>
  <c r="T16"/>
  <c r="R16"/>
  <c r="Q16"/>
  <c r="P16"/>
  <c r="O16"/>
  <c r="M16"/>
  <c r="I16"/>
  <c r="G16"/>
  <c r="F16"/>
  <c r="E16"/>
  <c r="D16"/>
  <c r="B16"/>
  <c r="AE15"/>
  <c r="AC15"/>
  <c r="AB15"/>
  <c r="AD15" s="1"/>
  <c r="AA15"/>
  <c r="Z15"/>
  <c r="Y15" s="1"/>
  <c r="CI22" s="1"/>
  <c r="X15"/>
  <c r="T15"/>
  <c r="R15"/>
  <c r="Q15"/>
  <c r="P15"/>
  <c r="S15" s="1"/>
  <c r="O15"/>
  <c r="N15"/>
  <c r="CH22" s="1"/>
  <c r="M15"/>
  <c r="I15"/>
  <c r="G15"/>
  <c r="F15"/>
  <c r="E15"/>
  <c r="D15"/>
  <c r="B15"/>
  <c r="AE14"/>
  <c r="AC14"/>
  <c r="AB14"/>
  <c r="AA14"/>
  <c r="AD14" s="1"/>
  <c r="Z14"/>
  <c r="X14"/>
  <c r="T14"/>
  <c r="R14"/>
  <c r="Q14"/>
  <c r="S14" s="1"/>
  <c r="P14"/>
  <c r="O14"/>
  <c r="N14" s="1"/>
  <c r="CH21" s="1"/>
  <c r="M14"/>
  <c r="I14"/>
  <c r="G14"/>
  <c r="F14"/>
  <c r="E14"/>
  <c r="H14" s="1"/>
  <c r="D14"/>
  <c r="C14"/>
  <c r="CG21" s="1"/>
  <c r="B14"/>
  <c r="AE13"/>
  <c r="AC13"/>
  <c r="AB13"/>
  <c r="AD13" s="1"/>
  <c r="AA13"/>
  <c r="Z13"/>
  <c r="Y13" s="1"/>
  <c r="CI20" s="1"/>
  <c r="X13"/>
  <c r="T13"/>
  <c r="R13"/>
  <c r="Q13"/>
  <c r="P13"/>
  <c r="S13" s="1"/>
  <c r="O13"/>
  <c r="M13"/>
  <c r="I13"/>
  <c r="G13"/>
  <c r="F13"/>
  <c r="E13"/>
  <c r="D13"/>
  <c r="B13"/>
  <c r="AE12"/>
  <c r="AC12"/>
  <c r="AB12"/>
  <c r="AA12"/>
  <c r="Z12"/>
  <c r="X12"/>
  <c r="T12"/>
  <c r="R12"/>
  <c r="Q12"/>
  <c r="S12" s="1"/>
  <c r="P12"/>
  <c r="O12"/>
  <c r="M12"/>
  <c r="I12"/>
  <c r="G12"/>
  <c r="F12"/>
  <c r="E12"/>
  <c r="D12"/>
  <c r="C12" s="1"/>
  <c r="CG19" s="1"/>
  <c r="B12"/>
  <c r="AE11"/>
  <c r="AC11"/>
  <c r="AB11"/>
  <c r="AA11"/>
  <c r="Z11"/>
  <c r="X11"/>
  <c r="T11"/>
  <c r="R11"/>
  <c r="Q11"/>
  <c r="P11"/>
  <c r="O11"/>
  <c r="N11" s="1"/>
  <c r="CH18" s="1"/>
  <c r="M11"/>
  <c r="I11"/>
  <c r="G11"/>
  <c r="F11"/>
  <c r="H11" s="1"/>
  <c r="E11"/>
  <c r="D11"/>
  <c r="B11"/>
  <c r="C7"/>
  <c r="G7" s="1"/>
  <c r="G5"/>
  <c r="F5"/>
  <c r="E5"/>
  <c r="D5"/>
  <c r="C5"/>
  <c r="A4"/>
  <c r="AE19" i="48"/>
  <c r="AC19"/>
  <c r="AB19"/>
  <c r="AA19"/>
  <c r="AD19" s="1"/>
  <c r="Z19"/>
  <c r="X19"/>
  <c r="T19"/>
  <c r="R19"/>
  <c r="Q19"/>
  <c r="P19"/>
  <c r="O19"/>
  <c r="M19"/>
  <c r="I19"/>
  <c r="G19"/>
  <c r="F19"/>
  <c r="E19"/>
  <c r="D19"/>
  <c r="C19" s="1"/>
  <c r="CG26" s="1"/>
  <c r="B19"/>
  <c r="AE18"/>
  <c r="AC18"/>
  <c r="AB18"/>
  <c r="AA18"/>
  <c r="AD18" s="1"/>
  <c r="Z18"/>
  <c r="X18"/>
  <c r="T18"/>
  <c r="R18"/>
  <c r="Q18"/>
  <c r="P18"/>
  <c r="O18"/>
  <c r="M18"/>
  <c r="I18"/>
  <c r="G18"/>
  <c r="F18"/>
  <c r="E18"/>
  <c r="H18" s="1"/>
  <c r="D18"/>
  <c r="C18"/>
  <c r="CG25" s="1"/>
  <c r="B18"/>
  <c r="AE17"/>
  <c r="AC17"/>
  <c r="AB17"/>
  <c r="AD17" s="1"/>
  <c r="AA17"/>
  <c r="Z17"/>
  <c r="Y17" s="1"/>
  <c r="CI24" s="1"/>
  <c r="X17"/>
  <c r="T17"/>
  <c r="R17"/>
  <c r="Q17"/>
  <c r="P17"/>
  <c r="O17"/>
  <c r="M17"/>
  <c r="I17"/>
  <c r="G17"/>
  <c r="F17"/>
  <c r="E17"/>
  <c r="D17"/>
  <c r="B17"/>
  <c r="AE16"/>
  <c r="AC16"/>
  <c r="AB16"/>
  <c r="AA16"/>
  <c r="Z16"/>
  <c r="Y16" s="1"/>
  <c r="CI23" s="1"/>
  <c r="X16"/>
  <c r="T16"/>
  <c r="R16"/>
  <c r="Q16"/>
  <c r="P16"/>
  <c r="O16"/>
  <c r="M16"/>
  <c r="I16"/>
  <c r="G16"/>
  <c r="F16"/>
  <c r="E16"/>
  <c r="D16"/>
  <c r="B16"/>
  <c r="AE15"/>
  <c r="AC15"/>
  <c r="AB15"/>
  <c r="AD15" s="1"/>
  <c r="AA15"/>
  <c r="Z15"/>
  <c r="Y15" s="1"/>
  <c r="CI22" s="1"/>
  <c r="X15"/>
  <c r="T15"/>
  <c r="R15"/>
  <c r="Q15"/>
  <c r="P15"/>
  <c r="O15"/>
  <c r="N15" s="1"/>
  <c r="CH22" s="1"/>
  <c r="M15"/>
  <c r="I15"/>
  <c r="G15"/>
  <c r="F15"/>
  <c r="H15" s="1"/>
  <c r="E15"/>
  <c r="D15"/>
  <c r="C15" s="1"/>
  <c r="CG22" s="1"/>
  <c r="B15"/>
  <c r="AE14"/>
  <c r="AC14"/>
  <c r="AB14"/>
  <c r="AA14"/>
  <c r="Z14"/>
  <c r="Y14" s="1"/>
  <c r="CI21" s="1"/>
  <c r="X14"/>
  <c r="T14"/>
  <c r="R14"/>
  <c r="Q14"/>
  <c r="P14"/>
  <c r="O14"/>
  <c r="M14"/>
  <c r="I14"/>
  <c r="G14"/>
  <c r="F14"/>
  <c r="E14"/>
  <c r="D14"/>
  <c r="C14" s="1"/>
  <c r="CG21" s="1"/>
  <c r="B14"/>
  <c r="AE13"/>
  <c r="AC13"/>
  <c r="AB13"/>
  <c r="AD13" s="1"/>
  <c r="AA13"/>
  <c r="Z13"/>
  <c r="Y13" s="1"/>
  <c r="CI20" s="1"/>
  <c r="X13"/>
  <c r="T13"/>
  <c r="R13"/>
  <c r="Q13"/>
  <c r="P13"/>
  <c r="O13"/>
  <c r="N13" s="1"/>
  <c r="CH20" s="1"/>
  <c r="M13"/>
  <c r="I13"/>
  <c r="G13"/>
  <c r="F13"/>
  <c r="E13"/>
  <c r="D13"/>
  <c r="B13"/>
  <c r="AE12"/>
  <c r="AC12"/>
  <c r="AB12"/>
  <c r="AA12"/>
  <c r="Z12"/>
  <c r="X12"/>
  <c r="T12"/>
  <c r="R12"/>
  <c r="Q12"/>
  <c r="P12"/>
  <c r="O12"/>
  <c r="M12"/>
  <c r="I12"/>
  <c r="G12"/>
  <c r="F12"/>
  <c r="E12"/>
  <c r="D12"/>
  <c r="C12" s="1"/>
  <c r="CG19" s="1"/>
  <c r="B12"/>
  <c r="AE11"/>
  <c r="AC11"/>
  <c r="AB11"/>
  <c r="AA11"/>
  <c r="Z11"/>
  <c r="X11"/>
  <c r="T11"/>
  <c r="R11"/>
  <c r="Q11"/>
  <c r="P11"/>
  <c r="S11" s="1"/>
  <c r="O11"/>
  <c r="M11"/>
  <c r="I11"/>
  <c r="G11"/>
  <c r="F11"/>
  <c r="E11"/>
  <c r="D11"/>
  <c r="B11"/>
  <c r="G5"/>
  <c r="F5"/>
  <c r="E5"/>
  <c r="D5"/>
  <c r="C5"/>
  <c r="A4"/>
  <c r="AE19" i="47"/>
  <c r="AC19"/>
  <c r="AB19"/>
  <c r="AD19" s="1"/>
  <c r="AA19"/>
  <c r="Z19"/>
  <c r="Y19" s="1"/>
  <c r="CI26" s="1"/>
  <c r="X19"/>
  <c r="T19"/>
  <c r="R19"/>
  <c r="Q19"/>
  <c r="P19"/>
  <c r="S19" s="1"/>
  <c r="O19"/>
  <c r="N19" s="1"/>
  <c r="CH26" s="1"/>
  <c r="M19"/>
  <c r="I19"/>
  <c r="G19"/>
  <c r="F19"/>
  <c r="E19"/>
  <c r="D19"/>
  <c r="B19"/>
  <c r="AE18"/>
  <c r="AC18"/>
  <c r="AB18"/>
  <c r="AD18" s="1"/>
  <c r="AA18"/>
  <c r="Z18"/>
  <c r="Y18" s="1"/>
  <c r="CI25" s="1"/>
  <c r="X18"/>
  <c r="T18"/>
  <c r="R18"/>
  <c r="Q18"/>
  <c r="P18"/>
  <c r="S18" s="1"/>
  <c r="O18"/>
  <c r="M18"/>
  <c r="I18"/>
  <c r="G18"/>
  <c r="F18"/>
  <c r="E18"/>
  <c r="D18"/>
  <c r="B18"/>
  <c r="AE17"/>
  <c r="AC17"/>
  <c r="AB17"/>
  <c r="AA17"/>
  <c r="Z17"/>
  <c r="X17"/>
  <c r="T17"/>
  <c r="R17"/>
  <c r="Q17"/>
  <c r="S17" s="1"/>
  <c r="P17"/>
  <c r="O17"/>
  <c r="N17" s="1"/>
  <c r="CH24" s="1"/>
  <c r="M17"/>
  <c r="I17"/>
  <c r="G17"/>
  <c r="F17"/>
  <c r="E17"/>
  <c r="D17"/>
  <c r="C17" s="1"/>
  <c r="CG24" s="1"/>
  <c r="B17"/>
  <c r="AE16"/>
  <c r="AC16"/>
  <c r="AB16"/>
  <c r="AA16"/>
  <c r="Z16"/>
  <c r="X16"/>
  <c r="T16"/>
  <c r="R16"/>
  <c r="Q16"/>
  <c r="P16"/>
  <c r="O16"/>
  <c r="N16" s="1"/>
  <c r="CH23" s="1"/>
  <c r="M16"/>
  <c r="I16"/>
  <c r="G16"/>
  <c r="F16"/>
  <c r="E16"/>
  <c r="D16"/>
  <c r="C16" s="1"/>
  <c r="CG23" s="1"/>
  <c r="B16"/>
  <c r="AE15"/>
  <c r="AC15"/>
  <c r="AB15"/>
  <c r="AA15"/>
  <c r="AD15" s="1"/>
  <c r="Z15"/>
  <c r="X15"/>
  <c r="T15"/>
  <c r="R15"/>
  <c r="Q15"/>
  <c r="S15" s="1"/>
  <c r="P15"/>
  <c r="O15"/>
  <c r="N15" s="1"/>
  <c r="CH22" s="1"/>
  <c r="M15"/>
  <c r="I15"/>
  <c r="G15"/>
  <c r="F15"/>
  <c r="E15"/>
  <c r="H15" s="1"/>
  <c r="D15"/>
  <c r="C15"/>
  <c r="CG22" s="1"/>
  <c r="B15"/>
  <c r="AE14"/>
  <c r="AC14"/>
  <c r="AB14"/>
  <c r="AA14"/>
  <c r="Z14"/>
  <c r="Y14" s="1"/>
  <c r="CI21" s="1"/>
  <c r="X14"/>
  <c r="T14"/>
  <c r="R14"/>
  <c r="Q14"/>
  <c r="P14"/>
  <c r="S14" s="1"/>
  <c r="O14"/>
  <c r="M14"/>
  <c r="I14"/>
  <c r="G14"/>
  <c r="F14"/>
  <c r="E14"/>
  <c r="D14"/>
  <c r="B14"/>
  <c r="AE13"/>
  <c r="AC13"/>
  <c r="AB13"/>
  <c r="AA13"/>
  <c r="AD13" s="1"/>
  <c r="Z13"/>
  <c r="Y13"/>
  <c r="CI20" s="1"/>
  <c r="X13"/>
  <c r="T13"/>
  <c r="R13"/>
  <c r="Q13"/>
  <c r="S13" s="1"/>
  <c r="P13"/>
  <c r="O13"/>
  <c r="N13" s="1"/>
  <c r="CH20" s="1"/>
  <c r="M13"/>
  <c r="I13"/>
  <c r="G13"/>
  <c r="F13"/>
  <c r="E13"/>
  <c r="D13"/>
  <c r="C13" s="1"/>
  <c r="CG20" s="1"/>
  <c r="B13"/>
  <c r="AE12"/>
  <c r="AC12"/>
  <c r="AB12"/>
  <c r="AD12" s="1"/>
  <c r="AA12"/>
  <c r="Z12"/>
  <c r="Y12" s="1"/>
  <c r="CI19" s="1"/>
  <c r="X12"/>
  <c r="T12"/>
  <c r="R12"/>
  <c r="Q12"/>
  <c r="P12"/>
  <c r="O12"/>
  <c r="M12"/>
  <c r="I12"/>
  <c r="G12"/>
  <c r="F12"/>
  <c r="H12" s="1"/>
  <c r="E12"/>
  <c r="D12"/>
  <c r="C12" s="1"/>
  <c r="CG19" s="1"/>
  <c r="B12"/>
  <c r="AE11"/>
  <c r="AC11"/>
  <c r="AB11"/>
  <c r="AA11"/>
  <c r="Z11"/>
  <c r="Y11" s="1"/>
  <c r="CI18" s="1"/>
  <c r="X11"/>
  <c r="T11"/>
  <c r="R11"/>
  <c r="Q11"/>
  <c r="P11"/>
  <c r="O11"/>
  <c r="M11"/>
  <c r="I11"/>
  <c r="G11"/>
  <c r="F11"/>
  <c r="E11"/>
  <c r="H11" s="1"/>
  <c r="D11"/>
  <c r="C11"/>
  <c r="CG18" s="1"/>
  <c r="B11"/>
  <c r="G7"/>
  <c r="C7"/>
  <c r="G5"/>
  <c r="F5"/>
  <c r="E5"/>
  <c r="D5"/>
  <c r="C5"/>
  <c r="A4"/>
  <c r="AE19" i="46"/>
  <c r="AC19"/>
  <c r="AB19"/>
  <c r="AA19"/>
  <c r="AD19" s="1"/>
  <c r="Z19"/>
  <c r="Y19" s="1"/>
  <c r="CI26" s="1"/>
  <c r="X19"/>
  <c r="T19"/>
  <c r="R19"/>
  <c r="Q19"/>
  <c r="S19" s="1"/>
  <c r="P19"/>
  <c r="O19"/>
  <c r="N19" s="1"/>
  <c r="CH26" s="1"/>
  <c r="M19"/>
  <c r="I19"/>
  <c r="G19"/>
  <c r="F19"/>
  <c r="E19"/>
  <c r="D19"/>
  <c r="C19" s="1"/>
  <c r="CG26" s="1"/>
  <c r="B19"/>
  <c r="AE18"/>
  <c r="AC18"/>
  <c r="AB18"/>
  <c r="AA18"/>
  <c r="AD18" s="1"/>
  <c r="Z18"/>
  <c r="Y18"/>
  <c r="CI25" s="1"/>
  <c r="X18"/>
  <c r="T18"/>
  <c r="R18"/>
  <c r="Q18"/>
  <c r="P18"/>
  <c r="O18"/>
  <c r="M18"/>
  <c r="I18"/>
  <c r="G18"/>
  <c r="F18"/>
  <c r="E18"/>
  <c r="D18"/>
  <c r="C18" s="1"/>
  <c r="CG25" s="1"/>
  <c r="B18"/>
  <c r="AE17"/>
  <c r="AC17"/>
  <c r="AB17"/>
  <c r="AD17" s="1"/>
  <c r="AA17"/>
  <c r="Z17"/>
  <c r="Y17" s="1"/>
  <c r="CI24" s="1"/>
  <c r="X17"/>
  <c r="T17"/>
  <c r="R17"/>
  <c r="Q17"/>
  <c r="P17"/>
  <c r="S17" s="1"/>
  <c r="O17"/>
  <c r="N17"/>
  <c r="CH24" s="1"/>
  <c r="M17"/>
  <c r="I17"/>
  <c r="G17"/>
  <c r="F17"/>
  <c r="H17" s="1"/>
  <c r="E17"/>
  <c r="D17"/>
  <c r="C17" s="1"/>
  <c r="CG24" s="1"/>
  <c r="B17"/>
  <c r="AE16"/>
  <c r="AC16"/>
  <c r="AB16"/>
  <c r="AA16"/>
  <c r="AD16" s="1"/>
  <c r="Z16"/>
  <c r="X16"/>
  <c r="T16"/>
  <c r="R16"/>
  <c r="Q16"/>
  <c r="S16" s="1"/>
  <c r="P16"/>
  <c r="O16"/>
  <c r="N16" s="1"/>
  <c r="CH23" s="1"/>
  <c r="M16"/>
  <c r="I16"/>
  <c r="G16"/>
  <c r="F16"/>
  <c r="E16"/>
  <c r="H16" s="1"/>
  <c r="D16"/>
  <c r="C16"/>
  <c r="CG23" s="1"/>
  <c r="B16"/>
  <c r="AE15"/>
  <c r="AC15"/>
  <c r="AB15"/>
  <c r="AD15" s="1"/>
  <c r="AA15"/>
  <c r="Z15"/>
  <c r="Y15" s="1"/>
  <c r="CI22" s="1"/>
  <c r="X15"/>
  <c r="T15"/>
  <c r="R15"/>
  <c r="Q15"/>
  <c r="P15"/>
  <c r="S15" s="1"/>
  <c r="O15"/>
  <c r="M15"/>
  <c r="I15"/>
  <c r="G15"/>
  <c r="F15"/>
  <c r="E15"/>
  <c r="D15"/>
  <c r="B15"/>
  <c r="AE14"/>
  <c r="AC14"/>
  <c r="AB14"/>
  <c r="AA14"/>
  <c r="Z14"/>
  <c r="X14"/>
  <c r="T14"/>
  <c r="R14"/>
  <c r="Q14"/>
  <c r="S14" s="1"/>
  <c r="P14"/>
  <c r="O14"/>
  <c r="N14" s="1"/>
  <c r="CH21" s="1"/>
  <c r="M14"/>
  <c r="I14"/>
  <c r="G14"/>
  <c r="F14"/>
  <c r="E14"/>
  <c r="D14"/>
  <c r="C14" s="1"/>
  <c r="CG21" s="1"/>
  <c r="B14"/>
  <c r="AE13"/>
  <c r="AC13"/>
  <c r="AB13"/>
  <c r="AA13"/>
  <c r="Z13"/>
  <c r="X13"/>
  <c r="T13"/>
  <c r="R13"/>
  <c r="Q13"/>
  <c r="P13"/>
  <c r="O13"/>
  <c r="M13"/>
  <c r="I13"/>
  <c r="G13"/>
  <c r="F13"/>
  <c r="H13" s="1"/>
  <c r="E13"/>
  <c r="D13"/>
  <c r="C13" s="1"/>
  <c r="CG20" s="1"/>
  <c r="B13"/>
  <c r="AE12"/>
  <c r="AC12"/>
  <c r="AB12"/>
  <c r="AA12"/>
  <c r="AD12" s="1"/>
  <c r="Z12"/>
  <c r="X12"/>
  <c r="T12"/>
  <c r="R12"/>
  <c r="Q12"/>
  <c r="P12"/>
  <c r="O12"/>
  <c r="M12"/>
  <c r="I12"/>
  <c r="G12"/>
  <c r="F12"/>
  <c r="E12"/>
  <c r="H12" s="1"/>
  <c r="D12"/>
  <c r="C12"/>
  <c r="CG19" s="1"/>
  <c r="B12"/>
  <c r="AE11"/>
  <c r="AC11"/>
  <c r="AB11"/>
  <c r="AD11" s="1"/>
  <c r="AA11"/>
  <c r="Z11"/>
  <c r="X11"/>
  <c r="T11"/>
  <c r="R11"/>
  <c r="Q11"/>
  <c r="P11"/>
  <c r="O11"/>
  <c r="N11" s="1"/>
  <c r="CH18" s="1"/>
  <c r="M11"/>
  <c r="I11"/>
  <c r="G11"/>
  <c r="F11"/>
  <c r="E11"/>
  <c r="D11"/>
  <c r="B11"/>
  <c r="C7"/>
  <c r="G7" s="1"/>
  <c r="G5"/>
  <c r="F5"/>
  <c r="E5"/>
  <c r="D5"/>
  <c r="C5"/>
  <c r="A4"/>
  <c r="AE19" i="45"/>
  <c r="AC19"/>
  <c r="AB19"/>
  <c r="AA19"/>
  <c r="AD19" s="1"/>
  <c r="Z19"/>
  <c r="Y19" s="1"/>
  <c r="CI26" s="1"/>
  <c r="X19"/>
  <c r="T19"/>
  <c r="R19"/>
  <c r="Q19"/>
  <c r="S19" s="1"/>
  <c r="P19"/>
  <c r="O19"/>
  <c r="N19" s="1"/>
  <c r="CH26" s="1"/>
  <c r="M19"/>
  <c r="I19"/>
  <c r="G19"/>
  <c r="F19"/>
  <c r="E19"/>
  <c r="D19"/>
  <c r="C19" s="1"/>
  <c r="CG26" s="1"/>
  <c r="B19"/>
  <c r="AE18"/>
  <c r="AC18"/>
  <c r="AB18"/>
  <c r="AA18"/>
  <c r="AD18" s="1"/>
  <c r="Z18"/>
  <c r="Y18"/>
  <c r="CI25" s="1"/>
  <c r="X18"/>
  <c r="T18"/>
  <c r="R18"/>
  <c r="Q18"/>
  <c r="P18"/>
  <c r="O18"/>
  <c r="M18"/>
  <c r="I18"/>
  <c r="G18"/>
  <c r="F18"/>
  <c r="E18"/>
  <c r="D18"/>
  <c r="C18" s="1"/>
  <c r="CG25" s="1"/>
  <c r="B18"/>
  <c r="AE17"/>
  <c r="AC17"/>
  <c r="AB17"/>
  <c r="AD17" s="1"/>
  <c r="AA17"/>
  <c r="Z17"/>
  <c r="X17"/>
  <c r="T17"/>
  <c r="R17"/>
  <c r="Q17"/>
  <c r="P17"/>
  <c r="S17" s="1"/>
  <c r="O17"/>
  <c r="N17"/>
  <c r="CH24" s="1"/>
  <c r="M17"/>
  <c r="I17"/>
  <c r="G17"/>
  <c r="F17"/>
  <c r="H17" s="1"/>
  <c r="E17"/>
  <c r="D17"/>
  <c r="B17"/>
  <c r="AE16"/>
  <c r="AC16"/>
  <c r="AB16"/>
  <c r="AA16"/>
  <c r="AD16" s="1"/>
  <c r="Z16"/>
  <c r="X16"/>
  <c r="T16"/>
  <c r="R16"/>
  <c r="Q16"/>
  <c r="S16" s="1"/>
  <c r="P16"/>
  <c r="O16"/>
  <c r="M16"/>
  <c r="I16"/>
  <c r="G16"/>
  <c r="F16"/>
  <c r="E16"/>
  <c r="H16" s="1"/>
  <c r="D16"/>
  <c r="C16"/>
  <c r="CG23" s="1"/>
  <c r="B16"/>
  <c r="AE15"/>
  <c r="AC15"/>
  <c r="AB15"/>
  <c r="AD15" s="1"/>
  <c r="AA15"/>
  <c r="Z15"/>
  <c r="X15"/>
  <c r="T15"/>
  <c r="R15"/>
  <c r="Q15"/>
  <c r="P15"/>
  <c r="S15" s="1"/>
  <c r="O15"/>
  <c r="M15"/>
  <c r="I15"/>
  <c r="G15"/>
  <c r="F15"/>
  <c r="E15"/>
  <c r="D15"/>
  <c r="B15"/>
  <c r="AE14"/>
  <c r="AC14"/>
  <c r="AB14"/>
  <c r="AA14"/>
  <c r="Z14"/>
  <c r="X14"/>
  <c r="T14"/>
  <c r="R14"/>
  <c r="Q14"/>
  <c r="S14" s="1"/>
  <c r="P14"/>
  <c r="O14"/>
  <c r="M14"/>
  <c r="I14"/>
  <c r="G14"/>
  <c r="F14"/>
  <c r="E14"/>
  <c r="D14"/>
  <c r="C14" s="1"/>
  <c r="CG21" s="1"/>
  <c r="B14"/>
  <c r="AE13"/>
  <c r="AC13"/>
  <c r="AB13"/>
  <c r="AA13"/>
  <c r="Z13"/>
  <c r="X13"/>
  <c r="T13"/>
  <c r="R13"/>
  <c r="Q13"/>
  <c r="P13"/>
  <c r="O13"/>
  <c r="M13"/>
  <c r="I13"/>
  <c r="G13"/>
  <c r="F13"/>
  <c r="H13" s="1"/>
  <c r="E13"/>
  <c r="D13"/>
  <c r="B13"/>
  <c r="AE12"/>
  <c r="AC12"/>
  <c r="AB12"/>
  <c r="AA12"/>
  <c r="AD12" s="1"/>
  <c r="Z12"/>
  <c r="X12"/>
  <c r="T12"/>
  <c r="R12"/>
  <c r="Q12"/>
  <c r="P12"/>
  <c r="O12"/>
  <c r="M12"/>
  <c r="I12"/>
  <c r="G12"/>
  <c r="F12"/>
  <c r="E12"/>
  <c r="H12" s="1"/>
  <c r="D12"/>
  <c r="C12"/>
  <c r="CG19" s="1"/>
  <c r="B12"/>
  <c r="AE11"/>
  <c r="AC11"/>
  <c r="AB11"/>
  <c r="AD11" s="1"/>
  <c r="AA11"/>
  <c r="Z11"/>
  <c r="X11"/>
  <c r="T11"/>
  <c r="R11"/>
  <c r="Q11"/>
  <c r="P11"/>
  <c r="O11"/>
  <c r="N11" s="1"/>
  <c r="CH18" s="1"/>
  <c r="M11"/>
  <c r="I11"/>
  <c r="G11"/>
  <c r="F11"/>
  <c r="E11"/>
  <c r="D11"/>
  <c r="B11"/>
  <c r="G7"/>
  <c r="G5"/>
  <c r="F5"/>
  <c r="E5"/>
  <c r="D5"/>
  <c r="C5"/>
  <c r="A4"/>
  <c r="AE19" i="44"/>
  <c r="AC19"/>
  <c r="AB19"/>
  <c r="AA19"/>
  <c r="AD19" s="1"/>
  <c r="Z19"/>
  <c r="X19"/>
  <c r="T19"/>
  <c r="R19"/>
  <c r="Q19"/>
  <c r="P19"/>
  <c r="O19"/>
  <c r="N19" s="1"/>
  <c r="CH26" s="1"/>
  <c r="M19"/>
  <c r="I19"/>
  <c r="G19"/>
  <c r="F19"/>
  <c r="E19"/>
  <c r="D19"/>
  <c r="C19" s="1"/>
  <c r="CG26" s="1"/>
  <c r="B19"/>
  <c r="AE18"/>
  <c r="AC18"/>
  <c r="AB18"/>
  <c r="AA18"/>
  <c r="AD18" s="1"/>
  <c r="Z18"/>
  <c r="Y18"/>
  <c r="CI25" s="1"/>
  <c r="X18"/>
  <c r="T18"/>
  <c r="R18"/>
  <c r="Q18"/>
  <c r="P18"/>
  <c r="O18"/>
  <c r="M18"/>
  <c r="I18"/>
  <c r="G18"/>
  <c r="F18"/>
  <c r="E18"/>
  <c r="D18"/>
  <c r="C18" s="1"/>
  <c r="CG25" s="1"/>
  <c r="B18"/>
  <c r="AE17"/>
  <c r="AC17"/>
  <c r="AB17"/>
  <c r="AD17" s="1"/>
  <c r="AA17"/>
  <c r="Z17"/>
  <c r="Y17" s="1"/>
  <c r="CI24" s="1"/>
  <c r="X17"/>
  <c r="T17"/>
  <c r="R17"/>
  <c r="Q17"/>
  <c r="P17"/>
  <c r="S17" s="1"/>
  <c r="O17"/>
  <c r="N17"/>
  <c r="CH24" s="1"/>
  <c r="M17"/>
  <c r="I17"/>
  <c r="G17"/>
  <c r="F17"/>
  <c r="H17" s="1"/>
  <c r="E17"/>
  <c r="D17"/>
  <c r="C17" s="1"/>
  <c r="CG24" s="1"/>
  <c r="B17"/>
  <c r="AE16"/>
  <c r="AC16"/>
  <c r="AB16"/>
  <c r="AA16"/>
  <c r="AD16" s="1"/>
  <c r="Z16"/>
  <c r="X16"/>
  <c r="T16"/>
  <c r="R16"/>
  <c r="Q16"/>
  <c r="S16" s="1"/>
  <c r="P16"/>
  <c r="O16"/>
  <c r="N16" s="1"/>
  <c r="CH23" s="1"/>
  <c r="M16"/>
  <c r="I16"/>
  <c r="G16"/>
  <c r="F16"/>
  <c r="E16"/>
  <c r="H16" s="1"/>
  <c r="D16"/>
  <c r="C16"/>
  <c r="CG23" s="1"/>
  <c r="B16"/>
  <c r="AE15"/>
  <c r="AC15"/>
  <c r="AB15"/>
  <c r="AD15" s="1"/>
  <c r="AA15"/>
  <c r="Z15"/>
  <c r="Y15" s="1"/>
  <c r="CI22" s="1"/>
  <c r="X15"/>
  <c r="T15"/>
  <c r="R15"/>
  <c r="Q15"/>
  <c r="P15"/>
  <c r="S15" s="1"/>
  <c r="O15"/>
  <c r="M15"/>
  <c r="I15"/>
  <c r="G15"/>
  <c r="F15"/>
  <c r="E15"/>
  <c r="D15"/>
  <c r="B15"/>
  <c r="AE14"/>
  <c r="AC14"/>
  <c r="AB14"/>
  <c r="AA14"/>
  <c r="Z14"/>
  <c r="X14"/>
  <c r="T14"/>
  <c r="R14"/>
  <c r="Q14"/>
  <c r="S14" s="1"/>
  <c r="P14"/>
  <c r="O14"/>
  <c r="N14" s="1"/>
  <c r="CH21" s="1"/>
  <c r="M14"/>
  <c r="I14"/>
  <c r="G14"/>
  <c r="F14"/>
  <c r="E14"/>
  <c r="D14"/>
  <c r="C14" s="1"/>
  <c r="CG21" s="1"/>
  <c r="B14"/>
  <c r="AE13"/>
  <c r="AC13"/>
  <c r="AB13"/>
  <c r="AA13"/>
  <c r="Z13"/>
  <c r="X13"/>
  <c r="T13"/>
  <c r="R13"/>
  <c r="Q13"/>
  <c r="P13"/>
  <c r="O13"/>
  <c r="M13"/>
  <c r="I13"/>
  <c r="G13"/>
  <c r="F13"/>
  <c r="H13" s="1"/>
  <c r="E13"/>
  <c r="D13"/>
  <c r="C13" s="1"/>
  <c r="CG20" s="1"/>
  <c r="B13"/>
  <c r="AE12"/>
  <c r="AC12"/>
  <c r="AB12"/>
  <c r="AA12"/>
  <c r="AD12" s="1"/>
  <c r="Z12"/>
  <c r="X12"/>
  <c r="T12"/>
  <c r="R12"/>
  <c r="Q12"/>
  <c r="P12"/>
  <c r="O12"/>
  <c r="M12"/>
  <c r="I12"/>
  <c r="G12"/>
  <c r="F12"/>
  <c r="E12"/>
  <c r="H12" s="1"/>
  <c r="D12"/>
  <c r="C12"/>
  <c r="CG19" s="1"/>
  <c r="B12"/>
  <c r="AE11"/>
  <c r="AC11"/>
  <c r="AB11"/>
  <c r="AD11" s="1"/>
  <c r="AA11"/>
  <c r="Z11"/>
  <c r="Y11" s="1"/>
  <c r="CI18" s="1"/>
  <c r="X11"/>
  <c r="T11"/>
  <c r="R11"/>
  <c r="Q11"/>
  <c r="P11"/>
  <c r="O11"/>
  <c r="N11" s="1"/>
  <c r="CH18" s="1"/>
  <c r="M11"/>
  <c r="I11"/>
  <c r="G11"/>
  <c r="F11"/>
  <c r="E11"/>
  <c r="D11"/>
  <c r="B11"/>
  <c r="C7"/>
  <c r="G7" s="1"/>
  <c r="G5"/>
  <c r="F5"/>
  <c r="E5"/>
  <c r="D5"/>
  <c r="C5"/>
  <c r="A4"/>
  <c r="AE19" i="43"/>
  <c r="AC19"/>
  <c r="AB19"/>
  <c r="AA19"/>
  <c r="AD19" s="1"/>
  <c r="Z19"/>
  <c r="Y19" s="1"/>
  <c r="CI26" s="1"/>
  <c r="X19"/>
  <c r="T19"/>
  <c r="R19"/>
  <c r="Q19"/>
  <c r="P19"/>
  <c r="O19"/>
  <c r="M19"/>
  <c r="I19"/>
  <c r="G19"/>
  <c r="F19"/>
  <c r="E19"/>
  <c r="D19"/>
  <c r="C19" s="1"/>
  <c r="CG26" s="1"/>
  <c r="B19"/>
  <c r="AE18"/>
  <c r="AC18"/>
  <c r="AB18"/>
  <c r="AA18"/>
  <c r="AD18" s="1"/>
  <c r="Z18"/>
  <c r="Y18" s="1"/>
  <c r="CI25" s="1"/>
  <c r="X18"/>
  <c r="T18"/>
  <c r="R18"/>
  <c r="Q18"/>
  <c r="P18"/>
  <c r="O18"/>
  <c r="M18"/>
  <c r="I18"/>
  <c r="G18"/>
  <c r="F18"/>
  <c r="E18"/>
  <c r="D18"/>
  <c r="B18"/>
  <c r="AE17"/>
  <c r="AC17"/>
  <c r="AB17"/>
  <c r="AD17" s="1"/>
  <c r="AA17"/>
  <c r="Z17"/>
  <c r="Y17" s="1"/>
  <c r="CI24" s="1"/>
  <c r="X17"/>
  <c r="T17"/>
  <c r="R17"/>
  <c r="Q17"/>
  <c r="P17"/>
  <c r="S17" s="1"/>
  <c r="O17"/>
  <c r="N17"/>
  <c r="CH24" s="1"/>
  <c r="M17"/>
  <c r="I17"/>
  <c r="G17"/>
  <c r="F17"/>
  <c r="H17" s="1"/>
  <c r="E17"/>
  <c r="D17"/>
  <c r="C17" s="1"/>
  <c r="CG24" s="1"/>
  <c r="B17"/>
  <c r="AE16"/>
  <c r="AC16"/>
  <c r="AB16"/>
  <c r="AA16"/>
  <c r="AD16" s="1"/>
  <c r="Z16"/>
  <c r="X16"/>
  <c r="T16"/>
  <c r="R16"/>
  <c r="Q16"/>
  <c r="S16" s="1"/>
  <c r="P16"/>
  <c r="O16"/>
  <c r="N16" s="1"/>
  <c r="CH23" s="1"/>
  <c r="M16"/>
  <c r="I16"/>
  <c r="G16"/>
  <c r="F16"/>
  <c r="E16"/>
  <c r="D16"/>
  <c r="C16" s="1"/>
  <c r="CG23" s="1"/>
  <c r="B16"/>
  <c r="AE15"/>
  <c r="AC15"/>
  <c r="AB15"/>
  <c r="AA15"/>
  <c r="Z15"/>
  <c r="X15"/>
  <c r="T15"/>
  <c r="R15"/>
  <c r="Q15"/>
  <c r="P15"/>
  <c r="O15"/>
  <c r="N15" s="1"/>
  <c r="CH22" s="1"/>
  <c r="M15"/>
  <c r="I15"/>
  <c r="G15"/>
  <c r="F15"/>
  <c r="E15"/>
  <c r="D15"/>
  <c r="B15"/>
  <c r="AE14"/>
  <c r="AC14"/>
  <c r="AB14"/>
  <c r="AA14"/>
  <c r="AD14" s="1"/>
  <c r="Z14"/>
  <c r="Y14"/>
  <c r="CI21" s="1"/>
  <c r="X14"/>
  <c r="T14"/>
  <c r="R14"/>
  <c r="Q14"/>
  <c r="P14"/>
  <c r="O14"/>
  <c r="M14"/>
  <c r="I14"/>
  <c r="G14"/>
  <c r="F14"/>
  <c r="E14"/>
  <c r="D14"/>
  <c r="C14" s="1"/>
  <c r="CG21" s="1"/>
  <c r="B14"/>
  <c r="AE13"/>
  <c r="AC13"/>
  <c r="AB13"/>
  <c r="AD13" s="1"/>
  <c r="AA13"/>
  <c r="Z13"/>
  <c r="Y13" s="1"/>
  <c r="CI20" s="1"/>
  <c r="X13"/>
  <c r="T13"/>
  <c r="R13"/>
  <c r="Q13"/>
  <c r="P13"/>
  <c r="S13" s="1"/>
  <c r="O13"/>
  <c r="M13"/>
  <c r="I13"/>
  <c r="G13"/>
  <c r="F13"/>
  <c r="E13"/>
  <c r="D13"/>
  <c r="B13"/>
  <c r="AE12"/>
  <c r="AC12"/>
  <c r="AB12"/>
  <c r="AA12"/>
  <c r="Z12"/>
  <c r="Y12" s="1"/>
  <c r="CI19" s="1"/>
  <c r="X12"/>
  <c r="T12"/>
  <c r="R12"/>
  <c r="Q12"/>
  <c r="P12"/>
  <c r="O12"/>
  <c r="M12"/>
  <c r="I12"/>
  <c r="G12"/>
  <c r="F12"/>
  <c r="E12"/>
  <c r="H12" s="1"/>
  <c r="D12"/>
  <c r="C12"/>
  <c r="CG19" s="1"/>
  <c r="B12"/>
  <c r="AE11"/>
  <c r="AC11"/>
  <c r="AB11"/>
  <c r="AA11"/>
  <c r="Z11"/>
  <c r="X11"/>
  <c r="T11"/>
  <c r="R11"/>
  <c r="Q11"/>
  <c r="P11"/>
  <c r="O11"/>
  <c r="N11" s="1"/>
  <c r="CH18" s="1"/>
  <c r="M11"/>
  <c r="I11"/>
  <c r="G11"/>
  <c r="F11"/>
  <c r="E11"/>
  <c r="D11"/>
  <c r="B11"/>
  <c r="C7"/>
  <c r="G7" s="1"/>
  <c r="G5"/>
  <c r="F5"/>
  <c r="E5"/>
  <c r="D5"/>
  <c r="C5"/>
  <c r="A4"/>
  <c r="AE19" i="42"/>
  <c r="AC19"/>
  <c r="AB19"/>
  <c r="AA19"/>
  <c r="Z19"/>
  <c r="Y19" s="1"/>
  <c r="CI26" s="1"/>
  <c r="X19"/>
  <c r="T19"/>
  <c r="R19"/>
  <c r="Q19"/>
  <c r="P19"/>
  <c r="S19" s="1"/>
  <c r="O19"/>
  <c r="N19" s="1"/>
  <c r="CH26" s="1"/>
  <c r="M19"/>
  <c r="I19"/>
  <c r="G19"/>
  <c r="F19"/>
  <c r="E19"/>
  <c r="D19"/>
  <c r="B19"/>
  <c r="AE18"/>
  <c r="AC18"/>
  <c r="AB18"/>
  <c r="AD18" s="1"/>
  <c r="AA18"/>
  <c r="Z18"/>
  <c r="Y18" s="1"/>
  <c r="CI25" s="1"/>
  <c r="X18"/>
  <c r="T18"/>
  <c r="R18"/>
  <c r="Q18"/>
  <c r="P18"/>
  <c r="S18" s="1"/>
  <c r="O18"/>
  <c r="N18" s="1"/>
  <c r="CH25" s="1"/>
  <c r="M18"/>
  <c r="I18"/>
  <c r="G18"/>
  <c r="F18"/>
  <c r="E18"/>
  <c r="D18"/>
  <c r="B18"/>
  <c r="AE17"/>
  <c r="AC17"/>
  <c r="AB17"/>
  <c r="AA17"/>
  <c r="Z17"/>
  <c r="X17"/>
  <c r="T17"/>
  <c r="R17"/>
  <c r="Q17"/>
  <c r="P17"/>
  <c r="O17"/>
  <c r="N17" s="1"/>
  <c r="CH24" s="1"/>
  <c r="M17"/>
  <c r="I17"/>
  <c r="G17"/>
  <c r="F17"/>
  <c r="E17"/>
  <c r="D17"/>
  <c r="C17" s="1"/>
  <c r="CG24" s="1"/>
  <c r="B17"/>
  <c r="AE16"/>
  <c r="AC16"/>
  <c r="AB16"/>
  <c r="AA16"/>
  <c r="Z16"/>
  <c r="X16"/>
  <c r="T16"/>
  <c r="R16"/>
  <c r="Q16"/>
  <c r="P16"/>
  <c r="O16"/>
  <c r="N16" s="1"/>
  <c r="CH23" s="1"/>
  <c r="M16"/>
  <c r="I16"/>
  <c r="G16"/>
  <c r="F16"/>
  <c r="E16"/>
  <c r="D16"/>
  <c r="B16"/>
  <c r="AE15"/>
  <c r="AC15"/>
  <c r="AB15"/>
  <c r="AA15"/>
  <c r="Z15"/>
  <c r="Y15" s="1"/>
  <c r="CI22" s="1"/>
  <c r="X15"/>
  <c r="T15"/>
  <c r="R15"/>
  <c r="Q15"/>
  <c r="P15"/>
  <c r="O15"/>
  <c r="M15"/>
  <c r="I15"/>
  <c r="G15"/>
  <c r="F15"/>
  <c r="E15"/>
  <c r="D15"/>
  <c r="B15"/>
  <c r="AE14"/>
  <c r="AC14"/>
  <c r="AB14"/>
  <c r="AD14" s="1"/>
  <c r="AA14"/>
  <c r="Z14"/>
  <c r="Y14" s="1"/>
  <c r="CI21" s="1"/>
  <c r="X14"/>
  <c r="T14"/>
  <c r="R14"/>
  <c r="Q14"/>
  <c r="P14"/>
  <c r="S14" s="1"/>
  <c r="O14"/>
  <c r="N14" s="1"/>
  <c r="CH21" s="1"/>
  <c r="M14"/>
  <c r="I14"/>
  <c r="G14"/>
  <c r="F14"/>
  <c r="E14"/>
  <c r="D14"/>
  <c r="C14" s="1"/>
  <c r="CG21" s="1"/>
  <c r="B14"/>
  <c r="AE13"/>
  <c r="AC13"/>
  <c r="AB13"/>
  <c r="AA13"/>
  <c r="Z13"/>
  <c r="Y13" s="1"/>
  <c r="CI20" s="1"/>
  <c r="X13"/>
  <c r="T13"/>
  <c r="R13"/>
  <c r="Q13"/>
  <c r="S13" s="1"/>
  <c r="P13"/>
  <c r="O13"/>
  <c r="N13" s="1"/>
  <c r="CH20" s="1"/>
  <c r="M13"/>
  <c r="I13"/>
  <c r="G13"/>
  <c r="F13"/>
  <c r="E13"/>
  <c r="D13"/>
  <c r="C13" s="1"/>
  <c r="CG20" s="1"/>
  <c r="B13"/>
  <c r="AE12"/>
  <c r="AC12"/>
  <c r="AB12"/>
  <c r="AD12" s="1"/>
  <c r="AA12"/>
  <c r="Z12"/>
  <c r="Y12" s="1"/>
  <c r="CI19" s="1"/>
  <c r="X12"/>
  <c r="T12"/>
  <c r="R12"/>
  <c r="Q12"/>
  <c r="P12"/>
  <c r="O12"/>
  <c r="N12" s="1"/>
  <c r="CH19" s="1"/>
  <c r="M12"/>
  <c r="I12"/>
  <c r="G12"/>
  <c r="F12"/>
  <c r="E12"/>
  <c r="D12"/>
  <c r="B12"/>
  <c r="AE11"/>
  <c r="AC11"/>
  <c r="AB11"/>
  <c r="AA11"/>
  <c r="Z11"/>
  <c r="Y11" s="1"/>
  <c r="CI18" s="1"/>
  <c r="X11"/>
  <c r="T11"/>
  <c r="R11"/>
  <c r="Q11"/>
  <c r="P11"/>
  <c r="O11"/>
  <c r="M11"/>
  <c r="I11"/>
  <c r="G11"/>
  <c r="F11"/>
  <c r="E11"/>
  <c r="D11"/>
  <c r="C11" s="1"/>
  <c r="CG18" s="1"/>
  <c r="B11"/>
  <c r="C7"/>
  <c r="G7" s="1"/>
  <c r="G5"/>
  <c r="F5"/>
  <c r="E5"/>
  <c r="D5"/>
  <c r="C5"/>
  <c r="A4"/>
  <c r="AE19" i="41"/>
  <c r="AC19"/>
  <c r="AB19"/>
  <c r="AA19"/>
  <c r="Z19"/>
  <c r="X19"/>
  <c r="T19"/>
  <c r="R19"/>
  <c r="Q19"/>
  <c r="P19"/>
  <c r="O19"/>
  <c r="M19"/>
  <c r="I19"/>
  <c r="G19"/>
  <c r="F19"/>
  <c r="E19"/>
  <c r="D19"/>
  <c r="B19"/>
  <c r="AE18"/>
  <c r="AC18"/>
  <c r="AB18"/>
  <c r="AA18"/>
  <c r="AD18" s="1"/>
  <c r="Z18"/>
  <c r="Y18"/>
  <c r="CI25" s="1"/>
  <c r="X18"/>
  <c r="T18"/>
  <c r="R18"/>
  <c r="Q18"/>
  <c r="S18" s="1"/>
  <c r="P18"/>
  <c r="O18"/>
  <c r="N18" s="1"/>
  <c r="CH25" s="1"/>
  <c r="M18"/>
  <c r="I18"/>
  <c r="G18"/>
  <c r="F18"/>
  <c r="E18"/>
  <c r="D18"/>
  <c r="C18" s="1"/>
  <c r="CG25" s="1"/>
  <c r="B18"/>
  <c r="AE17"/>
  <c r="AC17"/>
  <c r="AB17"/>
  <c r="AA17"/>
  <c r="Z17"/>
  <c r="Y17" s="1"/>
  <c r="CI24" s="1"/>
  <c r="X17"/>
  <c r="T17"/>
  <c r="R17"/>
  <c r="Q17"/>
  <c r="P17"/>
  <c r="O17"/>
  <c r="M17"/>
  <c r="I17"/>
  <c r="G17"/>
  <c r="F17"/>
  <c r="E17"/>
  <c r="D17"/>
  <c r="B17"/>
  <c r="AE16"/>
  <c r="AC16"/>
  <c r="AB16"/>
  <c r="AA16"/>
  <c r="Z16"/>
  <c r="X16"/>
  <c r="T16"/>
  <c r="R16"/>
  <c r="Q16"/>
  <c r="P16"/>
  <c r="O16"/>
  <c r="M16"/>
  <c r="I16"/>
  <c r="G16"/>
  <c r="F16"/>
  <c r="E16"/>
  <c r="H16" s="1"/>
  <c r="D16"/>
  <c r="C16"/>
  <c r="CG23" s="1"/>
  <c r="B16"/>
  <c r="AE15"/>
  <c r="AC15"/>
  <c r="AB15"/>
  <c r="AA15"/>
  <c r="Z15"/>
  <c r="X15"/>
  <c r="T15"/>
  <c r="R15"/>
  <c r="Q15"/>
  <c r="P15"/>
  <c r="O15"/>
  <c r="M15"/>
  <c r="I15"/>
  <c r="G15"/>
  <c r="F15"/>
  <c r="E15"/>
  <c r="D15"/>
  <c r="B15"/>
  <c r="AE14"/>
  <c r="AC14"/>
  <c r="AB14"/>
  <c r="AA14"/>
  <c r="AD14" s="1"/>
  <c r="Z14"/>
  <c r="Y14"/>
  <c r="CI21" s="1"/>
  <c r="X14"/>
  <c r="T14"/>
  <c r="R14"/>
  <c r="Q14"/>
  <c r="P14"/>
  <c r="O14"/>
  <c r="M14"/>
  <c r="I14"/>
  <c r="G14"/>
  <c r="F14"/>
  <c r="E14"/>
  <c r="D14"/>
  <c r="B14"/>
  <c r="AE13"/>
  <c r="AC13"/>
  <c r="AB13"/>
  <c r="AD13" s="1"/>
  <c r="AA13"/>
  <c r="Z13"/>
  <c r="Y13" s="1"/>
  <c r="CI20" s="1"/>
  <c r="X13"/>
  <c r="T13"/>
  <c r="R13"/>
  <c r="Q13"/>
  <c r="P13"/>
  <c r="O13"/>
  <c r="N13" s="1"/>
  <c r="CH20" s="1"/>
  <c r="M13"/>
  <c r="I13"/>
  <c r="G13"/>
  <c r="F13"/>
  <c r="H13" s="1"/>
  <c r="E13"/>
  <c r="D13"/>
  <c r="C13" s="1"/>
  <c r="CG20" s="1"/>
  <c r="B13"/>
  <c r="AE12"/>
  <c r="AC12"/>
  <c r="AB12"/>
  <c r="AA12"/>
  <c r="Z12"/>
  <c r="Y12" s="1"/>
  <c r="CI19" s="1"/>
  <c r="X12"/>
  <c r="T12"/>
  <c r="R12"/>
  <c r="Q12"/>
  <c r="S12" s="1"/>
  <c r="P12"/>
  <c r="O12"/>
  <c r="N12" s="1"/>
  <c r="CH19" s="1"/>
  <c r="M12"/>
  <c r="I12"/>
  <c r="G12"/>
  <c r="F12"/>
  <c r="E12"/>
  <c r="H12" s="1"/>
  <c r="D12"/>
  <c r="C12"/>
  <c r="CG19" s="1"/>
  <c r="B12"/>
  <c r="AE11"/>
  <c r="AC11"/>
  <c r="AB11"/>
  <c r="AA11"/>
  <c r="Z11"/>
  <c r="X11"/>
  <c r="T11"/>
  <c r="R11"/>
  <c r="Q11"/>
  <c r="P11"/>
  <c r="S11" s="1"/>
  <c r="O11"/>
  <c r="M11"/>
  <c r="I11"/>
  <c r="G11"/>
  <c r="F11"/>
  <c r="E11"/>
  <c r="D11"/>
  <c r="B11"/>
  <c r="C7"/>
  <c r="G7" s="1"/>
  <c r="G5"/>
  <c r="F5"/>
  <c r="E5"/>
  <c r="D5"/>
  <c r="C5"/>
  <c r="A4"/>
  <c r="AE19" i="40"/>
  <c r="AC19"/>
  <c r="AB19"/>
  <c r="AA19"/>
  <c r="Z19"/>
  <c r="X19"/>
  <c r="T19"/>
  <c r="R19"/>
  <c r="Q19"/>
  <c r="P19"/>
  <c r="O19"/>
  <c r="N19" s="1"/>
  <c r="CH26" s="1"/>
  <c r="M19"/>
  <c r="I19"/>
  <c r="G19"/>
  <c r="F19"/>
  <c r="E19"/>
  <c r="D19"/>
  <c r="C19" s="1"/>
  <c r="CG26" s="1"/>
  <c r="B19"/>
  <c r="AE18"/>
  <c r="AC18"/>
  <c r="AB18"/>
  <c r="AA18"/>
  <c r="Z18"/>
  <c r="X18"/>
  <c r="T18"/>
  <c r="R18"/>
  <c r="Q18"/>
  <c r="P18"/>
  <c r="O18"/>
  <c r="M18"/>
  <c r="I18"/>
  <c r="G18"/>
  <c r="F18"/>
  <c r="E18"/>
  <c r="D18"/>
  <c r="C18" s="1"/>
  <c r="CG25" s="1"/>
  <c r="B18"/>
  <c r="AE17"/>
  <c r="AC17"/>
  <c r="AB17"/>
  <c r="AA17"/>
  <c r="Z17"/>
  <c r="X17"/>
  <c r="T17"/>
  <c r="R17"/>
  <c r="Q17"/>
  <c r="P17"/>
  <c r="O17"/>
  <c r="N17" s="1"/>
  <c r="CH24" s="1"/>
  <c r="M17"/>
  <c r="I17"/>
  <c r="G17"/>
  <c r="F17"/>
  <c r="E17"/>
  <c r="D17"/>
  <c r="B17"/>
  <c r="AE16"/>
  <c r="AC16"/>
  <c r="AB16"/>
  <c r="AA16"/>
  <c r="Z16"/>
  <c r="Y16" s="1"/>
  <c r="CI23" s="1"/>
  <c r="X16"/>
  <c r="T16"/>
  <c r="R16"/>
  <c r="Q16"/>
  <c r="P16"/>
  <c r="O16"/>
  <c r="M16"/>
  <c r="I16"/>
  <c r="G16"/>
  <c r="F16"/>
  <c r="E16"/>
  <c r="H16" s="1"/>
  <c r="D16"/>
  <c r="C16"/>
  <c r="CG23" s="1"/>
  <c r="B16"/>
  <c r="AE15"/>
  <c r="AC15"/>
  <c r="AB15"/>
  <c r="AA15"/>
  <c r="Z15"/>
  <c r="X15"/>
  <c r="T15"/>
  <c r="R15"/>
  <c r="Q15"/>
  <c r="P15"/>
  <c r="S15" s="1"/>
  <c r="O15"/>
  <c r="M15"/>
  <c r="I15"/>
  <c r="G15"/>
  <c r="F15"/>
  <c r="E15"/>
  <c r="D15"/>
  <c r="B15"/>
  <c r="AE14"/>
  <c r="AC14"/>
  <c r="AB14"/>
  <c r="AA14"/>
  <c r="AD14" s="1"/>
  <c r="Z14"/>
  <c r="X14"/>
  <c r="T14"/>
  <c r="R14"/>
  <c r="Q14"/>
  <c r="P14"/>
  <c r="O14"/>
  <c r="M14"/>
  <c r="I14"/>
  <c r="G14"/>
  <c r="F14"/>
  <c r="E14"/>
  <c r="D14"/>
  <c r="B14"/>
  <c r="AE13"/>
  <c r="AC13"/>
  <c r="AB13"/>
  <c r="AA13"/>
  <c r="Z13"/>
  <c r="X13"/>
  <c r="T13"/>
  <c r="R13"/>
  <c r="Q13"/>
  <c r="P13"/>
  <c r="O13"/>
  <c r="M13"/>
  <c r="I13"/>
  <c r="G13"/>
  <c r="F13"/>
  <c r="E13"/>
  <c r="D13"/>
  <c r="C13" s="1"/>
  <c r="CG20" s="1"/>
  <c r="B13"/>
  <c r="AE12"/>
  <c r="AC12"/>
  <c r="AB12"/>
  <c r="AA12"/>
  <c r="Z12"/>
  <c r="Y12" s="1"/>
  <c r="CI19" s="1"/>
  <c r="X12"/>
  <c r="T12"/>
  <c r="R12"/>
  <c r="Q12"/>
  <c r="P12"/>
  <c r="O12"/>
  <c r="M12"/>
  <c r="I12"/>
  <c r="G12"/>
  <c r="F12"/>
  <c r="E12"/>
  <c r="D12"/>
  <c r="C12" s="1"/>
  <c r="CG19" s="1"/>
  <c r="B12"/>
  <c r="AE11"/>
  <c r="AC11"/>
  <c r="AB11"/>
  <c r="AA11"/>
  <c r="Z11"/>
  <c r="X11"/>
  <c r="T11"/>
  <c r="R11"/>
  <c r="Q11"/>
  <c r="P11"/>
  <c r="O11"/>
  <c r="N11" s="1"/>
  <c r="CH18" s="1"/>
  <c r="M11"/>
  <c r="I11"/>
  <c r="G11"/>
  <c r="F11"/>
  <c r="E11"/>
  <c r="D11"/>
  <c r="B11"/>
  <c r="C7"/>
  <c r="G7" s="1"/>
  <c r="G5"/>
  <c r="F5"/>
  <c r="E5"/>
  <c r="D5"/>
  <c r="C5"/>
  <c r="A4"/>
  <c r="AE19" i="39"/>
  <c r="AC19"/>
  <c r="AB19"/>
  <c r="AA19"/>
  <c r="AD19" s="1"/>
  <c r="Z19"/>
  <c r="Y19" s="1"/>
  <c r="CI26" s="1"/>
  <c r="X19"/>
  <c r="T19"/>
  <c r="R19"/>
  <c r="Q19"/>
  <c r="P19"/>
  <c r="O19"/>
  <c r="N19" s="1"/>
  <c r="CH26" s="1"/>
  <c r="M19"/>
  <c r="I19"/>
  <c r="G19"/>
  <c r="F19"/>
  <c r="E19"/>
  <c r="D19"/>
  <c r="C19" s="1"/>
  <c r="CG26" s="1"/>
  <c r="B19"/>
  <c r="AE18"/>
  <c r="AC18"/>
  <c r="AB18"/>
  <c r="AA18"/>
  <c r="AD18" s="1"/>
  <c r="Z18"/>
  <c r="Y18"/>
  <c r="CI25" s="1"/>
  <c r="X18"/>
  <c r="T18"/>
  <c r="R18"/>
  <c r="Q18"/>
  <c r="P18"/>
  <c r="O18"/>
  <c r="M18"/>
  <c r="I18"/>
  <c r="G18"/>
  <c r="F18"/>
  <c r="E18"/>
  <c r="D18"/>
  <c r="C18" s="1"/>
  <c r="CG25" s="1"/>
  <c r="B18"/>
  <c r="AE17"/>
  <c r="AC17"/>
  <c r="AB17"/>
  <c r="AD17" s="1"/>
  <c r="AA17"/>
  <c r="Z17"/>
  <c r="Y17" s="1"/>
  <c r="CI24" s="1"/>
  <c r="X17"/>
  <c r="T17"/>
  <c r="R17"/>
  <c r="Q17"/>
  <c r="P17"/>
  <c r="S17" s="1"/>
  <c r="O17"/>
  <c r="N17"/>
  <c r="CH24" s="1"/>
  <c r="M17"/>
  <c r="I17"/>
  <c r="G17"/>
  <c r="F17"/>
  <c r="H17" s="1"/>
  <c r="E17"/>
  <c r="D17"/>
  <c r="C17" s="1"/>
  <c r="CG24" s="1"/>
  <c r="B17"/>
  <c r="AE16"/>
  <c r="AC16"/>
  <c r="AB16"/>
  <c r="AA16"/>
  <c r="AD16" s="1"/>
  <c r="Z16"/>
  <c r="X16"/>
  <c r="T16"/>
  <c r="R16"/>
  <c r="Q16"/>
  <c r="S16" s="1"/>
  <c r="P16"/>
  <c r="O16"/>
  <c r="N16" s="1"/>
  <c r="CH23" s="1"/>
  <c r="M16"/>
  <c r="I16"/>
  <c r="G16"/>
  <c r="F16"/>
  <c r="E16"/>
  <c r="H16" s="1"/>
  <c r="D16"/>
  <c r="C16"/>
  <c r="CG23" s="1"/>
  <c r="B16"/>
  <c r="AE15"/>
  <c r="AC15"/>
  <c r="AB15"/>
  <c r="AD15" s="1"/>
  <c r="AA15"/>
  <c r="Z15"/>
  <c r="Y15" s="1"/>
  <c r="CI22" s="1"/>
  <c r="X15"/>
  <c r="T15"/>
  <c r="R15"/>
  <c r="Q15"/>
  <c r="P15"/>
  <c r="S15" s="1"/>
  <c r="O15"/>
  <c r="M15"/>
  <c r="I15"/>
  <c r="G15"/>
  <c r="F15"/>
  <c r="E15"/>
  <c r="D15"/>
  <c r="B15"/>
  <c r="AE14"/>
  <c r="AC14"/>
  <c r="AB14"/>
  <c r="AA14"/>
  <c r="Z14"/>
  <c r="X14"/>
  <c r="T14"/>
  <c r="R14"/>
  <c r="Q14"/>
  <c r="S14" s="1"/>
  <c r="P14"/>
  <c r="O14"/>
  <c r="N14" s="1"/>
  <c r="CH21" s="1"/>
  <c r="M14"/>
  <c r="I14"/>
  <c r="G14"/>
  <c r="F14"/>
  <c r="E14"/>
  <c r="D14"/>
  <c r="C14" s="1"/>
  <c r="CG21" s="1"/>
  <c r="B14"/>
  <c r="AE13"/>
  <c r="AC13"/>
  <c r="AB13"/>
  <c r="AA13"/>
  <c r="Z13"/>
  <c r="X13"/>
  <c r="T13"/>
  <c r="R13"/>
  <c r="Q13"/>
  <c r="P13"/>
  <c r="O13"/>
  <c r="M13"/>
  <c r="I13"/>
  <c r="G13"/>
  <c r="F13"/>
  <c r="H13" s="1"/>
  <c r="E13"/>
  <c r="D13"/>
  <c r="C13" s="1"/>
  <c r="CG20" s="1"/>
  <c r="B13"/>
  <c r="AE12"/>
  <c r="AC12"/>
  <c r="AB12"/>
  <c r="AA12"/>
  <c r="AD12" s="1"/>
  <c r="Z12"/>
  <c r="X12"/>
  <c r="T12"/>
  <c r="R12"/>
  <c r="Q12"/>
  <c r="P12"/>
  <c r="O12"/>
  <c r="M12"/>
  <c r="I12"/>
  <c r="G12"/>
  <c r="F12"/>
  <c r="E12"/>
  <c r="H12" s="1"/>
  <c r="D12"/>
  <c r="C12"/>
  <c r="CG19" s="1"/>
  <c r="B12"/>
  <c r="AE11"/>
  <c r="AC11"/>
  <c r="AB11"/>
  <c r="AD11" s="1"/>
  <c r="AA11"/>
  <c r="Z11"/>
  <c r="X11"/>
  <c r="T11"/>
  <c r="R11"/>
  <c r="Q11"/>
  <c r="P11"/>
  <c r="O11"/>
  <c r="N11" s="1"/>
  <c r="CH18" s="1"/>
  <c r="M11"/>
  <c r="I11"/>
  <c r="G11"/>
  <c r="F11"/>
  <c r="E11"/>
  <c r="D11"/>
  <c r="B11"/>
  <c r="C7"/>
  <c r="G7" s="1"/>
  <c r="G5"/>
  <c r="F5"/>
  <c r="E5"/>
  <c r="D5"/>
  <c r="C5"/>
  <c r="A4"/>
  <c r="AE19" i="38"/>
  <c r="AC19"/>
  <c r="AB19"/>
  <c r="AA19"/>
  <c r="AD19" s="1"/>
  <c r="Z19"/>
  <c r="Y19" s="1"/>
  <c r="CI26" s="1"/>
  <c r="X19"/>
  <c r="T19"/>
  <c r="R19"/>
  <c r="Q19"/>
  <c r="P19"/>
  <c r="O19"/>
  <c r="N19" s="1"/>
  <c r="CH26" s="1"/>
  <c r="M19"/>
  <c r="I19"/>
  <c r="G19"/>
  <c r="F19"/>
  <c r="E19"/>
  <c r="D19"/>
  <c r="C19" s="1"/>
  <c r="CG26" s="1"/>
  <c r="B19"/>
  <c r="AE18"/>
  <c r="AC18"/>
  <c r="AB18"/>
  <c r="AA18"/>
  <c r="AD18" s="1"/>
  <c r="Z18"/>
  <c r="Y18"/>
  <c r="CI25" s="1"/>
  <c r="X18"/>
  <c r="T18"/>
  <c r="R18"/>
  <c r="Q18"/>
  <c r="P18"/>
  <c r="O18"/>
  <c r="M18"/>
  <c r="I18"/>
  <c r="G18"/>
  <c r="F18"/>
  <c r="E18"/>
  <c r="D18"/>
  <c r="C18" s="1"/>
  <c r="CG25" s="1"/>
  <c r="B18"/>
  <c r="AE17"/>
  <c r="AC17"/>
  <c r="AB17"/>
  <c r="AD17" s="1"/>
  <c r="AA17"/>
  <c r="Z17"/>
  <c r="Y17" s="1"/>
  <c r="CI24" s="1"/>
  <c r="X17"/>
  <c r="T17"/>
  <c r="R17"/>
  <c r="Q17"/>
  <c r="P17"/>
  <c r="S17" s="1"/>
  <c r="O17"/>
  <c r="N17"/>
  <c r="CH24" s="1"/>
  <c r="M17"/>
  <c r="I17"/>
  <c r="G17"/>
  <c r="F17"/>
  <c r="H17" s="1"/>
  <c r="E17"/>
  <c r="D17"/>
  <c r="C17" s="1"/>
  <c r="CG24" s="1"/>
  <c r="B17"/>
  <c r="AE16"/>
  <c r="AC16"/>
  <c r="AB16"/>
  <c r="AA16"/>
  <c r="AD16" s="1"/>
  <c r="Z16"/>
  <c r="X16"/>
  <c r="T16"/>
  <c r="R16"/>
  <c r="Q16"/>
  <c r="S16" s="1"/>
  <c r="P16"/>
  <c r="O16"/>
  <c r="N16" s="1"/>
  <c r="CH23" s="1"/>
  <c r="M16"/>
  <c r="I16"/>
  <c r="G16"/>
  <c r="F16"/>
  <c r="E16"/>
  <c r="H16" s="1"/>
  <c r="D16"/>
  <c r="C16"/>
  <c r="CG23" s="1"/>
  <c r="B16"/>
  <c r="AE15"/>
  <c r="AC15"/>
  <c r="AB15"/>
  <c r="AD15" s="1"/>
  <c r="AA15"/>
  <c r="Z15"/>
  <c r="Y15" s="1"/>
  <c r="CI22" s="1"/>
  <c r="X15"/>
  <c r="T15"/>
  <c r="R15"/>
  <c r="Q15"/>
  <c r="P15"/>
  <c r="S15" s="1"/>
  <c r="O15"/>
  <c r="M15"/>
  <c r="I15"/>
  <c r="G15"/>
  <c r="F15"/>
  <c r="E15"/>
  <c r="D15"/>
  <c r="B15"/>
  <c r="AE14"/>
  <c r="AC14"/>
  <c r="AB14"/>
  <c r="AA14"/>
  <c r="Z14"/>
  <c r="X14"/>
  <c r="T14"/>
  <c r="R14"/>
  <c r="Q14"/>
  <c r="S14" s="1"/>
  <c r="P14"/>
  <c r="O14"/>
  <c r="N14" s="1"/>
  <c r="CH21" s="1"/>
  <c r="M14"/>
  <c r="I14"/>
  <c r="G14"/>
  <c r="F14"/>
  <c r="E14"/>
  <c r="D14"/>
  <c r="C14" s="1"/>
  <c r="CG21" s="1"/>
  <c r="B14"/>
  <c r="AE13"/>
  <c r="AC13"/>
  <c r="AB13"/>
  <c r="AD13" s="1"/>
  <c r="AA13"/>
  <c r="Z13"/>
  <c r="Y13" s="1"/>
  <c r="CI20" s="1"/>
  <c r="X13"/>
  <c r="T13"/>
  <c r="R13"/>
  <c r="Q13"/>
  <c r="P13"/>
  <c r="O13"/>
  <c r="M13"/>
  <c r="I13"/>
  <c r="G13"/>
  <c r="F13"/>
  <c r="H13" s="1"/>
  <c r="E13"/>
  <c r="D13"/>
  <c r="C13" s="1"/>
  <c r="CG20" s="1"/>
  <c r="B13"/>
  <c r="AE12"/>
  <c r="AC12"/>
  <c r="AB12"/>
  <c r="AA12"/>
  <c r="Z12"/>
  <c r="Y12" s="1"/>
  <c r="CI19" s="1"/>
  <c r="X12"/>
  <c r="T12"/>
  <c r="R12"/>
  <c r="Q12"/>
  <c r="P12"/>
  <c r="O12"/>
  <c r="M12"/>
  <c r="I12"/>
  <c r="G12"/>
  <c r="F12"/>
  <c r="E12"/>
  <c r="H12" s="1"/>
  <c r="D12"/>
  <c r="C12"/>
  <c r="CG19" s="1"/>
  <c r="B12"/>
  <c r="AE11"/>
  <c r="AC11"/>
  <c r="AB11"/>
  <c r="AA11"/>
  <c r="Z11"/>
  <c r="X11"/>
  <c r="T11"/>
  <c r="R11"/>
  <c r="Q11"/>
  <c r="P11"/>
  <c r="O11"/>
  <c r="N11" s="1"/>
  <c r="CH18" s="1"/>
  <c r="M11"/>
  <c r="I11"/>
  <c r="G11"/>
  <c r="F11"/>
  <c r="E11"/>
  <c r="D11"/>
  <c r="B11"/>
  <c r="C7"/>
  <c r="G7" s="1"/>
  <c r="G5"/>
  <c r="F5"/>
  <c r="E5"/>
  <c r="D5"/>
  <c r="C5"/>
  <c r="A4"/>
  <c r="AE19" i="36"/>
  <c r="AC19"/>
  <c r="AB19"/>
  <c r="AA19"/>
  <c r="AD19" s="1"/>
  <c r="Z19"/>
  <c r="X19"/>
  <c r="T19"/>
  <c r="R19"/>
  <c r="Q19"/>
  <c r="P19"/>
  <c r="S19" s="1"/>
  <c r="O19"/>
  <c r="M19"/>
  <c r="I19"/>
  <c r="G19"/>
  <c r="F19"/>
  <c r="E19"/>
  <c r="D19"/>
  <c r="B19"/>
  <c r="AE18"/>
  <c r="AC18"/>
  <c r="AB18"/>
  <c r="AA18"/>
  <c r="Z18"/>
  <c r="X18"/>
  <c r="T18"/>
  <c r="R18"/>
  <c r="Q18"/>
  <c r="P18"/>
  <c r="S18" s="1"/>
  <c r="O18"/>
  <c r="M18"/>
  <c r="I18"/>
  <c r="G18"/>
  <c r="F18"/>
  <c r="E18"/>
  <c r="D18"/>
  <c r="B18"/>
  <c r="AE17"/>
  <c r="AC17"/>
  <c r="AB17"/>
  <c r="AA17"/>
  <c r="AD17" s="1"/>
  <c r="Z17"/>
  <c r="Y17"/>
  <c r="CI24" s="1"/>
  <c r="X17"/>
  <c r="T17"/>
  <c r="R17"/>
  <c r="Q17"/>
  <c r="S17" s="1"/>
  <c r="P17"/>
  <c r="O17"/>
  <c r="N17" s="1"/>
  <c r="CH24" s="1"/>
  <c r="M17"/>
  <c r="I17"/>
  <c r="G17"/>
  <c r="F17"/>
  <c r="E17"/>
  <c r="D17"/>
  <c r="C17" s="1"/>
  <c r="CG24" s="1"/>
  <c r="B17"/>
  <c r="AE16"/>
  <c r="AC16"/>
  <c r="AB16"/>
  <c r="AD16" s="1"/>
  <c r="AA16"/>
  <c r="Z16"/>
  <c r="Y16" s="1"/>
  <c r="CI23" s="1"/>
  <c r="X16"/>
  <c r="T16"/>
  <c r="R16"/>
  <c r="Q16"/>
  <c r="P16"/>
  <c r="O16"/>
  <c r="M16"/>
  <c r="I16"/>
  <c r="G16"/>
  <c r="F16"/>
  <c r="E16"/>
  <c r="D16"/>
  <c r="B16"/>
  <c r="AE15"/>
  <c r="AC15"/>
  <c r="AB15"/>
  <c r="AA15"/>
  <c r="Z15"/>
  <c r="Y15" s="1"/>
  <c r="CI22" s="1"/>
  <c r="X15"/>
  <c r="T15"/>
  <c r="R15"/>
  <c r="Q15"/>
  <c r="P15"/>
  <c r="O15"/>
  <c r="N15" s="1"/>
  <c r="CH22" s="1"/>
  <c r="M15"/>
  <c r="I15"/>
  <c r="G15"/>
  <c r="F15"/>
  <c r="E15"/>
  <c r="H15" s="1"/>
  <c r="D15"/>
  <c r="C15"/>
  <c r="CG22" s="1"/>
  <c r="B15"/>
  <c r="AE14"/>
  <c r="AC14"/>
  <c r="AB14"/>
  <c r="AA14"/>
  <c r="Z14"/>
  <c r="X14"/>
  <c r="T14"/>
  <c r="R14"/>
  <c r="Q14"/>
  <c r="P14"/>
  <c r="S14" s="1"/>
  <c r="O14"/>
  <c r="M14"/>
  <c r="I14"/>
  <c r="G14"/>
  <c r="F14"/>
  <c r="E14"/>
  <c r="D14"/>
  <c r="B14"/>
  <c r="AE13"/>
  <c r="AC13"/>
  <c r="AB13"/>
  <c r="AA13"/>
  <c r="AD13" s="1"/>
  <c r="Z13"/>
  <c r="Y13"/>
  <c r="CI20" s="1"/>
  <c r="X13"/>
  <c r="T13"/>
  <c r="R13"/>
  <c r="Q13"/>
  <c r="P13"/>
  <c r="O13"/>
  <c r="N13" s="1"/>
  <c r="CH20" s="1"/>
  <c r="M13"/>
  <c r="I13"/>
  <c r="G13"/>
  <c r="F13"/>
  <c r="E13"/>
  <c r="D13"/>
  <c r="C13" s="1"/>
  <c r="CG20" s="1"/>
  <c r="B13"/>
  <c r="AE12"/>
  <c r="AC12"/>
  <c r="AB12"/>
  <c r="AD12" s="1"/>
  <c r="AA12"/>
  <c r="Z12"/>
  <c r="Y12" s="1"/>
  <c r="CI19" s="1"/>
  <c r="X12"/>
  <c r="T12"/>
  <c r="R12"/>
  <c r="Q12"/>
  <c r="P12"/>
  <c r="O12"/>
  <c r="N12"/>
  <c r="CH19" s="1"/>
  <c r="M12"/>
  <c r="I12"/>
  <c r="G12"/>
  <c r="F12"/>
  <c r="H12" s="1"/>
  <c r="E12"/>
  <c r="D12"/>
  <c r="C12" s="1"/>
  <c r="CG19" s="1"/>
  <c r="B12"/>
  <c r="AE11"/>
  <c r="AC11"/>
  <c r="AB11"/>
  <c r="AA11"/>
  <c r="AD11" s="1"/>
  <c r="Z11"/>
  <c r="X11"/>
  <c r="T11"/>
  <c r="R11"/>
  <c r="Q11"/>
  <c r="S11" s="1"/>
  <c r="P11"/>
  <c r="O11"/>
  <c r="N11" s="1"/>
  <c r="CH18" s="1"/>
  <c r="M11"/>
  <c r="I11"/>
  <c r="G11"/>
  <c r="F11"/>
  <c r="E11"/>
  <c r="H11" s="1"/>
  <c r="D11"/>
  <c r="C11"/>
  <c r="CG18" s="1"/>
  <c r="B11"/>
  <c r="G7"/>
  <c r="C7"/>
  <c r="G5"/>
  <c r="F5"/>
  <c r="E5"/>
  <c r="D5"/>
  <c r="C5"/>
  <c r="A4"/>
  <c r="AE19" i="35"/>
  <c r="AC19"/>
  <c r="AB19"/>
  <c r="AA19"/>
  <c r="Z19"/>
  <c r="X19"/>
  <c r="T19"/>
  <c r="R19"/>
  <c r="Q19"/>
  <c r="P19"/>
  <c r="O19"/>
  <c r="N19" s="1"/>
  <c r="CH26" s="1"/>
  <c r="M19"/>
  <c r="I19"/>
  <c r="G19"/>
  <c r="F19"/>
  <c r="E19"/>
  <c r="D19"/>
  <c r="C19" s="1"/>
  <c r="CG26" s="1"/>
  <c r="B19"/>
  <c r="AE18"/>
  <c r="AC18"/>
  <c r="AB18"/>
  <c r="AA18"/>
  <c r="Z18"/>
  <c r="Y18" s="1"/>
  <c r="CI25" s="1"/>
  <c r="X18"/>
  <c r="T18"/>
  <c r="R18"/>
  <c r="Q18"/>
  <c r="P18"/>
  <c r="O18"/>
  <c r="M18"/>
  <c r="I18"/>
  <c r="G18"/>
  <c r="F18"/>
  <c r="E18"/>
  <c r="D18"/>
  <c r="B18"/>
  <c r="AE17"/>
  <c r="AC17"/>
  <c r="AB17"/>
  <c r="AA17"/>
  <c r="Z17"/>
  <c r="X17"/>
  <c r="T17"/>
  <c r="R17"/>
  <c r="Q17"/>
  <c r="P17"/>
  <c r="S17" s="1"/>
  <c r="O17"/>
  <c r="N17"/>
  <c r="CH24" s="1"/>
  <c r="M17"/>
  <c r="I17"/>
  <c r="G17"/>
  <c r="F17"/>
  <c r="H17" s="1"/>
  <c r="E17"/>
  <c r="D17"/>
  <c r="C17" s="1"/>
  <c r="CG24" s="1"/>
  <c r="B17"/>
  <c r="AE16"/>
  <c r="AC16"/>
  <c r="AB16"/>
  <c r="AA16"/>
  <c r="AD16" s="1"/>
  <c r="Z16"/>
  <c r="X16"/>
  <c r="T16"/>
  <c r="R16"/>
  <c r="Q16"/>
  <c r="P16"/>
  <c r="O16"/>
  <c r="N16" s="1"/>
  <c r="CH23" s="1"/>
  <c r="M16"/>
  <c r="I16"/>
  <c r="G16"/>
  <c r="F16"/>
  <c r="E16"/>
  <c r="D16"/>
  <c r="C16" s="1"/>
  <c r="CG23" s="1"/>
  <c r="B16"/>
  <c r="AE15"/>
  <c r="AC15"/>
  <c r="AB15"/>
  <c r="AA15"/>
  <c r="Z15"/>
  <c r="X15"/>
  <c r="T15"/>
  <c r="R15"/>
  <c r="Q15"/>
  <c r="P15"/>
  <c r="O15"/>
  <c r="M15"/>
  <c r="I15"/>
  <c r="G15"/>
  <c r="F15"/>
  <c r="E15"/>
  <c r="D15"/>
  <c r="B15"/>
  <c r="AE14"/>
  <c r="AC14"/>
  <c r="AB14"/>
  <c r="AA14"/>
  <c r="Z14"/>
  <c r="Y14" s="1"/>
  <c r="CI21" s="1"/>
  <c r="X14"/>
  <c r="T14"/>
  <c r="R14"/>
  <c r="Q14"/>
  <c r="P14"/>
  <c r="O14"/>
  <c r="M14"/>
  <c r="I14"/>
  <c r="G14"/>
  <c r="F14"/>
  <c r="E14"/>
  <c r="H14" s="1"/>
  <c r="D14"/>
  <c r="C14"/>
  <c r="CG21" s="1"/>
  <c r="B14"/>
  <c r="AE13"/>
  <c r="AC13"/>
  <c r="AB13"/>
  <c r="AA13"/>
  <c r="AD13" s="1"/>
  <c r="Z13"/>
  <c r="X13"/>
  <c r="T13"/>
  <c r="R13"/>
  <c r="Q13"/>
  <c r="P13"/>
  <c r="O13"/>
  <c r="N13" s="1"/>
  <c r="CH20" s="1"/>
  <c r="M13"/>
  <c r="I13"/>
  <c r="G13"/>
  <c r="F13"/>
  <c r="E13"/>
  <c r="D13"/>
  <c r="B13"/>
  <c r="AE12"/>
  <c r="AC12"/>
  <c r="AB12"/>
  <c r="AA12"/>
  <c r="AD12" s="1"/>
  <c r="Z12"/>
  <c r="X12"/>
  <c r="T12"/>
  <c r="R12"/>
  <c r="Q12"/>
  <c r="P12"/>
  <c r="O12"/>
  <c r="N12" s="1"/>
  <c r="CH19" s="1"/>
  <c r="M12"/>
  <c r="I12"/>
  <c r="G12"/>
  <c r="F12"/>
  <c r="E12"/>
  <c r="D12"/>
  <c r="B12"/>
  <c r="AE11"/>
  <c r="AC11"/>
  <c r="AB11"/>
  <c r="AA11"/>
  <c r="AD11" s="1"/>
  <c r="Z11"/>
  <c r="X11"/>
  <c r="T11"/>
  <c r="R11"/>
  <c r="Q11"/>
  <c r="P11"/>
  <c r="O11"/>
  <c r="N11" s="1"/>
  <c r="CH18" s="1"/>
  <c r="M11"/>
  <c r="I11"/>
  <c r="G11"/>
  <c r="F11"/>
  <c r="E11"/>
  <c r="D11"/>
  <c r="B11"/>
  <c r="C7"/>
  <c r="G7" s="1"/>
  <c r="G5"/>
  <c r="F5"/>
  <c r="E5"/>
  <c r="D5"/>
  <c r="C5"/>
  <c r="A4"/>
  <c r="U19" l="1"/>
  <c r="AF19" i="44"/>
  <c r="U19" i="39"/>
  <c r="U19" i="45"/>
  <c r="U19" i="47"/>
  <c r="Y19" i="40"/>
  <c r="CI26" s="1"/>
  <c r="Y13"/>
  <c r="CI20" s="1"/>
  <c r="AD13"/>
  <c r="Y14"/>
  <c r="CI21" s="1"/>
  <c r="S19"/>
  <c r="N14"/>
  <c r="CH21" s="1"/>
  <c r="S14"/>
  <c r="S17"/>
  <c r="H12"/>
  <c r="H13"/>
  <c r="C14"/>
  <c r="CG21" s="1"/>
  <c r="C17"/>
  <c r="CG24" s="1"/>
  <c r="H17"/>
  <c r="U19" i="49"/>
  <c r="AD15" i="42"/>
  <c r="C15"/>
  <c r="CG22" s="1"/>
  <c r="Y12" i="48"/>
  <c r="CI19" s="1"/>
  <c r="AD11"/>
  <c r="AD12"/>
  <c r="AD14"/>
  <c r="AD16"/>
  <c r="Y18"/>
  <c r="CI25" s="1"/>
  <c r="Y19"/>
  <c r="CI26" s="1"/>
  <c r="N19"/>
  <c r="CH26" s="1"/>
  <c r="N18"/>
  <c r="CH25" s="1"/>
  <c r="S18"/>
  <c r="S17"/>
  <c r="S15"/>
  <c r="N14"/>
  <c r="CH21" s="1"/>
  <c r="S14"/>
  <c r="S19"/>
  <c r="N11"/>
  <c r="CH18" s="1"/>
  <c r="N12"/>
  <c r="CH19" s="1"/>
  <c r="S12"/>
  <c r="S13"/>
  <c r="N16"/>
  <c r="CH23" s="1"/>
  <c r="S16"/>
  <c r="N17"/>
  <c r="CH24" s="1"/>
  <c r="H11"/>
  <c r="H14"/>
  <c r="C16"/>
  <c r="CG23" s="1"/>
  <c r="Y14" i="39"/>
  <c r="CI21" s="1"/>
  <c r="Y12"/>
  <c r="CI19" s="1"/>
  <c r="Y13"/>
  <c r="CI20" s="1"/>
  <c r="AD13"/>
  <c r="AD14"/>
  <c r="Y16"/>
  <c r="CI23" s="1"/>
  <c r="N13"/>
  <c r="CH20" s="1"/>
  <c r="S19"/>
  <c r="S11"/>
  <c r="N12"/>
  <c r="CH19" s="1"/>
  <c r="S12"/>
  <c r="S13"/>
  <c r="N15"/>
  <c r="CH22" s="1"/>
  <c r="N18"/>
  <c r="CH25" s="1"/>
  <c r="S18"/>
  <c r="H11"/>
  <c r="H14"/>
  <c r="C15"/>
  <c r="CG22" s="1"/>
  <c r="H15"/>
  <c r="H18"/>
  <c r="H19"/>
  <c r="H19" i="48"/>
  <c r="H12"/>
  <c r="C13"/>
  <c r="CG20" s="1"/>
  <c r="H13"/>
  <c r="H16"/>
  <c r="C17"/>
  <c r="CG24" s="1"/>
  <c r="H17"/>
  <c r="Y17" i="47"/>
  <c r="CI24" s="1"/>
  <c r="Y15"/>
  <c r="CI22" s="1"/>
  <c r="Y16"/>
  <c r="CI23" s="1"/>
  <c r="AD16"/>
  <c r="AD17"/>
  <c r="AD11"/>
  <c r="AD14"/>
  <c r="N12"/>
  <c r="CH19" s="1"/>
  <c r="N11"/>
  <c r="CH18" s="1"/>
  <c r="S11"/>
  <c r="S12"/>
  <c r="N14"/>
  <c r="CH21" s="1"/>
  <c r="S16"/>
  <c r="N18"/>
  <c r="CH25" s="1"/>
  <c r="H16"/>
  <c r="C19"/>
  <c r="CG26" s="1"/>
  <c r="H19"/>
  <c r="H13"/>
  <c r="C14"/>
  <c r="CG21" s="1"/>
  <c r="H14"/>
  <c r="H17"/>
  <c r="C18"/>
  <c r="CG25" s="1"/>
  <c r="H18"/>
  <c r="Y14" i="46"/>
  <c r="CI21" s="1"/>
  <c r="Y12"/>
  <c r="CI19" s="1"/>
  <c r="Y13"/>
  <c r="CI20" s="1"/>
  <c r="AD13"/>
  <c r="AD14"/>
  <c r="Y16"/>
  <c r="CI23" s="1"/>
  <c r="N13"/>
  <c r="CH20" s="1"/>
  <c r="S11"/>
  <c r="N12"/>
  <c r="CH19" s="1"/>
  <c r="S12"/>
  <c r="S13"/>
  <c r="N15"/>
  <c r="CH22" s="1"/>
  <c r="N18"/>
  <c r="CH25" s="1"/>
  <c r="S18"/>
  <c r="H11"/>
  <c r="H14"/>
  <c r="C15"/>
  <c r="CG22" s="1"/>
  <c r="H15"/>
  <c r="H18"/>
  <c r="H19"/>
  <c r="Y14" i="45"/>
  <c r="CI21" s="1"/>
  <c r="Y12"/>
  <c r="CI19" s="1"/>
  <c r="AD13"/>
  <c r="AD14"/>
  <c r="Y16"/>
  <c r="CI23" s="1"/>
  <c r="N13"/>
  <c r="CH20" s="1"/>
  <c r="S11"/>
  <c r="S12"/>
  <c r="S13"/>
  <c r="N15"/>
  <c r="CH22" s="1"/>
  <c r="S18"/>
  <c r="H11"/>
  <c r="H14"/>
  <c r="H15"/>
  <c r="H18"/>
  <c r="H19"/>
  <c r="Y14" i="44"/>
  <c r="CI21" s="1"/>
  <c r="Y12"/>
  <c r="CI19" s="1"/>
  <c r="Y13"/>
  <c r="CI20" s="1"/>
  <c r="AD13"/>
  <c r="AD14"/>
  <c r="Y16"/>
  <c r="CI23" s="1"/>
  <c r="N13"/>
  <c r="CH20" s="1"/>
  <c r="S19"/>
  <c r="S11"/>
  <c r="N12"/>
  <c r="CH19" s="1"/>
  <c r="S12"/>
  <c r="S13"/>
  <c r="N15"/>
  <c r="CH22" s="1"/>
  <c r="N18"/>
  <c r="CH25" s="1"/>
  <c r="S18"/>
  <c r="Y19"/>
  <c r="CI26" s="1"/>
  <c r="C11"/>
  <c r="CG18" s="1"/>
  <c r="H11"/>
  <c r="H14"/>
  <c r="C15"/>
  <c r="CG22" s="1"/>
  <c r="H15"/>
  <c r="H18"/>
  <c r="H19"/>
  <c r="Y11" i="43"/>
  <c r="CI18" s="1"/>
  <c r="AD11"/>
  <c r="AD12"/>
  <c r="Y15"/>
  <c r="CI22" s="1"/>
  <c r="AD15"/>
  <c r="Y16"/>
  <c r="CI23" s="1"/>
  <c r="S11"/>
  <c r="N12"/>
  <c r="CH19" s="1"/>
  <c r="S12"/>
  <c r="N13"/>
  <c r="CH20" s="1"/>
  <c r="N14"/>
  <c r="CH21" s="1"/>
  <c r="S14"/>
  <c r="S15"/>
  <c r="N18"/>
  <c r="CH25" s="1"/>
  <c r="S18"/>
  <c r="N19"/>
  <c r="CH26" s="1"/>
  <c r="S19"/>
  <c r="C13"/>
  <c r="CG20" s="1"/>
  <c r="H13"/>
  <c r="H16"/>
  <c r="C18"/>
  <c r="CG25" s="1"/>
  <c r="H11"/>
  <c r="H14"/>
  <c r="C15"/>
  <c r="CG22" s="1"/>
  <c r="H15"/>
  <c r="H18"/>
  <c r="H19"/>
  <c r="J11"/>
  <c r="AF11" i="45"/>
  <c r="J13"/>
  <c r="U14"/>
  <c r="AF15"/>
  <c r="J17"/>
  <c r="U18"/>
  <c r="J11" i="46"/>
  <c r="J11" i="48"/>
  <c r="U19" i="36"/>
  <c r="U19" i="38"/>
  <c r="U19" i="40"/>
  <c r="U19" i="42"/>
  <c r="U19" i="43"/>
  <c r="J11" i="45"/>
  <c r="U12"/>
  <c r="AF13"/>
  <c r="J15"/>
  <c r="U16"/>
  <c r="AF17"/>
  <c r="U19" i="46"/>
  <c r="AF11"/>
  <c r="U19" i="48"/>
  <c r="AF11"/>
  <c r="J11" i="49"/>
  <c r="U12"/>
  <c r="Y17" i="42"/>
  <c r="CI24" s="1"/>
  <c r="AD11"/>
  <c r="AD13"/>
  <c r="Y16"/>
  <c r="CI23" s="1"/>
  <c r="AD16"/>
  <c r="AD17"/>
  <c r="AD19"/>
  <c r="N11"/>
  <c r="CH18" s="1"/>
  <c r="S11"/>
  <c r="S12"/>
  <c r="S17"/>
  <c r="N15"/>
  <c r="CH22" s="1"/>
  <c r="S15"/>
  <c r="S16"/>
  <c r="H11"/>
  <c r="C12"/>
  <c r="CG19" s="1"/>
  <c r="H12"/>
  <c r="H15"/>
  <c r="C16"/>
  <c r="CG23" s="1"/>
  <c r="H16"/>
  <c r="C19"/>
  <c r="CG26" s="1"/>
  <c r="H19"/>
  <c r="H13"/>
  <c r="H14"/>
  <c r="H17"/>
  <c r="C18"/>
  <c r="CG25" s="1"/>
  <c r="H18"/>
  <c r="Y12" i="49"/>
  <c r="CI19" s="1"/>
  <c r="AF11"/>
  <c r="AD11"/>
  <c r="AD12"/>
  <c r="Y14"/>
  <c r="CI21" s="1"/>
  <c r="Y17"/>
  <c r="CI24" s="1"/>
  <c r="AD17"/>
  <c r="AD18"/>
  <c r="Y19"/>
  <c r="CI26" s="1"/>
  <c r="N19"/>
  <c r="CH26" s="1"/>
  <c r="N17"/>
  <c r="CH24" s="1"/>
  <c r="S19"/>
  <c r="S11"/>
  <c r="N13"/>
  <c r="CH20" s="1"/>
  <c r="N16"/>
  <c r="CH23" s="1"/>
  <c r="S16"/>
  <c r="S17"/>
  <c r="N18"/>
  <c r="CH25" s="1"/>
  <c r="S18"/>
  <c r="H18"/>
  <c r="C16"/>
  <c r="CG23" s="1"/>
  <c r="C15"/>
  <c r="CG22" s="1"/>
  <c r="H15"/>
  <c r="H12"/>
  <c r="C13"/>
  <c r="CG20" s="1"/>
  <c r="H13"/>
  <c r="H16"/>
  <c r="C17"/>
  <c r="CG24" s="1"/>
  <c r="H17"/>
  <c r="C11"/>
  <c r="CG18" s="1"/>
  <c r="U11"/>
  <c r="Y11"/>
  <c r="CI18" s="1"/>
  <c r="J12"/>
  <c r="N12"/>
  <c r="CH19" s="1"/>
  <c r="AF12"/>
  <c r="U13"/>
  <c r="J14"/>
  <c r="AF14"/>
  <c r="U15"/>
  <c r="J16"/>
  <c r="AF16"/>
  <c r="U17"/>
  <c r="J18"/>
  <c r="AF18"/>
  <c r="J19"/>
  <c r="AF19"/>
  <c r="J13"/>
  <c r="AF13"/>
  <c r="U14"/>
  <c r="J15"/>
  <c r="AF15"/>
  <c r="U16"/>
  <c r="J17"/>
  <c r="AF17"/>
  <c r="U18"/>
  <c r="C11" i="48"/>
  <c r="CG18" s="1"/>
  <c r="U11"/>
  <c r="Y11"/>
  <c r="CI18" s="1"/>
  <c r="J12"/>
  <c r="AF12"/>
  <c r="U13"/>
  <c r="J14"/>
  <c r="AF14"/>
  <c r="U15"/>
  <c r="J16"/>
  <c r="AF16"/>
  <c r="U17"/>
  <c r="J18"/>
  <c r="AF18"/>
  <c r="J19"/>
  <c r="AF19"/>
  <c r="U12"/>
  <c r="J13"/>
  <c r="AF13"/>
  <c r="U14"/>
  <c r="J15"/>
  <c r="AF15"/>
  <c r="U16"/>
  <c r="J17"/>
  <c r="AF17"/>
  <c r="U18"/>
  <c r="U11" i="47"/>
  <c r="J12"/>
  <c r="AF12"/>
  <c r="U13"/>
  <c r="J14"/>
  <c r="AF14"/>
  <c r="U15"/>
  <c r="J16"/>
  <c r="AF16"/>
  <c r="U17"/>
  <c r="J18"/>
  <c r="AF18"/>
  <c r="J19"/>
  <c r="AF19"/>
  <c r="J11"/>
  <c r="AF11"/>
  <c r="U12"/>
  <c r="J13"/>
  <c r="AF13"/>
  <c r="U14"/>
  <c r="J15"/>
  <c r="AF15"/>
  <c r="U16"/>
  <c r="J17"/>
  <c r="AF17"/>
  <c r="U18"/>
  <c r="C11" i="46"/>
  <c r="CG18" s="1"/>
  <c r="U11"/>
  <c r="Y11"/>
  <c r="CI18" s="1"/>
  <c r="J12"/>
  <c r="AF12"/>
  <c r="U13"/>
  <c r="J14"/>
  <c r="AF14"/>
  <c r="U15"/>
  <c r="J16"/>
  <c r="AF16"/>
  <c r="U17"/>
  <c r="J18"/>
  <c r="AF18"/>
  <c r="J19"/>
  <c r="AF19"/>
  <c r="U12"/>
  <c r="J13"/>
  <c r="AF13"/>
  <c r="U14"/>
  <c r="J15"/>
  <c r="AF15"/>
  <c r="U16"/>
  <c r="J17"/>
  <c r="AF17"/>
  <c r="U18"/>
  <c r="C11" i="45"/>
  <c r="CG18" s="1"/>
  <c r="U11"/>
  <c r="Y11"/>
  <c r="CI18" s="1"/>
  <c r="J12"/>
  <c r="N12"/>
  <c r="CH19" s="1"/>
  <c r="AF12"/>
  <c r="C13"/>
  <c r="CG20" s="1"/>
  <c r="U13"/>
  <c r="Y13"/>
  <c r="CI20" s="1"/>
  <c r="J14"/>
  <c r="N14"/>
  <c r="CH21" s="1"/>
  <c r="AF14"/>
  <c r="C15"/>
  <c r="CG22" s="1"/>
  <c r="U15"/>
  <c r="Y15"/>
  <c r="CI22" s="1"/>
  <c r="J16"/>
  <c r="N16"/>
  <c r="CH23" s="1"/>
  <c r="AF16"/>
  <c r="C17"/>
  <c r="CG24" s="1"/>
  <c r="U17"/>
  <c r="Y17"/>
  <c r="CI24" s="1"/>
  <c r="J18"/>
  <c r="N18"/>
  <c r="CH25" s="1"/>
  <c r="AF18"/>
  <c r="J19"/>
  <c r="AF19"/>
  <c r="J11" i="44"/>
  <c r="AF11"/>
  <c r="U12"/>
  <c r="J13"/>
  <c r="AF13"/>
  <c r="U14"/>
  <c r="J15"/>
  <c r="AF15"/>
  <c r="U16"/>
  <c r="J17"/>
  <c r="AF17"/>
  <c r="U18"/>
  <c r="U19"/>
  <c r="U11"/>
  <c r="J12"/>
  <c r="AF12"/>
  <c r="U13"/>
  <c r="J14"/>
  <c r="AF14"/>
  <c r="U15"/>
  <c r="J16"/>
  <c r="AF16"/>
  <c r="U17"/>
  <c r="J18"/>
  <c r="AF18"/>
  <c r="J19"/>
  <c r="C11" i="43"/>
  <c r="CG18" s="1"/>
  <c r="U11"/>
  <c r="J12"/>
  <c r="AF12"/>
  <c r="U13"/>
  <c r="J14"/>
  <c r="AF14"/>
  <c r="U15"/>
  <c r="J16"/>
  <c r="AF16"/>
  <c r="U17"/>
  <c r="J18"/>
  <c r="AF18"/>
  <c r="J19"/>
  <c r="AF19"/>
  <c r="AF11"/>
  <c r="U12"/>
  <c r="J13"/>
  <c r="AF13"/>
  <c r="U14"/>
  <c r="J15"/>
  <c r="AF15"/>
  <c r="U16"/>
  <c r="J17"/>
  <c r="AF17"/>
  <c r="U18"/>
  <c r="U11" i="42"/>
  <c r="J12"/>
  <c r="AF12"/>
  <c r="U13"/>
  <c r="J14"/>
  <c r="AF14"/>
  <c r="U15"/>
  <c r="J16"/>
  <c r="AF16"/>
  <c r="U17"/>
  <c r="J18"/>
  <c r="AF18"/>
  <c r="J19"/>
  <c r="AF19"/>
  <c r="J11"/>
  <c r="AF11"/>
  <c r="U12"/>
  <c r="J13"/>
  <c r="AF13"/>
  <c r="U14"/>
  <c r="J15"/>
  <c r="AF15"/>
  <c r="U16"/>
  <c r="J17"/>
  <c r="AF17"/>
  <c r="U18"/>
  <c r="J11" i="39"/>
  <c r="AF11"/>
  <c r="U19" i="41"/>
  <c r="AD19"/>
  <c r="AD17"/>
  <c r="Y16"/>
  <c r="CI23" s="1"/>
  <c r="Y11"/>
  <c r="CI18" s="1"/>
  <c r="AD11"/>
  <c r="AD12"/>
  <c r="Y15"/>
  <c r="CI22" s="1"/>
  <c r="AD15"/>
  <c r="AD16"/>
  <c r="Y19"/>
  <c r="CI26" s="1"/>
  <c r="N17"/>
  <c r="CH24" s="1"/>
  <c r="N15"/>
  <c r="CH22" s="1"/>
  <c r="S13"/>
  <c r="N11"/>
  <c r="CH18" s="1"/>
  <c r="N14"/>
  <c r="CH21" s="1"/>
  <c r="S14"/>
  <c r="S15"/>
  <c r="N16"/>
  <c r="CH23" s="1"/>
  <c r="S16"/>
  <c r="S17"/>
  <c r="N19"/>
  <c r="CH26" s="1"/>
  <c r="S19"/>
  <c r="C19"/>
  <c r="CG26" s="1"/>
  <c r="C17"/>
  <c r="CG24" s="1"/>
  <c r="H17"/>
  <c r="C14"/>
  <c r="CG21" s="1"/>
  <c r="J11"/>
  <c r="H11"/>
  <c r="H14"/>
  <c r="C15"/>
  <c r="CG22" s="1"/>
  <c r="H15"/>
  <c r="H18"/>
  <c r="H19"/>
  <c r="Y18" i="40"/>
  <c r="CI25" s="1"/>
  <c r="AF11"/>
  <c r="AD11"/>
  <c r="AD12"/>
  <c r="Y15"/>
  <c r="CI22" s="1"/>
  <c r="AD15"/>
  <c r="AD16"/>
  <c r="Y17"/>
  <c r="CI24" s="1"/>
  <c r="AD17"/>
  <c r="AD18"/>
  <c r="AD19"/>
  <c r="N16"/>
  <c r="CH23" s="1"/>
  <c r="S16"/>
  <c r="N13"/>
  <c r="CH20" s="1"/>
  <c r="S11"/>
  <c r="U12"/>
  <c r="S12"/>
  <c r="S13"/>
  <c r="N15"/>
  <c r="CH22" s="1"/>
  <c r="N18"/>
  <c r="CH25" s="1"/>
  <c r="S18"/>
  <c r="J11"/>
  <c r="H11"/>
  <c r="H14"/>
  <c r="C15"/>
  <c r="CG22" s="1"/>
  <c r="H15"/>
  <c r="H18"/>
  <c r="H19"/>
  <c r="Y14" i="38"/>
  <c r="CI21" s="1"/>
  <c r="AF11"/>
  <c r="AD11"/>
  <c r="AD12"/>
  <c r="AD14"/>
  <c r="Y16"/>
  <c r="CI23" s="1"/>
  <c r="N13"/>
  <c r="CH20" s="1"/>
  <c r="S11"/>
  <c r="U12"/>
  <c r="S12"/>
  <c r="S13"/>
  <c r="N15"/>
  <c r="CH22" s="1"/>
  <c r="N18"/>
  <c r="CH25" s="1"/>
  <c r="S18"/>
  <c r="S19"/>
  <c r="J11"/>
  <c r="H11"/>
  <c r="H14"/>
  <c r="C15"/>
  <c r="CG22" s="1"/>
  <c r="H15"/>
  <c r="H18"/>
  <c r="H19"/>
  <c r="C11" i="41"/>
  <c r="CG18" s="1"/>
  <c r="U11"/>
  <c r="J12"/>
  <c r="AF12"/>
  <c r="U13"/>
  <c r="J14"/>
  <c r="AF14"/>
  <c r="U15"/>
  <c r="J16"/>
  <c r="AF16"/>
  <c r="U17"/>
  <c r="J18"/>
  <c r="AF18"/>
  <c r="J19"/>
  <c r="AF19"/>
  <c r="AF11"/>
  <c r="U12"/>
  <c r="J13"/>
  <c r="AF13"/>
  <c r="U14"/>
  <c r="J15"/>
  <c r="AF15"/>
  <c r="U16"/>
  <c r="J17"/>
  <c r="AF17"/>
  <c r="U18"/>
  <c r="C11" i="40"/>
  <c r="CG18" s="1"/>
  <c r="U11"/>
  <c r="Y11"/>
  <c r="CI18" s="1"/>
  <c r="J12"/>
  <c r="N12"/>
  <c r="CH19" s="1"/>
  <c r="AF12"/>
  <c r="U13"/>
  <c r="J14"/>
  <c r="AF14"/>
  <c r="U15"/>
  <c r="J16"/>
  <c r="AF16"/>
  <c r="U17"/>
  <c r="J18"/>
  <c r="AF18"/>
  <c r="J19"/>
  <c r="AF19"/>
  <c r="J13"/>
  <c r="AF13"/>
  <c r="U14"/>
  <c r="J15"/>
  <c r="AF15"/>
  <c r="U16"/>
  <c r="J17"/>
  <c r="AF17"/>
  <c r="U18"/>
  <c r="C11" i="39"/>
  <c r="CG18" s="1"/>
  <c r="U11"/>
  <c r="Y11"/>
  <c r="CI18" s="1"/>
  <c r="J12"/>
  <c r="AF12"/>
  <c r="U13"/>
  <c r="J14"/>
  <c r="AF14"/>
  <c r="U15"/>
  <c r="J16"/>
  <c r="AF16"/>
  <c r="U17"/>
  <c r="J18"/>
  <c r="AF18"/>
  <c r="J19"/>
  <c r="AF19"/>
  <c r="U12"/>
  <c r="J13"/>
  <c r="AF13"/>
  <c r="U14"/>
  <c r="J15"/>
  <c r="AF15"/>
  <c r="U16"/>
  <c r="J17"/>
  <c r="AF17"/>
  <c r="U18"/>
  <c r="C11" i="38"/>
  <c r="CG18" s="1"/>
  <c r="U11"/>
  <c r="Y11"/>
  <c r="CI18" s="1"/>
  <c r="J12"/>
  <c r="N12"/>
  <c r="CH19" s="1"/>
  <c r="AF12"/>
  <c r="U13"/>
  <c r="J14"/>
  <c r="AF14"/>
  <c r="U15"/>
  <c r="J16"/>
  <c r="AF16"/>
  <c r="U17"/>
  <c r="J18"/>
  <c r="AF18"/>
  <c r="J19"/>
  <c r="AF19"/>
  <c r="J13"/>
  <c r="AF13"/>
  <c r="U14"/>
  <c r="J15"/>
  <c r="AF15"/>
  <c r="U16"/>
  <c r="J17"/>
  <c r="AF17"/>
  <c r="U18"/>
  <c r="AD18" i="35"/>
  <c r="Y15"/>
  <c r="CI22" s="1"/>
  <c r="AD19"/>
  <c r="Y17"/>
  <c r="CI24" s="1"/>
  <c r="S18"/>
  <c r="S15"/>
  <c r="C13"/>
  <c r="CG20" s="1"/>
  <c r="H11"/>
  <c r="H12"/>
  <c r="C15"/>
  <c r="CG22" s="1"/>
  <c r="H16"/>
  <c r="C18"/>
  <c r="CG25" s="1"/>
  <c r="Y11" i="36"/>
  <c r="CI18" s="1"/>
  <c r="Y14"/>
  <c r="CI21" s="1"/>
  <c r="AD14"/>
  <c r="AD15"/>
  <c r="Y18"/>
  <c r="CI25" s="1"/>
  <c r="AD18"/>
  <c r="Y19"/>
  <c r="CI26" s="1"/>
  <c r="N19"/>
  <c r="CH26" s="1"/>
  <c r="N16"/>
  <c r="CH23" s="1"/>
  <c r="N14"/>
  <c r="CH21" s="1"/>
  <c r="S13"/>
  <c r="S15"/>
  <c r="S16"/>
  <c r="N18"/>
  <c r="CH25" s="1"/>
  <c r="S12"/>
  <c r="C19"/>
  <c r="CG26" s="1"/>
  <c r="H19"/>
  <c r="C16"/>
  <c r="CG23" s="1"/>
  <c r="H16"/>
  <c r="H13"/>
  <c r="C14"/>
  <c r="CG21" s="1"/>
  <c r="H14"/>
  <c r="H17"/>
  <c r="C18"/>
  <c r="CG25" s="1"/>
  <c r="H18"/>
  <c r="U11"/>
  <c r="J12"/>
  <c r="AF12"/>
  <c r="U13"/>
  <c r="J14"/>
  <c r="AF14"/>
  <c r="U15"/>
  <c r="J16"/>
  <c r="AF16"/>
  <c r="U17"/>
  <c r="J18"/>
  <c r="AF18"/>
  <c r="J19"/>
  <c r="AF19"/>
  <c r="J11"/>
  <c r="AF11"/>
  <c r="U12"/>
  <c r="J13"/>
  <c r="AF13"/>
  <c r="U14"/>
  <c r="J15"/>
  <c r="AF15"/>
  <c r="U16"/>
  <c r="J17"/>
  <c r="AF17"/>
  <c r="U18"/>
  <c r="Y11" i="35"/>
  <c r="CI18" s="1"/>
  <c r="Y12"/>
  <c r="CI19" s="1"/>
  <c r="Y13"/>
  <c r="CI20" s="1"/>
  <c r="AD14"/>
  <c r="AD15"/>
  <c r="Y16"/>
  <c r="CI23" s="1"/>
  <c r="AD17"/>
  <c r="Y19"/>
  <c r="CI26" s="1"/>
  <c r="S19"/>
  <c r="S11"/>
  <c r="S12"/>
  <c r="S13"/>
  <c r="N14"/>
  <c r="CH21" s="1"/>
  <c r="S14"/>
  <c r="N15"/>
  <c r="CH22" s="1"/>
  <c r="S16"/>
  <c r="N18"/>
  <c r="CH25" s="1"/>
  <c r="C11"/>
  <c r="CG18" s="1"/>
  <c r="C12"/>
  <c r="CG19" s="1"/>
  <c r="H13"/>
  <c r="H15"/>
  <c r="H18"/>
  <c r="H19"/>
  <c r="U11"/>
  <c r="J12"/>
  <c r="AF12"/>
  <c r="U13"/>
  <c r="J14"/>
  <c r="AF14"/>
  <c r="U15"/>
  <c r="J16"/>
  <c r="AF16"/>
  <c r="U17"/>
  <c r="J18"/>
  <c r="AF18"/>
  <c r="J19"/>
  <c r="AF19"/>
  <c r="J11"/>
  <c r="AF11"/>
  <c r="U12"/>
  <c r="J13"/>
  <c r="AF13"/>
  <c r="U14"/>
  <c r="J15"/>
  <c r="AF15"/>
  <c r="U16"/>
  <c r="J17"/>
  <c r="AF17"/>
  <c r="U18"/>
  <c r="C47" i="29" l="1"/>
  <c r="D47" s="1"/>
  <c r="F20"/>
  <c r="E20"/>
  <c r="D20"/>
  <c r="O22" l="1"/>
  <c r="P18" i="30" l="1"/>
  <c r="E15"/>
  <c r="D11"/>
  <c r="B11"/>
  <c r="C7" l="1"/>
  <c r="G7" s="1"/>
  <c r="C2" i="28" l="1"/>
  <c r="G2" s="1"/>
  <c r="C2" i="27"/>
  <c r="G2" s="1"/>
  <c r="C2" i="26"/>
  <c r="G2" s="1"/>
  <c r="C2" i="25"/>
  <c r="G2" s="1"/>
  <c r="C2" i="24"/>
  <c r="G2" s="1"/>
  <c r="C2" i="23"/>
  <c r="G2" s="1"/>
  <c r="C2" i="22"/>
  <c r="G2" s="1"/>
  <c r="C2" i="21"/>
  <c r="G2" s="1"/>
  <c r="C2" i="9"/>
  <c r="G2" s="1"/>
  <c r="C2" i="20"/>
  <c r="G2" s="1"/>
  <c r="C2" i="19"/>
  <c r="G2" s="1"/>
  <c r="C2" i="18"/>
  <c r="G2" s="1"/>
  <c r="C2" i="17"/>
  <c r="G2" s="1"/>
  <c r="C2" i="16"/>
  <c r="G2" s="1"/>
  <c r="C2" i="14"/>
  <c r="G2"/>
  <c r="H16" i="29" l="1"/>
  <c r="F23"/>
  <c r="E23"/>
  <c r="I23"/>
  <c r="I22"/>
  <c r="D5" i="30" l="1"/>
  <c r="E5"/>
  <c r="F5"/>
  <c r="G5"/>
  <c r="C5"/>
  <c r="D23" i="29" l="1"/>
  <c r="C48"/>
  <c r="D48" s="1"/>
  <c r="D49"/>
  <c r="C50"/>
  <c r="D50" s="1"/>
  <c r="C51"/>
  <c r="D51" s="1"/>
  <c r="C52"/>
  <c r="D52" s="1"/>
  <c r="C53"/>
  <c r="D53" s="1"/>
  <c r="C54"/>
  <c r="D54" s="1"/>
  <c r="C55"/>
  <c r="D55" s="1"/>
  <c r="I19" i="30"/>
  <c r="G19"/>
  <c r="F19"/>
  <c r="E19"/>
  <c r="D19"/>
  <c r="B19"/>
  <c r="AE19"/>
  <c r="AC19"/>
  <c r="AB19"/>
  <c r="AA19"/>
  <c r="AD19" s="1"/>
  <c r="Z19"/>
  <c r="X19"/>
  <c r="T19"/>
  <c r="R19"/>
  <c r="Q19"/>
  <c r="P19"/>
  <c r="O19"/>
  <c r="M19"/>
  <c r="I18"/>
  <c r="G18"/>
  <c r="F18"/>
  <c r="E18"/>
  <c r="D18"/>
  <c r="B18"/>
  <c r="AE18"/>
  <c r="AC18"/>
  <c r="AB18"/>
  <c r="AA18"/>
  <c r="Z18"/>
  <c r="X18"/>
  <c r="T18"/>
  <c r="R18"/>
  <c r="Q18"/>
  <c r="O18"/>
  <c r="N18" s="1"/>
  <c r="M18"/>
  <c r="I17"/>
  <c r="G17"/>
  <c r="F17"/>
  <c r="E17"/>
  <c r="D17"/>
  <c r="B17"/>
  <c r="AE17"/>
  <c r="AC17"/>
  <c r="AB17"/>
  <c r="AA17"/>
  <c r="Z17"/>
  <c r="X17"/>
  <c r="T17"/>
  <c r="R17"/>
  <c r="Q17"/>
  <c r="P17"/>
  <c r="O17"/>
  <c r="M17"/>
  <c r="I16"/>
  <c r="G16"/>
  <c r="F16"/>
  <c r="E16"/>
  <c r="D16"/>
  <c r="B16"/>
  <c r="AE16"/>
  <c r="AC16"/>
  <c r="AB16"/>
  <c r="AA16"/>
  <c r="Z16"/>
  <c r="AF16" s="1"/>
  <c r="X16"/>
  <c r="T16"/>
  <c r="R16"/>
  <c r="Q16"/>
  <c r="P16"/>
  <c r="O16"/>
  <c r="U16" s="1"/>
  <c r="M16"/>
  <c r="I15"/>
  <c r="G15"/>
  <c r="F15"/>
  <c r="D15"/>
  <c r="B15"/>
  <c r="AE15"/>
  <c r="AC15"/>
  <c r="AB15"/>
  <c r="AA15"/>
  <c r="Z15"/>
  <c r="X15"/>
  <c r="T15"/>
  <c r="R15"/>
  <c r="Q15"/>
  <c r="P15"/>
  <c r="O15"/>
  <c r="M15"/>
  <c r="I14"/>
  <c r="G14"/>
  <c r="F14"/>
  <c r="E14"/>
  <c r="D14"/>
  <c r="B14"/>
  <c r="AE14"/>
  <c r="AC14"/>
  <c r="AB14"/>
  <c r="AA14"/>
  <c r="Z14"/>
  <c r="X14"/>
  <c r="T14"/>
  <c r="R14"/>
  <c r="Q14"/>
  <c r="P14"/>
  <c r="O14"/>
  <c r="M14"/>
  <c r="I13"/>
  <c r="G13"/>
  <c r="F13"/>
  <c r="E13"/>
  <c r="D13"/>
  <c r="B13"/>
  <c r="AE13"/>
  <c r="AC13"/>
  <c r="AB13"/>
  <c r="AA13"/>
  <c r="Z13"/>
  <c r="X13"/>
  <c r="T13"/>
  <c r="R13"/>
  <c r="Q13"/>
  <c r="P13"/>
  <c r="O13"/>
  <c r="M13"/>
  <c r="I12"/>
  <c r="G12"/>
  <c r="F12"/>
  <c r="E12"/>
  <c r="D12"/>
  <c r="B12"/>
  <c r="AE12"/>
  <c r="AC12"/>
  <c r="AB12"/>
  <c r="AA12"/>
  <c r="Z12"/>
  <c r="X12"/>
  <c r="T12"/>
  <c r="R12"/>
  <c r="Q12"/>
  <c r="P12"/>
  <c r="O12"/>
  <c r="U12" s="1"/>
  <c r="M12"/>
  <c r="I11"/>
  <c r="G11"/>
  <c r="F11"/>
  <c r="E11"/>
  <c r="AE11"/>
  <c r="AC11"/>
  <c r="AB11"/>
  <c r="AA11"/>
  <c r="AD11" s="1"/>
  <c r="Z11"/>
  <c r="X11"/>
  <c r="T11"/>
  <c r="R11"/>
  <c r="Q11"/>
  <c r="P11"/>
  <c r="O11"/>
  <c r="M11"/>
  <c r="A4"/>
  <c r="C20" i="29"/>
  <c r="AK8" i="28"/>
  <c r="A28"/>
  <c r="AK9"/>
  <c r="G35" s="1"/>
  <c r="AI9"/>
  <c r="D35" s="1"/>
  <c r="AA9"/>
  <c r="F35" s="1"/>
  <c r="Y9"/>
  <c r="C35" s="1"/>
  <c r="Q9"/>
  <c r="E35" s="1"/>
  <c r="O9"/>
  <c r="B35" s="1"/>
  <c r="G34"/>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Q4"/>
  <c r="E30" s="1"/>
  <c r="O4"/>
  <c r="B30" s="1"/>
  <c r="A28" i="27"/>
  <c r="AK9"/>
  <c r="G35" s="1"/>
  <c r="G57" s="1"/>
  <c r="AI9"/>
  <c r="D35" s="1"/>
  <c r="D57" s="1"/>
  <c r="AA9"/>
  <c r="F35" s="1"/>
  <c r="F57" s="1"/>
  <c r="Y9"/>
  <c r="C35" s="1"/>
  <c r="C57" s="1"/>
  <c r="Q9"/>
  <c r="E35" s="1"/>
  <c r="E57" s="1"/>
  <c r="O9"/>
  <c r="B35" s="1"/>
  <c r="B57" s="1"/>
  <c r="AK8"/>
  <c r="G34" s="1"/>
  <c r="G56" s="1"/>
  <c r="AI8"/>
  <c r="D34" s="1"/>
  <c r="D56" s="1"/>
  <c r="AA8"/>
  <c r="F34" s="1"/>
  <c r="F56" s="1"/>
  <c r="Y8"/>
  <c r="C34" s="1"/>
  <c r="C56" s="1"/>
  <c r="Q8"/>
  <c r="E34" s="1"/>
  <c r="E56" s="1"/>
  <c r="O8"/>
  <c r="B34" s="1"/>
  <c r="B56" s="1"/>
  <c r="AK7"/>
  <c r="G33" s="1"/>
  <c r="G55" s="1"/>
  <c r="AI7"/>
  <c r="D33" s="1"/>
  <c r="D55" s="1"/>
  <c r="AA7"/>
  <c r="F33" s="1"/>
  <c r="F55" s="1"/>
  <c r="Y7"/>
  <c r="C33" s="1"/>
  <c r="C55" s="1"/>
  <c r="Q7"/>
  <c r="E33" s="1"/>
  <c r="E55" s="1"/>
  <c r="O7"/>
  <c r="B33" s="1"/>
  <c r="B55" s="1"/>
  <c r="AK6"/>
  <c r="G32" s="1"/>
  <c r="G54" s="1"/>
  <c r="AI6"/>
  <c r="D32" s="1"/>
  <c r="D54" s="1"/>
  <c r="AA6"/>
  <c r="F32" s="1"/>
  <c r="F54" s="1"/>
  <c r="Y6"/>
  <c r="C32" s="1"/>
  <c r="C54" s="1"/>
  <c r="Q6"/>
  <c r="E32" s="1"/>
  <c r="E54" s="1"/>
  <c r="O6"/>
  <c r="B32" s="1"/>
  <c r="B54" s="1"/>
  <c r="AK5"/>
  <c r="G31" s="1"/>
  <c r="G53" s="1"/>
  <c r="AI5"/>
  <c r="D31" s="1"/>
  <c r="D53" s="1"/>
  <c r="AA5"/>
  <c r="F31" s="1"/>
  <c r="F53" s="1"/>
  <c r="Y5"/>
  <c r="C31" s="1"/>
  <c r="C53" s="1"/>
  <c r="Q5"/>
  <c r="E31" s="1"/>
  <c r="E53" s="1"/>
  <c r="O5"/>
  <c r="B31" s="1"/>
  <c r="B53" s="1"/>
  <c r="AK4"/>
  <c r="G30" s="1"/>
  <c r="G52" s="1"/>
  <c r="AI4"/>
  <c r="D30" s="1"/>
  <c r="D52" s="1"/>
  <c r="AA4"/>
  <c r="F30" s="1"/>
  <c r="F52" s="1"/>
  <c r="Y4"/>
  <c r="C30" s="1"/>
  <c r="C52" s="1"/>
  <c r="Q4"/>
  <c r="E30" s="1"/>
  <c r="E52" s="1"/>
  <c r="O4"/>
  <c r="B30" s="1"/>
  <c r="B52" s="1"/>
  <c r="A28" i="26"/>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28" i="25"/>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28" i="24"/>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A4" i="23"/>
  <c r="A28"/>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F30"/>
  <c r="Y4"/>
  <c r="C30" s="1"/>
  <c r="Q4"/>
  <c r="E30" s="1"/>
  <c r="O4"/>
  <c r="B30" s="1"/>
  <c r="E35" i="22"/>
  <c r="A28"/>
  <c r="AK9"/>
  <c r="G35" s="1"/>
  <c r="AI9"/>
  <c r="D35" s="1"/>
  <c r="AA9"/>
  <c r="F35" s="1"/>
  <c r="Y9"/>
  <c r="C35" s="1"/>
  <c r="Q9"/>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28" i="21"/>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28" i="20"/>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A4" i="19"/>
  <c r="A28"/>
  <c r="AK9"/>
  <c r="G35" s="1"/>
  <c r="AI9"/>
  <c r="D35" s="1"/>
  <c r="AA9"/>
  <c r="F35" s="1"/>
  <c r="Y9"/>
  <c r="C35" s="1"/>
  <c r="Q9"/>
  <c r="E35" s="1"/>
  <c r="O9"/>
  <c r="B35" s="1"/>
  <c r="AK8"/>
  <c r="G34" s="1"/>
  <c r="AI8"/>
  <c r="D34" s="1"/>
  <c r="AA8"/>
  <c r="F34" s="1"/>
  <c r="Y8"/>
  <c r="C34" s="1"/>
  <c r="Q8"/>
  <c r="E34" s="1"/>
  <c r="O8"/>
  <c r="B34" s="1"/>
  <c r="AK7"/>
  <c r="G33" s="1"/>
  <c r="AI7"/>
  <c r="D33" s="1"/>
  <c r="AA7"/>
  <c r="F33" s="1"/>
  <c r="Y7"/>
  <c r="C33" s="1"/>
  <c r="E33"/>
  <c r="O7"/>
  <c r="B33" s="1"/>
  <c r="AK6"/>
  <c r="G32" s="1"/>
  <c r="AI6"/>
  <c r="D32" s="1"/>
  <c r="AA6"/>
  <c r="F32" s="1"/>
  <c r="Y6"/>
  <c r="C32" s="1"/>
  <c r="Q6"/>
  <c r="E32" s="1"/>
  <c r="O6"/>
  <c r="B32" s="1"/>
  <c r="AK5"/>
  <c r="G31" s="1"/>
  <c r="AI5"/>
  <c r="D31" s="1"/>
  <c r="AA5"/>
  <c r="F31" s="1"/>
  <c r="Y5"/>
  <c r="C31" s="1"/>
  <c r="Q5"/>
  <c r="O5"/>
  <c r="B31" s="1"/>
  <c r="AK4"/>
  <c r="G30" s="1"/>
  <c r="AI4"/>
  <c r="D30" s="1"/>
  <c r="F30"/>
  <c r="Y4"/>
  <c r="C30" s="1"/>
  <c r="Q4"/>
  <c r="E30" s="1"/>
  <c r="O4"/>
  <c r="B30" s="1"/>
  <c r="A28" i="18"/>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Q5" i="17"/>
  <c r="A28"/>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AA6"/>
  <c r="F32" s="1"/>
  <c r="Y6"/>
  <c r="C32" s="1"/>
  <c r="Q6"/>
  <c r="E32" s="1"/>
  <c r="O6"/>
  <c r="B32" s="1"/>
  <c r="AK5"/>
  <c r="G31" s="1"/>
  <c r="AI5"/>
  <c r="D31" s="1"/>
  <c r="AA5"/>
  <c r="F31" s="1"/>
  <c r="Y5"/>
  <c r="C31" s="1"/>
  <c r="E31"/>
  <c r="O5"/>
  <c r="B31" s="1"/>
  <c r="AK4"/>
  <c r="G30" s="1"/>
  <c r="AI4"/>
  <c r="D30" s="1"/>
  <c r="AA4"/>
  <c r="F30" s="1"/>
  <c r="Y4"/>
  <c r="C30" s="1"/>
  <c r="Q4"/>
  <c r="E30" s="1"/>
  <c r="O4"/>
  <c r="B30" s="1"/>
  <c r="AK7" i="16"/>
  <c r="A28"/>
  <c r="AK9"/>
  <c r="G35" s="1"/>
  <c r="AI9"/>
  <c r="D35" s="1"/>
  <c r="AA9"/>
  <c r="F35" s="1"/>
  <c r="Y9"/>
  <c r="C35" s="1"/>
  <c r="Q9"/>
  <c r="E35" s="1"/>
  <c r="O9"/>
  <c r="B35" s="1"/>
  <c r="AK8"/>
  <c r="G34" s="1"/>
  <c r="AI8"/>
  <c r="D34" s="1"/>
  <c r="AA8"/>
  <c r="F34" s="1"/>
  <c r="Y8"/>
  <c r="C34" s="1"/>
  <c r="Q8"/>
  <c r="E34" s="1"/>
  <c r="O8"/>
  <c r="B34" s="1"/>
  <c r="G33"/>
  <c r="AI7"/>
  <c r="D33" s="1"/>
  <c r="AA7"/>
  <c r="F33" s="1"/>
  <c r="Y7"/>
  <c r="C33" s="1"/>
  <c r="Q7"/>
  <c r="E33" s="1"/>
  <c r="O7"/>
  <c r="B33" s="1"/>
  <c r="AK6"/>
  <c r="G32" s="1"/>
  <c r="AI6"/>
  <c r="D32" s="1"/>
  <c r="AA6"/>
  <c r="F32" s="1"/>
  <c r="Y6"/>
  <c r="C32" s="1"/>
  <c r="Q6"/>
  <c r="E32" s="1"/>
  <c r="O6"/>
  <c r="B32" s="1"/>
  <c r="AK5"/>
  <c r="G31" s="1"/>
  <c r="AI5"/>
  <c r="D31" s="1"/>
  <c r="AA5"/>
  <c r="F31" s="1"/>
  <c r="Y5"/>
  <c r="C31" s="1"/>
  <c r="Q5"/>
  <c r="E31" s="1"/>
  <c r="O5"/>
  <c r="B31" s="1"/>
  <c r="AK4"/>
  <c r="G30" s="1"/>
  <c r="AI4"/>
  <c r="D30" s="1"/>
  <c r="AA4"/>
  <c r="F30" s="1"/>
  <c r="Y4"/>
  <c r="C30" s="1"/>
  <c r="Q4"/>
  <c r="E30" s="1"/>
  <c r="O4"/>
  <c r="B30" s="1"/>
  <c r="AK9" i="14"/>
  <c r="AK8"/>
  <c r="G34" s="1"/>
  <c r="AK7"/>
  <c r="AK6"/>
  <c r="G32" s="1"/>
  <c r="AK5"/>
  <c r="AK4"/>
  <c r="AA9"/>
  <c r="AA8"/>
  <c r="F34" s="1"/>
  <c r="AA7"/>
  <c r="AA6"/>
  <c r="AA5"/>
  <c r="AA4"/>
  <c r="G33"/>
  <c r="G35"/>
  <c r="O4"/>
  <c r="A28"/>
  <c r="AI9"/>
  <c r="D35" s="1"/>
  <c r="F35"/>
  <c r="Y9"/>
  <c r="C35" s="1"/>
  <c r="Q9"/>
  <c r="E35" s="1"/>
  <c r="O9"/>
  <c r="B35" s="1"/>
  <c r="AI8"/>
  <c r="D34" s="1"/>
  <c r="Y8"/>
  <c r="C34" s="1"/>
  <c r="Q8"/>
  <c r="E34" s="1"/>
  <c r="O8"/>
  <c r="B34" s="1"/>
  <c r="AI7"/>
  <c r="D33" s="1"/>
  <c r="F33"/>
  <c r="Y7"/>
  <c r="C33" s="1"/>
  <c r="Q7"/>
  <c r="E33" s="1"/>
  <c r="O7"/>
  <c r="B33" s="1"/>
  <c r="AI6"/>
  <c r="D32" s="1"/>
  <c r="F32"/>
  <c r="Y6"/>
  <c r="C32" s="1"/>
  <c r="Q6"/>
  <c r="E32" s="1"/>
  <c r="O6"/>
  <c r="B32" s="1"/>
  <c r="G31"/>
  <c r="AI5"/>
  <c r="D31" s="1"/>
  <c r="F31"/>
  <c r="Y5"/>
  <c r="C31" s="1"/>
  <c r="Q5"/>
  <c r="E31" s="1"/>
  <c r="O5"/>
  <c r="B31" s="1"/>
  <c r="G30"/>
  <c r="AI4"/>
  <c r="D30" s="1"/>
  <c r="F30"/>
  <c r="Y4"/>
  <c r="C30" s="1"/>
  <c r="Q4"/>
  <c r="E30" s="1"/>
  <c r="B30"/>
  <c r="H48" i="51"/>
  <c r="G52" i="29"/>
  <c r="F44" i="51"/>
  <c r="F47" i="29"/>
  <c r="E48"/>
  <c r="I52"/>
  <c r="G46" i="51"/>
  <c r="F48"/>
  <c r="G50" i="29"/>
  <c r="G43" i="51"/>
  <c r="F54" i="29"/>
  <c r="F55"/>
  <c r="F50"/>
  <c r="H45" i="51"/>
  <c r="G47"/>
  <c r="G48" i="29"/>
  <c r="G55"/>
  <c r="F52"/>
  <c r="E54"/>
  <c r="F48"/>
  <c r="F45" i="51"/>
  <c r="H46"/>
  <c r="J52" i="29"/>
  <c r="G53"/>
  <c r="E53"/>
  <c r="E49"/>
  <c r="F53"/>
  <c r="G44" i="51"/>
  <c r="F46"/>
  <c r="I48" i="29"/>
  <c r="G51"/>
  <c r="E47"/>
  <c r="G48" i="51"/>
  <c r="E55" i="29"/>
  <c r="F43" i="51"/>
  <c r="G45"/>
  <c r="F51" i="29"/>
  <c r="G49"/>
  <c r="E50"/>
  <c r="H47" i="51"/>
  <c r="E51" i="29"/>
  <c r="G54"/>
  <c r="H44" i="51"/>
  <c r="F49" i="29"/>
  <c r="G47"/>
  <c r="E52"/>
  <c r="F47" i="51"/>
  <c r="I43" l="1"/>
  <c r="I44"/>
  <c r="I45"/>
  <c r="I46"/>
  <c r="I47"/>
  <c r="I48"/>
  <c r="AF11" i="30"/>
  <c r="AF19"/>
  <c r="AF15"/>
  <c r="AF18"/>
  <c r="U17"/>
  <c r="U18"/>
  <c r="U14"/>
  <c r="J12"/>
  <c r="Y11"/>
  <c r="CI18" s="1"/>
  <c r="C11"/>
  <c r="CG18" s="1"/>
  <c r="J19"/>
  <c r="J15"/>
  <c r="N11"/>
  <c r="CH18" s="1"/>
  <c r="U11"/>
  <c r="J11"/>
  <c r="Y12"/>
  <c r="CI19" s="1"/>
  <c r="AF12"/>
  <c r="N13"/>
  <c r="CH20" s="1"/>
  <c r="U13"/>
  <c r="Y13"/>
  <c r="CI20" s="1"/>
  <c r="AF13"/>
  <c r="C13"/>
  <c r="CG20" s="1"/>
  <c r="J13"/>
  <c r="Y14"/>
  <c r="CI21" s="1"/>
  <c r="AF14"/>
  <c r="C14"/>
  <c r="CG21" s="1"/>
  <c r="J14"/>
  <c r="N15"/>
  <c r="CH22" s="1"/>
  <c r="U15"/>
  <c r="C16"/>
  <c r="CG23" s="1"/>
  <c r="J16"/>
  <c r="Y17"/>
  <c r="CI24" s="1"/>
  <c r="AF17"/>
  <c r="N19"/>
  <c r="CH26" s="1"/>
  <c r="U19"/>
  <c r="J17"/>
  <c r="J18"/>
  <c r="Y19"/>
  <c r="CI26" s="1"/>
  <c r="H16"/>
  <c r="N14"/>
  <c r="CH21" s="1"/>
  <c r="S15"/>
  <c r="H11"/>
  <c r="C17"/>
  <c r="CG24" s="1"/>
  <c r="C18"/>
  <c r="CG25" s="1"/>
  <c r="H19"/>
  <c r="N12"/>
  <c r="CH19" s="1"/>
  <c r="AD12"/>
  <c r="H12"/>
  <c r="Y15"/>
  <c r="CI22" s="1"/>
  <c r="C15"/>
  <c r="CG22" s="1"/>
  <c r="H15"/>
  <c r="N16"/>
  <c r="CH23" s="1"/>
  <c r="N17"/>
  <c r="CH24" s="1"/>
  <c r="AD17"/>
  <c r="H18"/>
  <c r="C19"/>
  <c r="CG26" s="1"/>
  <c r="S16"/>
  <c r="Y16"/>
  <c r="CI23" s="1"/>
  <c r="AD16"/>
  <c r="S17"/>
  <c r="H17"/>
  <c r="CH25"/>
  <c r="S18"/>
  <c r="Y18"/>
  <c r="CI25" s="1"/>
  <c r="AD18"/>
  <c r="S19"/>
  <c r="S11"/>
  <c r="S12"/>
  <c r="C12"/>
  <c r="CG19" s="1"/>
  <c r="S13"/>
  <c r="AD13"/>
  <c r="H13"/>
  <c r="S14"/>
  <c r="AD14"/>
  <c r="H14"/>
  <c r="AD15"/>
  <c r="H48" i="29"/>
  <c r="I47"/>
  <c r="I49"/>
  <c r="J54"/>
  <c r="I55"/>
  <c r="I50"/>
  <c r="H52"/>
  <c r="H51"/>
  <c r="H49"/>
  <c r="H50"/>
  <c r="J53"/>
  <c r="I51"/>
  <c r="J48"/>
  <c r="H54"/>
  <c r="H55"/>
  <c r="I54"/>
  <c r="J51"/>
  <c r="H53"/>
  <c r="H47"/>
  <c r="J55"/>
  <c r="I53"/>
  <c r="J49"/>
  <c r="J50"/>
  <c r="J47"/>
  <c r="K47" l="1"/>
  <c r="L55"/>
  <c r="L54"/>
  <c r="L53"/>
  <c r="L52"/>
  <c r="L51"/>
  <c r="L50"/>
  <c r="L49"/>
  <c r="L48"/>
  <c r="L47"/>
  <c r="M55"/>
  <c r="M54"/>
  <c r="M53"/>
  <c r="M52"/>
  <c r="M51"/>
  <c r="M50"/>
  <c r="M49"/>
  <c r="M48"/>
  <c r="M47"/>
  <c r="K49"/>
  <c r="K48"/>
  <c r="K50"/>
  <c r="K52"/>
  <c r="K54"/>
  <c r="K51"/>
  <c r="K53"/>
  <c r="K55"/>
  <c r="A28" i="9" l="1"/>
  <c r="AK9"/>
  <c r="G35" s="1"/>
  <c r="AI9"/>
  <c r="D35" s="1"/>
  <c r="AA9"/>
  <c r="F35" s="1"/>
  <c r="Y9"/>
  <c r="C35" s="1"/>
  <c r="Q9"/>
  <c r="E35" s="1"/>
  <c r="O9"/>
  <c r="B35" s="1"/>
  <c r="AK8"/>
  <c r="G34" s="1"/>
  <c r="AI8"/>
  <c r="D34" s="1"/>
  <c r="AA8"/>
  <c r="F34" s="1"/>
  <c r="Y8"/>
  <c r="C34" s="1"/>
  <c r="Q8"/>
  <c r="E34" s="1"/>
  <c r="O8"/>
  <c r="B34" s="1"/>
  <c r="AK7"/>
  <c r="G33" s="1"/>
  <c r="AI7"/>
  <c r="D33" s="1"/>
  <c r="AA7"/>
  <c r="F33" s="1"/>
  <c r="Y7"/>
  <c r="C33" s="1"/>
  <c r="Q7"/>
  <c r="E33" s="1"/>
  <c r="O7"/>
  <c r="B33" s="1"/>
  <c r="AK6"/>
  <c r="G32" s="1"/>
  <c r="AI6"/>
  <c r="D32" s="1"/>
  <c r="F32"/>
  <c r="Y6"/>
  <c r="C32" s="1"/>
  <c r="Q6"/>
  <c r="E32" s="1"/>
  <c r="O6"/>
  <c r="B32" s="1"/>
  <c r="AK5"/>
  <c r="G31" s="1"/>
  <c r="AI5"/>
  <c r="D31" s="1"/>
  <c r="AA5"/>
  <c r="F31" s="1"/>
  <c r="Y5"/>
  <c r="C31" s="1"/>
  <c r="Q5"/>
  <c r="E31" s="1"/>
  <c r="O5"/>
  <c r="B31" s="1"/>
  <c r="AK4"/>
  <c r="G30" s="1"/>
  <c r="AI4"/>
  <c r="D30" s="1"/>
  <c r="AA4"/>
  <c r="F30" s="1"/>
  <c r="Y4"/>
  <c r="C30" s="1"/>
  <c r="Q4"/>
  <c r="E30" s="1"/>
  <c r="O4"/>
  <c r="B30" s="1"/>
</calcChain>
</file>

<file path=xl/sharedStrings.xml><?xml version="1.0" encoding="utf-8"?>
<sst xmlns="http://schemas.openxmlformats.org/spreadsheetml/2006/main" count="8708" uniqueCount="200">
  <si>
    <t>INFLOW,TOTAL</t>
  </si>
  <si>
    <t>INFLOW,NET</t>
  </si>
  <si>
    <t>BYPASS</t>
  </si>
  <si>
    <t>TREATED OUTFLOW</t>
  </si>
  <si>
    <t>RESIDUAL FLOW</t>
  </si>
  <si>
    <t>REMAINING</t>
  </si>
  <si>
    <t>%Treated</t>
  </si>
  <si>
    <t>Ksat = 5 in/hr</t>
  </si>
  <si>
    <t>Filter Area (ft2)</t>
  </si>
  <si>
    <t>Ksat =50 in/hr</t>
  </si>
  <si>
    <t>Ksat = 1 in/hr</t>
  </si>
  <si>
    <t>%Runoff Treated</t>
  </si>
  <si>
    <t>Media Contact Time (hrs)</t>
  </si>
  <si>
    <t>50 in/hr</t>
  </si>
  <si>
    <t>5 in/hr</t>
  </si>
  <si>
    <t>1 in/hr</t>
  </si>
  <si>
    <t xml:space="preserve">Runoff Treated </t>
  </si>
  <si>
    <t>SWMM Output</t>
  </si>
  <si>
    <t>Ave.Q Out  (ft3/s)</t>
  </si>
  <si>
    <t>Contact Time (hr)</t>
  </si>
  <si>
    <t>Runoff Treated</t>
  </si>
  <si>
    <t>Runoff (ft3)</t>
  </si>
  <si>
    <t>Rain Zone</t>
  </si>
  <si>
    <t>Northeast Coastal</t>
  </si>
  <si>
    <t>Mid-Atlantic</t>
  </si>
  <si>
    <t>Central</t>
  </si>
  <si>
    <t>North Central</t>
  </si>
  <si>
    <t>Southeast</t>
  </si>
  <si>
    <t>East Gulf</t>
  </si>
  <si>
    <t>East Texas</t>
  </si>
  <si>
    <t>West Texas</t>
  </si>
  <si>
    <t>Southwest</t>
  </si>
  <si>
    <t>West Inland</t>
  </si>
  <si>
    <t>Pacific Southwest</t>
  </si>
  <si>
    <t>Northwest Inland</t>
  </si>
  <si>
    <t>Pacific Central</t>
  </si>
  <si>
    <t>Pacific Northwest</t>
  </si>
  <si>
    <t>Representative City</t>
  </si>
  <si>
    <t>ASOS Gage</t>
  </si>
  <si>
    <t>Buffalo, NY</t>
  </si>
  <si>
    <t>Washington, DC</t>
  </si>
  <si>
    <t>Chicago, IL</t>
  </si>
  <si>
    <t>Atlanta, GA</t>
  </si>
  <si>
    <t>Miami, FL</t>
  </si>
  <si>
    <t>Dallas, TX</t>
  </si>
  <si>
    <t>Lubbock, TX</t>
  </si>
  <si>
    <t>Phoenix, AZ</t>
  </si>
  <si>
    <t>Las Vegas, NV</t>
  </si>
  <si>
    <t>Los Angeles, CA</t>
  </si>
  <si>
    <t>Salt Lake City, UT</t>
  </si>
  <si>
    <t>San Francisco, CA</t>
  </si>
  <si>
    <t>Seattle, WA</t>
  </si>
  <si>
    <t>Annual No. of Storms</t>
  </si>
  <si>
    <t>Average Storm Duration (hr)</t>
  </si>
  <si>
    <t>Average Storm Volume (in)</t>
  </si>
  <si>
    <t>Average Storm Intensity (in/hr)</t>
  </si>
  <si>
    <t>Drainage Area (acre)
(Default = 1 acre)</t>
  </si>
  <si>
    <t>Runoff Capture (%)</t>
  </si>
  <si>
    <t>Northeast</t>
  </si>
  <si>
    <t>Boston, MA</t>
  </si>
  <si>
    <t xml:space="preserve">Soil </t>
  </si>
  <si>
    <t>Clay</t>
  </si>
  <si>
    <t>Fine Silt</t>
  </si>
  <si>
    <t>Medium Silt</t>
  </si>
  <si>
    <t>Coarse Silt</t>
  </si>
  <si>
    <t>Sand</t>
  </si>
  <si>
    <t>SWMM Results</t>
  </si>
  <si>
    <t>Size (um)</t>
  </si>
  <si>
    <t>1 to 2</t>
  </si>
  <si>
    <t>2 to 8</t>
  </si>
  <si>
    <t>8 to 32</t>
  </si>
  <si>
    <t>32 to 75</t>
  </si>
  <si>
    <t>75 to 200</t>
  </si>
  <si>
    <t>AASHTO Soil Classification (modified to include three silt subclasses between 2 um to 75 um)</t>
  </si>
  <si>
    <t>3-hr Drain Time</t>
  </si>
  <si>
    <t>6-hr Drain Time</t>
  </si>
  <si>
    <t>12-hr Drain Time</t>
  </si>
  <si>
    <t>CHECK</t>
  </si>
  <si>
    <t>Settling Velocity (ft/sec)</t>
  </si>
  <si>
    <t>3.569E-7 to 2.141E-6</t>
  </si>
  <si>
    <t>2.141E-6 to 3.997E-5</t>
  </si>
  <si>
    <t>3.997E-5 to 7.309E-4</t>
  </si>
  <si>
    <t>7.309E-4 to 4.517E-3</t>
  </si>
  <si>
    <t>4.517E-3 to 3.212E-2</t>
  </si>
  <si>
    <t>%Mass</t>
  </si>
  <si>
    <t>NJDEP Test Protocol (5% clay, 45% silt and 50% sand)</t>
  </si>
  <si>
    <t>Basin Size (in)</t>
  </si>
  <si>
    <t>Runoff</t>
  </si>
  <si>
    <t>Silt1</t>
  </si>
  <si>
    <t>Silt2</t>
  </si>
  <si>
    <t>Silt3</t>
  </si>
  <si>
    <t>3-hr Drain Time %Treated</t>
  </si>
  <si>
    <t>6-hr Drain Time %Treated</t>
  </si>
  <si>
    <t>12-hr Drain Time %Treated</t>
  </si>
  <si>
    <t>PSD5</t>
  </si>
  <si>
    <t>PSD3</t>
  </si>
  <si>
    <t>Unit Basin Size</t>
  </si>
  <si>
    <t>TSS</t>
  </si>
  <si>
    <t>Silt</t>
  </si>
  <si>
    <t>Runoff, 3hr DT</t>
  </si>
  <si>
    <t>Runoff, 6hr DT</t>
  </si>
  <si>
    <t>Runoff, 12hr DT</t>
  </si>
  <si>
    <t>TSS, 3hr DT</t>
  </si>
  <si>
    <t>TSS, 6hr DT</t>
  </si>
  <si>
    <t>TSS, 12hr DT</t>
  </si>
  <si>
    <t>TSS(PSD3)-3DDT</t>
  </si>
  <si>
    <t>TSS(PSD3)-6DDT</t>
  </si>
  <si>
    <t>TSS(PSD3)-12DDT</t>
  </si>
  <si>
    <t>x</t>
  </si>
  <si>
    <t>Filter Area 
(sq. ft.)</t>
  </si>
  <si>
    <t>Filter Area 
(% watershed area)</t>
  </si>
  <si>
    <t>TSS2</t>
  </si>
  <si>
    <t xml:space="preserve">variable ponding </t>
  </si>
  <si>
    <t>Volume Limited Detention Facility</t>
  </si>
  <si>
    <t>Highway Watershed</t>
  </si>
  <si>
    <t>Flow Limited Media Filtration Facility</t>
  </si>
  <si>
    <t>Sediment Capture (%)</t>
  </si>
  <si>
    <t>Annual runoff (AF)</t>
  </si>
  <si>
    <t>Precip Record (yrs)</t>
  </si>
  <si>
    <t>Annual runoff (inches)</t>
  </si>
  <si>
    <t>CODE</t>
  </si>
  <si>
    <t>DCA</t>
  </si>
  <si>
    <t>ORD</t>
  </si>
  <si>
    <t>ATL</t>
  </si>
  <si>
    <t>Drainage Area (acre)</t>
  </si>
  <si>
    <t>K = 1 in/hr</t>
  </si>
  <si>
    <t>K = 5 in/hr</t>
  </si>
  <si>
    <t>Average  TSS Concn (mg/L)</t>
  </si>
  <si>
    <t>BOS</t>
  </si>
  <si>
    <t>BUF</t>
  </si>
  <si>
    <t>Nashville, TN</t>
  </si>
  <si>
    <t>BNA</t>
  </si>
  <si>
    <t>MIA</t>
  </si>
  <si>
    <t>DAL</t>
  </si>
  <si>
    <t>LBB</t>
  </si>
  <si>
    <t>PHX</t>
  </si>
  <si>
    <t>LAX</t>
  </si>
  <si>
    <t>SEA</t>
  </si>
  <si>
    <t>LAS</t>
  </si>
  <si>
    <t>SLC</t>
  </si>
  <si>
    <t>SFO</t>
  </si>
  <si>
    <t>Detention Volume (ft3)</t>
  </si>
  <si>
    <t>TSS Loading (kg/ft2/yr)</t>
  </si>
  <si>
    <t>Annual Sediment Capture (ft3/yr)</t>
  </si>
  <si>
    <t>K = 50 in/hr</t>
  </si>
  <si>
    <t>1-foot detention</t>
  </si>
  <si>
    <t>4-foot detention</t>
  </si>
  <si>
    <t xml:space="preserve">Annual Precip </t>
  </si>
  <si>
    <t>Average Media Contact Time (hr)</t>
  </si>
  <si>
    <t>Particle Size Distribution 
(% Mass)</t>
  </si>
  <si>
    <t>Average Number of Storms per Year</t>
  </si>
  <si>
    <t>Average Annual Runoff (Acre-ft)</t>
  </si>
  <si>
    <t>Average Annual Sediment Load (kg)</t>
  </si>
  <si>
    <t>Design Detention Volume 
(ft over filter area) 
(range: 1 and 4)</t>
  </si>
  <si>
    <t>Fine Sand</t>
  </si>
  <si>
    <t>Note:  Storm statistics are based on a 6-hr interevent time, and a minimum depth of 0.1 inches</t>
  </si>
  <si>
    <t>Instructions and Description:</t>
  </si>
  <si>
    <t>Enter a tributary drainage area.  Area is used to estimate annual runoff, annual sediment load, and basin volume based on simulation results for a 1-acre catchment.</t>
  </si>
  <si>
    <t>Enter an average  runoff TSS concentration.  This is used to estimate the annual sediment load and sediment capture volume.</t>
  </si>
  <si>
    <t>3-hour 
drain time</t>
  </si>
  <si>
    <t>Overview:</t>
  </si>
  <si>
    <t>NCHRP 25-31:  Detention Basin Sizing and Performance Estimator</t>
  </si>
  <si>
    <t>This spreadsheet provides planning level estimates for volume and sediment capture in detention basins as a function of basin volume and drain time.  Performance estimates are developed from continuous hydrologic simulation with SWMM4 for the 15 rain zones in the adjacent map.  The modeled catchment and BMP conditions are described in the "Highway and BMP Assumption" sheet in this workbook, and in the NCHRP 25-31 Guidelines document.</t>
  </si>
  <si>
    <t>Specific Gravity</t>
  </si>
  <si>
    <t>Assumed particle density used in SWMM 4 simulations</t>
  </si>
  <si>
    <t>Enter the particle size distribution on a percent mass basis.  The percentages must sum to 100%.  An error message in column H indicates the percentages do not sum to 100%.</t>
  </si>
  <si>
    <t>Select the Rain Zone from the pull-down menu in Cell B20.</t>
  </si>
  <si>
    <t>Unit Basin Volume (in)</t>
  </si>
  <si>
    <t>Basin Volume (ft3)</t>
  </si>
  <si>
    <t>Basin Area 
(% of watershed)</t>
  </si>
  <si>
    <t>6-hour 
drain time</t>
  </si>
  <si>
    <t>12-hour 
drain time</t>
  </si>
  <si>
    <t>1.2 to 1.3</t>
  </si>
  <si>
    <t>1.3 to 1.35</t>
  </si>
  <si>
    <t>1.35 to 1.4</t>
  </si>
  <si>
    <t>1.4 to 1.45</t>
  </si>
  <si>
    <t>Range of particle settling velocity</t>
  </si>
  <si>
    <t xml:space="preserve">Sediment capture is estimated from SWMM4  for the five particle size ranges listed to the right. </t>
  </si>
  <si>
    <t>NCHRP 25-31:  Media Filter Sizing and Performance Estimator</t>
  </si>
  <si>
    <t>This spreadsheet provides planning level estimates for volume capture and media contact time for Media Filters as a function of filter area, long-term media infiltration rates, and detention storage.  Performance estimates are developed from continuous hydrologic simulation with SWMM4 for the 15 rain zones in the adjacent map.  The modeled catchment and BMP conditions are described in the "Highway and BMP Assumption" sheet in this workbook, and in the NCHRP 25-31 Guidelines document.</t>
  </si>
  <si>
    <t xml:space="preserve">  </t>
  </si>
  <si>
    <t>Enter the tributary drainage area.  Area is used to estimate annual runoff, annual sediment load, and basin volume based on simulation results for a 1-acre catchment.</t>
  </si>
  <si>
    <t>Enter the active storage detention depth over the  media filter area.  The detention storage depth may vary between 1 and 4 feet.  An error message is displayed in column D for values outside of this range.</t>
  </si>
  <si>
    <t>Enter an average  runoff TSS concentration.  This is used to estimate the annual sediment loading rate per unit area of media.</t>
  </si>
  <si>
    <t>Select the Rain Zone from the pull-down menu in Cell B15.</t>
  </si>
  <si>
    <t>Tabulated results.  The plots above show the results for runoff capture and average media contact time.</t>
  </si>
  <si>
    <t>Tabulated results.  The plots above show the results for runoff capture and sediment capture.</t>
  </si>
  <si>
    <t xml:space="preserve">NCHRP 25-31:  Modeling Setup and Assumptions for BMP Evaluation Tool </t>
  </si>
  <si>
    <t>Design hydraulic conductivity (K) in inches/hour 
(range: 1 and 50)</t>
  </si>
  <si>
    <t>Enter the long-term hydraulic conductivity (K) for the media that will be achieved through ongoing maintenance and periodic media change out.  The infiltration rate may vary  between 1 and 50 inches/hour.  An error message is displayed in column D for values outside of this range.</t>
  </si>
  <si>
    <t>All adjustable variables are in cells highlighted in yellow.  All other cells are protected, but protection can be disabled under the Review tab.   Hidden sheets with model output can be unhidden.</t>
  </si>
  <si>
    <t>All adjustable variables are in cells highlighted in yellow.  All other cells are protected, but protection can be disabled under the Review tab. Hidden sheets with model output can be unhidden.</t>
  </si>
  <si>
    <t>This spreadsheet provides example SWMM4 input files for the North Central Rain Zone (ORD)  .</t>
  </si>
  <si>
    <t>Rainfall Data file.  Note, the SWMM4 model includes adaptations to exclude storms of a specified mimimum size, defined on the B1 card.</t>
  </si>
  <si>
    <t>Runoff Block File</t>
  </si>
  <si>
    <t>Detention Facility Storage-Treatment Block</t>
  </si>
  <si>
    <t>Media Filtration Facility Storage-Treatment Block</t>
  </si>
  <si>
    <t>Description:</t>
  </si>
  <si>
    <t>Average Annual Rainfall (inches)</t>
  </si>
  <si>
    <r>
      <t>T</t>
    </r>
    <r>
      <rPr>
        <i/>
        <sz val="10"/>
        <color theme="1"/>
        <rFont val="Calibri"/>
        <family val="2"/>
        <scheme val="minor"/>
      </rPr>
      <t>his workbook provides planning level estimates for volume limited BMPs (detention facilities) and flow limited BMPs (media filtration).  Performance estimates are developed from approximately 900 continuous hydrologic simulation with SWMM4 for the 15 rain zones.  The modeled catchment and BMP conditions are described below and in the NCHRP 25-31 Guidelines document.  The detention and media filtration spreadsheets are independent and are not linked.</t>
    </r>
  </si>
</sst>
</file>

<file path=xl/styles.xml><?xml version="1.0" encoding="utf-8"?>
<styleSheet xmlns="http://schemas.openxmlformats.org/spreadsheetml/2006/main">
  <numFmts count="5">
    <numFmt numFmtId="164" formatCode="0.0%"/>
    <numFmt numFmtId="165" formatCode="0.0"/>
    <numFmt numFmtId="166" formatCode="0.000"/>
    <numFmt numFmtId="167" formatCode="0.0000"/>
    <numFmt numFmtId="168" formatCode="0.000%"/>
  </numFmts>
  <fonts count="22">
    <font>
      <sz val="11"/>
      <color theme="1"/>
      <name val="Calibri"/>
      <family val="2"/>
      <scheme val="minor"/>
    </font>
    <font>
      <sz val="11"/>
      <color indexed="8"/>
      <name val="Calibri"/>
      <family val="2"/>
    </font>
    <font>
      <b/>
      <sz val="11"/>
      <color indexed="8"/>
      <name val="Calibri"/>
      <family val="2"/>
    </font>
    <font>
      <b/>
      <sz val="11"/>
      <color theme="1"/>
      <name val="Calibri"/>
      <family val="2"/>
      <scheme val="minor"/>
    </font>
    <font>
      <sz val="10"/>
      <color rgb="FF000000"/>
      <name val="Times New Roman"/>
      <family val="1"/>
    </font>
    <font>
      <b/>
      <sz val="10"/>
      <color theme="1"/>
      <name val="Times New Roman"/>
      <family val="1"/>
    </font>
    <font>
      <sz val="10"/>
      <color theme="1"/>
      <name val="Times New Roman"/>
      <family val="1"/>
    </font>
    <font>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sz val="11"/>
      <color rgb="FFFF0000"/>
      <name val="Calibri"/>
      <family val="2"/>
      <scheme val="minor"/>
    </font>
    <font>
      <b/>
      <sz val="12"/>
      <color theme="1"/>
      <name val="Calibri"/>
      <family val="2"/>
      <scheme val="minor"/>
    </font>
    <font>
      <sz val="12"/>
      <color theme="0"/>
      <name val="Calibri"/>
      <family val="2"/>
      <scheme val="minor"/>
    </font>
    <font>
      <b/>
      <sz val="12"/>
      <color theme="0"/>
      <name val="Calibri"/>
      <family val="2"/>
      <scheme val="minor"/>
    </font>
    <font>
      <b/>
      <i/>
      <sz val="12"/>
      <color theme="0" tint="-0.499984740745262"/>
      <name val="Calibri"/>
      <family val="2"/>
      <scheme val="minor"/>
    </font>
    <font>
      <i/>
      <sz val="9"/>
      <color theme="0" tint="-0.499984740745262"/>
      <name val="Calibri"/>
      <family val="2"/>
      <scheme val="minor"/>
    </font>
    <font>
      <i/>
      <sz val="9"/>
      <color theme="1"/>
      <name val="Calibri"/>
      <family val="2"/>
      <scheme val="minor"/>
    </font>
    <font>
      <b/>
      <i/>
      <sz val="12"/>
      <name val="Calibri"/>
      <family val="2"/>
      <scheme val="minor"/>
    </font>
    <font>
      <i/>
      <sz val="9"/>
      <name val="Calibri"/>
      <family val="2"/>
      <scheme val="minor"/>
    </font>
    <font>
      <b/>
      <i/>
      <sz val="12"/>
      <color theme="1"/>
      <name val="Calibri"/>
      <family val="2"/>
      <scheme val="minor"/>
    </font>
    <font>
      <i/>
      <sz val="10"/>
      <color theme="1"/>
      <name val="Calibri"/>
      <family val="2"/>
      <scheme val="minor"/>
    </font>
  </fonts>
  <fills count="22">
    <fill>
      <patternFill patternType="none"/>
    </fill>
    <fill>
      <patternFill patternType="gray125"/>
    </fill>
    <fill>
      <patternFill patternType="solid">
        <fgColor rgb="FF92D050"/>
        <bgColor indexed="64"/>
      </patternFill>
    </fill>
    <fill>
      <patternFill patternType="solid">
        <fgColor rgb="FF0070C0"/>
        <bgColor indexed="64"/>
      </patternFill>
    </fill>
    <fill>
      <patternFill patternType="solid">
        <fgColor theme="8" tint="0.39997558519241921"/>
        <bgColor indexed="64"/>
      </patternFill>
    </fill>
    <fill>
      <patternFill patternType="solid">
        <fgColor rgb="FFD9D9D9"/>
        <bgColor indexed="64"/>
      </patternFill>
    </fill>
    <fill>
      <patternFill patternType="solid">
        <fgColor rgb="FFFFFF0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0000"/>
        <bgColor indexed="64"/>
      </patternFill>
    </fill>
    <fill>
      <patternFill patternType="solid">
        <fgColor theme="7" tint="-0.249977111117893"/>
        <bgColor indexed="64"/>
      </patternFill>
    </fill>
    <fill>
      <patternFill patternType="solid">
        <fgColor rgb="FF00206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3">
    <xf numFmtId="0" fontId="0" fillId="0" borderId="0"/>
    <xf numFmtId="9" fontId="1" fillId="0" borderId="0" applyFont="0" applyFill="0" applyBorder="0" applyAlignment="0" applyProtection="0"/>
    <xf numFmtId="9" fontId="7" fillId="0" borderId="0" applyFont="0" applyFill="0" applyBorder="0" applyAlignment="0" applyProtection="0"/>
  </cellStyleXfs>
  <cellXfs count="202">
    <xf numFmtId="0" fontId="0" fillId="0" borderId="0" xfId="0"/>
    <xf numFmtId="11" fontId="0" fillId="0" borderId="0" xfId="0" applyNumberFormat="1"/>
    <xf numFmtId="164" fontId="0" fillId="0" borderId="1" xfId="1" applyNumberFormat="1" applyFont="1" applyBorder="1" applyAlignment="1">
      <alignment horizontal="center"/>
    </xf>
    <xf numFmtId="0" fontId="2" fillId="0" borderId="0" xfId="0" applyFont="1"/>
    <xf numFmtId="0" fontId="0" fillId="0" borderId="1" xfId="0" applyBorder="1"/>
    <xf numFmtId="11" fontId="0" fillId="0" borderId="1" xfId="0" applyNumberFormat="1" applyBorder="1"/>
    <xf numFmtId="0" fontId="0" fillId="0" borderId="0" xfId="0" applyBorder="1" applyAlignment="1">
      <alignment horizontal="center"/>
    </xf>
    <xf numFmtId="164" fontId="0" fillId="0" borderId="0" xfId="1" applyNumberFormat="1" applyFont="1" applyBorder="1" applyAlignment="1">
      <alignment horizontal="center"/>
    </xf>
    <xf numFmtId="166" fontId="0" fillId="0" borderId="1" xfId="1" applyNumberFormat="1" applyFont="1" applyBorder="1" applyAlignment="1">
      <alignment horizontal="center"/>
    </xf>
    <xf numFmtId="165" fontId="0" fillId="0" borderId="1" xfId="1" applyNumberFormat="1" applyFont="1" applyBorder="1" applyAlignment="1">
      <alignment horizontal="center"/>
    </xf>
    <xf numFmtId="1" fontId="0" fillId="0" borderId="1" xfId="1" applyNumberFormat="1" applyFont="1" applyBorder="1" applyAlignment="1">
      <alignment horizontal="center"/>
    </xf>
    <xf numFmtId="165" fontId="0" fillId="0" borderId="1" xfId="0" applyNumberFormat="1" applyBorder="1" applyAlignment="1">
      <alignment horizontal="center"/>
    </xf>
    <xf numFmtId="165" fontId="0" fillId="0" borderId="0" xfId="1" applyNumberFormat="1" applyFont="1" applyBorder="1" applyAlignment="1">
      <alignment horizontal="center"/>
    </xf>
    <xf numFmtId="167" fontId="0" fillId="0" borderId="1" xfId="1" applyNumberFormat="1" applyFont="1" applyBorder="1" applyAlignment="1">
      <alignment horizontal="center"/>
    </xf>
    <xf numFmtId="2" fontId="0" fillId="0" borderId="1" xfId="1" applyNumberFormat="1" applyFont="1" applyBorder="1" applyAlignment="1">
      <alignment horizontal="center"/>
    </xf>
    <xf numFmtId="0" fontId="0" fillId="0" borderId="1" xfId="0" applyBorder="1" applyAlignment="1">
      <alignment horizontal="center" wrapText="1"/>
    </xf>
    <xf numFmtId="0" fontId="0" fillId="0" borderId="1" xfId="0" applyFill="1" applyBorder="1" applyAlignment="1">
      <alignment horizontal="center" wrapText="1"/>
    </xf>
    <xf numFmtId="0" fontId="0" fillId="0" borderId="0" xfId="0" applyBorder="1" applyAlignment="1">
      <alignment horizontal="center" wrapText="1"/>
    </xf>
    <xf numFmtId="0" fontId="2" fillId="2" borderId="0" xfId="0" applyFont="1" applyFill="1"/>
    <xf numFmtId="0" fontId="2" fillId="3" borderId="0" xfId="0" applyFont="1" applyFill="1"/>
    <xf numFmtId="0" fontId="2" fillId="4" borderId="0" xfId="0" applyFont="1" applyFill="1"/>
    <xf numFmtId="0" fontId="0" fillId="0" borderId="0" xfId="0" applyAlignment="1">
      <alignment wrapText="1"/>
    </xf>
    <xf numFmtId="164" fontId="0" fillId="0" borderId="1" xfId="1" applyNumberFormat="1" applyFont="1" applyBorder="1" applyAlignment="1">
      <alignment horizontal="center" wrapText="1"/>
    </xf>
    <xf numFmtId="166" fontId="0" fillId="0" borderId="1" xfId="1" applyNumberFormat="1" applyFont="1" applyBorder="1" applyAlignment="1">
      <alignment horizontal="center" wrapText="1"/>
    </xf>
    <xf numFmtId="1" fontId="0" fillId="0" borderId="1" xfId="1" applyNumberFormat="1" applyFont="1" applyBorder="1" applyAlignment="1">
      <alignment horizontal="center" wrapText="1"/>
    </xf>
    <xf numFmtId="165" fontId="0" fillId="0" borderId="1" xfId="1" applyNumberFormat="1" applyFont="1" applyBorder="1" applyAlignment="1">
      <alignment horizontal="center" wrapText="1"/>
    </xf>
    <xf numFmtId="1" fontId="0" fillId="0" borderId="1" xfId="0" applyNumberFormat="1" applyBorder="1"/>
    <xf numFmtId="0" fontId="0" fillId="0" borderId="1" xfId="0" applyFill="1" applyBorder="1" applyAlignment="1">
      <alignment horizontal="center" wrapText="1"/>
    </xf>
    <xf numFmtId="0" fontId="0" fillId="0" borderId="1" xfId="0" applyFill="1" applyBorder="1" applyAlignment="1">
      <alignment horizontal="center" wrapText="1"/>
    </xf>
    <xf numFmtId="0" fontId="0" fillId="0" borderId="0" xfId="0" applyAlignment="1">
      <alignment horizontal="center"/>
    </xf>
    <xf numFmtId="0" fontId="3" fillId="0" borderId="0" xfId="0" applyFont="1"/>
    <xf numFmtId="1" fontId="0" fillId="0" borderId="0" xfId="1" applyNumberFormat="1" applyFont="1" applyBorder="1" applyAlignment="1">
      <alignment horizontal="center"/>
    </xf>
    <xf numFmtId="11" fontId="0" fillId="0" borderId="1" xfId="1" applyNumberFormat="1" applyFont="1" applyBorder="1" applyAlignment="1">
      <alignment horizontal="center"/>
    </xf>
    <xf numFmtId="11" fontId="0" fillId="0" borderId="1" xfId="1" applyNumberFormat="1" applyFont="1" applyBorder="1" applyAlignment="1">
      <alignment horizontal="center" wrapText="1"/>
    </xf>
    <xf numFmtId="0" fontId="0" fillId="7" borderId="1" xfId="0" applyFill="1" applyBorder="1" applyAlignment="1">
      <alignment horizontal="center"/>
    </xf>
    <xf numFmtId="0" fontId="9" fillId="8" borderId="1" xfId="0" applyFont="1" applyFill="1" applyBorder="1" applyAlignment="1">
      <alignment horizontal="center"/>
    </xf>
    <xf numFmtId="0" fontId="9" fillId="0" borderId="0" xfId="0" applyFont="1"/>
    <xf numFmtId="0" fontId="9" fillId="0" borderId="0" xfId="0" applyFont="1" applyBorder="1"/>
    <xf numFmtId="0" fontId="10" fillId="0" borderId="0" xfId="0" applyFont="1" applyBorder="1"/>
    <xf numFmtId="0" fontId="9" fillId="0" borderId="0" xfId="0" applyFont="1" applyFill="1" applyBorder="1"/>
    <xf numFmtId="0" fontId="9" fillId="0" borderId="0" xfId="0" applyFont="1" applyFill="1" applyBorder="1" applyAlignment="1">
      <alignment horizontal="center"/>
    </xf>
    <xf numFmtId="0" fontId="8" fillId="0" borderId="0" xfId="0" applyFont="1" applyBorder="1"/>
    <xf numFmtId="16" fontId="0" fillId="0" borderId="1" xfId="0" applyNumberFormat="1" applyBorder="1" applyAlignment="1">
      <alignment horizontal="center"/>
    </xf>
    <xf numFmtId="0" fontId="0" fillId="0" borderId="1" xfId="0" applyNumberFormat="1" applyBorder="1" applyAlignment="1">
      <alignment horizontal="center"/>
    </xf>
    <xf numFmtId="0" fontId="0" fillId="0" borderId="1" xfId="0" applyNumberFormat="1" applyFill="1" applyBorder="1" applyAlignment="1">
      <alignment horizontal="center"/>
    </xf>
    <xf numFmtId="0" fontId="0" fillId="0" borderId="2" xfId="0" applyNumberFormat="1" applyFill="1" applyBorder="1" applyAlignment="1">
      <alignment horizontal="left"/>
    </xf>
    <xf numFmtId="16" fontId="9" fillId="0" borderId="0" xfId="0" applyNumberFormat="1" applyFont="1" applyFill="1" applyBorder="1" applyAlignment="1">
      <alignment horizontal="center"/>
    </xf>
    <xf numFmtId="0" fontId="9" fillId="0" borderId="0" xfId="0" applyNumberFormat="1" applyFont="1" applyFill="1" applyBorder="1" applyAlignment="1">
      <alignment horizontal="center"/>
    </xf>
    <xf numFmtId="0" fontId="3" fillId="9" borderId="1" xfId="0" applyNumberFormat="1" applyFont="1" applyFill="1" applyBorder="1" applyAlignment="1">
      <alignment horizontal="center"/>
    </xf>
    <xf numFmtId="0" fontId="0" fillId="7" borderId="1" xfId="0" applyFill="1" applyBorder="1" applyAlignment="1">
      <alignment horizontal="center" wrapText="1"/>
    </xf>
    <xf numFmtId="11" fontId="0" fillId="0" borderId="1" xfId="0" applyNumberFormat="1" applyBorder="1" applyAlignment="1">
      <alignment horizontal="center" wrapText="1"/>
    </xf>
    <xf numFmtId="0" fontId="0" fillId="0" borderId="0" xfId="0" applyNumberFormat="1" applyFill="1" applyBorder="1" applyAlignment="1">
      <alignment horizontal="left"/>
    </xf>
    <xf numFmtId="9" fontId="11" fillId="9" borderId="1" xfId="2" applyFont="1" applyFill="1" applyBorder="1" applyAlignment="1">
      <alignment horizontal="center"/>
    </xf>
    <xf numFmtId="2" fontId="0" fillId="10" borderId="1" xfId="0" applyNumberFormat="1" applyFill="1" applyBorder="1" applyAlignment="1">
      <alignment horizontal="center"/>
    </xf>
    <xf numFmtId="0" fontId="0" fillId="0" borderId="0" xfId="0" applyAlignment="1">
      <alignment horizontal="left"/>
    </xf>
    <xf numFmtId="2" fontId="9" fillId="0" borderId="0" xfId="0" applyNumberFormat="1" applyFont="1" applyFill="1" applyBorder="1" applyAlignment="1">
      <alignment horizontal="center"/>
    </xf>
    <xf numFmtId="2" fontId="9" fillId="0" borderId="0" xfId="0" applyNumberFormat="1" applyFont="1" applyBorder="1"/>
    <xf numFmtId="11" fontId="9" fillId="0" borderId="0" xfId="0" applyNumberFormat="1" applyFont="1" applyBorder="1"/>
    <xf numFmtId="0" fontId="9" fillId="0" borderId="0" xfId="0" applyFont="1" applyBorder="1" applyAlignment="1">
      <alignment horizontal="center"/>
    </xf>
    <xf numFmtId="9" fontId="9" fillId="0" borderId="0" xfId="2" applyFont="1" applyBorder="1" applyAlignment="1">
      <alignment horizontal="center"/>
    </xf>
    <xf numFmtId="9" fontId="8" fillId="0" borderId="0" xfId="2" applyFont="1" applyBorder="1" applyAlignment="1">
      <alignment horizontal="center"/>
    </xf>
    <xf numFmtId="2" fontId="9" fillId="0" borderId="0" xfId="0" applyNumberFormat="1" applyFont="1" applyBorder="1" applyAlignment="1">
      <alignment horizontal="center"/>
    </xf>
    <xf numFmtId="164" fontId="9" fillId="0" borderId="0" xfId="2" applyNumberFormat="1" applyFont="1" applyBorder="1" applyAlignment="1">
      <alignment horizontal="center"/>
    </xf>
    <xf numFmtId="168" fontId="10" fillId="0" borderId="0" xfId="2" applyNumberFormat="1" applyFont="1" applyBorder="1"/>
    <xf numFmtId="0" fontId="10" fillId="11" borderId="0" xfId="0" applyFont="1" applyFill="1" applyBorder="1"/>
    <xf numFmtId="0" fontId="0" fillId="11" borderId="0" xfId="0" applyFill="1"/>
    <xf numFmtId="0" fontId="9" fillId="11" borderId="0" xfId="0" applyFont="1" applyFill="1" applyBorder="1"/>
    <xf numFmtId="0" fontId="9" fillId="11" borderId="0" xfId="0" applyFont="1" applyFill="1" applyBorder="1" applyAlignment="1">
      <alignment horizontal="center"/>
    </xf>
    <xf numFmtId="2" fontId="9" fillId="11" borderId="0" xfId="0" applyNumberFormat="1" applyFont="1" applyFill="1" applyBorder="1" applyAlignment="1">
      <alignment horizontal="center"/>
    </xf>
    <xf numFmtId="164" fontId="9" fillId="11" borderId="0" xfId="2" applyNumberFormat="1" applyFont="1" applyFill="1" applyBorder="1" applyAlignment="1">
      <alignment horizontal="center"/>
    </xf>
    <xf numFmtId="164" fontId="9" fillId="11" borderId="0" xfId="0" applyNumberFormat="1" applyFont="1" applyFill="1" applyBorder="1"/>
    <xf numFmtId="0" fontId="10" fillId="12" borderId="0" xfId="0" applyFont="1" applyFill="1" applyBorder="1"/>
    <xf numFmtId="0" fontId="9" fillId="12" borderId="0" xfId="0" applyFont="1" applyFill="1" applyBorder="1"/>
    <xf numFmtId="0" fontId="9" fillId="12" borderId="0" xfId="0" applyFont="1" applyFill="1" applyBorder="1" applyAlignment="1">
      <alignment horizontal="center"/>
    </xf>
    <xf numFmtId="2" fontId="9" fillId="12" borderId="0" xfId="0" applyNumberFormat="1" applyFont="1" applyFill="1" applyBorder="1" applyAlignment="1">
      <alignment horizontal="center"/>
    </xf>
    <xf numFmtId="164" fontId="9" fillId="12" borderId="0" xfId="2" applyNumberFormat="1" applyFont="1" applyFill="1" applyBorder="1" applyAlignment="1">
      <alignment horizontal="center"/>
    </xf>
    <xf numFmtId="164" fontId="9" fillId="12" borderId="0" xfId="0" applyNumberFormat="1" applyFont="1" applyFill="1" applyBorder="1"/>
    <xf numFmtId="0" fontId="10" fillId="13" borderId="0" xfId="0" applyFont="1" applyFill="1" applyBorder="1"/>
    <xf numFmtId="0" fontId="10" fillId="14" borderId="0" xfId="0" applyFont="1" applyFill="1" applyBorder="1"/>
    <xf numFmtId="0" fontId="10" fillId="4" borderId="0" xfId="0" applyFont="1" applyFill="1" applyBorder="1"/>
    <xf numFmtId="0" fontId="0" fillId="13" borderId="0" xfId="0" applyFill="1"/>
    <xf numFmtId="0" fontId="8" fillId="13" borderId="0" xfId="0" applyFont="1" applyFill="1" applyBorder="1"/>
    <xf numFmtId="0" fontId="9" fillId="13" borderId="0" xfId="0" applyFont="1" applyFill="1" applyBorder="1"/>
    <xf numFmtId="0" fontId="9" fillId="13" borderId="0" xfId="0" applyFont="1" applyFill="1" applyBorder="1" applyAlignment="1">
      <alignment horizontal="center"/>
    </xf>
    <xf numFmtId="2" fontId="9" fillId="13" borderId="0" xfId="0" applyNumberFormat="1" applyFont="1" applyFill="1" applyBorder="1" applyAlignment="1">
      <alignment horizontal="center"/>
    </xf>
    <xf numFmtId="164" fontId="9" fillId="13" borderId="0" xfId="2" applyNumberFormat="1" applyFont="1" applyFill="1" applyBorder="1" applyAlignment="1">
      <alignment horizontal="center"/>
    </xf>
    <xf numFmtId="164" fontId="9" fillId="13" borderId="0" xfId="0" applyNumberFormat="1" applyFont="1" applyFill="1" applyBorder="1"/>
    <xf numFmtId="0" fontId="10" fillId="15" borderId="0" xfId="0" applyFont="1" applyFill="1" applyBorder="1"/>
    <xf numFmtId="0" fontId="9" fillId="0" borderId="0" xfId="0" applyFont="1" applyAlignment="1">
      <alignment horizontal="left"/>
    </xf>
    <xf numFmtId="0" fontId="3" fillId="0" borderId="0" xfId="0" applyFont="1" applyAlignment="1">
      <alignment horizontal="center" wrapText="1"/>
    </xf>
    <xf numFmtId="10" fontId="0" fillId="0" borderId="0" xfId="1" applyNumberFormat="1" applyFont="1" applyAlignment="1">
      <alignment horizontal="center"/>
    </xf>
    <xf numFmtId="2" fontId="0" fillId="0" borderId="0" xfId="0" applyNumberFormat="1"/>
    <xf numFmtId="0" fontId="0" fillId="19" borderId="0" xfId="0" applyFill="1"/>
    <xf numFmtId="0" fontId="12" fillId="0" borderId="0" xfId="0" applyFont="1"/>
    <xf numFmtId="0" fontId="0" fillId="0" borderId="0" xfId="0" applyAlignment="1">
      <alignment vertical="center"/>
    </xf>
    <xf numFmtId="165" fontId="0" fillId="0" borderId="0" xfId="0" applyNumberFormat="1" applyBorder="1" applyAlignment="1">
      <alignment horizontal="center"/>
    </xf>
    <xf numFmtId="9" fontId="0" fillId="0" borderId="0" xfId="1" applyNumberFormat="1" applyFont="1" applyBorder="1" applyAlignment="1">
      <alignment horizontal="center"/>
    </xf>
    <xf numFmtId="0" fontId="3" fillId="0" borderId="0" xfId="0" applyFont="1" applyFill="1" applyBorder="1" applyAlignment="1">
      <alignment horizontal="center" vertical="center"/>
    </xf>
    <xf numFmtId="0" fontId="5" fillId="5" borderId="0" xfId="0" applyFont="1" applyFill="1" applyBorder="1" applyAlignment="1">
      <alignment horizont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4" fillId="0" borderId="1" xfId="0" applyFont="1" applyBorder="1" applyAlignment="1">
      <alignment horizontal="justify"/>
    </xf>
    <xf numFmtId="0" fontId="6" fillId="0" borderId="1" xfId="0" applyFont="1" applyBorder="1" applyAlignment="1">
      <alignment horizontal="left"/>
    </xf>
    <xf numFmtId="165" fontId="0" fillId="0" borderId="0" xfId="0" applyNumberFormat="1"/>
    <xf numFmtId="0" fontId="5" fillId="5" borderId="5" xfId="0" applyFont="1" applyFill="1" applyBorder="1" applyAlignment="1">
      <alignment horizontal="center"/>
    </xf>
    <xf numFmtId="0" fontId="3" fillId="0" borderId="0"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9" fillId="0" borderId="0" xfId="0" quotePrefix="1" applyFont="1"/>
    <xf numFmtId="165" fontId="0" fillId="11" borderId="0" xfId="0" applyNumberFormat="1" applyFill="1"/>
    <xf numFmtId="0" fontId="6" fillId="11" borderId="1" xfId="0" applyFont="1" applyFill="1" applyBorder="1" applyAlignment="1">
      <alignment horizontal="center"/>
    </xf>
    <xf numFmtId="2" fontId="6" fillId="11" borderId="1" xfId="0" applyNumberFormat="1" applyFont="1" applyFill="1" applyBorder="1" applyAlignment="1">
      <alignment horizontal="center"/>
    </xf>
    <xf numFmtId="165" fontId="6" fillId="11" borderId="1" xfId="0" applyNumberFormat="1" applyFont="1" applyFill="1" applyBorder="1" applyAlignment="1">
      <alignment horizontal="center"/>
    </xf>
    <xf numFmtId="0" fontId="6" fillId="0" borderId="1" xfId="0" applyFont="1" applyFill="1" applyBorder="1" applyAlignment="1">
      <alignment horizontal="left"/>
    </xf>
    <xf numFmtId="0" fontId="0" fillId="0" borderId="0" xfId="0" applyFill="1" applyBorder="1"/>
    <xf numFmtId="0" fontId="4" fillId="0" borderId="0" xfId="0" applyFont="1" applyFill="1" applyBorder="1" applyAlignment="1">
      <alignment horizontal="justify"/>
    </xf>
    <xf numFmtId="0" fontId="6" fillId="0" borderId="0" xfId="0" applyFont="1" applyFill="1" applyBorder="1" applyAlignment="1">
      <alignment horizontal="left"/>
    </xf>
    <xf numFmtId="0" fontId="6" fillId="0" borderId="0" xfId="0" applyFont="1" applyFill="1" applyBorder="1" applyAlignment="1">
      <alignment horizontal="center"/>
    </xf>
    <xf numFmtId="165" fontId="0" fillId="0" borderId="0" xfId="0" applyNumberFormat="1" applyFill="1" applyBorder="1"/>
    <xf numFmtId="0" fontId="4" fillId="0" borderId="1" xfId="0" applyFont="1" applyFill="1" applyBorder="1" applyAlignment="1">
      <alignment horizontal="justify"/>
    </xf>
    <xf numFmtId="0" fontId="6" fillId="0" borderId="1" xfId="0" applyFont="1" applyFill="1" applyBorder="1"/>
    <xf numFmtId="0" fontId="0" fillId="3" borderId="0" xfId="0" applyFill="1" applyAlignment="1">
      <alignment horizontal="left"/>
    </xf>
    <xf numFmtId="0" fontId="8" fillId="3" borderId="0" xfId="0" applyFont="1" applyFill="1"/>
    <xf numFmtId="1" fontId="0" fillId="20" borderId="0" xfId="1" applyNumberFormat="1" applyFont="1" applyFill="1" applyBorder="1" applyAlignment="1">
      <alignment horizontal="left"/>
    </xf>
    <xf numFmtId="0" fontId="8" fillId="20" borderId="0" xfId="0" applyFont="1" applyFill="1"/>
    <xf numFmtId="0" fontId="11" fillId="0" borderId="0" xfId="0" applyFont="1" applyAlignment="1" applyProtection="1">
      <alignment horizontal="center" vertical="center" wrapText="1"/>
      <protection hidden="1"/>
    </xf>
    <xf numFmtId="0" fontId="0" fillId="0" borderId="1" xfId="0" applyBorder="1" applyAlignment="1" applyProtection="1">
      <alignment horizontal="center"/>
      <protection hidden="1"/>
    </xf>
    <xf numFmtId="165" fontId="0" fillId="0" borderId="1" xfId="0" applyNumberFormat="1" applyBorder="1" applyAlignment="1" applyProtection="1">
      <alignment horizontal="center"/>
      <protection hidden="1"/>
    </xf>
    <xf numFmtId="2" fontId="0" fillId="0" borderId="1" xfId="0" applyNumberFormat="1" applyBorder="1" applyAlignment="1" applyProtection="1">
      <alignment horizontal="center"/>
      <protection hidden="1"/>
    </xf>
    <xf numFmtId="1" fontId="0" fillId="0" borderId="1" xfId="0" applyNumberFormat="1" applyFont="1" applyBorder="1" applyAlignment="1" applyProtection="1">
      <alignment horizontal="center"/>
      <protection hidden="1"/>
    </xf>
    <xf numFmtId="0" fontId="0" fillId="18" borderId="1" xfId="0" applyFont="1" applyFill="1" applyBorder="1" applyAlignment="1" applyProtection="1">
      <alignment horizontal="center"/>
      <protection hidden="1"/>
    </xf>
    <xf numFmtId="0" fontId="0" fillId="18" borderId="1" xfId="0" applyFill="1" applyBorder="1" applyAlignment="1" applyProtection="1">
      <alignment horizontal="center"/>
      <protection hidden="1"/>
    </xf>
    <xf numFmtId="0" fontId="0" fillId="17" borderId="1" xfId="0" applyFont="1" applyFill="1" applyBorder="1" applyAlignment="1" applyProtection="1">
      <alignment horizontal="center"/>
      <protection hidden="1"/>
    </xf>
    <xf numFmtId="0" fontId="0" fillId="17" borderId="1" xfId="0" applyFill="1" applyBorder="1" applyAlignment="1" applyProtection="1">
      <alignment horizontal="center"/>
      <protection hidden="1"/>
    </xf>
    <xf numFmtId="10" fontId="0" fillId="0" borderId="1" xfId="1" applyNumberFormat="1" applyFont="1" applyBorder="1" applyAlignment="1" applyProtection="1">
      <alignment horizontal="center"/>
      <protection hidden="1"/>
    </xf>
    <xf numFmtId="9" fontId="0" fillId="18" borderId="1" xfId="1" applyNumberFormat="1" applyFont="1" applyFill="1" applyBorder="1" applyAlignment="1" applyProtection="1">
      <alignment horizontal="center"/>
      <protection hidden="1"/>
    </xf>
    <xf numFmtId="165" fontId="0" fillId="17" borderId="1" xfId="1" applyNumberFormat="1" applyFont="1" applyFill="1" applyBorder="1" applyAlignment="1" applyProtection="1">
      <alignment horizontal="center"/>
      <protection hidden="1"/>
    </xf>
    <xf numFmtId="0" fontId="3" fillId="18" borderId="1" xfId="0" applyFont="1" applyFill="1" applyBorder="1" applyAlignment="1">
      <alignment horizontal="center" vertical="center"/>
    </xf>
    <xf numFmtId="165" fontId="0" fillId="6" borderId="1" xfId="0" applyNumberFormat="1" applyFill="1" applyBorder="1" applyAlignment="1" applyProtection="1">
      <alignment horizontal="center" vertical="center"/>
      <protection locked="0"/>
    </xf>
    <xf numFmtId="1" fontId="0" fillId="6" borderId="1" xfId="0" applyNumberFormat="1" applyFill="1" applyBorder="1" applyAlignment="1" applyProtection="1">
      <alignment horizontal="center" vertical="center"/>
      <protection locked="0"/>
    </xf>
    <xf numFmtId="0" fontId="0" fillId="6" borderId="1" xfId="0" applyFill="1" applyBorder="1" applyAlignment="1" applyProtection="1">
      <alignment horizontal="center"/>
      <protection locked="0"/>
    </xf>
    <xf numFmtId="0" fontId="0" fillId="0" borderId="0" xfId="0" applyProtection="1">
      <protection hidden="1"/>
    </xf>
    <xf numFmtId="1" fontId="0" fillId="6" borderId="1" xfId="0" applyNumberFormat="1" applyFill="1" applyBorder="1" applyAlignment="1" applyProtection="1">
      <alignment horizontal="center" vertical="center"/>
      <protection locked="0" hidden="1"/>
    </xf>
    <xf numFmtId="0" fontId="0" fillId="0" borderId="0" xfId="0" applyAlignment="1" applyProtection="1">
      <alignment horizontal="center"/>
      <protection hidden="1"/>
    </xf>
    <xf numFmtId="0" fontId="0" fillId="18" borderId="1" xfId="0" applyFill="1" applyBorder="1" applyAlignment="1" applyProtection="1">
      <alignment horizontal="center" wrapText="1"/>
      <protection hidden="1"/>
    </xf>
    <xf numFmtId="11" fontId="0" fillId="0" borderId="1" xfId="0" applyNumberFormat="1" applyBorder="1" applyAlignment="1" applyProtection="1">
      <alignment horizontal="center" wrapText="1"/>
      <protection hidden="1"/>
    </xf>
    <xf numFmtId="0" fontId="3" fillId="9" borderId="1" xfId="0" applyNumberFormat="1" applyFont="1" applyFill="1" applyBorder="1" applyAlignment="1" applyProtection="1">
      <alignment horizontal="center"/>
      <protection hidden="1"/>
    </xf>
    <xf numFmtId="0" fontId="3" fillId="18" borderId="1" xfId="0" applyFont="1" applyFill="1" applyBorder="1" applyAlignment="1" applyProtection="1">
      <alignment horizontal="center" vertical="center"/>
      <protection hidden="1"/>
    </xf>
    <xf numFmtId="0" fontId="3" fillId="8" borderId="1" xfId="0" applyFont="1" applyFill="1" applyBorder="1" applyAlignment="1" applyProtection="1">
      <alignment horizontal="center" vertical="center" wrapText="1"/>
      <protection hidden="1"/>
    </xf>
    <xf numFmtId="0" fontId="0" fillId="6" borderId="1" xfId="0" applyFill="1" applyBorder="1" applyAlignment="1" applyProtection="1">
      <alignment horizontal="center"/>
      <protection locked="0" hidden="1"/>
    </xf>
    <xf numFmtId="2" fontId="0" fillId="0" borderId="0" xfId="0" applyNumberFormat="1" applyProtection="1">
      <protection hidden="1"/>
    </xf>
    <xf numFmtId="0" fontId="0" fillId="0" borderId="0" xfId="0" quotePrefix="1" applyProtection="1">
      <protection hidden="1"/>
    </xf>
    <xf numFmtId="0" fontId="0" fillId="18" borderId="1" xfId="0" applyFill="1" applyBorder="1" applyAlignment="1" applyProtection="1">
      <alignment horizontal="center" vertical="center"/>
      <protection hidden="1"/>
    </xf>
    <xf numFmtId="164" fontId="0" fillId="0" borderId="1" xfId="1" applyNumberFormat="1" applyFont="1" applyBorder="1" applyAlignment="1" applyProtection="1">
      <alignment horizontal="center"/>
      <protection hidden="1"/>
    </xf>
    <xf numFmtId="9" fontId="0" fillId="13" borderId="1" xfId="1" applyNumberFormat="1" applyFont="1" applyFill="1" applyBorder="1" applyAlignment="1" applyProtection="1">
      <alignment horizontal="center"/>
      <protection hidden="1"/>
    </xf>
    <xf numFmtId="165" fontId="0" fillId="16" borderId="1" xfId="1" applyNumberFormat="1" applyFont="1" applyFill="1" applyBorder="1" applyAlignment="1" applyProtection="1">
      <alignment horizontal="center"/>
      <protection hidden="1"/>
    </xf>
    <xf numFmtId="9" fontId="11" fillId="9" borderId="1" xfId="2" applyFont="1" applyFill="1" applyBorder="1" applyAlignment="1" applyProtection="1">
      <alignment horizontal="center" vertical="center"/>
      <protection hidden="1"/>
    </xf>
    <xf numFmtId="0" fontId="10" fillId="8" borderId="1" xfId="0" applyFont="1" applyFill="1" applyBorder="1" applyAlignment="1" applyProtection="1">
      <alignment horizontal="center" vertical="center" wrapText="1"/>
      <protection hidden="1"/>
    </xf>
    <xf numFmtId="0" fontId="0" fillId="0" borderId="0" xfId="0" applyFill="1" applyAlignment="1" applyProtection="1">
      <alignment horizontal="left"/>
      <protection hidden="1"/>
    </xf>
    <xf numFmtId="0" fontId="0" fillId="18" borderId="1" xfId="0" applyFill="1" applyBorder="1" applyAlignment="1" applyProtection="1">
      <alignment horizontal="center" vertical="center" wrapText="1"/>
      <protection hidden="1"/>
    </xf>
    <xf numFmtId="165" fontId="0" fillId="6" borderId="1" xfId="0" applyNumberFormat="1" applyFill="1" applyBorder="1" applyAlignment="1" applyProtection="1">
      <alignment horizontal="center" vertical="center"/>
      <protection locked="0" hidden="1"/>
    </xf>
    <xf numFmtId="0" fontId="0" fillId="18" borderId="1" xfId="0" applyFill="1" applyBorder="1" applyAlignment="1">
      <alignment horizontal="center" vertical="center" wrapText="1"/>
    </xf>
    <xf numFmtId="0" fontId="10" fillId="8" borderId="1" xfId="0" applyFont="1" applyFill="1" applyBorder="1" applyAlignment="1">
      <alignment horizontal="center" vertical="center" wrapText="1"/>
    </xf>
    <xf numFmtId="0" fontId="13" fillId="21" borderId="0" xfId="0" applyFont="1" applyFill="1" applyAlignment="1">
      <alignment vertical="center"/>
    </xf>
    <xf numFmtId="0" fontId="14" fillId="21" borderId="0" xfId="0" applyFont="1" applyFill="1" applyAlignment="1">
      <alignment vertical="center"/>
    </xf>
    <xf numFmtId="0" fontId="15" fillId="0" borderId="0" xfId="0" applyFont="1"/>
    <xf numFmtId="0" fontId="16" fillId="0" borderId="0" xfId="0" applyFont="1" applyAlignment="1">
      <alignment wrapText="1"/>
    </xf>
    <xf numFmtId="0" fontId="10" fillId="8" borderId="1" xfId="0" applyFont="1" applyFill="1" applyBorder="1" applyAlignment="1" applyProtection="1">
      <alignment horizontal="center" vertical="center"/>
      <protection hidden="1"/>
    </xf>
    <xf numFmtId="16" fontId="0" fillId="0" borderId="1" xfId="0" applyNumberFormat="1" applyBorder="1" applyAlignment="1" applyProtection="1">
      <alignment horizontal="center" vertical="center"/>
      <protection hidden="1"/>
    </xf>
    <xf numFmtId="0" fontId="0" fillId="0" borderId="1" xfId="0" applyNumberFormat="1" applyBorder="1" applyAlignment="1" applyProtection="1">
      <alignment horizontal="center" vertical="center"/>
      <protection hidden="1"/>
    </xf>
    <xf numFmtId="0" fontId="0" fillId="0" borderId="1" xfId="0" applyNumberFormat="1" applyFill="1" applyBorder="1" applyAlignment="1" applyProtection="1">
      <alignment horizontal="center" vertical="center"/>
      <protection hidden="1"/>
    </xf>
    <xf numFmtId="0" fontId="16" fillId="0" borderId="0" xfId="0" applyFont="1" applyAlignment="1">
      <alignment horizontal="left" wrapText="1"/>
    </xf>
    <xf numFmtId="0" fontId="16" fillId="0" borderId="0" xfId="0" applyFont="1" applyBorder="1" applyAlignment="1">
      <alignment horizontal="left" vertical="center" wrapText="1"/>
    </xf>
    <xf numFmtId="0" fontId="16" fillId="0" borderId="0" xfId="0" applyFont="1" applyAlignment="1">
      <alignment vertical="top" wrapText="1"/>
    </xf>
    <xf numFmtId="0" fontId="0" fillId="13" borderId="1" xfId="0" applyFill="1" applyBorder="1" applyAlignment="1" applyProtection="1">
      <alignment horizontal="center" vertical="center" wrapText="1"/>
      <protection hidden="1"/>
    </xf>
    <xf numFmtId="9" fontId="9" fillId="6" borderId="1" xfId="1" applyFont="1" applyFill="1" applyBorder="1" applyAlignment="1" applyProtection="1">
      <alignment horizontal="center" vertical="center"/>
      <protection locked="0" hidden="1"/>
    </xf>
    <xf numFmtId="0" fontId="0" fillId="16" borderId="1" xfId="0" applyFill="1" applyBorder="1" applyAlignment="1" applyProtection="1">
      <alignment horizontal="center" vertical="center" wrapText="1"/>
      <protection hidden="1"/>
    </xf>
    <xf numFmtId="0" fontId="0" fillId="0" borderId="0" xfId="0" applyFill="1" applyBorder="1" applyAlignment="1" applyProtection="1">
      <alignment horizontal="center"/>
      <protection hidden="1"/>
    </xf>
    <xf numFmtId="0" fontId="18" fillId="0" borderId="0" xfId="0" applyFont="1"/>
    <xf numFmtId="0" fontId="20" fillId="0" borderId="0" xfId="0" applyFont="1"/>
    <xf numFmtId="0" fontId="0" fillId="0" borderId="0" xfId="0" applyFont="1"/>
    <xf numFmtId="0" fontId="17" fillId="0" borderId="0" xfId="0" applyFont="1" applyAlignment="1">
      <alignment horizontal="left" vertical="top" wrapText="1"/>
    </xf>
    <xf numFmtId="0" fontId="16" fillId="0" borderId="0" xfId="0" applyFont="1" applyAlignment="1">
      <alignment horizontal="left" wrapText="1"/>
    </xf>
    <xf numFmtId="0" fontId="16" fillId="0" borderId="10" xfId="0" applyFont="1" applyBorder="1" applyAlignment="1">
      <alignment horizontal="left" vertical="top" wrapText="1"/>
    </xf>
    <xf numFmtId="0" fontId="17" fillId="0" borderId="10" xfId="0" applyFont="1" applyBorder="1" applyAlignment="1">
      <alignment horizontal="left" vertical="top" wrapText="1"/>
    </xf>
    <xf numFmtId="0" fontId="3" fillId="8" borderId="3" xfId="0" applyFont="1" applyFill="1" applyBorder="1" applyAlignment="1" applyProtection="1">
      <alignment horizontal="center" vertical="center" wrapText="1"/>
      <protection hidden="1"/>
    </xf>
    <xf numFmtId="0" fontId="3" fillId="8" borderId="4" xfId="0" applyFont="1" applyFill="1" applyBorder="1" applyAlignment="1" applyProtection="1">
      <alignment horizontal="center" vertical="center" wrapText="1"/>
      <protection hidden="1"/>
    </xf>
    <xf numFmtId="0" fontId="3" fillId="18" borderId="7" xfId="0" applyFont="1" applyFill="1" applyBorder="1" applyAlignment="1" applyProtection="1">
      <alignment horizontal="center" vertical="center"/>
      <protection hidden="1"/>
    </xf>
    <xf numFmtId="0" fontId="3" fillId="18" borderId="8" xfId="0" applyFont="1" applyFill="1" applyBorder="1" applyAlignment="1" applyProtection="1">
      <alignment horizontal="center" vertical="center"/>
      <protection hidden="1"/>
    </xf>
    <xf numFmtId="0" fontId="3" fillId="18" borderId="9" xfId="0" applyFont="1" applyFill="1" applyBorder="1" applyAlignment="1" applyProtection="1">
      <alignment horizontal="center" vertical="center"/>
      <protection hidden="1"/>
    </xf>
    <xf numFmtId="0" fontId="3" fillId="13" borderId="7" xfId="0" applyFont="1" applyFill="1" applyBorder="1" applyAlignment="1" applyProtection="1">
      <alignment horizontal="center" vertical="center"/>
      <protection hidden="1"/>
    </xf>
    <xf numFmtId="0" fontId="3" fillId="13" borderId="8" xfId="0" applyFont="1" applyFill="1" applyBorder="1" applyAlignment="1" applyProtection="1">
      <alignment horizontal="center" vertical="center"/>
      <protection hidden="1"/>
    </xf>
    <xf numFmtId="0" fontId="3" fillId="13" borderId="9"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protection hidden="1"/>
    </xf>
    <xf numFmtId="0" fontId="16" fillId="0" borderId="10" xfId="0" applyFont="1" applyBorder="1" applyAlignment="1">
      <alignment horizontal="left" wrapText="1"/>
    </xf>
    <xf numFmtId="0" fontId="3" fillId="18" borderId="1" xfId="0" applyFont="1" applyFill="1" applyBorder="1" applyAlignment="1" applyProtection="1">
      <alignment horizontal="center"/>
      <protection hidden="1"/>
    </xf>
    <xf numFmtId="0" fontId="3" fillId="17" borderId="1" xfId="0" applyFont="1" applyFill="1" applyBorder="1" applyAlignment="1" applyProtection="1">
      <alignment horizontal="center"/>
      <protection hidden="1"/>
    </xf>
    <xf numFmtId="0" fontId="3" fillId="0" borderId="3" xfId="0" applyFont="1" applyBorder="1" applyAlignment="1" applyProtection="1">
      <alignment horizontal="center" wrapText="1"/>
      <protection hidden="1"/>
    </xf>
    <xf numFmtId="0" fontId="3" fillId="0" borderId="4" xfId="0" applyFont="1" applyBorder="1" applyAlignment="1" applyProtection="1">
      <alignment horizontal="center" wrapText="1"/>
      <protection hidden="1"/>
    </xf>
    <xf numFmtId="0" fontId="3" fillId="0" borderId="1" xfId="0" applyFont="1" applyBorder="1" applyAlignment="1" applyProtection="1">
      <alignment horizontal="center" wrapText="1"/>
      <protection hidden="1"/>
    </xf>
    <xf numFmtId="0" fontId="0" fillId="0" borderId="1" xfId="0" applyFill="1" applyBorder="1" applyAlignment="1">
      <alignment horizontal="center" wrapText="1"/>
    </xf>
    <xf numFmtId="0" fontId="0" fillId="0" borderId="1" xfId="0" applyBorder="1" applyAlignment="1">
      <alignment horizontal="center"/>
    </xf>
    <xf numFmtId="0" fontId="19" fillId="0" borderId="0" xfId="0" applyFont="1" applyAlignment="1">
      <alignment horizontal="left" vertical="top" wrapText="1"/>
    </xf>
  </cellXfs>
  <cellStyles count="3">
    <cellStyle name="Normal" xfId="0" builtinId="0"/>
    <cellStyle name="Percent" xfId="1" builtinId="5"/>
    <cellStyle name="Percent 2" xfId="2"/>
  </cellStyles>
  <dxfs count="0"/>
  <tableStyles count="0" defaultTableStyle="TableStyleMedium9" defaultPivotStyle="PivotStyleLight16"/>
  <colors>
    <mruColors>
      <color rgb="FF8A00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strRef>
          <c:f>Detention!$I$22</c:f>
          <c:strCache>
            <c:ptCount val="1"/>
            <c:pt idx="0">
              <c:v>Detention Facility - Runoff Capture
East Gulf Rain Zone</c:v>
            </c:pt>
          </c:strCache>
        </c:strRef>
      </c:tx>
      <c:layout>
        <c:manualLayout>
          <c:xMode val="edge"/>
          <c:yMode val="edge"/>
          <c:x val="0.27423833365043793"/>
          <c:y val="1.7518044619422583E-2"/>
        </c:manualLayout>
      </c:layout>
      <c:overlay val="1"/>
      <c:txPr>
        <a:bodyPr/>
        <a:lstStyle/>
        <a:p>
          <a:pPr>
            <a:defRPr sz="1200"/>
          </a:pPr>
          <a:endParaRPr lang="en-US"/>
        </a:p>
      </c:txPr>
    </c:title>
    <c:plotArea>
      <c:layout>
        <c:manualLayout>
          <c:layoutTarget val="inner"/>
          <c:xMode val="edge"/>
          <c:yMode val="edge"/>
          <c:x val="0.13769553805774279"/>
          <c:y val="0.16200617702959538"/>
          <c:w val="0.6679155730533699"/>
          <c:h val="0.67103668884061907"/>
        </c:manualLayout>
      </c:layout>
      <c:scatterChart>
        <c:scatterStyle val="smoothMarker"/>
        <c:ser>
          <c:idx val="0"/>
          <c:order val="0"/>
          <c:tx>
            <c:strRef>
              <c:f>Detention!$E$46</c:f>
              <c:strCache>
                <c:ptCount val="1"/>
                <c:pt idx="0">
                  <c:v>3-hour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Detention!$E$47:$E$55</c:f>
              <c:numCache>
                <c:formatCode>0%</c:formatCode>
                <c:ptCount val="9"/>
                <c:pt idx="0">
                  <c:v>0.35895063379151737</c:v>
                </c:pt>
                <c:pt idx="1">
                  <c:v>0.55816441140289885</c:v>
                </c:pt>
                <c:pt idx="2">
                  <c:v>0.75028079371022094</c:v>
                </c:pt>
                <c:pt idx="3">
                  <c:v>0.85521741455848532</c:v>
                </c:pt>
                <c:pt idx="4">
                  <c:v>0.91394341338182594</c:v>
                </c:pt>
                <c:pt idx="5">
                  <c:v>0.94565973150772853</c:v>
                </c:pt>
                <c:pt idx="6">
                  <c:v>0.96486067283521415</c:v>
                </c:pt>
                <c:pt idx="7">
                  <c:v>0.9874311386853506</c:v>
                </c:pt>
                <c:pt idx="8">
                  <c:v>0.99812804193186078</c:v>
                </c:pt>
              </c:numCache>
            </c:numRef>
          </c:yVal>
          <c:smooth val="1"/>
        </c:ser>
        <c:ser>
          <c:idx val="1"/>
          <c:order val="1"/>
          <c:tx>
            <c:strRef>
              <c:f>Detention!$F$46</c:f>
              <c:strCache>
                <c:ptCount val="1"/>
                <c:pt idx="0">
                  <c:v>6-hour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Detention!$F$47:$F$55</c:f>
              <c:numCache>
                <c:formatCode>0%</c:formatCode>
                <c:ptCount val="9"/>
                <c:pt idx="0">
                  <c:v>0.29089158688559663</c:v>
                </c:pt>
                <c:pt idx="1">
                  <c:v>0.47494785259667327</c:v>
                </c:pt>
                <c:pt idx="2">
                  <c:v>0.67818366582874257</c:v>
                </c:pt>
                <c:pt idx="3">
                  <c:v>0.79499384928063321</c:v>
                </c:pt>
                <c:pt idx="4">
                  <c:v>0.8653794726426699</c:v>
                </c:pt>
                <c:pt idx="5">
                  <c:v>0.90832753917740816</c:v>
                </c:pt>
                <c:pt idx="6">
                  <c:v>0.93517676632614855</c:v>
                </c:pt>
                <c:pt idx="7">
                  <c:v>0.96705353800074878</c:v>
                </c:pt>
                <c:pt idx="8">
                  <c:v>0.98395464513023478</c:v>
                </c:pt>
              </c:numCache>
            </c:numRef>
          </c:yVal>
          <c:smooth val="1"/>
        </c:ser>
        <c:ser>
          <c:idx val="2"/>
          <c:order val="2"/>
          <c:tx>
            <c:strRef>
              <c:f>Detention!$G$46</c:f>
              <c:strCache>
                <c:ptCount val="1"/>
                <c:pt idx="0">
                  <c:v>12-hour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Detention!$G$47:$G$55</c:f>
              <c:numCache>
                <c:formatCode>0%</c:formatCode>
                <c:ptCount val="9"/>
                <c:pt idx="0">
                  <c:v>0.23396266780766967</c:v>
                </c:pt>
                <c:pt idx="1">
                  <c:v>0.40753596833716638</c:v>
                </c:pt>
                <c:pt idx="2">
                  <c:v>0.60555169278493881</c:v>
                </c:pt>
                <c:pt idx="3">
                  <c:v>0.7358399743274322</c:v>
                </c:pt>
                <c:pt idx="4">
                  <c:v>0.81713643900090926</c:v>
                </c:pt>
                <c:pt idx="5">
                  <c:v>0.86816066748676257</c:v>
                </c:pt>
                <c:pt idx="6">
                  <c:v>0.90463710755736215</c:v>
                </c:pt>
                <c:pt idx="7">
                  <c:v>0.94523185537786814</c:v>
                </c:pt>
                <c:pt idx="8">
                  <c:v>0.96860458897149271</c:v>
                </c:pt>
              </c:numCache>
            </c:numRef>
          </c:yVal>
          <c:smooth val="1"/>
        </c:ser>
        <c:axId val="74088448"/>
        <c:axId val="74090752"/>
      </c:scatterChart>
      <c:valAx>
        <c:axId val="74088448"/>
        <c:scaling>
          <c:orientation val="minMax"/>
          <c:max val="2"/>
          <c:min val="0"/>
        </c:scaling>
        <c:axPos val="b"/>
        <c:majorGridlines>
          <c:spPr>
            <a:ln>
              <a:solidFill>
                <a:schemeClr val="bg1">
                  <a:lumMod val="85000"/>
                </a:schemeClr>
              </a:solidFill>
            </a:ln>
          </c:spPr>
        </c:majorGridlines>
        <c:title>
          <c:tx>
            <c:rich>
              <a:bodyPr/>
              <a:lstStyle/>
              <a:p>
                <a:pPr>
                  <a:defRPr sz="1200"/>
                </a:pPr>
                <a:r>
                  <a:rPr lang="en-US" sz="1200"/>
                  <a:t>Detention</a:t>
                </a:r>
                <a:r>
                  <a:rPr lang="en-US" sz="1200" baseline="0"/>
                  <a:t> Volume</a:t>
                </a:r>
                <a:r>
                  <a:rPr lang="en-US" sz="1200"/>
                  <a:t> (watershed inches)</a:t>
                </a:r>
              </a:p>
            </c:rich>
          </c:tx>
          <c:layout>
            <c:manualLayout>
              <c:xMode val="edge"/>
              <c:yMode val="edge"/>
              <c:x val="0.26137642401356431"/>
              <c:y val="0.91742213497128733"/>
            </c:manualLayout>
          </c:layout>
        </c:title>
        <c:numFmt formatCode="0.0" sourceLinked="1"/>
        <c:tickLblPos val="nextTo"/>
        <c:txPr>
          <a:bodyPr/>
          <a:lstStyle/>
          <a:p>
            <a:pPr>
              <a:defRPr sz="1100"/>
            </a:pPr>
            <a:endParaRPr lang="en-US"/>
          </a:p>
        </c:txPr>
        <c:crossAx val="74090752"/>
        <c:crosses val="autoZero"/>
        <c:crossBetween val="midCat"/>
        <c:majorUnit val="0.2"/>
      </c:valAx>
      <c:valAx>
        <c:axId val="74090752"/>
        <c:scaling>
          <c:orientation val="minMax"/>
          <c:max val="1"/>
          <c:min val="0"/>
        </c:scaling>
        <c:axPos val="l"/>
        <c:majorGridlines>
          <c:spPr>
            <a:ln>
              <a:solidFill>
                <a:schemeClr val="bg1">
                  <a:lumMod val="85000"/>
                </a:schemeClr>
              </a:solidFill>
            </a:ln>
          </c:spPr>
        </c:majorGridlines>
        <c:title>
          <c:tx>
            <c:rich>
              <a:bodyPr rot="-5400000" vert="horz"/>
              <a:lstStyle/>
              <a:p>
                <a:pPr>
                  <a:defRPr sz="1200"/>
                </a:pPr>
                <a:r>
                  <a:rPr lang="en-US" sz="1200"/>
                  <a:t>Runoff Capture (%)</a:t>
                </a:r>
              </a:p>
            </c:rich>
          </c:tx>
          <c:layout/>
        </c:title>
        <c:numFmt formatCode="0%" sourceLinked="0"/>
        <c:tickLblPos val="nextTo"/>
        <c:txPr>
          <a:bodyPr/>
          <a:lstStyle/>
          <a:p>
            <a:pPr>
              <a:defRPr sz="1100"/>
            </a:pPr>
            <a:endParaRPr lang="en-US"/>
          </a:p>
        </c:txPr>
        <c:crossAx val="74088448"/>
        <c:crosses val="autoZero"/>
        <c:crossBetween val="midCat"/>
        <c:majorUnit val="0.1"/>
      </c:valAx>
    </c:plotArea>
    <c:legend>
      <c:legendPos val="r"/>
      <c:layout>
        <c:manualLayout>
          <c:xMode val="edge"/>
          <c:yMode val="edge"/>
          <c:x val="0.80879440069991415"/>
          <c:y val="0.35600831146106737"/>
          <c:w val="0.18460104986876641"/>
          <c:h val="0.37385416666666715"/>
        </c:manualLayout>
      </c:layout>
      <c:txPr>
        <a:bodyPr/>
        <a:lstStyle/>
        <a:p>
          <a:pPr>
            <a:defRPr sz="1100"/>
          </a:pPr>
          <a:endParaRPr lang="en-US"/>
        </a:p>
      </c:txPr>
    </c:legend>
    <c:plotVisOnly val="1"/>
  </c:chart>
  <c:printSettings>
    <c:headerFooter/>
    <c:pageMargins b="0.75000000000000178" l="0.70000000000000062" r="0.70000000000000062"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
          <c:y val="0.15633502774178545"/>
          <c:w val="0.75286372987160155"/>
          <c:h val="0.68532068850509764"/>
        </c:manualLayout>
      </c:layout>
      <c:scatterChart>
        <c:scatterStyle val="smoothMarker"/>
        <c:ser>
          <c:idx val="0"/>
          <c:order val="0"/>
          <c:tx>
            <c:strRef>
              <c:f>'Northeast-DT'!$B$10</c:f>
              <c:strCache>
                <c:ptCount val="1"/>
                <c:pt idx="0">
                  <c:v>Runoff</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'Northeast-DT'!$X$11:$X$19</c:f>
              <c:numCache>
                <c:formatCode>0.0%</c:formatCode>
                <c:ptCount val="9"/>
                <c:pt idx="0">
                  <c:v>0.48212050509197601</c:v>
                </c:pt>
                <c:pt idx="1">
                  <c:v>0.72706608053032651</c:v>
                </c:pt>
                <c:pt idx="2">
                  <c:v>0.89483592521754807</c:v>
                </c:pt>
                <c:pt idx="3">
                  <c:v>0.95151357359582633</c:v>
                </c:pt>
                <c:pt idx="4">
                  <c:v>0.97605719836175564</c:v>
                </c:pt>
                <c:pt idx="5">
                  <c:v>0.98666172656539464</c:v>
                </c:pt>
                <c:pt idx="6">
                  <c:v>0.99431220772458273</c:v>
                </c:pt>
                <c:pt idx="7">
                  <c:v>0.99981975306169457</c:v>
                </c:pt>
                <c:pt idx="8">
                  <c:v>1</c:v>
                </c:pt>
              </c:numCache>
            </c:numRef>
          </c:yVal>
          <c:smooth val="1"/>
        </c:ser>
        <c:ser>
          <c:idx val="1"/>
          <c:order val="1"/>
          <c:tx>
            <c:strRef>
              <c:f>'Northeast-DT'!$C$10</c:f>
              <c:strCache>
                <c:ptCount val="1"/>
                <c:pt idx="0">
                  <c:v>TSS</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'Northeast-DT'!$Y$11:$Y$19</c:f>
              <c:numCache>
                <c:formatCode>0.0%</c:formatCode>
                <c:ptCount val="9"/>
                <c:pt idx="0">
                  <c:v>0.37735859436398339</c:v>
                </c:pt>
                <c:pt idx="1">
                  <c:v>0.57495549246980715</c:v>
                </c:pt>
                <c:pt idx="2">
                  <c:v>0.71860575951498817</c:v>
                </c:pt>
                <c:pt idx="3">
                  <c:v>0.77248890920463842</c:v>
                </c:pt>
                <c:pt idx="4">
                  <c:v>0.79908354584676577</c:v>
                </c:pt>
                <c:pt idx="5">
                  <c:v>0.81336476928258683</c:v>
                </c:pt>
                <c:pt idx="6">
                  <c:v>0.82458555870984318</c:v>
                </c:pt>
                <c:pt idx="7">
                  <c:v>0.83832475260228723</c:v>
                </c:pt>
                <c:pt idx="8">
                  <c:v>0.84456214213539926</c:v>
                </c:pt>
              </c:numCache>
            </c:numRef>
          </c:yVal>
          <c:smooth val="1"/>
        </c:ser>
        <c:axId val="74689152"/>
        <c:axId val="74720000"/>
      </c:scatterChart>
      <c:valAx>
        <c:axId val="74689152"/>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26"/>
            </c:manualLayout>
          </c:layout>
        </c:title>
        <c:numFmt formatCode="0.0" sourceLinked="0"/>
        <c:tickLblPos val="nextTo"/>
        <c:crossAx val="74720000"/>
        <c:crosses val="autoZero"/>
        <c:crossBetween val="midCat"/>
        <c:majorUnit val="0.2"/>
      </c:valAx>
      <c:valAx>
        <c:axId val="7472000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74"/>
            </c:manualLayout>
          </c:layout>
        </c:title>
        <c:numFmt formatCode="0%" sourceLinked="0"/>
        <c:tickLblPos val="nextTo"/>
        <c:crossAx val="7468915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printSettings>
    <c:headerFooter/>
    <c:pageMargins b="0.75000000000000377" l="0.70000000000000062" r="0.70000000000000062" t="0.750000000000003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237696"/>
        <c:axId val="82243584"/>
      </c:scatterChart>
      <c:valAx>
        <c:axId val="8223769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243584"/>
        <c:crosses val="autoZero"/>
        <c:crossBetween val="midCat"/>
        <c:majorUnit val="0.2"/>
      </c:valAx>
      <c:valAx>
        <c:axId val="8224358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22376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88" l="0.70000000000000062" r="0.70000000000000062" t="0.75000000000000788"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1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158336"/>
        <c:axId val="82160256"/>
      </c:scatterChart>
      <c:valAx>
        <c:axId val="8215833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160256"/>
        <c:crosses val="autoZero"/>
        <c:crossBetween val="midCat"/>
        <c:majorUnit val="0.2"/>
      </c:valAx>
      <c:valAx>
        <c:axId val="821602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21583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77" r="0.75000000000000677"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403328"/>
        <c:axId val="82404864"/>
      </c:scatterChart>
      <c:valAx>
        <c:axId val="824033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404864"/>
        <c:crosses val="autoZero"/>
        <c:crossBetween val="midCat"/>
        <c:majorUnit val="0.2"/>
      </c:valAx>
      <c:valAx>
        <c:axId val="824048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24033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77" r="0.750000000000006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1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430208"/>
        <c:axId val="82440576"/>
      </c:scatterChart>
      <c:valAx>
        <c:axId val="8243020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440576"/>
        <c:crosses val="autoZero"/>
        <c:crossBetween val="midCat"/>
        <c:majorUnit val="0.2"/>
      </c:valAx>
      <c:valAx>
        <c:axId val="8244057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24302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77" r="0.75000000000000677"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286464"/>
        <c:axId val="82288000"/>
      </c:scatterChart>
      <c:valAx>
        <c:axId val="8228646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288000"/>
        <c:crosses val="autoZero"/>
        <c:crossBetween val="midCat"/>
        <c:majorUnit val="0.2"/>
      </c:valAx>
      <c:valAx>
        <c:axId val="8228800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228646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77" r="0.75000000000000677"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'Southeast-DT'!$B$10</c:f>
              <c:strCache>
                <c:ptCount val="1"/>
                <c:pt idx="0">
                  <c:v>Runoff</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'Southeast-DT'!$B$11:$B$19</c:f>
              <c:numCache>
                <c:formatCode>0.0%</c:formatCode>
                <c:ptCount val="9"/>
                <c:pt idx="0">
                  <c:v>0.47505064145847398</c:v>
                </c:pt>
                <c:pt idx="1">
                  <c:v>0.69871708305199187</c:v>
                </c:pt>
                <c:pt idx="2">
                  <c:v>0.87103308575286964</c:v>
                </c:pt>
                <c:pt idx="3">
                  <c:v>0.94051316677920327</c:v>
                </c:pt>
                <c:pt idx="4">
                  <c:v>0.96833220796758945</c:v>
                </c:pt>
                <c:pt idx="5">
                  <c:v>0.98197164078325461</c:v>
                </c:pt>
                <c:pt idx="6">
                  <c:v>0.98926401080351112</c:v>
                </c:pt>
                <c:pt idx="7">
                  <c:v>0.99615124915597564</c:v>
                </c:pt>
                <c:pt idx="8">
                  <c:v>0.99810938555030382</c:v>
                </c:pt>
              </c:numCache>
            </c:numRef>
          </c:yVal>
          <c:smooth val="1"/>
        </c:ser>
        <c:ser>
          <c:idx val="1"/>
          <c:order val="1"/>
          <c:tx>
            <c:strRef>
              <c:f>'Southeast-DT'!$C$10</c:f>
              <c:strCache>
                <c:ptCount val="1"/>
                <c:pt idx="0">
                  <c:v>TSS</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'Southeast-DT'!$C$11:$C$19</c:f>
              <c:numCache>
                <c:formatCode>0.0%</c:formatCode>
                <c:ptCount val="9"/>
                <c:pt idx="0">
                  <c:v>0.34304777380038282</c:v>
                </c:pt>
                <c:pt idx="1">
                  <c:v>0.51198804979073609</c:v>
                </c:pt>
                <c:pt idx="2">
                  <c:v>0.64998812549341922</c:v>
                </c:pt>
                <c:pt idx="3">
                  <c:v>0.7128320481901651</c:v>
                </c:pt>
                <c:pt idx="4">
                  <c:v>0.74268433603339568</c:v>
                </c:pt>
                <c:pt idx="5">
                  <c:v>0.76046259746720457</c:v>
                </c:pt>
                <c:pt idx="6">
                  <c:v>0.77264526804157152</c:v>
                </c:pt>
                <c:pt idx="7">
                  <c:v>0.78846285701926089</c:v>
                </c:pt>
                <c:pt idx="8">
                  <c:v>0.79875777304335593</c:v>
                </c:pt>
              </c:numCache>
            </c:numRef>
          </c:yVal>
          <c:smooth val="1"/>
        </c:ser>
        <c:axId val="82596224"/>
        <c:axId val="82598144"/>
      </c:scatterChart>
      <c:valAx>
        <c:axId val="82596224"/>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2598144"/>
        <c:crosses val="autoZero"/>
        <c:crossBetween val="midCat"/>
        <c:majorUnit val="0.2"/>
      </c:valAx>
      <c:valAx>
        <c:axId val="82598144"/>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2596224"/>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'Southeast-DT'!$D$10</c:f>
              <c:strCache>
                <c:ptCount val="1"/>
                <c:pt idx="0">
                  <c:v>Clay</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'Southeast-DT'!$D$11:$D$19</c:f>
              <c:numCache>
                <c:formatCode>0.0%</c:formatCode>
                <c:ptCount val="9"/>
                <c:pt idx="0">
                  <c:v>1.1492748764424065E-3</c:v>
                </c:pt>
                <c:pt idx="1">
                  <c:v>2.2070576530005301E-3</c:v>
                </c:pt>
                <c:pt idx="2">
                  <c:v>4.1543469562114049E-3</c:v>
                </c:pt>
                <c:pt idx="3">
                  <c:v>6.0618382774395184E-3</c:v>
                </c:pt>
                <c:pt idx="4">
                  <c:v>7.8963305828025129E-3</c:v>
                </c:pt>
                <c:pt idx="5">
                  <c:v>9.6996766413963882E-3</c:v>
                </c:pt>
                <c:pt idx="6">
                  <c:v>1.1461386224274606E-2</c:v>
                </c:pt>
                <c:pt idx="7">
                  <c:v>1.4825829755480333E-2</c:v>
                </c:pt>
                <c:pt idx="8">
                  <c:v>1.8197843554998001E-2</c:v>
                </c:pt>
              </c:numCache>
            </c:numRef>
          </c:yVal>
          <c:smooth val="1"/>
        </c:ser>
        <c:ser>
          <c:idx val="1"/>
          <c:order val="1"/>
          <c:tx>
            <c:strRef>
              <c:f>'Southeast-DT'!$H$10</c:f>
              <c:strCache>
                <c:ptCount val="1"/>
                <c:pt idx="0">
                  <c:v>Silt</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'Southeast-DT'!$H$11:$H$19</c:f>
              <c:numCache>
                <c:formatCode>0.0%</c:formatCode>
                <c:ptCount val="9"/>
                <c:pt idx="0">
                  <c:v>0.23533404710148847</c:v>
                </c:pt>
                <c:pt idx="1">
                  <c:v>0.3626710069538322</c:v>
                </c:pt>
                <c:pt idx="2">
                  <c:v>0.4780382911380997</c:v>
                </c:pt>
                <c:pt idx="3">
                  <c:v>0.54057519619612038</c:v>
                </c:pt>
                <c:pt idx="4">
                  <c:v>0.57614031672560662</c:v>
                </c:pt>
                <c:pt idx="5">
                  <c:v>0.60031867224703583</c:v>
                </c:pt>
                <c:pt idx="6">
                  <c:v>0.61927678703393285</c:v>
                </c:pt>
                <c:pt idx="7">
                  <c:v>0.64659103608134072</c:v>
                </c:pt>
                <c:pt idx="8">
                  <c:v>0.6670271556339018</c:v>
                </c:pt>
              </c:numCache>
            </c:numRef>
          </c:yVal>
          <c:smooth val="1"/>
        </c:ser>
        <c:ser>
          <c:idx val="2"/>
          <c:order val="2"/>
          <c:tx>
            <c:strRef>
              <c:f>'Southeast-DT'!$I$10</c:f>
              <c:strCache>
                <c:ptCount val="1"/>
                <c:pt idx="0">
                  <c:v>Sand</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'Southeast-DT'!$I$11:$I$19</c:f>
              <c:numCache>
                <c:formatCode>0.0%</c:formatCode>
                <c:ptCount val="9"/>
                <c:pt idx="0">
                  <c:v>0.47417997772178183</c:v>
                </c:pt>
                <c:pt idx="1">
                  <c:v>0.69735148755772325</c:v>
                </c:pt>
                <c:pt idx="2">
                  <c:v>0.8693263542669275</c:v>
                </c:pt>
                <c:pt idx="3">
                  <c:v>0.93854023597607783</c:v>
                </c:pt>
                <c:pt idx="4">
                  <c:v>0.96605275395546508</c:v>
                </c:pt>
                <c:pt idx="5">
                  <c:v>0.97966842224793715</c:v>
                </c:pt>
                <c:pt idx="6">
                  <c:v>0.98679528913017611</c:v>
                </c:pt>
                <c:pt idx="7">
                  <c:v>0.99351119858976711</c:v>
                </c:pt>
                <c:pt idx="8">
                  <c:v>0.99537132166070041</c:v>
                </c:pt>
              </c:numCache>
            </c:numRef>
          </c:yVal>
          <c:smooth val="1"/>
        </c:ser>
        <c:axId val="82639872"/>
        <c:axId val="82642048"/>
      </c:scatterChart>
      <c:valAx>
        <c:axId val="8263987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2642048"/>
        <c:crosses val="autoZero"/>
        <c:crossBetween val="midCat"/>
        <c:majorUnit val="0.2"/>
      </c:valAx>
      <c:valAx>
        <c:axId val="82642048"/>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2639872"/>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'Southeast-DT'!$CD$17</c:f>
              <c:strCache>
                <c:ptCount val="1"/>
                <c:pt idx="0">
                  <c:v>Runoff, 3hr DT</c:v>
                </c:pt>
              </c:strCache>
            </c:strRef>
          </c:tx>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'Southeast-DT'!$CE$17</c:f>
              <c:strCache>
                <c:ptCount val="1"/>
                <c:pt idx="0">
                  <c:v>Runoff, 6hr DT</c:v>
                </c:pt>
              </c:strCache>
            </c:strRef>
          </c:tx>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'Southeast-DT'!$CF$17</c:f>
              <c:strCache>
                <c:ptCount val="1"/>
                <c:pt idx="0">
                  <c:v>Runoff, 12hr DT</c:v>
                </c:pt>
              </c:strCache>
            </c:strRef>
          </c:tx>
          <c:spPr>
            <a:ln w="31750"/>
          </c:spPr>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'Southeast-DT'!$CG$17</c:f>
              <c:strCache>
                <c:ptCount val="1"/>
                <c:pt idx="0">
                  <c:v>TSS, 3hr DT</c:v>
                </c:pt>
              </c:strCache>
            </c:strRef>
          </c:tx>
          <c:spPr>
            <a:ln w="31750">
              <a:solidFill>
                <a:schemeClr val="accent1"/>
              </a:solidFill>
              <a:prstDash val="sysDash"/>
            </a:ln>
          </c:spPr>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'Southeast-DT'!$CG$18:$CG$26</c:f>
              <c:numCache>
                <c:formatCode>0.0%</c:formatCode>
                <c:ptCount val="9"/>
                <c:pt idx="0">
                  <c:v>0.34304777380038282</c:v>
                </c:pt>
                <c:pt idx="1">
                  <c:v>0.51198804979073609</c:v>
                </c:pt>
                <c:pt idx="2">
                  <c:v>0.64998812549341922</c:v>
                </c:pt>
                <c:pt idx="3">
                  <c:v>0.7128320481901651</c:v>
                </c:pt>
                <c:pt idx="4">
                  <c:v>0.74268433603339568</c:v>
                </c:pt>
                <c:pt idx="5">
                  <c:v>0.76046259746720457</c:v>
                </c:pt>
                <c:pt idx="6">
                  <c:v>0.77264526804157152</c:v>
                </c:pt>
                <c:pt idx="7">
                  <c:v>0.78846285701926089</c:v>
                </c:pt>
                <c:pt idx="8">
                  <c:v>0.79875777304335593</c:v>
                </c:pt>
              </c:numCache>
            </c:numRef>
          </c:yVal>
          <c:smooth val="1"/>
        </c:ser>
        <c:ser>
          <c:idx val="4"/>
          <c:order val="4"/>
          <c:tx>
            <c:strRef>
              <c:f>'Southeast-DT'!$CH$17</c:f>
              <c:strCache>
                <c:ptCount val="1"/>
                <c:pt idx="0">
                  <c:v>TSS, 6hr DT</c:v>
                </c:pt>
              </c:strCache>
            </c:strRef>
          </c:tx>
          <c:spPr>
            <a:ln w="31750">
              <a:solidFill>
                <a:schemeClr val="accent2"/>
              </a:solidFill>
              <a:prstDash val="sysDash"/>
            </a:ln>
          </c:spPr>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'Southeast-DT'!$CH$18:$CH$26</c:f>
              <c:numCache>
                <c:formatCode>0.0%</c:formatCode>
                <c:ptCount val="9"/>
                <c:pt idx="0">
                  <c:v>0.27767888003287655</c:v>
                </c:pt>
                <c:pt idx="1">
                  <c:v>0.44860313949841557</c:v>
                </c:pt>
                <c:pt idx="2">
                  <c:v>0.61657540527972143</c:v>
                </c:pt>
                <c:pt idx="3">
                  <c:v>0.7029789276174202</c:v>
                </c:pt>
                <c:pt idx="4">
                  <c:v>0.74791379627326493</c:v>
                </c:pt>
                <c:pt idx="5">
                  <c:v>0.76806184909210851</c:v>
                </c:pt>
                <c:pt idx="6">
                  <c:v>0.78301312900818665</c:v>
                </c:pt>
                <c:pt idx="7">
                  <c:v>0.80125871932689496</c:v>
                </c:pt>
                <c:pt idx="8">
                  <c:v>0.81442217223441871</c:v>
                </c:pt>
              </c:numCache>
            </c:numRef>
          </c:yVal>
          <c:smooth val="1"/>
        </c:ser>
        <c:ser>
          <c:idx val="5"/>
          <c:order val="5"/>
          <c:tx>
            <c:strRef>
              <c:f>'Southeast-DT'!$CI$17</c:f>
              <c:strCache>
                <c:ptCount val="1"/>
                <c:pt idx="0">
                  <c:v>TSS, 12hr DT</c:v>
                </c:pt>
              </c:strCache>
            </c:strRef>
          </c:tx>
          <c:spPr>
            <a:ln w="31750">
              <a:solidFill>
                <a:schemeClr val="accent3"/>
              </a:solidFill>
              <a:prstDash val="sysDash"/>
            </a:ln>
          </c:spPr>
          <c:marker>
            <c:symbol val="none"/>
          </c:marker>
          <c:xVal>
            <c:numRef>
              <c:f>'Southeast-DT'!$CC$18:$CC$26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'Southeast-DT'!$CI$18:$CI$26</c:f>
              <c:numCache>
                <c:formatCode>0.0%</c:formatCode>
                <c:ptCount val="9"/>
                <c:pt idx="0">
                  <c:v>0.22009382806839192</c:v>
                </c:pt>
                <c:pt idx="1">
                  <c:v>0.38747141682978792</c:v>
                </c:pt>
                <c:pt idx="2">
                  <c:v>0.5648336271318416</c:v>
                </c:pt>
                <c:pt idx="3">
                  <c:v>0.67025917895032816</c:v>
                </c:pt>
                <c:pt idx="4">
                  <c:v>0.73274319486952089</c:v>
                </c:pt>
                <c:pt idx="5">
                  <c:v>0.76510149566872498</c:v>
                </c:pt>
                <c:pt idx="6">
                  <c:v>0.78665145403224934</c:v>
                </c:pt>
                <c:pt idx="7">
                  <c:v>0.80945780656882982</c:v>
                </c:pt>
                <c:pt idx="8">
                  <c:v>0.82267289952091005</c:v>
                </c:pt>
              </c:numCache>
            </c:numRef>
          </c:yVal>
          <c:smooth val="1"/>
        </c:ser>
        <c:axId val="82696448"/>
        <c:axId val="82706816"/>
      </c:scatterChart>
      <c:valAx>
        <c:axId val="82696448"/>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2706816"/>
        <c:crosses val="autoZero"/>
        <c:crossBetween val="midCat"/>
        <c:majorUnit val="0.2"/>
      </c:valAx>
      <c:valAx>
        <c:axId val="82706816"/>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2696448"/>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'Southeast-DT'!$B$10</c:f>
              <c:strCache>
                <c:ptCount val="1"/>
                <c:pt idx="0">
                  <c:v>Runoff</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'Southeast-DT'!$M$11:$M$19</c:f>
              <c:numCache>
                <c:formatCode>0.0%</c:formatCode>
                <c:ptCount val="9"/>
                <c:pt idx="0">
                  <c:v>0.3639365293720459</c:v>
                </c:pt>
                <c:pt idx="1">
                  <c:v>0.5809588116137745</c:v>
                </c:pt>
                <c:pt idx="2">
                  <c:v>0.79135719108710334</c:v>
                </c:pt>
                <c:pt idx="3">
                  <c:v>0.89365293720459149</c:v>
                </c:pt>
                <c:pt idx="4">
                  <c:v>0.94078325455773126</c:v>
                </c:pt>
                <c:pt idx="5">
                  <c:v>0.96218771100607703</c:v>
                </c:pt>
                <c:pt idx="6">
                  <c:v>0.97488183659689398</c:v>
                </c:pt>
                <c:pt idx="7">
                  <c:v>0.98811613774476703</c:v>
                </c:pt>
                <c:pt idx="8">
                  <c:v>0.99540850776502365</c:v>
                </c:pt>
              </c:numCache>
            </c:numRef>
          </c:yVal>
          <c:smooth val="1"/>
        </c:ser>
        <c:ser>
          <c:idx val="1"/>
          <c:order val="1"/>
          <c:tx>
            <c:strRef>
              <c:f>'Southeast-DT'!$C$10</c:f>
              <c:strCache>
                <c:ptCount val="1"/>
                <c:pt idx="0">
                  <c:v>TSS</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'Southeast-DT'!$N$11:$N$19</c:f>
              <c:numCache>
                <c:formatCode>0.0%</c:formatCode>
                <c:ptCount val="9"/>
                <c:pt idx="0">
                  <c:v>0.27767888003287655</c:v>
                </c:pt>
                <c:pt idx="1">
                  <c:v>0.44860313949841557</c:v>
                </c:pt>
                <c:pt idx="2">
                  <c:v>0.61657540527972143</c:v>
                </c:pt>
                <c:pt idx="3">
                  <c:v>0.7029789276174202</c:v>
                </c:pt>
                <c:pt idx="4">
                  <c:v>0.74791379627326493</c:v>
                </c:pt>
                <c:pt idx="5">
                  <c:v>0.76806184909210851</c:v>
                </c:pt>
                <c:pt idx="6">
                  <c:v>0.78301312900818665</c:v>
                </c:pt>
                <c:pt idx="7">
                  <c:v>0.80125871932689496</c:v>
                </c:pt>
                <c:pt idx="8">
                  <c:v>0.81442217223441871</c:v>
                </c:pt>
              </c:numCache>
            </c:numRef>
          </c:yVal>
          <c:smooth val="1"/>
        </c:ser>
        <c:axId val="82726912"/>
        <c:axId val="82728832"/>
      </c:scatterChart>
      <c:valAx>
        <c:axId val="8272691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2728832"/>
        <c:crosses val="autoZero"/>
        <c:crossBetween val="midCat"/>
        <c:majorUnit val="0.2"/>
      </c:valAx>
      <c:valAx>
        <c:axId val="8272883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272691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'Southeast-DT'!$D$10</c:f>
              <c:strCache>
                <c:ptCount val="1"/>
                <c:pt idx="0">
                  <c:v>Clay</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'Southeast-DT'!$O$11:$O$19</c:f>
              <c:numCache>
                <c:formatCode>0.0%</c:formatCode>
                <c:ptCount val="9"/>
                <c:pt idx="0">
                  <c:v>1.4162890544734878E-3</c:v>
                </c:pt>
                <c:pt idx="1">
                  <c:v>3.0792607092259938E-3</c:v>
                </c:pt>
                <c:pt idx="2">
                  <c:v>5.1181502590113229E-3</c:v>
                </c:pt>
                <c:pt idx="3">
                  <c:v>7.556749975666994E-3</c:v>
                </c:pt>
                <c:pt idx="4">
                  <c:v>9.9051553527204298E-3</c:v>
                </c:pt>
                <c:pt idx="5">
                  <c:v>1.164199119685942E-2</c:v>
                </c:pt>
                <c:pt idx="6">
                  <c:v>1.3837369007321531E-2</c:v>
                </c:pt>
                <c:pt idx="7">
                  <c:v>1.7647376902029912E-2</c:v>
                </c:pt>
                <c:pt idx="8">
                  <c:v>2.174289205878854E-2</c:v>
                </c:pt>
              </c:numCache>
            </c:numRef>
          </c:yVal>
          <c:smooth val="1"/>
        </c:ser>
        <c:ser>
          <c:idx val="1"/>
          <c:order val="1"/>
          <c:tx>
            <c:strRef>
              <c:f>'Southeast-DT'!$H$10</c:f>
              <c:strCache>
                <c:ptCount val="1"/>
                <c:pt idx="0">
                  <c:v>Silt</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'Southeast-DT'!$S$11:$S$19</c:f>
              <c:numCache>
                <c:formatCode>0.0%</c:formatCode>
                <c:ptCount val="9"/>
                <c:pt idx="0">
                  <c:v>0.21309908760242391</c:v>
                </c:pt>
                <c:pt idx="1">
                  <c:v>0.35174710977970514</c:v>
                </c:pt>
                <c:pt idx="2">
                  <c:v>0.49123146636097198</c:v>
                </c:pt>
                <c:pt idx="3">
                  <c:v>0.56937826467820951</c:v>
                </c:pt>
                <c:pt idx="4">
                  <c:v>0.61671371047689083</c:v>
                </c:pt>
                <c:pt idx="5">
                  <c:v>0.63758602167980649</c:v>
                </c:pt>
                <c:pt idx="6">
                  <c:v>0.65647203867325632</c:v>
                </c:pt>
                <c:pt idx="7">
                  <c:v>0.68203070645022912</c:v>
                </c:pt>
                <c:pt idx="8">
                  <c:v>0.70270474872116528</c:v>
                </c:pt>
              </c:numCache>
            </c:numRef>
          </c:yVal>
          <c:smooth val="1"/>
        </c:ser>
        <c:ser>
          <c:idx val="2"/>
          <c:order val="2"/>
          <c:tx>
            <c:strRef>
              <c:f>'Southeast-DT'!$I$10</c:f>
              <c:strCache>
                <c:ptCount val="1"/>
                <c:pt idx="0">
                  <c:v>Sand</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'Southeast-DT'!$T$11:$T$19</c:f>
              <c:numCache>
                <c:formatCode>0.0%</c:formatCode>
                <c:ptCount val="9"/>
                <c:pt idx="0">
                  <c:v>0.36342695231812427</c:v>
                </c:pt>
                <c:pt idx="1">
                  <c:v>0.58032595412417398</c:v>
                </c:pt>
                <c:pt idx="2">
                  <c:v>0.79053067580866687</c:v>
                </c:pt>
                <c:pt idx="3">
                  <c:v>0.89276174202688519</c:v>
                </c:pt>
                <c:pt idx="4">
                  <c:v>0.93979473758205623</c:v>
                </c:pt>
                <c:pt idx="5">
                  <c:v>0.96113207955270519</c:v>
                </c:pt>
                <c:pt idx="6">
                  <c:v>0.97381768630971044</c:v>
                </c:pt>
                <c:pt idx="7">
                  <c:v>0.98692506515838063</c:v>
                </c:pt>
                <c:pt idx="8">
                  <c:v>0.99423578141390967</c:v>
                </c:pt>
              </c:numCache>
            </c:numRef>
          </c:yVal>
          <c:smooth val="1"/>
        </c:ser>
        <c:axId val="82763136"/>
        <c:axId val="82847232"/>
      </c:scatterChart>
      <c:valAx>
        <c:axId val="8276313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2847232"/>
        <c:crosses val="autoZero"/>
        <c:crossBetween val="midCat"/>
        <c:majorUnit val="0.2"/>
      </c:valAx>
      <c:valAx>
        <c:axId val="8284723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276313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82"/>
          <c:w val="0.76058563966632964"/>
          <c:h val="0.6115858740406267"/>
        </c:manualLayout>
      </c:layout>
      <c:scatterChart>
        <c:scatterStyle val="smoothMarker"/>
        <c:ser>
          <c:idx val="0"/>
          <c:order val="0"/>
          <c:tx>
            <c:strRef>
              <c:f>'Northeast-DT'!$D$10</c:f>
              <c:strCache>
                <c:ptCount val="1"/>
                <c:pt idx="0">
                  <c:v>Clay</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'Northeast-DT'!$Z$11:$Z$19</c:f>
              <c:numCache>
                <c:formatCode>0.0%</c:formatCode>
                <c:ptCount val="9"/>
                <c:pt idx="0">
                  <c:v>3.0813645768175916E-3</c:v>
                </c:pt>
                <c:pt idx="1">
                  <c:v>5.4916678695728889E-3</c:v>
                </c:pt>
                <c:pt idx="2">
                  <c:v>9.6522799082583519E-3</c:v>
                </c:pt>
                <c:pt idx="3">
                  <c:v>1.3673354825257823E-2</c:v>
                </c:pt>
                <c:pt idx="4">
                  <c:v>1.7469406085101606E-2</c:v>
                </c:pt>
                <c:pt idx="5">
                  <c:v>2.103642400038493E-2</c:v>
                </c:pt>
                <c:pt idx="6">
                  <c:v>2.4598630290782533E-2</c:v>
                </c:pt>
                <c:pt idx="7">
                  <c:v>3.2080706988083213E-2</c:v>
                </c:pt>
                <c:pt idx="8">
                  <c:v>3.7371890487417604E-2</c:v>
                </c:pt>
              </c:numCache>
            </c:numRef>
          </c:yVal>
          <c:smooth val="1"/>
        </c:ser>
        <c:ser>
          <c:idx val="1"/>
          <c:order val="1"/>
          <c:tx>
            <c:strRef>
              <c:f>'Northeast-DT'!$H$10</c:f>
              <c:strCache>
                <c:ptCount val="1"/>
                <c:pt idx="0">
                  <c:v>Silt</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'Northeast-DT'!$AD$11:$AD$19</c:f>
              <c:numCache>
                <c:formatCode>0.0%</c:formatCode>
                <c:ptCount val="9"/>
                <c:pt idx="0">
                  <c:v>0.30332215967109877</c:v>
                </c:pt>
                <c:pt idx="1">
                  <c:v>0.47012355183456567</c:v>
                </c:pt>
                <c:pt idx="2">
                  <c:v>0.60251380669029719</c:v>
                </c:pt>
                <c:pt idx="3">
                  <c:v>0.65882852972782258</c:v>
                </c:pt>
                <c:pt idx="4">
                  <c:v>0.69027570610595201</c:v>
                </c:pt>
                <c:pt idx="5">
                  <c:v>0.70985367314097547</c:v>
                </c:pt>
                <c:pt idx="6">
                  <c:v>0.72589242276005506</c:v>
                </c:pt>
                <c:pt idx="7">
                  <c:v>0.74948007719984822</c:v>
                </c:pt>
                <c:pt idx="8">
                  <c:v>0.76255700438927121</c:v>
                </c:pt>
              </c:numCache>
            </c:numRef>
          </c:yVal>
          <c:smooth val="1"/>
        </c:ser>
        <c:ser>
          <c:idx val="2"/>
          <c:order val="2"/>
          <c:tx>
            <c:strRef>
              <c:f>'Northeast-DT'!$I$10</c:f>
              <c:strCache>
                <c:ptCount val="1"/>
                <c:pt idx="0">
                  <c:v>Sand</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'Northeast-DT'!$AE$11:$AE$19</c:f>
              <c:numCache>
                <c:formatCode>0.0%</c:formatCode>
                <c:ptCount val="9"/>
                <c:pt idx="0">
                  <c:v>0.48141910856629616</c:v>
                </c:pt>
                <c:pt idx="1">
                  <c:v>0.72625062150154784</c:v>
                </c:pt>
                <c:pt idx="2">
                  <c:v>0.89398386501788318</c:v>
                </c:pt>
                <c:pt idx="3">
                  <c:v>0.9506648061717109</c:v>
                </c:pt>
                <c:pt idx="4">
                  <c:v>0.97517201558966471</c:v>
                </c:pt>
                <c:pt idx="5">
                  <c:v>0.98575759033825738</c:v>
                </c:pt>
                <c:pt idx="6">
                  <c:v>0.99340807390655839</c:v>
                </c:pt>
                <c:pt idx="7">
                  <c:v>0.99890936502590266</c:v>
                </c:pt>
                <c:pt idx="8">
                  <c:v>0.99908579127171249</c:v>
                </c:pt>
              </c:numCache>
            </c:numRef>
          </c:yVal>
          <c:smooth val="1"/>
        </c:ser>
        <c:axId val="74750208"/>
        <c:axId val="74764672"/>
      </c:scatterChart>
      <c:valAx>
        <c:axId val="74750208"/>
        <c:scaling>
          <c:orientation val="minMax"/>
          <c:max val="2"/>
          <c:min val="0"/>
        </c:scaling>
        <c:axPos val="b"/>
        <c:majorGridlines/>
        <c:title>
          <c:tx>
            <c:rich>
              <a:bodyPr/>
              <a:lstStyle/>
              <a:p>
                <a:pPr>
                  <a:defRPr/>
                </a:pPr>
                <a:r>
                  <a:rPr lang="en-US"/>
                  <a:t>Unit Basin Size (in)</a:t>
                </a:r>
              </a:p>
            </c:rich>
          </c:tx>
        </c:title>
        <c:numFmt formatCode="0.0" sourceLinked="0"/>
        <c:tickLblPos val="nextTo"/>
        <c:crossAx val="74764672"/>
        <c:crosses val="autoZero"/>
        <c:crossBetween val="midCat"/>
        <c:majorUnit val="0.2"/>
      </c:valAx>
      <c:valAx>
        <c:axId val="74764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14"/>
            </c:manualLayout>
          </c:layout>
        </c:title>
        <c:numFmt formatCode="0%" sourceLinked="0"/>
        <c:tickLblPos val="nextTo"/>
        <c:crossAx val="74750208"/>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'Southeast-DT'!$B$10</c:f>
              <c:strCache>
                <c:ptCount val="1"/>
                <c:pt idx="0">
                  <c:v>Runoff</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'Southeast-DT'!$X$11:$X$19</c:f>
              <c:numCache>
                <c:formatCode>0.0%</c:formatCode>
                <c:ptCount val="9"/>
                <c:pt idx="0">
                  <c:v>0.27543551654287646</c:v>
                </c:pt>
                <c:pt idx="1">
                  <c:v>0.48295070898041864</c:v>
                </c:pt>
                <c:pt idx="2">
                  <c:v>0.69864956110735987</c:v>
                </c:pt>
                <c:pt idx="3">
                  <c:v>0.82457798784604996</c:v>
                </c:pt>
                <c:pt idx="4">
                  <c:v>0.89736664415935175</c:v>
                </c:pt>
                <c:pt idx="5">
                  <c:v>0.93268062120189066</c:v>
                </c:pt>
                <c:pt idx="6">
                  <c:v>0.95489534098582041</c:v>
                </c:pt>
                <c:pt idx="7">
                  <c:v>0.97467927076299798</c:v>
                </c:pt>
                <c:pt idx="8">
                  <c:v>0.98501012829169476</c:v>
                </c:pt>
              </c:numCache>
            </c:numRef>
          </c:yVal>
          <c:smooth val="1"/>
        </c:ser>
        <c:ser>
          <c:idx val="1"/>
          <c:order val="1"/>
          <c:tx>
            <c:strRef>
              <c:f>'Southeast-DT'!$C$10</c:f>
              <c:strCache>
                <c:ptCount val="1"/>
                <c:pt idx="0">
                  <c:v>TSS</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'Southeast-DT'!$Y$11:$Y$19</c:f>
              <c:numCache>
                <c:formatCode>0.0%</c:formatCode>
                <c:ptCount val="9"/>
                <c:pt idx="0">
                  <c:v>0.22009382806839192</c:v>
                </c:pt>
                <c:pt idx="1">
                  <c:v>0.38747141682978792</c:v>
                </c:pt>
                <c:pt idx="2">
                  <c:v>0.5648336271318416</c:v>
                </c:pt>
                <c:pt idx="3">
                  <c:v>0.67025917895032816</c:v>
                </c:pt>
                <c:pt idx="4">
                  <c:v>0.73274319486952089</c:v>
                </c:pt>
                <c:pt idx="5">
                  <c:v>0.76510149566872498</c:v>
                </c:pt>
                <c:pt idx="6">
                  <c:v>0.78665145403224934</c:v>
                </c:pt>
                <c:pt idx="7">
                  <c:v>0.80945780656882982</c:v>
                </c:pt>
                <c:pt idx="8">
                  <c:v>0.82267289952091005</c:v>
                </c:pt>
              </c:numCache>
            </c:numRef>
          </c:yVal>
          <c:smooth val="1"/>
        </c:ser>
        <c:axId val="82880768"/>
        <c:axId val="82887040"/>
      </c:scatterChart>
      <c:valAx>
        <c:axId val="82880768"/>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2887040"/>
        <c:crosses val="autoZero"/>
        <c:crossBetween val="midCat"/>
        <c:majorUnit val="0.2"/>
      </c:valAx>
      <c:valAx>
        <c:axId val="8288704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2880768"/>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'Southeast-DT'!$D$10</c:f>
              <c:strCache>
                <c:ptCount val="1"/>
                <c:pt idx="0">
                  <c:v>Clay</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'Southeast-DT'!$Z$11:$Z$19</c:f>
              <c:numCache>
                <c:formatCode>0.0%</c:formatCode>
                <c:ptCount val="9"/>
                <c:pt idx="0">
                  <c:v>2.1242172883298906E-3</c:v>
                </c:pt>
                <c:pt idx="1">
                  <c:v>4.1062216790855111E-3</c:v>
                </c:pt>
                <c:pt idx="2">
                  <c:v>7.3185028172212778E-3</c:v>
                </c:pt>
                <c:pt idx="3">
                  <c:v>1.031838385586209E-2</c:v>
                </c:pt>
                <c:pt idx="4">
                  <c:v>1.3067364573307233E-2</c:v>
                </c:pt>
                <c:pt idx="5">
                  <c:v>1.5603404457806568E-2</c:v>
                </c:pt>
                <c:pt idx="6">
                  <c:v>1.8103755934549621E-2</c:v>
                </c:pt>
                <c:pt idx="7">
                  <c:v>2.3269923323996664E-2</c:v>
                </c:pt>
                <c:pt idx="8">
                  <c:v>2.7024776406718069E-2</c:v>
                </c:pt>
              </c:numCache>
            </c:numRef>
          </c:yVal>
          <c:smooth val="1"/>
        </c:ser>
        <c:ser>
          <c:idx val="1"/>
          <c:order val="1"/>
          <c:tx>
            <c:strRef>
              <c:f>'Southeast-DT'!$H$10</c:f>
              <c:strCache>
                <c:ptCount val="1"/>
                <c:pt idx="0">
                  <c:v>Silt</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'Southeast-DT'!$AD$11:$AD$19</c:f>
              <c:numCache>
                <c:formatCode>0.0%</c:formatCode>
                <c:ptCount val="9"/>
                <c:pt idx="0">
                  <c:v>0.18326285774023887</c:v>
                </c:pt>
                <c:pt idx="1">
                  <c:v>0.32454425182317298</c:v>
                </c:pt>
                <c:pt idx="2">
                  <c:v>0.47866049509554759</c:v>
                </c:pt>
                <c:pt idx="3">
                  <c:v>0.57274847603289103</c:v>
                </c:pt>
                <c:pt idx="4">
                  <c:v>0.63049880858396312</c:v>
                </c:pt>
                <c:pt idx="5">
                  <c:v>0.66290316184873166</c:v>
                </c:pt>
                <c:pt idx="6">
                  <c:v>0.6858446797235771</c:v>
                </c:pt>
                <c:pt idx="7">
                  <c:v>0.71400968273365994</c:v>
                </c:pt>
                <c:pt idx="8">
                  <c:v>0.73150781720325442</c:v>
                </c:pt>
              </c:numCache>
            </c:numRef>
          </c:yVal>
          <c:smooth val="1"/>
        </c:ser>
        <c:ser>
          <c:idx val="2"/>
          <c:order val="2"/>
          <c:tx>
            <c:strRef>
              <c:f>'Southeast-DT'!$I$10</c:f>
              <c:strCache>
                <c:ptCount val="1"/>
                <c:pt idx="0">
                  <c:v>Sand</c:v>
                </c:pt>
              </c:strCache>
            </c:strRef>
          </c:tx>
          <c:xVal>
            <c:numRef>
              <c:f>'Southeast-DT'!$A$11:$A$19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'Southeast-DT'!$AE$11:$AE$19</c:f>
              <c:numCache>
                <c:formatCode>0.0%</c:formatCode>
                <c:ptCount val="9"/>
                <c:pt idx="0">
                  <c:v>0.27503866244173591</c:v>
                </c:pt>
                <c:pt idx="1">
                  <c:v>0.48244238485081159</c:v>
                </c:pt>
                <c:pt idx="2">
                  <c:v>0.69814095839596824</c:v>
                </c:pt>
                <c:pt idx="3">
                  <c:v>0.82401289108546827</c:v>
                </c:pt>
                <c:pt idx="4">
                  <c:v>0.89673072555614419</c:v>
                </c:pt>
                <c:pt idx="5">
                  <c:v>0.93202980522781098</c:v>
                </c:pt>
                <c:pt idx="6">
                  <c:v>0.95423232071982433</c:v>
                </c:pt>
                <c:pt idx="7">
                  <c:v>0.97397990634496623</c:v>
                </c:pt>
                <c:pt idx="8">
                  <c:v>0.98428628591821932</c:v>
                </c:pt>
              </c:numCache>
            </c:numRef>
          </c:yVal>
          <c:smooth val="1"/>
        </c:ser>
        <c:axId val="82892288"/>
        <c:axId val="82796544"/>
      </c:scatterChart>
      <c:valAx>
        <c:axId val="82892288"/>
        <c:scaling>
          <c:orientation val="minMax"/>
          <c:max val="2"/>
          <c:min val="0"/>
        </c:scaling>
        <c:axPos val="b"/>
        <c:majorGridlines/>
        <c:title>
          <c:tx>
            <c:rich>
              <a:bodyPr/>
              <a:lstStyle/>
              <a:p>
                <a:pPr>
                  <a:defRPr/>
                </a:pPr>
                <a:r>
                  <a:rPr lang="en-US"/>
                  <a:t>Unit Basin Size (in)</a:t>
                </a:r>
              </a:p>
            </c:rich>
          </c:tx>
        </c:title>
        <c:numFmt formatCode="0.0" sourceLinked="0"/>
        <c:tickLblPos val="nextTo"/>
        <c:crossAx val="82796544"/>
        <c:crosses val="autoZero"/>
        <c:crossBetween val="midCat"/>
        <c:majorUnit val="0.2"/>
      </c:valAx>
      <c:valAx>
        <c:axId val="82796544"/>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2892288"/>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'Southeast-MF'!$AI$3</c:f>
              <c:strCache>
                <c:ptCount val="1"/>
                <c:pt idx="0">
                  <c:v>Runoff Treated</c:v>
                </c:pt>
              </c:strCache>
            </c:strRef>
          </c:tx>
          <c:xVal>
            <c:numRef>
              <c:f>'Southeast-MF'!$AH$10:$AH$12</c:f>
              <c:numCache>
                <c:formatCode>General</c:formatCode>
                <c:ptCount val="3"/>
              </c:numCache>
            </c:numRef>
          </c:xVal>
          <c:yVal>
            <c:numRef>
              <c:f>'Southeast-MF'!$AI$4:$AI$12</c:f>
              <c:numCache>
                <c:formatCode>0.0%</c:formatCode>
                <c:ptCount val="9"/>
                <c:pt idx="0">
                  <c:v>0.61697486960644854</c:v>
                </c:pt>
                <c:pt idx="1">
                  <c:v>0.77423287949603736</c:v>
                </c:pt>
                <c:pt idx="2">
                  <c:v>0.89290794553952446</c:v>
                </c:pt>
                <c:pt idx="3">
                  <c:v>0.94255910045383728</c:v>
                </c:pt>
                <c:pt idx="4">
                  <c:v>0.96816365237417867</c:v>
                </c:pt>
                <c:pt idx="5">
                  <c:v>0.98225292962135069</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3004416"/>
        <c:axId val="83018880"/>
      </c:scatterChart>
      <c:valAx>
        <c:axId val="8300441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018880"/>
        <c:crosses val="autoZero"/>
        <c:crossBetween val="midCat"/>
        <c:majorUnit val="0.2"/>
      </c:valAx>
      <c:valAx>
        <c:axId val="8301888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00441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2930304"/>
        <c:axId val="82944384"/>
      </c:scatterChart>
      <c:valAx>
        <c:axId val="8293030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944384"/>
        <c:crosses val="autoZero"/>
        <c:crossBetween val="midCat"/>
        <c:majorUnit val="0.2"/>
      </c:valAx>
      <c:valAx>
        <c:axId val="8294438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293030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'Southeast-MF'!$AI$3</c:f>
              <c:strCache>
                <c:ptCount val="1"/>
                <c:pt idx="0">
                  <c:v>Runoff Treated</c:v>
                </c:pt>
              </c:strCache>
            </c:strRef>
          </c:tx>
          <c:xVal>
            <c:numRef>
              <c:f>'Southeast-MF'!$AH$10:$AH$12</c:f>
              <c:numCache>
                <c:formatCode>General</c:formatCode>
                <c:ptCount val="3"/>
              </c:numCache>
            </c:numRef>
          </c:xVal>
          <c:yVal>
            <c:numRef>
              <c:f>'Southeast-MF'!$AI$4:$AI$12</c:f>
              <c:numCache>
                <c:formatCode>0.0%</c:formatCode>
                <c:ptCount val="9"/>
                <c:pt idx="0">
                  <c:v>0.61697486960644854</c:v>
                </c:pt>
                <c:pt idx="1">
                  <c:v>0.77423287949603736</c:v>
                </c:pt>
                <c:pt idx="2">
                  <c:v>0.89290794553952446</c:v>
                </c:pt>
                <c:pt idx="3">
                  <c:v>0.94255910045383728</c:v>
                </c:pt>
                <c:pt idx="4">
                  <c:v>0.96816365237417867</c:v>
                </c:pt>
                <c:pt idx="5">
                  <c:v>0.98225292962135069</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3055744"/>
        <c:axId val="83057664"/>
      </c:scatterChart>
      <c:valAx>
        <c:axId val="8305574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057664"/>
        <c:crosses val="autoZero"/>
        <c:crossBetween val="midCat"/>
        <c:majorUnit val="0.2"/>
      </c:valAx>
      <c:valAx>
        <c:axId val="8305766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05574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3088128"/>
        <c:axId val="83089664"/>
      </c:scatterChart>
      <c:valAx>
        <c:axId val="830881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089664"/>
        <c:crosses val="autoZero"/>
        <c:crossBetween val="midCat"/>
        <c:majorUnit val="0.2"/>
      </c:valAx>
      <c:valAx>
        <c:axId val="830896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30881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'Southeast-MF'!$AI$3</c:f>
              <c:strCache>
                <c:ptCount val="1"/>
                <c:pt idx="0">
                  <c:v>Runoff Treated</c:v>
                </c:pt>
              </c:strCache>
            </c:strRef>
          </c:tx>
          <c:xVal>
            <c:numRef>
              <c:f>'Southeast-MF'!$AH$10:$AH$12</c:f>
              <c:numCache>
                <c:formatCode>General</c:formatCode>
                <c:ptCount val="3"/>
              </c:numCache>
            </c:numRef>
          </c:xVal>
          <c:yVal>
            <c:numRef>
              <c:f>'Southeast-MF'!$AI$4:$AI$12</c:f>
              <c:numCache>
                <c:formatCode>0.0%</c:formatCode>
                <c:ptCount val="9"/>
                <c:pt idx="0">
                  <c:v>0.61697486960644854</c:v>
                </c:pt>
                <c:pt idx="1">
                  <c:v>0.77423287949603736</c:v>
                </c:pt>
                <c:pt idx="2">
                  <c:v>0.89290794553952446</c:v>
                </c:pt>
                <c:pt idx="3">
                  <c:v>0.94255910045383728</c:v>
                </c:pt>
                <c:pt idx="4">
                  <c:v>0.96816365237417867</c:v>
                </c:pt>
                <c:pt idx="5">
                  <c:v>0.98225292962135069</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3110912"/>
        <c:axId val="83121280"/>
      </c:scatterChart>
      <c:valAx>
        <c:axId val="8311091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121280"/>
        <c:crosses val="autoZero"/>
        <c:crossBetween val="midCat"/>
        <c:majorUnit val="0.2"/>
      </c:valAx>
      <c:valAx>
        <c:axId val="8312128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11091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'Southeast-MF'!$AH$10:$AH$12</c:f>
              <c:numCache>
                <c:formatCode>General</c:formatCode>
                <c:ptCount val="3"/>
              </c:numCache>
            </c:numRef>
          </c:xVal>
          <c:yVal>
            <c:numRef>
              <c:f>'3-ft'!#REF!</c:f>
              <c:numCache>
                <c:formatCode>General</c:formatCode>
                <c:ptCount val="1"/>
                <c:pt idx="0">
                  <c:v>1</c:v>
                </c:pt>
              </c:numCache>
            </c:numRef>
          </c:yVal>
          <c:smooth val="1"/>
        </c:ser>
        <c:axId val="83163776"/>
        <c:axId val="83169664"/>
      </c:scatterChart>
      <c:valAx>
        <c:axId val="8316377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169664"/>
        <c:crosses val="autoZero"/>
        <c:crossBetween val="midCat"/>
        <c:majorUnit val="0.2"/>
      </c:valAx>
      <c:valAx>
        <c:axId val="831696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31637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'Southeast-MF'!$A$30:$A$35</c:f>
              <c:numCache>
                <c:formatCode>0</c:formatCode>
                <c:ptCount val="6"/>
                <c:pt idx="0">
                  <c:v>100</c:v>
                </c:pt>
                <c:pt idx="1">
                  <c:v>200</c:v>
                </c:pt>
                <c:pt idx="2">
                  <c:v>400</c:v>
                </c:pt>
                <c:pt idx="3">
                  <c:v>600</c:v>
                </c:pt>
                <c:pt idx="4">
                  <c:v>800</c:v>
                </c:pt>
                <c:pt idx="5">
                  <c:v>1000</c:v>
                </c:pt>
              </c:numCache>
            </c:numRef>
          </c:xVal>
          <c:yVal>
            <c:numRef>
              <c:f>'Southeast-MF'!$B$30:$B$35</c:f>
              <c:numCache>
                <c:formatCode>0.0%</c:formatCode>
                <c:ptCount val="6"/>
                <c:pt idx="0">
                  <c:v>9.2068007857481537E-2</c:v>
                </c:pt>
                <c:pt idx="1">
                  <c:v>0.16849556323240533</c:v>
                </c:pt>
                <c:pt idx="2">
                  <c:v>0.29863171442118813</c:v>
                </c:pt>
                <c:pt idx="3">
                  <c:v>0.40651629072681705</c:v>
                </c:pt>
                <c:pt idx="4">
                  <c:v>0.49469619995935787</c:v>
                </c:pt>
                <c:pt idx="5">
                  <c:v>0.56726275147327776</c:v>
                </c:pt>
              </c:numCache>
            </c:numRef>
          </c:yVal>
          <c:smooth val="1"/>
        </c:ser>
        <c:ser>
          <c:idx val="1"/>
          <c:order val="1"/>
          <c:tx>
            <c:v>%Treated_5 in/hr</c:v>
          </c:tx>
          <c:xVal>
            <c:numRef>
              <c:f>'Southeast-MF'!$A$30:$A$35</c:f>
              <c:numCache>
                <c:formatCode>0</c:formatCode>
                <c:ptCount val="6"/>
                <c:pt idx="0">
                  <c:v>100</c:v>
                </c:pt>
                <c:pt idx="1">
                  <c:v>200</c:v>
                </c:pt>
                <c:pt idx="2">
                  <c:v>400</c:v>
                </c:pt>
                <c:pt idx="3">
                  <c:v>600</c:v>
                </c:pt>
                <c:pt idx="4">
                  <c:v>800</c:v>
                </c:pt>
                <c:pt idx="5">
                  <c:v>1000</c:v>
                </c:pt>
              </c:numCache>
            </c:numRef>
          </c:xVal>
          <c:yVal>
            <c:numRef>
              <c:f>'Southeast-MF'!$C$30:$C$35</c:f>
              <c:numCache>
                <c:formatCode>0.0%</c:formatCode>
                <c:ptCount val="6"/>
                <c:pt idx="0">
                  <c:v>0.19874686716791981</c:v>
                </c:pt>
                <c:pt idx="1">
                  <c:v>0.33753302174354805</c:v>
                </c:pt>
                <c:pt idx="2">
                  <c:v>0.53352299668089143</c:v>
                </c:pt>
                <c:pt idx="3">
                  <c:v>0.65921560658402767</c:v>
                </c:pt>
                <c:pt idx="4">
                  <c:v>0.74381900697690173</c:v>
                </c:pt>
                <c:pt idx="5">
                  <c:v>0.80478222583485737</c:v>
                </c:pt>
              </c:numCache>
            </c:numRef>
          </c:yVal>
          <c:smooth val="1"/>
        </c:ser>
        <c:ser>
          <c:idx val="0"/>
          <c:order val="2"/>
          <c:tx>
            <c:v>%Treated_50 in/hr</c:v>
          </c:tx>
          <c:xVal>
            <c:numRef>
              <c:f>'Southeast-MF'!$A$30:$A$35</c:f>
              <c:numCache>
                <c:formatCode>0</c:formatCode>
                <c:ptCount val="6"/>
                <c:pt idx="0">
                  <c:v>100</c:v>
                </c:pt>
                <c:pt idx="1">
                  <c:v>200</c:v>
                </c:pt>
                <c:pt idx="2">
                  <c:v>400</c:v>
                </c:pt>
                <c:pt idx="3">
                  <c:v>600</c:v>
                </c:pt>
                <c:pt idx="4">
                  <c:v>800</c:v>
                </c:pt>
                <c:pt idx="5">
                  <c:v>1000</c:v>
                </c:pt>
              </c:numCache>
            </c:numRef>
          </c:xVal>
          <c:yVal>
            <c:numRef>
              <c:f>'Southeast-MF'!$D$30:$D$35</c:f>
              <c:numCache>
                <c:formatCode>0.0%</c:formatCode>
                <c:ptCount val="6"/>
                <c:pt idx="0">
                  <c:v>0.61697486960644854</c:v>
                </c:pt>
                <c:pt idx="1">
                  <c:v>0.77423287949603736</c:v>
                </c:pt>
                <c:pt idx="2">
                  <c:v>0.89290794553952446</c:v>
                </c:pt>
                <c:pt idx="3">
                  <c:v>0.94255910045383728</c:v>
                </c:pt>
                <c:pt idx="4">
                  <c:v>0.96816365237417867</c:v>
                </c:pt>
                <c:pt idx="5">
                  <c:v>0.98225292962135069</c:v>
                </c:pt>
              </c:numCache>
            </c:numRef>
          </c:yVal>
          <c:smooth val="1"/>
        </c:ser>
        <c:axId val="83212160"/>
        <c:axId val="83226624"/>
      </c:scatterChart>
      <c:scatterChart>
        <c:scatterStyle val="smoothMarker"/>
        <c:ser>
          <c:idx val="5"/>
          <c:order val="3"/>
          <c:tx>
            <c:v>Contact Time_1 in/hr</c:v>
          </c:tx>
          <c:spPr>
            <a:ln>
              <a:solidFill>
                <a:schemeClr val="accent3">
                  <a:lumMod val="75000"/>
                </a:schemeClr>
              </a:solidFill>
            </a:ln>
          </c:spPr>
          <c:marker>
            <c:symbol val="none"/>
          </c:marker>
          <c:xVal>
            <c:numRef>
              <c:f>'Southeast-MF'!$A$30:$A$35</c:f>
              <c:numCache>
                <c:formatCode>0</c:formatCode>
                <c:ptCount val="6"/>
                <c:pt idx="0">
                  <c:v>100</c:v>
                </c:pt>
                <c:pt idx="1">
                  <c:v>200</c:v>
                </c:pt>
                <c:pt idx="2">
                  <c:v>400</c:v>
                </c:pt>
                <c:pt idx="3">
                  <c:v>600</c:v>
                </c:pt>
                <c:pt idx="4">
                  <c:v>800</c:v>
                </c:pt>
                <c:pt idx="5">
                  <c:v>1000</c:v>
                </c:pt>
              </c:numCache>
            </c:numRef>
          </c:xVal>
          <c:yVal>
            <c:numRef>
              <c:f>'Southeast-MF'!$E$30:$E$35</c:f>
              <c:numCache>
                <c:formatCode>0.0</c:formatCode>
                <c:ptCount val="6"/>
                <c:pt idx="0">
                  <c:v>7.6943707983239475</c:v>
                </c:pt>
                <c:pt idx="1">
                  <c:v>8.4795449149380495</c:v>
                </c:pt>
                <c:pt idx="2">
                  <c:v>9.6115690337215032</c:v>
                </c:pt>
                <c:pt idx="3">
                  <c:v>10.415736690176473</c:v>
                </c:pt>
                <c:pt idx="4">
                  <c:v>11.157334353432475</c:v>
                </c:pt>
                <c:pt idx="5">
                  <c:v>11.808845162422228</c:v>
                </c:pt>
              </c:numCache>
            </c:numRef>
          </c:yVal>
          <c:smooth val="1"/>
        </c:ser>
        <c:ser>
          <c:idx val="4"/>
          <c:order val="4"/>
          <c:tx>
            <c:v>Contact Time_5 in/hr</c:v>
          </c:tx>
          <c:spPr>
            <a:ln>
              <a:solidFill>
                <a:srgbClr val="8A0000"/>
              </a:solidFill>
            </a:ln>
          </c:spPr>
          <c:marker>
            <c:symbol val="none"/>
          </c:marker>
          <c:xVal>
            <c:numRef>
              <c:f>'Southeast-MF'!$A$30:$A$35</c:f>
              <c:numCache>
                <c:formatCode>0</c:formatCode>
                <c:ptCount val="6"/>
                <c:pt idx="0">
                  <c:v>100</c:v>
                </c:pt>
                <c:pt idx="1">
                  <c:v>200</c:v>
                </c:pt>
                <c:pt idx="2">
                  <c:v>400</c:v>
                </c:pt>
                <c:pt idx="3">
                  <c:v>600</c:v>
                </c:pt>
                <c:pt idx="4">
                  <c:v>800</c:v>
                </c:pt>
                <c:pt idx="5">
                  <c:v>1000</c:v>
                </c:pt>
              </c:numCache>
            </c:numRef>
          </c:xVal>
          <c:yVal>
            <c:numRef>
              <c:f>'Southeast-MF'!$F$30:$F$35</c:f>
              <c:numCache>
                <c:formatCode>0.0</c:formatCode>
                <c:ptCount val="6"/>
                <c:pt idx="0">
                  <c:v>2.0147386768808162</c:v>
                </c:pt>
                <c:pt idx="1">
                  <c:v>2.3613388116393761</c:v>
                </c:pt>
                <c:pt idx="2">
                  <c:v>2.8963200185364482</c:v>
                </c:pt>
                <c:pt idx="3">
                  <c:v>3.4038414782397282</c:v>
                </c:pt>
                <c:pt idx="4">
                  <c:v>3.8943409662416273</c:v>
                </c:pt>
                <c:pt idx="5">
                  <c:v>4.3823404202038416</c:v>
                </c:pt>
              </c:numCache>
            </c:numRef>
          </c:yVal>
          <c:smooth val="1"/>
        </c:ser>
        <c:ser>
          <c:idx val="3"/>
          <c:order val="5"/>
          <c:tx>
            <c:v>Contact Time_50 in/hr</c:v>
          </c:tx>
          <c:spPr>
            <a:ln>
              <a:solidFill>
                <a:schemeClr val="accent1">
                  <a:lumMod val="75000"/>
                </a:schemeClr>
              </a:solidFill>
            </a:ln>
          </c:spPr>
          <c:marker>
            <c:symbol val="none"/>
          </c:marker>
          <c:xVal>
            <c:numRef>
              <c:f>'Southeast-MF'!$A$30:$A$35</c:f>
              <c:numCache>
                <c:formatCode>0</c:formatCode>
                <c:ptCount val="6"/>
                <c:pt idx="0">
                  <c:v>100</c:v>
                </c:pt>
                <c:pt idx="1">
                  <c:v>200</c:v>
                </c:pt>
                <c:pt idx="2">
                  <c:v>400</c:v>
                </c:pt>
                <c:pt idx="3">
                  <c:v>600</c:v>
                </c:pt>
                <c:pt idx="4">
                  <c:v>800</c:v>
                </c:pt>
                <c:pt idx="5">
                  <c:v>1000</c:v>
                </c:pt>
              </c:numCache>
            </c:numRef>
          </c:xVal>
          <c:yVal>
            <c:numRef>
              <c:f>'Southeast-MF'!$G$30:$G$35</c:f>
              <c:numCache>
                <c:formatCode>0.0</c:formatCode>
                <c:ptCount val="6"/>
                <c:pt idx="0">
                  <c:v>0.53994347563157963</c:v>
                </c:pt>
                <c:pt idx="1">
                  <c:v>0.82090829985200198</c:v>
                </c:pt>
                <c:pt idx="2">
                  <c:v>1.3504024199211364</c:v>
                </c:pt>
                <c:pt idx="3">
                  <c:v>1.8720281553034559</c:v>
                </c:pt>
                <c:pt idx="4">
                  <c:v>2.3972192256981901</c:v>
                </c:pt>
                <c:pt idx="5">
                  <c:v>2.9291742406743464</c:v>
                </c:pt>
              </c:numCache>
            </c:numRef>
          </c:yVal>
          <c:smooth val="1"/>
        </c:ser>
        <c:axId val="83308544"/>
        <c:axId val="83228544"/>
      </c:scatterChart>
      <c:valAx>
        <c:axId val="83212160"/>
        <c:scaling>
          <c:orientation val="minMax"/>
          <c:min val="0"/>
        </c:scaling>
        <c:axPos val="b"/>
        <c:title>
          <c:tx>
            <c:rich>
              <a:bodyPr/>
              <a:lstStyle/>
              <a:p>
                <a:pPr>
                  <a:defRPr/>
                </a:pPr>
                <a:r>
                  <a:rPr lang="en-US"/>
                  <a:t>Filter Area (SF)</a:t>
                </a:r>
              </a:p>
            </c:rich>
          </c:tx>
        </c:title>
        <c:numFmt formatCode="0" sourceLinked="1"/>
        <c:tickLblPos val="nextTo"/>
        <c:crossAx val="83226624"/>
        <c:crosses val="autoZero"/>
        <c:crossBetween val="midCat"/>
      </c:valAx>
      <c:valAx>
        <c:axId val="83226624"/>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3212160"/>
        <c:crosses val="autoZero"/>
        <c:crossBetween val="midCat"/>
      </c:valAx>
      <c:valAx>
        <c:axId val="83228544"/>
        <c:scaling>
          <c:orientation val="minMax"/>
          <c:max val="20"/>
        </c:scaling>
        <c:axPos val="r"/>
        <c:title>
          <c:tx>
            <c:rich>
              <a:bodyPr rot="-5400000" vert="horz"/>
              <a:lstStyle/>
              <a:p>
                <a:pPr>
                  <a:defRPr/>
                </a:pPr>
                <a:r>
                  <a:rPr lang="en-US"/>
                  <a:t>Contact Time (hrs)</a:t>
                </a:r>
              </a:p>
            </c:rich>
          </c:tx>
        </c:title>
        <c:numFmt formatCode="0.0" sourceLinked="1"/>
        <c:tickLblPos val="nextTo"/>
        <c:crossAx val="83308544"/>
        <c:crosses val="max"/>
        <c:crossBetween val="midCat"/>
      </c:valAx>
      <c:valAx>
        <c:axId val="83308544"/>
        <c:scaling>
          <c:orientation val="minMax"/>
        </c:scaling>
        <c:delete val="1"/>
        <c:axPos val="b"/>
        <c:numFmt formatCode="0" sourceLinked="1"/>
        <c:tickLblPos val="none"/>
        <c:crossAx val="83228544"/>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452672"/>
        <c:axId val="83454592"/>
      </c:scatterChart>
      <c:valAx>
        <c:axId val="8345267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454592"/>
        <c:crosses val="autoZero"/>
        <c:crossBetween val="midCat"/>
        <c:majorUnit val="0.2"/>
      </c:valAx>
      <c:valAx>
        <c:axId val="8345459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45267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44" l="0.70000000000000062" r="0.70000000000000062" t="0.750000000000007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75E-2"/>
        </c:manualLayout>
      </c:layout>
      <c:overlay val="1"/>
      <c:spPr>
        <a:noFill/>
        <a:ln w="25400">
          <a:noFill/>
        </a:ln>
      </c:spPr>
    </c:title>
    <c:plotArea>
      <c:layout/>
      <c:scatterChart>
        <c:scatterStyle val="smoothMarker"/>
        <c:ser>
          <c:idx val="0"/>
          <c:order val="0"/>
          <c:tx>
            <c:strRef>
              <c:f>'Northeast-MF'!$AI$3</c:f>
              <c:strCache>
                <c:ptCount val="1"/>
                <c:pt idx="0">
                  <c:v>Runoff Treated</c:v>
                </c:pt>
              </c:strCache>
            </c:strRef>
          </c:tx>
          <c:xVal>
            <c:numRef>
              <c:f>'Northeast-MF'!$AH$10:$AH$12</c:f>
              <c:numCache>
                <c:formatCode>General</c:formatCode>
                <c:ptCount val="3"/>
              </c:numCache>
            </c:numRef>
          </c:xVal>
          <c:yVal>
            <c:numRef>
              <c:f>'Northeast-MF'!$AI$4:$AI$12</c:f>
              <c:numCache>
                <c:formatCode>0.0%</c:formatCode>
                <c:ptCount val="9"/>
                <c:pt idx="0">
                  <c:v>0.8136276798981108</c:v>
                </c:pt>
                <c:pt idx="1">
                  <c:v>0.91375807380901841</c:v>
                </c:pt>
                <c:pt idx="2">
                  <c:v>0.96932205274383154</c:v>
                </c:pt>
                <c:pt idx="3">
                  <c:v>0.98684942030303946</c:v>
                </c:pt>
                <c:pt idx="4">
                  <c:v>0.99408678776116688</c:v>
                </c:pt>
                <c:pt idx="5">
                  <c:v>0.9972607170654294</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4870784"/>
        <c:axId val="74872704"/>
      </c:scatterChart>
      <c:valAx>
        <c:axId val="7487078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872704"/>
        <c:crosses val="autoZero"/>
        <c:crossBetween val="midCat"/>
        <c:majorUnit val="0.2"/>
      </c:valAx>
      <c:valAx>
        <c:axId val="7487270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487078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 l="0.70000000000000062" r="0.70000000000000062" t="0.75000000000000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480960"/>
        <c:axId val="83482496"/>
      </c:scatterChart>
      <c:valAx>
        <c:axId val="8348096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482496"/>
        <c:crosses val="autoZero"/>
        <c:crossBetween val="midCat"/>
        <c:majorUnit val="0.2"/>
      </c:valAx>
      <c:valAx>
        <c:axId val="8348249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348096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66" l="0.70000000000000062" r="0.70000000000000062" t="0.75000000000000766"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405440"/>
        <c:axId val="83411712"/>
      </c:scatterChart>
      <c:valAx>
        <c:axId val="8340544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411712"/>
        <c:crosses val="autoZero"/>
        <c:crossBetween val="midCat"/>
        <c:majorUnit val="0.2"/>
      </c:valAx>
      <c:valAx>
        <c:axId val="8341171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40544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515648"/>
        <c:axId val="83529728"/>
      </c:scatterChart>
      <c:valAx>
        <c:axId val="8351564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529728"/>
        <c:crosses val="autoZero"/>
        <c:crossBetween val="midCat"/>
        <c:majorUnit val="0.2"/>
      </c:valAx>
      <c:valAx>
        <c:axId val="8352972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351564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559168"/>
        <c:axId val="83561088"/>
      </c:scatterChart>
      <c:valAx>
        <c:axId val="8355916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561088"/>
        <c:crosses val="autoZero"/>
        <c:crossBetween val="midCat"/>
        <c:majorUnit val="0.2"/>
      </c:valAx>
      <c:valAx>
        <c:axId val="8356108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35591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3603840"/>
        <c:axId val="83605376"/>
      </c:scatterChart>
      <c:valAx>
        <c:axId val="8360384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605376"/>
        <c:crosses val="autoZero"/>
        <c:crossBetween val="midCat"/>
        <c:majorUnit val="0.2"/>
      </c:valAx>
      <c:valAx>
        <c:axId val="836053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360384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'East Gulf-DT'!$B$10</c:f>
              <c:strCache>
                <c:ptCount val="1"/>
                <c:pt idx="0">
                  <c:v>Runoff</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Gulf-DT'!$B$11:$B$19</c:f>
              <c:numCache>
                <c:formatCode>0.0%</c:formatCode>
                <c:ptCount val="9"/>
                <c:pt idx="0">
                  <c:v>0.35895063379151737</c:v>
                </c:pt>
                <c:pt idx="1">
                  <c:v>0.55816441140289885</c:v>
                </c:pt>
                <c:pt idx="2">
                  <c:v>0.75028079371022094</c:v>
                </c:pt>
                <c:pt idx="3">
                  <c:v>0.85521741455848532</c:v>
                </c:pt>
                <c:pt idx="4">
                  <c:v>0.91394341338182594</c:v>
                </c:pt>
                <c:pt idx="5">
                  <c:v>0.94565973150772853</c:v>
                </c:pt>
                <c:pt idx="6">
                  <c:v>0.96486067283521415</c:v>
                </c:pt>
                <c:pt idx="7">
                  <c:v>0.9874311386853506</c:v>
                </c:pt>
                <c:pt idx="8">
                  <c:v>0.99812804193186078</c:v>
                </c:pt>
              </c:numCache>
            </c:numRef>
          </c:yVal>
          <c:smooth val="1"/>
        </c:ser>
        <c:ser>
          <c:idx val="1"/>
          <c:order val="1"/>
          <c:tx>
            <c:strRef>
              <c:f>'East Gulf-DT'!$C$10</c:f>
              <c:strCache>
                <c:ptCount val="1"/>
                <c:pt idx="0">
                  <c:v>TSS</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Gulf-DT'!$C$11:$C$19</c:f>
              <c:numCache>
                <c:formatCode>0.0%</c:formatCode>
                <c:ptCount val="9"/>
                <c:pt idx="0">
                  <c:v>0.2587584939604215</c:v>
                </c:pt>
                <c:pt idx="1">
                  <c:v>0.4062200976612696</c:v>
                </c:pt>
                <c:pt idx="2">
                  <c:v>0.55205893514949023</c:v>
                </c:pt>
                <c:pt idx="3">
                  <c:v>0.63538876467060745</c:v>
                </c:pt>
                <c:pt idx="4">
                  <c:v>0.68434739998286642</c:v>
                </c:pt>
                <c:pt idx="5">
                  <c:v>0.71333273365887084</c:v>
                </c:pt>
                <c:pt idx="6">
                  <c:v>0.73288221536879972</c:v>
                </c:pt>
                <c:pt idx="7">
                  <c:v>0.75848132442388416</c:v>
                </c:pt>
                <c:pt idx="8">
                  <c:v>0.774283988691853</c:v>
                </c:pt>
              </c:numCache>
            </c:numRef>
          </c:yVal>
          <c:smooth val="1"/>
        </c:ser>
        <c:axId val="83679872"/>
        <c:axId val="83686144"/>
      </c:scatterChart>
      <c:valAx>
        <c:axId val="8367987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3686144"/>
        <c:crosses val="autoZero"/>
        <c:crossBetween val="midCat"/>
        <c:majorUnit val="0.2"/>
      </c:valAx>
      <c:valAx>
        <c:axId val="83686144"/>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367987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'East Gulf-DT'!$D$10</c:f>
              <c:strCache>
                <c:ptCount val="1"/>
                <c:pt idx="0">
                  <c:v>Clay</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Gulf-DT'!$D$11:$D$19</c:f>
              <c:numCache>
                <c:formatCode>0.0%</c:formatCode>
                <c:ptCount val="9"/>
                <c:pt idx="0">
                  <c:v>8.7449670179045658E-4</c:v>
                </c:pt>
                <c:pt idx="1">
                  <c:v>1.6425940203889317E-3</c:v>
                </c:pt>
                <c:pt idx="2">
                  <c:v>3.0479739569947745E-3</c:v>
                </c:pt>
                <c:pt idx="3">
                  <c:v>4.3888460549987149E-3</c:v>
                </c:pt>
                <c:pt idx="4">
                  <c:v>5.6595562408977979E-3</c:v>
                </c:pt>
                <c:pt idx="5">
                  <c:v>6.9313801079414032E-3</c:v>
                </c:pt>
                <c:pt idx="6">
                  <c:v>8.145463891030583E-3</c:v>
                </c:pt>
                <c:pt idx="7">
                  <c:v>1.0455752591450354E-2</c:v>
                </c:pt>
                <c:pt idx="8">
                  <c:v>1.2802193095176904E-2</c:v>
                </c:pt>
              </c:numCache>
            </c:numRef>
          </c:yVal>
          <c:smooth val="1"/>
        </c:ser>
        <c:ser>
          <c:idx val="1"/>
          <c:order val="1"/>
          <c:tx>
            <c:strRef>
              <c:f>'East Gulf-DT'!$H$10</c:f>
              <c:strCache>
                <c:ptCount val="1"/>
                <c:pt idx="0">
                  <c:v>Silt</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Gulf-DT'!$H$11:$H$19</c:f>
              <c:numCache>
                <c:formatCode>0.0%</c:formatCode>
                <c:ptCount val="9"/>
                <c:pt idx="0">
                  <c:v>0.17761358119877782</c:v>
                </c:pt>
                <c:pt idx="1">
                  <c:v>0.28475941631685658</c:v>
                </c:pt>
                <c:pt idx="2">
                  <c:v>0.39591935806276596</c:v>
                </c:pt>
                <c:pt idx="3">
                  <c:v>0.46498215254576092</c:v>
                </c:pt>
                <c:pt idx="4">
                  <c:v>0.50888260658499684</c:v>
                </c:pt>
                <c:pt idx="5">
                  <c:v>0.53802935549273256</c:v>
                </c:pt>
                <c:pt idx="6">
                  <c:v>0.56030155058682429</c:v>
                </c:pt>
                <c:pt idx="7">
                  <c:v>0.592278477397984</c:v>
                </c:pt>
                <c:pt idx="8">
                  <c:v>0.61533167708957992</c:v>
                </c:pt>
              </c:numCache>
            </c:numRef>
          </c:yVal>
          <c:smooth val="1"/>
        </c:ser>
        <c:ser>
          <c:idx val="2"/>
          <c:order val="2"/>
          <c:tx>
            <c:strRef>
              <c:f>'East Gulf-DT'!$I$10</c:f>
              <c:strCache>
                <c:ptCount val="1"/>
                <c:pt idx="0">
                  <c:v>Sand</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Gulf-DT'!$I$11:$I$19</c:f>
              <c:numCache>
                <c:formatCode>0.0%</c:formatCode>
                <c:ptCount val="9"/>
                <c:pt idx="0">
                  <c:v>0.35757731517176389</c:v>
                </c:pt>
                <c:pt idx="1">
                  <c:v>0.55599246123532942</c:v>
                </c:pt>
                <c:pt idx="2">
                  <c:v>0.74748565064679173</c:v>
                </c:pt>
                <c:pt idx="3">
                  <c:v>0.85185470744453018</c:v>
                </c:pt>
                <c:pt idx="4">
                  <c:v>0.91013449841514604</c:v>
                </c:pt>
                <c:pt idx="5">
                  <c:v>0.94174590936348834</c:v>
                </c:pt>
                <c:pt idx="6">
                  <c:v>0.96067848882035467</c:v>
                </c:pt>
                <c:pt idx="7">
                  <c:v>0.98286644393043776</c:v>
                </c:pt>
                <c:pt idx="8">
                  <c:v>0.99348924869356636</c:v>
                </c:pt>
              </c:numCache>
            </c:numRef>
          </c:yVal>
          <c:smooth val="1"/>
        </c:ser>
        <c:axId val="83903616"/>
        <c:axId val="83905536"/>
      </c:scatterChart>
      <c:valAx>
        <c:axId val="839036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3905536"/>
        <c:crosses val="autoZero"/>
        <c:crossBetween val="midCat"/>
        <c:majorUnit val="0.2"/>
      </c:valAx>
      <c:valAx>
        <c:axId val="83905536"/>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3903616"/>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'East Gulf-DT'!$CD$17</c:f>
              <c:strCache>
                <c:ptCount val="1"/>
                <c:pt idx="0">
                  <c:v>Runoff, 3hr DT</c:v>
                </c:pt>
              </c:strCache>
            </c:strRef>
          </c:tx>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'East Gulf-DT'!$CE$17</c:f>
              <c:strCache>
                <c:ptCount val="1"/>
                <c:pt idx="0">
                  <c:v>Runoff, 6hr DT</c:v>
                </c:pt>
              </c:strCache>
            </c:strRef>
          </c:tx>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'East Gulf-DT'!$CF$17</c:f>
              <c:strCache>
                <c:ptCount val="1"/>
                <c:pt idx="0">
                  <c:v>Runoff, 12hr DT</c:v>
                </c:pt>
              </c:strCache>
            </c:strRef>
          </c:tx>
          <c:spPr>
            <a:ln w="31750"/>
          </c:spPr>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'East Gulf-DT'!$CG$17</c:f>
              <c:strCache>
                <c:ptCount val="1"/>
                <c:pt idx="0">
                  <c:v>TSS, 3hr DT</c:v>
                </c:pt>
              </c:strCache>
            </c:strRef>
          </c:tx>
          <c:spPr>
            <a:ln w="31750">
              <a:solidFill>
                <a:schemeClr val="accent1"/>
              </a:solidFill>
              <a:prstDash val="sysDash"/>
            </a:ln>
          </c:spPr>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Gulf-DT'!$CG$18:$CG$26</c:f>
              <c:numCache>
                <c:formatCode>0.0%</c:formatCode>
                <c:ptCount val="9"/>
                <c:pt idx="0">
                  <c:v>0.2587584939604215</c:v>
                </c:pt>
                <c:pt idx="1">
                  <c:v>0.4062200976612696</c:v>
                </c:pt>
                <c:pt idx="2">
                  <c:v>0.55205893514949023</c:v>
                </c:pt>
                <c:pt idx="3">
                  <c:v>0.63538876467060745</c:v>
                </c:pt>
                <c:pt idx="4">
                  <c:v>0.68434739998286642</c:v>
                </c:pt>
                <c:pt idx="5">
                  <c:v>0.71333273365887084</c:v>
                </c:pt>
                <c:pt idx="6">
                  <c:v>0.73288221536879972</c:v>
                </c:pt>
                <c:pt idx="7">
                  <c:v>0.75848132442388416</c:v>
                </c:pt>
                <c:pt idx="8">
                  <c:v>0.774283988691853</c:v>
                </c:pt>
              </c:numCache>
            </c:numRef>
          </c:yVal>
          <c:smooth val="1"/>
        </c:ser>
        <c:ser>
          <c:idx val="4"/>
          <c:order val="4"/>
          <c:tx>
            <c:strRef>
              <c:f>'East Gulf-DT'!$CH$17</c:f>
              <c:strCache>
                <c:ptCount val="1"/>
                <c:pt idx="0">
                  <c:v>TSS, 6hr DT</c:v>
                </c:pt>
              </c:strCache>
            </c:strRef>
          </c:tx>
          <c:spPr>
            <a:ln w="31750">
              <a:solidFill>
                <a:schemeClr val="accent2"/>
              </a:solidFill>
              <a:prstDash val="sysDash"/>
            </a:ln>
          </c:spPr>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Gulf-DT'!$CH$18:$CH$26</c:f>
              <c:numCache>
                <c:formatCode>0.0%</c:formatCode>
                <c:ptCount val="9"/>
                <c:pt idx="0">
                  <c:v>0.2214200933778806</c:v>
                </c:pt>
                <c:pt idx="1">
                  <c:v>0.36483346611839285</c:v>
                </c:pt>
                <c:pt idx="2">
                  <c:v>0.52330520860104524</c:v>
                </c:pt>
                <c:pt idx="3">
                  <c:v>0.61765544847083009</c:v>
                </c:pt>
                <c:pt idx="4">
                  <c:v>0.67772807333162</c:v>
                </c:pt>
                <c:pt idx="5">
                  <c:v>0.7129893343613467</c:v>
                </c:pt>
                <c:pt idx="6">
                  <c:v>0.73782331020303271</c:v>
                </c:pt>
                <c:pt idx="7">
                  <c:v>0.7692190953482394</c:v>
                </c:pt>
                <c:pt idx="8">
                  <c:v>0.78910331534309952</c:v>
                </c:pt>
              </c:numCache>
            </c:numRef>
          </c:yVal>
          <c:smooth val="1"/>
        </c:ser>
        <c:ser>
          <c:idx val="5"/>
          <c:order val="5"/>
          <c:tx>
            <c:strRef>
              <c:f>'East Gulf-DT'!$CI$17</c:f>
              <c:strCache>
                <c:ptCount val="1"/>
                <c:pt idx="0">
                  <c:v>TSS, 12hr DT</c:v>
                </c:pt>
              </c:strCache>
            </c:strRef>
          </c:tx>
          <c:spPr>
            <a:ln w="31750">
              <a:solidFill>
                <a:schemeClr val="accent3"/>
              </a:solidFill>
              <a:prstDash val="sysDash"/>
            </a:ln>
          </c:spPr>
          <c:marker>
            <c:symbol val="none"/>
          </c:marker>
          <c:xVal>
            <c:numRef>
              <c:f>'East Gulf-DT'!$CC$18:$CC$26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Gulf-DT'!$CI$18:$CI$26</c:f>
              <c:numCache>
                <c:formatCode>0.0%</c:formatCode>
                <c:ptCount val="9"/>
                <c:pt idx="0">
                  <c:v>0.18623878180416342</c:v>
                </c:pt>
                <c:pt idx="1">
                  <c:v>0.32526581855564118</c:v>
                </c:pt>
                <c:pt idx="2">
                  <c:v>0.48621748479396898</c:v>
                </c:pt>
                <c:pt idx="3">
                  <c:v>0.59347584168594192</c:v>
                </c:pt>
                <c:pt idx="4">
                  <c:v>0.66152647134412745</c:v>
                </c:pt>
                <c:pt idx="5">
                  <c:v>0.70536888546217769</c:v>
                </c:pt>
                <c:pt idx="6">
                  <c:v>0.73759967446243468</c:v>
                </c:pt>
                <c:pt idx="7">
                  <c:v>0.77604047802621434</c:v>
                </c:pt>
                <c:pt idx="8">
                  <c:v>0.79908318341471773</c:v>
                </c:pt>
              </c:numCache>
            </c:numRef>
          </c:yVal>
          <c:smooth val="1"/>
        </c:ser>
        <c:axId val="83964288"/>
        <c:axId val="83966208"/>
      </c:scatterChart>
      <c:valAx>
        <c:axId val="83964288"/>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3966208"/>
        <c:crosses val="autoZero"/>
        <c:crossBetween val="midCat"/>
        <c:majorUnit val="0.2"/>
      </c:valAx>
      <c:valAx>
        <c:axId val="83966208"/>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3964288"/>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'East Gulf-DT'!$B$10</c:f>
              <c:strCache>
                <c:ptCount val="1"/>
                <c:pt idx="0">
                  <c:v>Runoff</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Gulf-DT'!$M$11:$M$19</c:f>
              <c:numCache>
                <c:formatCode>0.0%</c:formatCode>
                <c:ptCount val="9"/>
                <c:pt idx="0">
                  <c:v>0.29089158688559663</c:v>
                </c:pt>
                <c:pt idx="1">
                  <c:v>0.47494785259667327</c:v>
                </c:pt>
                <c:pt idx="2">
                  <c:v>0.67818366582874257</c:v>
                </c:pt>
                <c:pt idx="3">
                  <c:v>0.79499384928063321</c:v>
                </c:pt>
                <c:pt idx="4">
                  <c:v>0.8653794726426699</c:v>
                </c:pt>
                <c:pt idx="5">
                  <c:v>0.90832753917740816</c:v>
                </c:pt>
                <c:pt idx="6">
                  <c:v>0.93517676632614855</c:v>
                </c:pt>
                <c:pt idx="7">
                  <c:v>0.96705353800074878</c:v>
                </c:pt>
                <c:pt idx="8">
                  <c:v>0.98395464513023478</c:v>
                </c:pt>
              </c:numCache>
            </c:numRef>
          </c:yVal>
          <c:smooth val="1"/>
        </c:ser>
        <c:ser>
          <c:idx val="1"/>
          <c:order val="1"/>
          <c:tx>
            <c:strRef>
              <c:f>'East Gulf-DT'!$C$10</c:f>
              <c:strCache>
                <c:ptCount val="1"/>
                <c:pt idx="0">
                  <c:v>TSS</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Gulf-DT'!$N$11:$N$19</c:f>
              <c:numCache>
                <c:formatCode>0.0%</c:formatCode>
                <c:ptCount val="9"/>
                <c:pt idx="0">
                  <c:v>0.2214200933778806</c:v>
                </c:pt>
                <c:pt idx="1">
                  <c:v>0.36483346611839285</c:v>
                </c:pt>
                <c:pt idx="2">
                  <c:v>0.52330520860104524</c:v>
                </c:pt>
                <c:pt idx="3">
                  <c:v>0.61765544847083009</c:v>
                </c:pt>
                <c:pt idx="4">
                  <c:v>0.67772807333162</c:v>
                </c:pt>
                <c:pt idx="5">
                  <c:v>0.7129893343613467</c:v>
                </c:pt>
                <c:pt idx="6">
                  <c:v>0.73782331020303271</c:v>
                </c:pt>
                <c:pt idx="7">
                  <c:v>0.7692190953482394</c:v>
                </c:pt>
                <c:pt idx="8">
                  <c:v>0.78910331534309952</c:v>
                </c:pt>
              </c:numCache>
            </c:numRef>
          </c:yVal>
          <c:smooth val="1"/>
        </c:ser>
        <c:axId val="84023168"/>
        <c:axId val="84033536"/>
      </c:scatterChart>
      <c:valAx>
        <c:axId val="84023168"/>
        <c:scaling>
          <c:orientation val="minMax"/>
          <c:max val="2"/>
          <c:min val="0"/>
        </c:scaling>
        <c:axPos val="b"/>
        <c:majorGridlines/>
        <c:title>
          <c:tx>
            <c:rich>
              <a:bodyPr/>
              <a:lstStyle/>
              <a:p>
                <a:pPr>
                  <a:defRPr/>
                </a:pPr>
                <a:r>
                  <a:rPr lang="en-US"/>
                  <a:t>Unit Basin Size (in)</a:t>
                </a:r>
              </a:p>
            </c:rich>
          </c:tx>
        </c:title>
        <c:numFmt formatCode="0.0" sourceLinked="0"/>
        <c:tickLblPos val="nextTo"/>
        <c:crossAx val="84033536"/>
        <c:crosses val="autoZero"/>
        <c:crossBetween val="midCat"/>
        <c:majorUnit val="0.2"/>
      </c:valAx>
      <c:valAx>
        <c:axId val="84033536"/>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4023168"/>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'East Gulf-DT'!$D$10</c:f>
              <c:strCache>
                <c:ptCount val="1"/>
                <c:pt idx="0">
                  <c:v>Clay</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Gulf-DT'!$O$11:$O$19</c:f>
              <c:numCache>
                <c:formatCode>0.0%</c:formatCode>
                <c:ptCount val="9"/>
                <c:pt idx="0">
                  <c:v>1.1646534738284932E-3</c:v>
                </c:pt>
                <c:pt idx="1">
                  <c:v>2.5572689111625119E-3</c:v>
                </c:pt>
                <c:pt idx="2">
                  <c:v>4.1132528056198065E-3</c:v>
                </c:pt>
                <c:pt idx="3">
                  <c:v>6.0370941488906028E-3</c:v>
                </c:pt>
                <c:pt idx="4">
                  <c:v>7.872526342842457E-3</c:v>
                </c:pt>
                <c:pt idx="5">
                  <c:v>9.1313287072731942E-3</c:v>
                </c:pt>
                <c:pt idx="6">
                  <c:v>1.0813843913304207E-2</c:v>
                </c:pt>
                <c:pt idx="7">
                  <c:v>1.3611753619463719E-2</c:v>
                </c:pt>
                <c:pt idx="8">
                  <c:v>1.6744624346783175E-2</c:v>
                </c:pt>
              </c:numCache>
            </c:numRef>
          </c:yVal>
          <c:smooth val="1"/>
        </c:ser>
        <c:ser>
          <c:idx val="1"/>
          <c:order val="1"/>
          <c:tx>
            <c:strRef>
              <c:f>'East Gulf-DT'!$H$10</c:f>
              <c:strCache>
                <c:ptCount val="1"/>
                <c:pt idx="0">
                  <c:v>Silt</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Gulf-DT'!$S$11:$S$19</c:f>
              <c:numCache>
                <c:formatCode>0.0%</c:formatCode>
                <c:ptCount val="9"/>
                <c:pt idx="0">
                  <c:v>0.16949027670693056</c:v>
                </c:pt>
                <c:pt idx="1">
                  <c:v>0.2836571575430481</c:v>
                </c:pt>
                <c:pt idx="2">
                  <c:v>0.41023273080327832</c:v>
                </c:pt>
                <c:pt idx="3">
                  <c:v>0.49009937462520353</c:v>
                </c:pt>
                <c:pt idx="4">
                  <c:v>0.54523258802364438</c:v>
                </c:pt>
                <c:pt idx="5">
                  <c:v>0.57595305405636943</c:v>
                </c:pt>
                <c:pt idx="6">
                  <c:v>0.60115937062737379</c:v>
                </c:pt>
                <c:pt idx="7">
                  <c:v>0.63539792683971563</c:v>
                </c:pt>
                <c:pt idx="8">
                  <c:v>0.6603900739598505</c:v>
                </c:pt>
              </c:numCache>
            </c:numRef>
          </c:yVal>
          <c:smooth val="1"/>
        </c:ser>
        <c:ser>
          <c:idx val="2"/>
          <c:order val="2"/>
          <c:tx>
            <c:strRef>
              <c:f>'East Gulf-DT'!$I$10</c:f>
              <c:strCache>
                <c:ptCount val="1"/>
                <c:pt idx="0">
                  <c:v>Sand</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Gulf-DT'!$T$11:$T$19</c:f>
              <c:numCache>
                <c:formatCode>0.0%</c:formatCode>
                <c:ptCount val="9"/>
                <c:pt idx="0">
                  <c:v>0.29018247237214084</c:v>
                </c:pt>
                <c:pt idx="1">
                  <c:v>0.4741197635569262</c:v>
                </c:pt>
                <c:pt idx="2">
                  <c:v>0.67698963419857794</c:v>
                </c:pt>
                <c:pt idx="3">
                  <c:v>0.79361775036408799</c:v>
                </c:pt>
                <c:pt idx="4">
                  <c:v>0.86395956480767588</c:v>
                </c:pt>
                <c:pt idx="5">
                  <c:v>0.90670778720123357</c:v>
                </c:pt>
                <c:pt idx="6">
                  <c:v>0.93352180245009853</c:v>
                </c:pt>
                <c:pt idx="7">
                  <c:v>0.96521888117878862</c:v>
                </c:pt>
                <c:pt idx="8">
                  <c:v>0.98218110168765527</c:v>
                </c:pt>
              </c:numCache>
            </c:numRef>
          </c:yVal>
          <c:smooth val="1"/>
        </c:ser>
        <c:axId val="84067840"/>
        <c:axId val="84069760"/>
      </c:scatterChart>
      <c:valAx>
        <c:axId val="84067840"/>
        <c:scaling>
          <c:orientation val="minMax"/>
          <c:max val="2"/>
          <c:min val="0"/>
        </c:scaling>
        <c:axPos val="b"/>
        <c:majorGridlines/>
        <c:title>
          <c:tx>
            <c:rich>
              <a:bodyPr/>
              <a:lstStyle/>
              <a:p>
                <a:pPr>
                  <a:defRPr/>
                </a:pPr>
                <a:r>
                  <a:rPr lang="en-US"/>
                  <a:t>Unit Basin Size (in)</a:t>
                </a:r>
              </a:p>
            </c:rich>
          </c:tx>
        </c:title>
        <c:numFmt formatCode="0.0" sourceLinked="0"/>
        <c:tickLblPos val="nextTo"/>
        <c:crossAx val="84069760"/>
        <c:crosses val="autoZero"/>
        <c:crossBetween val="midCat"/>
        <c:majorUnit val="0.2"/>
      </c:valAx>
      <c:valAx>
        <c:axId val="8406976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4067840"/>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5058560"/>
        <c:axId val="75060352"/>
      </c:scatterChart>
      <c:valAx>
        <c:axId val="7505856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060352"/>
        <c:crosses val="autoZero"/>
        <c:crossBetween val="midCat"/>
        <c:majorUnit val="0.2"/>
      </c:valAx>
      <c:valAx>
        <c:axId val="7506035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505856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22" l="0.70000000000000062" r="0.70000000000000062" t="0.7500000000000052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'East Gulf-DT'!$B$10</c:f>
              <c:strCache>
                <c:ptCount val="1"/>
                <c:pt idx="0">
                  <c:v>Runoff</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Gulf-DT'!$X$11:$X$19</c:f>
              <c:numCache>
                <c:formatCode>0.0%</c:formatCode>
                <c:ptCount val="9"/>
                <c:pt idx="0">
                  <c:v>0.23396266780766967</c:v>
                </c:pt>
                <c:pt idx="1">
                  <c:v>0.40753596833716638</c:v>
                </c:pt>
                <c:pt idx="2">
                  <c:v>0.60555169278493881</c:v>
                </c:pt>
                <c:pt idx="3">
                  <c:v>0.7358399743274322</c:v>
                </c:pt>
                <c:pt idx="4">
                  <c:v>0.81713643900090926</c:v>
                </c:pt>
                <c:pt idx="5">
                  <c:v>0.86816066748676257</c:v>
                </c:pt>
                <c:pt idx="6">
                  <c:v>0.90463710755736215</c:v>
                </c:pt>
                <c:pt idx="7">
                  <c:v>0.94523185537786814</c:v>
                </c:pt>
                <c:pt idx="8">
                  <c:v>0.96860458897149271</c:v>
                </c:pt>
              </c:numCache>
            </c:numRef>
          </c:yVal>
          <c:smooth val="1"/>
        </c:ser>
        <c:ser>
          <c:idx val="1"/>
          <c:order val="1"/>
          <c:tx>
            <c:strRef>
              <c:f>'East Gulf-DT'!$C$10</c:f>
              <c:strCache>
                <c:ptCount val="1"/>
                <c:pt idx="0">
                  <c:v>TSS</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Gulf-DT'!$Y$11:$Y$19</c:f>
              <c:numCache>
                <c:formatCode>0.0%</c:formatCode>
                <c:ptCount val="9"/>
                <c:pt idx="0">
                  <c:v>0.18623878180416342</c:v>
                </c:pt>
                <c:pt idx="1">
                  <c:v>0.32526581855564118</c:v>
                </c:pt>
                <c:pt idx="2">
                  <c:v>0.48621748479396898</c:v>
                </c:pt>
                <c:pt idx="3">
                  <c:v>0.59347584168594192</c:v>
                </c:pt>
                <c:pt idx="4">
                  <c:v>0.66152647134412745</c:v>
                </c:pt>
                <c:pt idx="5">
                  <c:v>0.70536888546217769</c:v>
                </c:pt>
                <c:pt idx="6">
                  <c:v>0.73759967446243468</c:v>
                </c:pt>
                <c:pt idx="7">
                  <c:v>0.77604047802621434</c:v>
                </c:pt>
                <c:pt idx="8">
                  <c:v>0.79908318341471773</c:v>
                </c:pt>
              </c:numCache>
            </c:numRef>
          </c:yVal>
          <c:smooth val="1"/>
        </c:ser>
        <c:axId val="84103552"/>
        <c:axId val="84105472"/>
      </c:scatterChart>
      <c:valAx>
        <c:axId val="84103552"/>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4105472"/>
        <c:crosses val="autoZero"/>
        <c:crossBetween val="midCat"/>
        <c:majorUnit val="0.2"/>
      </c:valAx>
      <c:valAx>
        <c:axId val="84105472"/>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410355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'East Gulf-DT'!$D$10</c:f>
              <c:strCache>
                <c:ptCount val="1"/>
                <c:pt idx="0">
                  <c:v>Clay</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Gulf-DT'!$Z$11:$Z$19</c:f>
              <c:numCache>
                <c:formatCode>0.0%</c:formatCode>
                <c:ptCount val="9"/>
                <c:pt idx="0">
                  <c:v>1.9100488306347983E-3</c:v>
                </c:pt>
                <c:pt idx="1">
                  <c:v>3.6244324509551958E-3</c:v>
                </c:pt>
                <c:pt idx="2">
                  <c:v>6.453696564722008E-3</c:v>
                </c:pt>
                <c:pt idx="3">
                  <c:v>9.0439475713184267E-3</c:v>
                </c:pt>
                <c:pt idx="4">
                  <c:v>1.1382677974813673E-2</c:v>
                </c:pt>
                <c:pt idx="5">
                  <c:v>1.3545789428595906E-2</c:v>
                </c:pt>
                <c:pt idx="6">
                  <c:v>1.5636083269082498E-2</c:v>
                </c:pt>
                <c:pt idx="7">
                  <c:v>2.0004283389017389E-2</c:v>
                </c:pt>
                <c:pt idx="8">
                  <c:v>2.2887004197721238E-2</c:v>
                </c:pt>
              </c:numCache>
            </c:numRef>
          </c:yVal>
          <c:smooth val="1"/>
        </c:ser>
        <c:ser>
          <c:idx val="1"/>
          <c:order val="1"/>
          <c:tx>
            <c:strRef>
              <c:f>'East Gulf-DT'!$H$10</c:f>
              <c:strCache>
                <c:ptCount val="1"/>
                <c:pt idx="0">
                  <c:v>Silt</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Gulf-DT'!$AD$11:$AD$19</c:f>
              <c:numCache>
                <c:formatCode>0.0%</c:formatCode>
                <c:ptCount val="9"/>
                <c:pt idx="0">
                  <c:v>0.15416402524343928</c:v>
                </c:pt>
                <c:pt idx="1">
                  <c:v>0.27018904023530088</c:v>
                </c:pt>
                <c:pt idx="2">
                  <c:v>0.40760729889488562</c:v>
                </c:pt>
                <c:pt idx="3">
                  <c:v>0.50095947913989558</c:v>
                </c:pt>
                <c:pt idx="4">
                  <c:v>0.56165795710899802</c:v>
                </c:pt>
                <c:pt idx="5">
                  <c:v>0.60221879551100832</c:v>
                </c:pt>
                <c:pt idx="6">
                  <c:v>0.63315628658728118</c:v>
                </c:pt>
                <c:pt idx="7">
                  <c:v>0.67307176104400468</c:v>
                </c:pt>
                <c:pt idx="8">
                  <c:v>0.69806676375681775</c:v>
                </c:pt>
              </c:numCache>
            </c:numRef>
          </c:yVal>
          <c:smooth val="1"/>
        </c:ser>
        <c:ser>
          <c:idx val="2"/>
          <c:order val="2"/>
          <c:tx>
            <c:strRef>
              <c:f>'East Gulf-DT'!$I$10</c:f>
              <c:strCache>
                <c:ptCount val="1"/>
                <c:pt idx="0">
                  <c:v>Sand</c:v>
                </c:pt>
              </c:strCache>
            </c:strRef>
          </c:tx>
          <c:xVal>
            <c:numRef>
              <c:f>'East Gulf-DT'!$A$11:$A$19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Gulf-DT'!$AE$11:$AE$19</c:f>
              <c:numCache>
                <c:formatCode>0.0%</c:formatCode>
                <c:ptCount val="9"/>
                <c:pt idx="0">
                  <c:v>0.23353893600616807</c:v>
                </c:pt>
                <c:pt idx="1">
                  <c:v>0.40699905765441613</c:v>
                </c:pt>
                <c:pt idx="2">
                  <c:v>0.60494303092606871</c:v>
                </c:pt>
                <c:pt idx="3">
                  <c:v>0.735183757388846</c:v>
                </c:pt>
                <c:pt idx="4">
                  <c:v>0.81642251349267547</c:v>
                </c:pt>
                <c:pt idx="5">
                  <c:v>0.86738627602158824</c:v>
                </c:pt>
                <c:pt idx="6">
                  <c:v>0.903795082669408</c:v>
                </c:pt>
                <c:pt idx="7">
                  <c:v>0.94431594277392272</c:v>
                </c:pt>
                <c:pt idx="8">
                  <c:v>0.96761757902852741</c:v>
                </c:pt>
              </c:numCache>
            </c:numRef>
          </c:yVal>
          <c:smooth val="1"/>
        </c:ser>
        <c:axId val="84148224"/>
        <c:axId val="84150144"/>
      </c:scatterChart>
      <c:valAx>
        <c:axId val="8414822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4150144"/>
        <c:crosses val="autoZero"/>
        <c:crossBetween val="midCat"/>
        <c:majorUnit val="0.2"/>
      </c:valAx>
      <c:valAx>
        <c:axId val="84150144"/>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414822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57E-2"/>
        </c:manualLayout>
      </c:layout>
      <c:overlay val="1"/>
      <c:spPr>
        <a:noFill/>
        <a:ln w="25400">
          <a:noFill/>
        </a:ln>
      </c:spPr>
    </c:title>
    <c:plotArea>
      <c:layout/>
      <c:scatterChart>
        <c:scatterStyle val="smoothMarker"/>
        <c:ser>
          <c:idx val="0"/>
          <c:order val="0"/>
          <c:tx>
            <c:strRef>
              <c:f>'East Gulf-MF'!$AI$3</c:f>
              <c:strCache>
                <c:ptCount val="1"/>
                <c:pt idx="0">
                  <c:v>Runoff Treated</c:v>
                </c:pt>
              </c:strCache>
            </c:strRef>
          </c:tx>
          <c:xVal>
            <c:numRef>
              <c:f>'East Gulf-MF'!$AH$10:$AH$12</c:f>
              <c:numCache>
                <c:formatCode>General</c:formatCode>
                <c:ptCount val="3"/>
              </c:numCache>
            </c:numRef>
          </c:xVal>
          <c:yVal>
            <c:numRef>
              <c:f>'East Gulf-MF'!$AI$4:$AI$12</c:f>
              <c:numCache>
                <c:formatCode>0.0%</c:formatCode>
                <c:ptCount val="9"/>
                <c:pt idx="0">
                  <c:v>0.41364175563463818</c:v>
                </c:pt>
                <c:pt idx="1">
                  <c:v>0.58265933354901323</c:v>
                </c:pt>
                <c:pt idx="2">
                  <c:v>0.7698695136417556</c:v>
                </c:pt>
                <c:pt idx="3">
                  <c:v>0.86816564218699455</c:v>
                </c:pt>
                <c:pt idx="4">
                  <c:v>0.92461986412164343</c:v>
                </c:pt>
                <c:pt idx="5">
                  <c:v>0.95718753369998921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333696"/>
        <c:axId val="84335616"/>
      </c:scatterChart>
      <c:valAx>
        <c:axId val="8433369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335616"/>
        <c:crosses val="autoZero"/>
        <c:crossBetween val="midCat"/>
        <c:majorUnit val="0.2"/>
      </c:valAx>
      <c:valAx>
        <c:axId val="8433561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3336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477" l="0.70000000000000062" r="0.70000000000000062" t="0.75000000000000477"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247296"/>
        <c:axId val="84248832"/>
      </c:scatterChart>
      <c:valAx>
        <c:axId val="8424729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248832"/>
        <c:crosses val="autoZero"/>
        <c:crossBetween val="midCat"/>
        <c:majorUnit val="0.2"/>
      </c:valAx>
      <c:valAx>
        <c:axId val="8424883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2472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 l="0.70000000000000062" r="0.70000000000000062" t="0.750000000000005"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57E-2"/>
        </c:manualLayout>
      </c:layout>
      <c:overlay val="1"/>
      <c:spPr>
        <a:noFill/>
        <a:ln w="25400">
          <a:noFill/>
        </a:ln>
      </c:spPr>
    </c:title>
    <c:plotArea>
      <c:layout/>
      <c:scatterChart>
        <c:scatterStyle val="smoothMarker"/>
        <c:ser>
          <c:idx val="0"/>
          <c:order val="0"/>
          <c:tx>
            <c:strRef>
              <c:f>'East Gulf-MF'!$AI$3</c:f>
              <c:strCache>
                <c:ptCount val="1"/>
                <c:pt idx="0">
                  <c:v>Runoff Treated</c:v>
                </c:pt>
              </c:strCache>
            </c:strRef>
          </c:tx>
          <c:xVal>
            <c:numRef>
              <c:f>'East Gulf-MF'!$AH$10:$AH$12</c:f>
              <c:numCache>
                <c:formatCode>General</c:formatCode>
                <c:ptCount val="3"/>
              </c:numCache>
            </c:numRef>
          </c:xVal>
          <c:yVal>
            <c:numRef>
              <c:f>'East Gulf-MF'!$AI$4:$AI$12</c:f>
              <c:numCache>
                <c:formatCode>0.0%</c:formatCode>
                <c:ptCount val="9"/>
                <c:pt idx="0">
                  <c:v>0.41364175563463818</c:v>
                </c:pt>
                <c:pt idx="1">
                  <c:v>0.58265933354901323</c:v>
                </c:pt>
                <c:pt idx="2">
                  <c:v>0.7698695136417556</c:v>
                </c:pt>
                <c:pt idx="3">
                  <c:v>0.86816564218699455</c:v>
                </c:pt>
                <c:pt idx="4">
                  <c:v>0.92461986412164343</c:v>
                </c:pt>
                <c:pt idx="5">
                  <c:v>0.95718753369998921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270080"/>
        <c:axId val="84419712"/>
      </c:scatterChart>
      <c:valAx>
        <c:axId val="8427008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419712"/>
        <c:crosses val="autoZero"/>
        <c:crossBetween val="midCat"/>
        <c:majorUnit val="0.2"/>
      </c:valAx>
      <c:valAx>
        <c:axId val="8441971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27008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389" r="0.75000000000000389"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462208"/>
        <c:axId val="84472192"/>
      </c:scatterChart>
      <c:valAx>
        <c:axId val="8446220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472192"/>
        <c:crosses val="autoZero"/>
        <c:crossBetween val="midCat"/>
        <c:majorUnit val="0.2"/>
      </c:valAx>
      <c:valAx>
        <c:axId val="8447219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4622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389" r="0.75000000000000389"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57E-2"/>
        </c:manualLayout>
      </c:layout>
      <c:overlay val="1"/>
      <c:spPr>
        <a:noFill/>
        <a:ln w="25400">
          <a:noFill/>
        </a:ln>
      </c:spPr>
    </c:title>
    <c:plotArea>
      <c:layout/>
      <c:scatterChart>
        <c:scatterStyle val="smoothMarker"/>
        <c:ser>
          <c:idx val="0"/>
          <c:order val="0"/>
          <c:tx>
            <c:strRef>
              <c:f>'East Gulf-MF'!$AI$3</c:f>
              <c:strCache>
                <c:ptCount val="1"/>
                <c:pt idx="0">
                  <c:v>Runoff Treated</c:v>
                </c:pt>
              </c:strCache>
            </c:strRef>
          </c:tx>
          <c:xVal>
            <c:numRef>
              <c:f>'East Gulf-MF'!$AH$10:$AH$12</c:f>
              <c:numCache>
                <c:formatCode>General</c:formatCode>
                <c:ptCount val="3"/>
              </c:numCache>
            </c:numRef>
          </c:xVal>
          <c:yVal>
            <c:numRef>
              <c:f>'East Gulf-MF'!$AI$4:$AI$12</c:f>
              <c:numCache>
                <c:formatCode>0.0%</c:formatCode>
                <c:ptCount val="9"/>
                <c:pt idx="0">
                  <c:v>0.41364175563463818</c:v>
                </c:pt>
                <c:pt idx="1">
                  <c:v>0.58265933354901323</c:v>
                </c:pt>
                <c:pt idx="2">
                  <c:v>0.7698695136417556</c:v>
                </c:pt>
                <c:pt idx="3">
                  <c:v>0.86816564218699455</c:v>
                </c:pt>
                <c:pt idx="4">
                  <c:v>0.92461986412164343</c:v>
                </c:pt>
                <c:pt idx="5">
                  <c:v>0.95718753369998921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378752"/>
        <c:axId val="84380672"/>
      </c:scatterChart>
      <c:valAx>
        <c:axId val="843787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380672"/>
        <c:crosses val="autoZero"/>
        <c:crossBetween val="midCat"/>
        <c:majorUnit val="0.2"/>
      </c:valAx>
      <c:valAx>
        <c:axId val="84380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3787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389" r="0.75000000000000389"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Gulf-MF'!$AH$10:$AH$12</c:f>
              <c:numCache>
                <c:formatCode>General</c:formatCode>
                <c:ptCount val="3"/>
              </c:numCache>
            </c:numRef>
          </c:xVal>
          <c:yVal>
            <c:numRef>
              <c:f>'3-ft'!#REF!</c:f>
              <c:numCache>
                <c:formatCode>General</c:formatCode>
                <c:ptCount val="1"/>
                <c:pt idx="0">
                  <c:v>1</c:v>
                </c:pt>
              </c:numCache>
            </c:numRef>
          </c:yVal>
          <c:smooth val="1"/>
        </c:ser>
        <c:axId val="84476672"/>
        <c:axId val="84478208"/>
      </c:scatterChart>
      <c:valAx>
        <c:axId val="8447667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478208"/>
        <c:crosses val="autoZero"/>
        <c:crossBetween val="midCat"/>
        <c:majorUnit val="0.2"/>
      </c:valAx>
      <c:valAx>
        <c:axId val="844782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47667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389" r="0.75000000000000389"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31"/>
          <c:w val="0.70400843589565953"/>
          <c:h val="0.62871198243076765"/>
        </c:manualLayout>
      </c:layout>
      <c:scatterChart>
        <c:scatterStyle val="smoothMarker"/>
        <c:ser>
          <c:idx val="2"/>
          <c:order val="0"/>
          <c:tx>
            <c:v>%Treated_1 in/hr</c:v>
          </c:tx>
          <c:xVal>
            <c:numRef>
              <c:f>'East Gulf-MF'!$A$30:$A$35</c:f>
              <c:numCache>
                <c:formatCode>0</c:formatCode>
                <c:ptCount val="6"/>
                <c:pt idx="0">
                  <c:v>100</c:v>
                </c:pt>
                <c:pt idx="1">
                  <c:v>200</c:v>
                </c:pt>
                <c:pt idx="2">
                  <c:v>400</c:v>
                </c:pt>
                <c:pt idx="3">
                  <c:v>600</c:v>
                </c:pt>
                <c:pt idx="4">
                  <c:v>800</c:v>
                </c:pt>
                <c:pt idx="5">
                  <c:v>1000</c:v>
                </c:pt>
              </c:numCache>
            </c:numRef>
          </c:xVal>
          <c:yVal>
            <c:numRef>
              <c:f>'East Gulf-MF'!$B$30:$B$35</c:f>
              <c:numCache>
                <c:formatCode>0.0%</c:formatCode>
                <c:ptCount val="6"/>
                <c:pt idx="0">
                  <c:v>8.0820662137388116E-2</c:v>
                </c:pt>
                <c:pt idx="1">
                  <c:v>0.14540062547179985</c:v>
                </c:pt>
                <c:pt idx="2">
                  <c:v>0.2535910708508573</c:v>
                </c:pt>
                <c:pt idx="3">
                  <c:v>0.34337323412056509</c:v>
                </c:pt>
                <c:pt idx="4">
                  <c:v>0.41971314569179335</c:v>
                </c:pt>
                <c:pt idx="5">
                  <c:v>0.48541464466731371</c:v>
                </c:pt>
              </c:numCache>
            </c:numRef>
          </c:yVal>
          <c:smooth val="1"/>
        </c:ser>
        <c:ser>
          <c:idx val="1"/>
          <c:order val="1"/>
          <c:tx>
            <c:v>%Treated_5 in/hr</c:v>
          </c:tx>
          <c:xVal>
            <c:numRef>
              <c:f>'East Gulf-MF'!$A$30:$A$35</c:f>
              <c:numCache>
                <c:formatCode>0</c:formatCode>
                <c:ptCount val="6"/>
                <c:pt idx="0">
                  <c:v>100</c:v>
                </c:pt>
                <c:pt idx="1">
                  <c:v>200</c:v>
                </c:pt>
                <c:pt idx="2">
                  <c:v>400</c:v>
                </c:pt>
                <c:pt idx="3">
                  <c:v>600</c:v>
                </c:pt>
                <c:pt idx="4">
                  <c:v>800</c:v>
                </c:pt>
                <c:pt idx="5">
                  <c:v>1000</c:v>
                </c:pt>
              </c:numCache>
            </c:numRef>
          </c:xVal>
          <c:yVal>
            <c:numRef>
              <c:f>'East Gulf-MF'!$C$30:$C$35</c:f>
              <c:numCache>
                <c:formatCode>0.0%</c:formatCode>
                <c:ptCount val="6"/>
                <c:pt idx="0">
                  <c:v>0.14640892914914266</c:v>
                </c:pt>
                <c:pt idx="1">
                  <c:v>0.24933678421222905</c:v>
                </c:pt>
                <c:pt idx="2">
                  <c:v>0.4010083036773428</c:v>
                </c:pt>
                <c:pt idx="3">
                  <c:v>0.51222366008842879</c:v>
                </c:pt>
                <c:pt idx="4">
                  <c:v>0.59700204895934428</c:v>
                </c:pt>
                <c:pt idx="5">
                  <c:v>0.66256874797800069</c:v>
                </c:pt>
              </c:numCache>
            </c:numRef>
          </c:yVal>
          <c:smooth val="1"/>
        </c:ser>
        <c:ser>
          <c:idx val="0"/>
          <c:order val="2"/>
          <c:tx>
            <c:v>%Treated_50 in/hr</c:v>
          </c:tx>
          <c:xVal>
            <c:numRef>
              <c:f>'East Gulf-MF'!$A$30:$A$35</c:f>
              <c:numCache>
                <c:formatCode>0</c:formatCode>
                <c:ptCount val="6"/>
                <c:pt idx="0">
                  <c:v>100</c:v>
                </c:pt>
                <c:pt idx="1">
                  <c:v>200</c:v>
                </c:pt>
                <c:pt idx="2">
                  <c:v>400</c:v>
                </c:pt>
                <c:pt idx="3">
                  <c:v>600</c:v>
                </c:pt>
                <c:pt idx="4">
                  <c:v>800</c:v>
                </c:pt>
                <c:pt idx="5">
                  <c:v>1000</c:v>
                </c:pt>
              </c:numCache>
            </c:numRef>
          </c:xVal>
          <c:yVal>
            <c:numRef>
              <c:f>'East Gulf-MF'!$D$30:$D$35</c:f>
              <c:numCache>
                <c:formatCode>0.0%</c:formatCode>
                <c:ptCount val="6"/>
                <c:pt idx="0">
                  <c:v>0.41364175563463818</c:v>
                </c:pt>
                <c:pt idx="1">
                  <c:v>0.58265933354901323</c:v>
                </c:pt>
                <c:pt idx="2">
                  <c:v>0.7698695136417556</c:v>
                </c:pt>
                <c:pt idx="3">
                  <c:v>0.86816564218699455</c:v>
                </c:pt>
                <c:pt idx="4">
                  <c:v>0.92461986412164343</c:v>
                </c:pt>
                <c:pt idx="5">
                  <c:v>0.95718753369998921</c:v>
                </c:pt>
              </c:numCache>
            </c:numRef>
          </c:yVal>
          <c:smooth val="1"/>
        </c:ser>
        <c:axId val="84533248"/>
        <c:axId val="84535168"/>
      </c:scatterChart>
      <c:scatterChart>
        <c:scatterStyle val="smoothMarker"/>
        <c:ser>
          <c:idx val="5"/>
          <c:order val="3"/>
          <c:tx>
            <c:v>Contact Time_1 in/hr</c:v>
          </c:tx>
          <c:spPr>
            <a:ln>
              <a:solidFill>
                <a:schemeClr val="accent3">
                  <a:lumMod val="75000"/>
                </a:schemeClr>
              </a:solidFill>
            </a:ln>
          </c:spPr>
          <c:marker>
            <c:symbol val="none"/>
          </c:marker>
          <c:xVal>
            <c:numRef>
              <c:f>'East Gulf-MF'!$A$30:$A$35</c:f>
              <c:numCache>
                <c:formatCode>0</c:formatCode>
                <c:ptCount val="6"/>
                <c:pt idx="0">
                  <c:v>100</c:v>
                </c:pt>
                <c:pt idx="1">
                  <c:v>200</c:v>
                </c:pt>
                <c:pt idx="2">
                  <c:v>400</c:v>
                </c:pt>
                <c:pt idx="3">
                  <c:v>600</c:v>
                </c:pt>
                <c:pt idx="4">
                  <c:v>800</c:v>
                </c:pt>
                <c:pt idx="5">
                  <c:v>1000</c:v>
                </c:pt>
              </c:numCache>
            </c:numRef>
          </c:xVal>
          <c:yVal>
            <c:numRef>
              <c:f>'East Gulf-MF'!$E$30:$E$35</c:f>
              <c:numCache>
                <c:formatCode>0.0</c:formatCode>
                <c:ptCount val="6"/>
                <c:pt idx="0">
                  <c:v>7.7815129039716844</c:v>
                </c:pt>
                <c:pt idx="1">
                  <c:v>8.6020236875155156</c:v>
                </c:pt>
                <c:pt idx="2">
                  <c:v>9.7493986710176834</c:v>
                </c:pt>
                <c:pt idx="3">
                  <c:v>10.56571877075409</c:v>
                </c:pt>
                <c:pt idx="4">
                  <c:v>11.263163822717802</c:v>
                </c:pt>
                <c:pt idx="5">
                  <c:v>11.885357239880468</c:v>
                </c:pt>
              </c:numCache>
            </c:numRef>
          </c:yVal>
          <c:smooth val="1"/>
        </c:ser>
        <c:ser>
          <c:idx val="4"/>
          <c:order val="4"/>
          <c:tx>
            <c:v>Contact Time_5 in/hr</c:v>
          </c:tx>
          <c:spPr>
            <a:ln>
              <a:solidFill>
                <a:srgbClr val="8A0000"/>
              </a:solidFill>
            </a:ln>
          </c:spPr>
          <c:marker>
            <c:symbol val="none"/>
          </c:marker>
          <c:xVal>
            <c:numRef>
              <c:f>'East Gulf-MF'!$A$30:$A$35</c:f>
              <c:numCache>
                <c:formatCode>0</c:formatCode>
                <c:ptCount val="6"/>
                <c:pt idx="0">
                  <c:v>100</c:v>
                </c:pt>
                <c:pt idx="1">
                  <c:v>200</c:v>
                </c:pt>
                <c:pt idx="2">
                  <c:v>400</c:v>
                </c:pt>
                <c:pt idx="3">
                  <c:v>600</c:v>
                </c:pt>
                <c:pt idx="4">
                  <c:v>800</c:v>
                </c:pt>
                <c:pt idx="5">
                  <c:v>1000</c:v>
                </c:pt>
              </c:numCache>
            </c:numRef>
          </c:xVal>
          <c:yVal>
            <c:numRef>
              <c:f>'East Gulf-MF'!$F$30:$F$35</c:f>
              <c:numCache>
                <c:formatCode>0.0</c:formatCode>
                <c:ptCount val="6"/>
                <c:pt idx="0">
                  <c:v>1.9824883967786262</c:v>
                </c:pt>
                <c:pt idx="1">
                  <c:v>2.2767337327374797</c:v>
                </c:pt>
                <c:pt idx="2">
                  <c:v>2.7095550523524743</c:v>
                </c:pt>
                <c:pt idx="3">
                  <c:v>3.0952633626941166</c:v>
                </c:pt>
                <c:pt idx="4">
                  <c:v>3.4481314821793179</c:v>
                </c:pt>
                <c:pt idx="5">
                  <c:v>3.792040182624655</c:v>
                </c:pt>
              </c:numCache>
            </c:numRef>
          </c:yVal>
          <c:smooth val="1"/>
        </c:ser>
        <c:ser>
          <c:idx val="3"/>
          <c:order val="5"/>
          <c:tx>
            <c:v>Contact Time_50 in/hr</c:v>
          </c:tx>
          <c:spPr>
            <a:ln>
              <a:solidFill>
                <a:schemeClr val="accent1">
                  <a:lumMod val="75000"/>
                </a:schemeClr>
              </a:solidFill>
            </a:ln>
          </c:spPr>
          <c:marker>
            <c:symbol val="none"/>
          </c:marker>
          <c:xVal>
            <c:numRef>
              <c:f>'East Gulf-MF'!$A$30:$A$35</c:f>
              <c:numCache>
                <c:formatCode>0</c:formatCode>
                <c:ptCount val="6"/>
                <c:pt idx="0">
                  <c:v>100</c:v>
                </c:pt>
                <c:pt idx="1">
                  <c:v>200</c:v>
                </c:pt>
                <c:pt idx="2">
                  <c:v>400</c:v>
                </c:pt>
                <c:pt idx="3">
                  <c:v>600</c:v>
                </c:pt>
                <c:pt idx="4">
                  <c:v>800</c:v>
                </c:pt>
                <c:pt idx="5">
                  <c:v>1000</c:v>
                </c:pt>
              </c:numCache>
            </c:numRef>
          </c:xVal>
          <c:yVal>
            <c:numRef>
              <c:f>'East Gulf-MF'!$G$30:$G$35</c:f>
              <c:numCache>
                <c:formatCode>0.0</c:formatCode>
                <c:ptCount val="6"/>
                <c:pt idx="0">
                  <c:v>0.49326343085856028</c:v>
                </c:pt>
                <c:pt idx="1">
                  <c:v>0.68882315547919459</c:v>
                </c:pt>
                <c:pt idx="2">
                  <c:v>1.0259973060242165</c:v>
                </c:pt>
                <c:pt idx="3">
                  <c:v>1.3599257092012573</c:v>
                </c:pt>
                <c:pt idx="4">
                  <c:v>1.7053725325391169</c:v>
                </c:pt>
                <c:pt idx="5">
                  <c:v>2.0606441691423836</c:v>
                </c:pt>
              </c:numCache>
            </c:numRef>
          </c:yVal>
          <c:smooth val="1"/>
        </c:ser>
        <c:axId val="84555648"/>
        <c:axId val="84553728"/>
      </c:scatterChart>
      <c:valAx>
        <c:axId val="84533248"/>
        <c:scaling>
          <c:orientation val="minMax"/>
          <c:min val="0"/>
        </c:scaling>
        <c:axPos val="b"/>
        <c:title>
          <c:tx>
            <c:rich>
              <a:bodyPr/>
              <a:lstStyle/>
              <a:p>
                <a:pPr>
                  <a:defRPr/>
                </a:pPr>
                <a:r>
                  <a:rPr lang="en-US"/>
                  <a:t>Filter Area (SF)</a:t>
                </a:r>
              </a:p>
            </c:rich>
          </c:tx>
        </c:title>
        <c:numFmt formatCode="0" sourceLinked="1"/>
        <c:tickLblPos val="nextTo"/>
        <c:crossAx val="84535168"/>
        <c:crosses val="autoZero"/>
        <c:crossBetween val="midCat"/>
      </c:valAx>
      <c:valAx>
        <c:axId val="8453516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4533248"/>
        <c:crosses val="autoZero"/>
        <c:crossBetween val="midCat"/>
      </c:valAx>
      <c:valAx>
        <c:axId val="84553728"/>
        <c:scaling>
          <c:orientation val="minMax"/>
          <c:max val="20"/>
        </c:scaling>
        <c:axPos val="r"/>
        <c:title>
          <c:tx>
            <c:rich>
              <a:bodyPr rot="-5400000" vert="horz"/>
              <a:lstStyle/>
              <a:p>
                <a:pPr>
                  <a:defRPr/>
                </a:pPr>
                <a:r>
                  <a:rPr lang="en-US"/>
                  <a:t>Contact Time (hrs)</a:t>
                </a:r>
              </a:p>
            </c:rich>
          </c:tx>
        </c:title>
        <c:numFmt formatCode="0.0" sourceLinked="1"/>
        <c:tickLblPos val="nextTo"/>
        <c:crossAx val="84555648"/>
        <c:crosses val="max"/>
        <c:crossBetween val="midCat"/>
      </c:valAx>
      <c:valAx>
        <c:axId val="84555648"/>
        <c:scaling>
          <c:orientation val="minMax"/>
        </c:scaling>
        <c:delete val="1"/>
        <c:axPos val="b"/>
        <c:numFmt formatCode="0" sourceLinked="1"/>
        <c:tickLblPos val="none"/>
        <c:crossAx val="84553728"/>
        <c:crosses val="autoZero"/>
        <c:crossBetween val="midCat"/>
      </c:valAx>
    </c:plotArea>
    <c:legend>
      <c:legendPos val="t"/>
      <c:layout>
        <c:manualLayout>
          <c:xMode val="edge"/>
          <c:yMode val="edge"/>
          <c:x val="6.2969804727488282E-2"/>
          <c:y val="2.8128341100219608E-2"/>
          <c:w val="0.82942973037461265"/>
          <c:h val="0.12203192115109979"/>
        </c:manualLayout>
      </c:layout>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675200"/>
        <c:axId val="84714240"/>
      </c:scatterChart>
      <c:valAx>
        <c:axId val="846752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714240"/>
        <c:crosses val="autoZero"/>
        <c:crossBetween val="midCat"/>
        <c:majorUnit val="0.2"/>
      </c:valAx>
      <c:valAx>
        <c:axId val="847142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67520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44" l="0.70000000000000062" r="0.70000000000000062" t="0.750000000000007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75E-2"/>
        </c:manualLayout>
      </c:layout>
      <c:overlay val="1"/>
      <c:spPr>
        <a:noFill/>
        <a:ln w="25400">
          <a:noFill/>
        </a:ln>
      </c:spPr>
    </c:title>
    <c:plotArea>
      <c:layout/>
      <c:scatterChart>
        <c:scatterStyle val="smoothMarker"/>
        <c:ser>
          <c:idx val="0"/>
          <c:order val="0"/>
          <c:tx>
            <c:strRef>
              <c:f>'Northeast-MF'!$AI$3</c:f>
              <c:strCache>
                <c:ptCount val="1"/>
                <c:pt idx="0">
                  <c:v>Runoff Treated</c:v>
                </c:pt>
              </c:strCache>
            </c:strRef>
          </c:tx>
          <c:xVal>
            <c:numRef>
              <c:f>'Northeast-MF'!$AH$10:$AH$12</c:f>
              <c:numCache>
                <c:formatCode>General</c:formatCode>
                <c:ptCount val="3"/>
              </c:numCache>
            </c:numRef>
          </c:xVal>
          <c:yVal>
            <c:numRef>
              <c:f>'Northeast-MF'!$AI$4:$AI$12</c:f>
              <c:numCache>
                <c:formatCode>0.0%</c:formatCode>
                <c:ptCount val="9"/>
                <c:pt idx="0">
                  <c:v>0.8136276798981108</c:v>
                </c:pt>
                <c:pt idx="1">
                  <c:v>0.91375807380901841</c:v>
                </c:pt>
                <c:pt idx="2">
                  <c:v>0.96932205274383154</c:v>
                </c:pt>
                <c:pt idx="3">
                  <c:v>0.98684942030303946</c:v>
                </c:pt>
                <c:pt idx="4">
                  <c:v>0.99408678776116688</c:v>
                </c:pt>
                <c:pt idx="5">
                  <c:v>0.9972607170654294</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5085696"/>
        <c:axId val="74973184"/>
      </c:scatterChart>
      <c:valAx>
        <c:axId val="7508569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4973184"/>
        <c:crosses val="autoZero"/>
        <c:crossBetween val="midCat"/>
        <c:majorUnit val="0.2"/>
      </c:valAx>
      <c:valAx>
        <c:axId val="7497318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508569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11" r="0.750000000000004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736256"/>
        <c:axId val="84619264"/>
      </c:scatterChart>
      <c:valAx>
        <c:axId val="8473625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619264"/>
        <c:crosses val="autoZero"/>
        <c:crossBetween val="midCat"/>
        <c:majorUnit val="0.2"/>
      </c:valAx>
      <c:valAx>
        <c:axId val="846192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73625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66" l="0.70000000000000062" r="0.70000000000000062" t="0.75000000000000766"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669184"/>
        <c:axId val="84671104"/>
      </c:scatterChart>
      <c:valAx>
        <c:axId val="8466918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671104"/>
        <c:crosses val="autoZero"/>
        <c:crossBetween val="midCat"/>
        <c:majorUnit val="0.2"/>
      </c:valAx>
      <c:valAx>
        <c:axId val="8467110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66918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763008"/>
        <c:axId val="84764544"/>
      </c:scatterChart>
      <c:valAx>
        <c:axId val="8476300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764544"/>
        <c:crosses val="autoZero"/>
        <c:crossBetween val="midCat"/>
        <c:majorUnit val="0.2"/>
      </c:valAx>
      <c:valAx>
        <c:axId val="8476454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7630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802176"/>
        <c:axId val="84816640"/>
      </c:scatterChart>
      <c:valAx>
        <c:axId val="848021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816640"/>
        <c:crosses val="autoZero"/>
        <c:crossBetween val="midCat"/>
        <c:majorUnit val="0.2"/>
      </c:valAx>
      <c:valAx>
        <c:axId val="848166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48021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4858368"/>
        <c:axId val="84859904"/>
      </c:scatterChart>
      <c:valAx>
        <c:axId val="8485836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859904"/>
        <c:crosses val="autoZero"/>
        <c:crossBetween val="midCat"/>
        <c:majorUnit val="0.2"/>
      </c:valAx>
      <c:valAx>
        <c:axId val="8485990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48583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55" r="0.7500000000000065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'East Texas-DT'!$B$10</c:f>
              <c:strCache>
                <c:ptCount val="1"/>
                <c:pt idx="0">
                  <c:v>Runoff</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Texas-DT'!$B$11:$B$19</c:f>
              <c:numCache>
                <c:formatCode>0.0%</c:formatCode>
                <c:ptCount val="9"/>
                <c:pt idx="0">
                  <c:v>0.44636449480642115</c:v>
                </c:pt>
                <c:pt idx="1">
                  <c:v>0.65488196411709154</c:v>
                </c:pt>
                <c:pt idx="2">
                  <c:v>0.83693106704438147</c:v>
                </c:pt>
                <c:pt idx="3">
                  <c:v>0.91933899905571292</c:v>
                </c:pt>
                <c:pt idx="4">
                  <c:v>0.96383380547686492</c:v>
                </c:pt>
                <c:pt idx="5">
                  <c:v>0.98234183191690272</c:v>
                </c:pt>
                <c:pt idx="6">
                  <c:v>0.99329556185080259</c:v>
                </c:pt>
                <c:pt idx="7">
                  <c:v>1</c:v>
                </c:pt>
                <c:pt idx="8">
                  <c:v>1</c:v>
                </c:pt>
              </c:numCache>
            </c:numRef>
          </c:yVal>
          <c:smooth val="1"/>
        </c:ser>
        <c:ser>
          <c:idx val="1"/>
          <c:order val="1"/>
          <c:tx>
            <c:strRef>
              <c:f>'East Texas-DT'!$C$10</c:f>
              <c:strCache>
                <c:ptCount val="1"/>
                <c:pt idx="0">
                  <c:v>TSS</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Texas-DT'!$C$11:$C$19</c:f>
              <c:numCache>
                <c:formatCode>0.0%</c:formatCode>
                <c:ptCount val="9"/>
                <c:pt idx="0">
                  <c:v>0.31918456215970958</c:v>
                </c:pt>
                <c:pt idx="1">
                  <c:v>0.47494207501512403</c:v>
                </c:pt>
                <c:pt idx="2">
                  <c:v>0.61636594071385353</c:v>
                </c:pt>
                <c:pt idx="3">
                  <c:v>0.68640838626739265</c:v>
                </c:pt>
                <c:pt idx="4">
                  <c:v>0.72697590744101626</c:v>
                </c:pt>
                <c:pt idx="5">
                  <c:v>0.74792475801572889</c:v>
                </c:pt>
                <c:pt idx="6">
                  <c:v>0.76264028281911678</c:v>
                </c:pt>
                <c:pt idx="7">
                  <c:v>0.7784560496067755</c:v>
                </c:pt>
                <c:pt idx="8">
                  <c:v>0.78761910163339377</c:v>
                </c:pt>
              </c:numCache>
            </c:numRef>
          </c:yVal>
          <c:smooth val="1"/>
        </c:ser>
        <c:axId val="84992000"/>
        <c:axId val="84993920"/>
      </c:scatterChart>
      <c:valAx>
        <c:axId val="84992000"/>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4993920"/>
        <c:crosses val="autoZero"/>
        <c:crossBetween val="midCat"/>
        <c:majorUnit val="0.2"/>
      </c:valAx>
      <c:valAx>
        <c:axId val="84993920"/>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4992000"/>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'East Texas-DT'!$D$10</c:f>
              <c:strCache>
                <c:ptCount val="1"/>
                <c:pt idx="0">
                  <c:v>Clay</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Texas-DT'!$D$11:$D$19</c:f>
              <c:numCache>
                <c:formatCode>0.0%</c:formatCode>
                <c:ptCount val="9"/>
                <c:pt idx="0">
                  <c:v>9.618118572292801E-4</c:v>
                </c:pt>
                <c:pt idx="1">
                  <c:v>1.8436176648517846E-3</c:v>
                </c:pt>
                <c:pt idx="2">
                  <c:v>3.474289171203872E-3</c:v>
                </c:pt>
                <c:pt idx="3">
                  <c:v>5.0733514821536601E-3</c:v>
                </c:pt>
                <c:pt idx="4">
                  <c:v>6.6188747731397461E-3</c:v>
                </c:pt>
                <c:pt idx="5">
                  <c:v>8.1382335148215378E-3</c:v>
                </c:pt>
                <c:pt idx="6">
                  <c:v>9.6235632183908053E-3</c:v>
                </c:pt>
                <c:pt idx="7">
                  <c:v>1.2467937084089534E-2</c:v>
                </c:pt>
                <c:pt idx="8">
                  <c:v>1.5328191167574107E-2</c:v>
                </c:pt>
              </c:numCache>
            </c:numRef>
          </c:yVal>
          <c:smooth val="1"/>
        </c:ser>
        <c:ser>
          <c:idx val="1"/>
          <c:order val="1"/>
          <c:tx>
            <c:strRef>
              <c:f>'East Texas-DT'!$H$10</c:f>
              <c:strCache>
                <c:ptCount val="1"/>
                <c:pt idx="0">
                  <c:v>Silt</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Texas-DT'!$H$11:$H$19</c:f>
              <c:numCache>
                <c:formatCode>0.0%</c:formatCode>
                <c:ptCount val="9"/>
                <c:pt idx="0">
                  <c:v>0.21435112925993147</c:v>
                </c:pt>
                <c:pt idx="1">
                  <c:v>0.32930278281911679</c:v>
                </c:pt>
                <c:pt idx="2">
                  <c:v>0.44159205484976816</c:v>
                </c:pt>
                <c:pt idx="3">
                  <c:v>0.50588324258923179</c:v>
                </c:pt>
                <c:pt idx="4">
                  <c:v>0.54675892316999397</c:v>
                </c:pt>
                <c:pt idx="5">
                  <c:v>0.57269207501512409</c:v>
                </c:pt>
                <c:pt idx="6">
                  <c:v>0.59319620891308733</c:v>
                </c:pt>
                <c:pt idx="7">
                  <c:v>0.6208172010485985</c:v>
                </c:pt>
                <c:pt idx="8">
                  <c:v>0.64094575519257924</c:v>
                </c:pt>
              </c:numCache>
            </c:numRef>
          </c:yVal>
          <c:smooth val="1"/>
        </c:ser>
        <c:ser>
          <c:idx val="2"/>
          <c:order val="2"/>
          <c:tx>
            <c:strRef>
              <c:f>'East Texas-DT'!$I$10</c:f>
              <c:strCache>
                <c:ptCount val="1"/>
                <c:pt idx="0">
                  <c:v>Sand</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Texas-DT'!$I$11:$I$19</c:f>
              <c:numCache>
                <c:formatCode>0.0%</c:formatCode>
                <c:ptCount val="9"/>
                <c:pt idx="0">
                  <c:v>0.44535692679975797</c:v>
                </c:pt>
                <c:pt idx="1">
                  <c:v>0.65332728372655779</c:v>
                </c:pt>
                <c:pt idx="2">
                  <c:v>0.83495160314579553</c:v>
                </c:pt>
                <c:pt idx="3">
                  <c:v>0.91701451905626141</c:v>
                </c:pt>
                <c:pt idx="4">
                  <c:v>0.96120689655172409</c:v>
                </c:pt>
                <c:pt idx="5">
                  <c:v>0.97961282516636417</c:v>
                </c:pt>
                <c:pt idx="6">
                  <c:v>0.99044162129461588</c:v>
                </c:pt>
                <c:pt idx="7">
                  <c:v>0.99692982456140344</c:v>
                </c:pt>
                <c:pt idx="8">
                  <c:v>0.99685420447670903</c:v>
                </c:pt>
              </c:numCache>
            </c:numRef>
          </c:yVal>
          <c:smooth val="1"/>
        </c:ser>
        <c:axId val="85014784"/>
        <c:axId val="85029248"/>
      </c:scatterChart>
      <c:valAx>
        <c:axId val="8501478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5029248"/>
        <c:crosses val="autoZero"/>
        <c:crossBetween val="midCat"/>
        <c:majorUnit val="0.2"/>
      </c:valAx>
      <c:valAx>
        <c:axId val="85029248"/>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5014784"/>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'East Texas-DT'!$CD$17</c:f>
              <c:strCache>
                <c:ptCount val="1"/>
                <c:pt idx="0">
                  <c:v>Runoff, 3hr DT</c:v>
                </c:pt>
              </c:strCache>
            </c:strRef>
          </c:tx>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'East Texas-DT'!$CE$17</c:f>
              <c:strCache>
                <c:ptCount val="1"/>
                <c:pt idx="0">
                  <c:v>Runoff, 6hr DT</c:v>
                </c:pt>
              </c:strCache>
            </c:strRef>
          </c:tx>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'East Texas-DT'!$CF$17</c:f>
              <c:strCache>
                <c:ptCount val="1"/>
                <c:pt idx="0">
                  <c:v>Runoff, 12hr DT</c:v>
                </c:pt>
              </c:strCache>
            </c:strRef>
          </c:tx>
          <c:spPr>
            <a:ln w="31750"/>
          </c:spPr>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'East Texas-DT'!$CG$17</c:f>
              <c:strCache>
                <c:ptCount val="1"/>
                <c:pt idx="0">
                  <c:v>TSS, 3hr DT</c:v>
                </c:pt>
              </c:strCache>
            </c:strRef>
          </c:tx>
          <c:spPr>
            <a:ln w="31750">
              <a:solidFill>
                <a:schemeClr val="accent1"/>
              </a:solidFill>
              <a:prstDash val="sysDash"/>
            </a:ln>
          </c:spPr>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Texas-DT'!$CG$18:$CG$26</c:f>
              <c:numCache>
                <c:formatCode>0.0%</c:formatCode>
                <c:ptCount val="9"/>
                <c:pt idx="0">
                  <c:v>0.31918456215970958</c:v>
                </c:pt>
                <c:pt idx="1">
                  <c:v>0.47494207501512403</c:v>
                </c:pt>
                <c:pt idx="2">
                  <c:v>0.61636594071385353</c:v>
                </c:pt>
                <c:pt idx="3">
                  <c:v>0.68640838626739265</c:v>
                </c:pt>
                <c:pt idx="4">
                  <c:v>0.72697590744101626</c:v>
                </c:pt>
                <c:pt idx="5">
                  <c:v>0.74792475801572889</c:v>
                </c:pt>
                <c:pt idx="6">
                  <c:v>0.76264028281911678</c:v>
                </c:pt>
                <c:pt idx="7">
                  <c:v>0.7784560496067755</c:v>
                </c:pt>
                <c:pt idx="8">
                  <c:v>0.78761910163339377</c:v>
                </c:pt>
              </c:numCache>
            </c:numRef>
          </c:yVal>
          <c:smooth val="1"/>
        </c:ser>
        <c:ser>
          <c:idx val="4"/>
          <c:order val="4"/>
          <c:tx>
            <c:strRef>
              <c:f>'East Texas-DT'!$CH$17</c:f>
              <c:strCache>
                <c:ptCount val="1"/>
                <c:pt idx="0">
                  <c:v>TSS, 6hr DT</c:v>
                </c:pt>
              </c:strCache>
            </c:strRef>
          </c:tx>
          <c:spPr>
            <a:ln w="31750">
              <a:solidFill>
                <a:schemeClr val="accent2"/>
              </a:solidFill>
              <a:prstDash val="sysDash"/>
            </a:ln>
          </c:spPr>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Texas-DT'!$CH$18:$CH$26</c:f>
              <c:numCache>
                <c:formatCode>0.0%</c:formatCode>
                <c:ptCount val="9"/>
                <c:pt idx="0">
                  <c:v>0.26025049984875981</c:v>
                </c:pt>
                <c:pt idx="1">
                  <c:v>0.41790416666666663</c:v>
                </c:pt>
                <c:pt idx="2">
                  <c:v>0.57786144131881423</c:v>
                </c:pt>
                <c:pt idx="3">
                  <c:v>0.66998535238959467</c:v>
                </c:pt>
                <c:pt idx="4">
                  <c:v>0.72265052177858435</c:v>
                </c:pt>
                <c:pt idx="5">
                  <c:v>0.75157621748336356</c:v>
                </c:pt>
                <c:pt idx="6">
                  <c:v>0.77313901996370238</c:v>
                </c:pt>
                <c:pt idx="7">
                  <c:v>0.79454843466424685</c:v>
                </c:pt>
                <c:pt idx="8">
                  <c:v>0.80701104053236539</c:v>
                </c:pt>
              </c:numCache>
            </c:numRef>
          </c:yVal>
          <c:smooth val="1"/>
        </c:ser>
        <c:ser>
          <c:idx val="5"/>
          <c:order val="5"/>
          <c:tx>
            <c:strRef>
              <c:f>'East Texas-DT'!$CI$17</c:f>
              <c:strCache>
                <c:ptCount val="1"/>
                <c:pt idx="0">
                  <c:v>TSS, 12hr DT</c:v>
                </c:pt>
              </c:strCache>
            </c:strRef>
          </c:tx>
          <c:spPr>
            <a:ln w="31750">
              <a:solidFill>
                <a:schemeClr val="accent3"/>
              </a:solidFill>
              <a:prstDash val="sysDash"/>
            </a:ln>
          </c:spPr>
          <c:marker>
            <c:symbol val="none"/>
          </c:marker>
          <c:xVal>
            <c:numRef>
              <c:f>'East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Texas-DT'!$CI$18:$CI$26</c:f>
              <c:numCache>
                <c:formatCode>0.0%</c:formatCode>
                <c:ptCount val="9"/>
                <c:pt idx="0">
                  <c:v>0.20745462038717483</c:v>
                </c:pt>
                <c:pt idx="1">
                  <c:v>0.36250445402298848</c:v>
                </c:pt>
                <c:pt idx="2">
                  <c:v>0.52759150786448883</c:v>
                </c:pt>
                <c:pt idx="3">
                  <c:v>0.63304811705989117</c:v>
                </c:pt>
                <c:pt idx="4">
                  <c:v>0.70003878554143983</c:v>
                </c:pt>
                <c:pt idx="5">
                  <c:v>0.74062520417422872</c:v>
                </c:pt>
                <c:pt idx="6">
                  <c:v>0.76962386569872954</c:v>
                </c:pt>
                <c:pt idx="7">
                  <c:v>0.80422807017543863</c:v>
                </c:pt>
                <c:pt idx="8">
                  <c:v>0.81887454627949174</c:v>
                </c:pt>
              </c:numCache>
            </c:numRef>
          </c:yVal>
          <c:smooth val="1"/>
        </c:ser>
        <c:axId val="85177856"/>
        <c:axId val="85179776"/>
      </c:scatterChart>
      <c:valAx>
        <c:axId val="8517785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5179776"/>
        <c:crosses val="autoZero"/>
        <c:crossBetween val="midCat"/>
        <c:majorUnit val="0.2"/>
      </c:valAx>
      <c:valAx>
        <c:axId val="85179776"/>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5177856"/>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'East Texas-DT'!$B$10</c:f>
              <c:strCache>
                <c:ptCount val="1"/>
                <c:pt idx="0">
                  <c:v>Runoff</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Texas-DT'!$M$11:$M$19</c:f>
              <c:numCache>
                <c:formatCode>0.0%</c:formatCode>
                <c:ptCount val="9"/>
                <c:pt idx="0">
                  <c:v>0.345042492917847</c:v>
                </c:pt>
                <c:pt idx="1">
                  <c:v>0.54699716713881019</c:v>
                </c:pt>
                <c:pt idx="2">
                  <c:v>0.75025495750708215</c:v>
                </c:pt>
                <c:pt idx="3">
                  <c:v>0.86233238904627008</c:v>
                </c:pt>
                <c:pt idx="4">
                  <c:v>0.9210859301227573</c:v>
                </c:pt>
                <c:pt idx="5">
                  <c:v>0.95457979225684608</c:v>
                </c:pt>
                <c:pt idx="6">
                  <c:v>0.97620396600566572</c:v>
                </c:pt>
                <c:pt idx="7">
                  <c:v>0.99310670443814919</c:v>
                </c:pt>
                <c:pt idx="8">
                  <c:v>0.99896128423040609</c:v>
                </c:pt>
              </c:numCache>
            </c:numRef>
          </c:yVal>
          <c:smooth val="1"/>
        </c:ser>
        <c:ser>
          <c:idx val="1"/>
          <c:order val="1"/>
          <c:tx>
            <c:strRef>
              <c:f>'East Texas-DT'!$C$10</c:f>
              <c:strCache>
                <c:ptCount val="1"/>
                <c:pt idx="0">
                  <c:v>TSS</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Texas-DT'!$N$11:$N$19</c:f>
              <c:numCache>
                <c:formatCode>0.0%</c:formatCode>
                <c:ptCount val="9"/>
                <c:pt idx="0">
                  <c:v>0.26025049984875981</c:v>
                </c:pt>
                <c:pt idx="1">
                  <c:v>0.41790416666666663</c:v>
                </c:pt>
                <c:pt idx="2">
                  <c:v>0.57786144131881423</c:v>
                </c:pt>
                <c:pt idx="3">
                  <c:v>0.66998535238959467</c:v>
                </c:pt>
                <c:pt idx="4">
                  <c:v>0.72265052177858435</c:v>
                </c:pt>
                <c:pt idx="5">
                  <c:v>0.75157621748336356</c:v>
                </c:pt>
                <c:pt idx="6">
                  <c:v>0.77313901996370238</c:v>
                </c:pt>
                <c:pt idx="7">
                  <c:v>0.79454843466424685</c:v>
                </c:pt>
                <c:pt idx="8">
                  <c:v>0.80701104053236539</c:v>
                </c:pt>
              </c:numCache>
            </c:numRef>
          </c:yVal>
          <c:smooth val="1"/>
        </c:ser>
        <c:axId val="85191680"/>
        <c:axId val="85091456"/>
      </c:scatterChart>
      <c:valAx>
        <c:axId val="85191680"/>
        <c:scaling>
          <c:orientation val="minMax"/>
          <c:max val="2"/>
          <c:min val="0"/>
        </c:scaling>
        <c:axPos val="b"/>
        <c:majorGridlines/>
        <c:title>
          <c:tx>
            <c:rich>
              <a:bodyPr/>
              <a:lstStyle/>
              <a:p>
                <a:pPr>
                  <a:defRPr/>
                </a:pPr>
                <a:r>
                  <a:rPr lang="en-US"/>
                  <a:t>Unit Basin Size (in)</a:t>
                </a:r>
              </a:p>
            </c:rich>
          </c:tx>
        </c:title>
        <c:numFmt formatCode="0.0" sourceLinked="0"/>
        <c:tickLblPos val="nextTo"/>
        <c:crossAx val="85091456"/>
        <c:crosses val="autoZero"/>
        <c:crossBetween val="midCat"/>
        <c:majorUnit val="0.2"/>
      </c:valAx>
      <c:valAx>
        <c:axId val="85091456"/>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5191680"/>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'East Texas-DT'!$D$10</c:f>
              <c:strCache>
                <c:ptCount val="1"/>
                <c:pt idx="0">
                  <c:v>Clay</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Texas-DT'!$O$11:$O$19</c:f>
              <c:numCache>
                <c:formatCode>0.0%</c:formatCode>
                <c:ptCount val="9"/>
                <c:pt idx="0">
                  <c:v>1.1972323049001816E-3</c:v>
                </c:pt>
                <c:pt idx="1">
                  <c:v>2.6069267997580153E-3</c:v>
                </c:pt>
                <c:pt idx="2">
                  <c:v>4.3250151240169388E-3</c:v>
                </c:pt>
                <c:pt idx="3">
                  <c:v>6.3933756805807625E-3</c:v>
                </c:pt>
                <c:pt idx="4">
                  <c:v>8.3885359951603143E-3</c:v>
                </c:pt>
                <c:pt idx="5">
                  <c:v>9.8591954022988499E-3</c:v>
                </c:pt>
                <c:pt idx="6">
                  <c:v>1.1732304900181487E-2</c:v>
                </c:pt>
                <c:pt idx="7">
                  <c:v>1.4970508166969147E-2</c:v>
                </c:pt>
                <c:pt idx="8">
                  <c:v>1.8472474289171203E-2</c:v>
                </c:pt>
              </c:numCache>
            </c:numRef>
          </c:yVal>
          <c:smooth val="1"/>
        </c:ser>
        <c:ser>
          <c:idx val="1"/>
          <c:order val="1"/>
          <c:tx>
            <c:strRef>
              <c:f>'East Texas-DT'!$H$10</c:f>
              <c:strCache>
                <c:ptCount val="1"/>
                <c:pt idx="0">
                  <c:v>Silt</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Texas-DT'!$S$11:$S$19</c:f>
              <c:numCache>
                <c:formatCode>0.0%</c:formatCode>
                <c:ptCount val="9"/>
                <c:pt idx="0">
                  <c:v>0.19544615849969757</c:v>
                </c:pt>
                <c:pt idx="1">
                  <c:v>0.32140905424480742</c:v>
                </c:pt>
                <c:pt idx="2">
                  <c:v>0.45112925993143782</c:v>
                </c:pt>
                <c:pt idx="3">
                  <c:v>0.53118219399072397</c:v>
                </c:pt>
                <c:pt idx="4">
                  <c:v>0.58279290179471677</c:v>
                </c:pt>
                <c:pt idx="5">
                  <c:v>0.60978775962895748</c:v>
                </c:pt>
                <c:pt idx="6">
                  <c:v>0.63355061504335553</c:v>
                </c:pt>
                <c:pt idx="7">
                  <c:v>0.66206392417826176</c:v>
                </c:pt>
                <c:pt idx="8">
                  <c:v>0.68279895140149238</c:v>
                </c:pt>
              </c:numCache>
            </c:numRef>
          </c:yVal>
          <c:smooth val="1"/>
        </c:ser>
        <c:ser>
          <c:idx val="2"/>
          <c:order val="2"/>
          <c:tx>
            <c:strRef>
              <c:f>'East Texas-DT'!$I$10</c:f>
              <c:strCache>
                <c:ptCount val="1"/>
                <c:pt idx="0">
                  <c:v>Sand</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Texas-DT'!$T$11:$T$19</c:f>
              <c:numCache>
                <c:formatCode>0.0%</c:formatCode>
                <c:ptCount val="9"/>
                <c:pt idx="0">
                  <c:v>0.34447973381730185</c:v>
                </c:pt>
                <c:pt idx="1">
                  <c:v>0.54627949183303082</c:v>
                </c:pt>
                <c:pt idx="2">
                  <c:v>0.7492740471869328</c:v>
                </c:pt>
                <c:pt idx="3">
                  <c:v>0.86126739261947971</c:v>
                </c:pt>
                <c:pt idx="4">
                  <c:v>0.91994857834240773</c:v>
                </c:pt>
                <c:pt idx="5">
                  <c:v>0.95335753176043558</c:v>
                </c:pt>
                <c:pt idx="6">
                  <c:v>0.97490925589836663</c:v>
                </c:pt>
                <c:pt idx="7">
                  <c:v>0.99174228675136111</c:v>
                </c:pt>
                <c:pt idx="8">
                  <c:v>0.99765577737447064</c:v>
                </c:pt>
              </c:numCache>
            </c:numRef>
          </c:yVal>
          <c:smooth val="1"/>
        </c:ser>
        <c:axId val="85117568"/>
        <c:axId val="85197568"/>
      </c:scatterChart>
      <c:valAx>
        <c:axId val="85117568"/>
        <c:scaling>
          <c:orientation val="minMax"/>
          <c:max val="2"/>
          <c:min val="0"/>
        </c:scaling>
        <c:axPos val="b"/>
        <c:majorGridlines/>
        <c:title>
          <c:tx>
            <c:rich>
              <a:bodyPr/>
              <a:lstStyle/>
              <a:p>
                <a:pPr>
                  <a:defRPr/>
                </a:pPr>
                <a:r>
                  <a:rPr lang="en-US"/>
                  <a:t>Unit Basin Size (in)</a:t>
                </a:r>
              </a:p>
            </c:rich>
          </c:tx>
        </c:title>
        <c:numFmt formatCode="0.0" sourceLinked="0"/>
        <c:tickLblPos val="nextTo"/>
        <c:crossAx val="85197568"/>
        <c:crosses val="autoZero"/>
        <c:crossBetween val="midCat"/>
        <c:majorUnit val="0.2"/>
      </c:valAx>
      <c:valAx>
        <c:axId val="85197568"/>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5117568"/>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4999296"/>
        <c:axId val="75000832"/>
      </c:scatterChart>
      <c:valAx>
        <c:axId val="7499929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000832"/>
        <c:crosses val="autoZero"/>
        <c:crossBetween val="midCat"/>
        <c:majorUnit val="0.2"/>
      </c:valAx>
      <c:valAx>
        <c:axId val="7500083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499929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11" r="0.75000000000000411"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'East Texas-DT'!$B$10</c:f>
              <c:strCache>
                <c:ptCount val="1"/>
                <c:pt idx="0">
                  <c:v>Runoff</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Texas-DT'!$X$11:$X$19</c:f>
              <c:numCache>
                <c:formatCode>0.0%</c:formatCode>
                <c:ptCount val="9"/>
                <c:pt idx="0">
                  <c:v>0.26152030217186023</c:v>
                </c:pt>
                <c:pt idx="1">
                  <c:v>0.45512747875354109</c:v>
                </c:pt>
                <c:pt idx="2">
                  <c:v>0.65779981114258734</c:v>
                </c:pt>
                <c:pt idx="3">
                  <c:v>0.78526912181303121</c:v>
                </c:pt>
                <c:pt idx="4">
                  <c:v>0.86459867799811141</c:v>
                </c:pt>
                <c:pt idx="5">
                  <c:v>0.91096317280453254</c:v>
                </c:pt>
                <c:pt idx="6">
                  <c:v>0.94310670443814915</c:v>
                </c:pt>
                <c:pt idx="7">
                  <c:v>0.97837582625118036</c:v>
                </c:pt>
                <c:pt idx="8">
                  <c:v>0.99036827195467425</c:v>
                </c:pt>
              </c:numCache>
            </c:numRef>
          </c:yVal>
          <c:smooth val="1"/>
        </c:ser>
        <c:ser>
          <c:idx val="1"/>
          <c:order val="1"/>
          <c:tx>
            <c:strRef>
              <c:f>'East Texas-DT'!$C$10</c:f>
              <c:strCache>
                <c:ptCount val="1"/>
                <c:pt idx="0">
                  <c:v>TSS</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Texas-DT'!$Y$11:$Y$19</c:f>
              <c:numCache>
                <c:formatCode>0.0%</c:formatCode>
                <c:ptCount val="9"/>
                <c:pt idx="0">
                  <c:v>0.20745462038717483</c:v>
                </c:pt>
                <c:pt idx="1">
                  <c:v>0.36250445402298848</c:v>
                </c:pt>
                <c:pt idx="2">
                  <c:v>0.52759150786448883</c:v>
                </c:pt>
                <c:pt idx="3">
                  <c:v>0.63304811705989117</c:v>
                </c:pt>
                <c:pt idx="4">
                  <c:v>0.70003878554143983</c:v>
                </c:pt>
                <c:pt idx="5">
                  <c:v>0.74062520417422872</c:v>
                </c:pt>
                <c:pt idx="6">
                  <c:v>0.76962386569872954</c:v>
                </c:pt>
                <c:pt idx="7">
                  <c:v>0.80422807017543863</c:v>
                </c:pt>
                <c:pt idx="8">
                  <c:v>0.81887454627949174</c:v>
                </c:pt>
              </c:numCache>
            </c:numRef>
          </c:yVal>
          <c:smooth val="1"/>
        </c:ser>
        <c:axId val="85231104"/>
        <c:axId val="85233024"/>
      </c:scatterChart>
      <c:valAx>
        <c:axId val="85231104"/>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5233024"/>
        <c:crosses val="autoZero"/>
        <c:crossBetween val="midCat"/>
        <c:majorUnit val="0.2"/>
      </c:valAx>
      <c:valAx>
        <c:axId val="85233024"/>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5231104"/>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'East Texas-DT'!$D$10</c:f>
              <c:strCache>
                <c:ptCount val="1"/>
                <c:pt idx="0">
                  <c:v>Clay</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Texas-DT'!$Z$11:$Z$19</c:f>
              <c:numCache>
                <c:formatCode>0.0%</c:formatCode>
                <c:ptCount val="9"/>
                <c:pt idx="0">
                  <c:v>1.8177555958862673E-3</c:v>
                </c:pt>
                <c:pt idx="1">
                  <c:v>3.5010586811857229E-3</c:v>
                </c:pt>
                <c:pt idx="2">
                  <c:v>6.2509074410163346E-3</c:v>
                </c:pt>
                <c:pt idx="3">
                  <c:v>8.8389292196007253E-3</c:v>
                </c:pt>
                <c:pt idx="4">
                  <c:v>1.121581972171809E-2</c:v>
                </c:pt>
                <c:pt idx="5">
                  <c:v>1.3411524500907442E-2</c:v>
                </c:pt>
                <c:pt idx="6">
                  <c:v>1.557168784029038E-2</c:v>
                </c:pt>
                <c:pt idx="7">
                  <c:v>2.004234724742892E-2</c:v>
                </c:pt>
                <c:pt idx="8">
                  <c:v>2.3271324863883849E-2</c:v>
                </c:pt>
              </c:numCache>
            </c:numRef>
          </c:yVal>
          <c:smooth val="1"/>
        </c:ser>
        <c:ser>
          <c:idx val="1"/>
          <c:order val="1"/>
          <c:tx>
            <c:strRef>
              <c:f>'East Texas-DT'!$H$10</c:f>
              <c:strCache>
                <c:ptCount val="1"/>
                <c:pt idx="0">
                  <c:v>Silt</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Texas-DT'!$AD$11:$AD$19</c:f>
              <c:numCache>
                <c:formatCode>0.0%</c:formatCode>
                <c:ptCount val="9"/>
                <c:pt idx="0">
                  <c:v>0.17076325872151643</c:v>
                </c:pt>
                <c:pt idx="1">
                  <c:v>0.30008469449485786</c:v>
                </c:pt>
                <c:pt idx="2">
                  <c:v>0.44150988102440009</c:v>
                </c:pt>
                <c:pt idx="3">
                  <c:v>0.5339927404718694</c:v>
                </c:pt>
                <c:pt idx="4">
                  <c:v>0.5945246017342205</c:v>
                </c:pt>
                <c:pt idx="5">
                  <c:v>0.63300060496067756</c:v>
                </c:pt>
                <c:pt idx="6">
                  <c:v>0.66150937689050215</c:v>
                </c:pt>
                <c:pt idx="7">
                  <c:v>0.69873966525509179</c:v>
                </c:pt>
                <c:pt idx="8">
                  <c:v>0.71772030651341001</c:v>
                </c:pt>
              </c:numCache>
            </c:numRef>
          </c:yVal>
          <c:smooth val="1"/>
        </c:ser>
        <c:ser>
          <c:idx val="2"/>
          <c:order val="2"/>
          <c:tx>
            <c:strRef>
              <c:f>'East Texas-DT'!$I$10</c:f>
              <c:strCache>
                <c:ptCount val="1"/>
                <c:pt idx="0">
                  <c:v>Sand</c:v>
                </c:pt>
              </c:strCache>
            </c:strRef>
          </c:tx>
          <c:xVal>
            <c:numRef>
              <c:f>'East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'East Texas-DT'!$AE$11:$AE$19</c:f>
              <c:numCache>
                <c:formatCode>0.0%</c:formatCode>
                <c:ptCount val="9"/>
                <c:pt idx="0">
                  <c:v>0.26104053236539626</c:v>
                </c:pt>
                <c:pt idx="1">
                  <c:v>0.45458257713248634</c:v>
                </c:pt>
                <c:pt idx="2">
                  <c:v>0.65719903206291586</c:v>
                </c:pt>
                <c:pt idx="3">
                  <c:v>0.78461887477313974</c:v>
                </c:pt>
                <c:pt idx="4">
                  <c:v>0.86388384754990921</c:v>
                </c:pt>
                <c:pt idx="5">
                  <c:v>0.91020871143375681</c:v>
                </c:pt>
                <c:pt idx="6">
                  <c:v>0.94233212341197814</c:v>
                </c:pt>
                <c:pt idx="7">
                  <c:v>0.97758620689655173</c:v>
                </c:pt>
                <c:pt idx="8">
                  <c:v>0.98947368421052628</c:v>
                </c:pt>
              </c:numCache>
            </c:numRef>
          </c:yVal>
          <c:smooth val="1"/>
        </c:ser>
        <c:axId val="85279872"/>
        <c:axId val="85281792"/>
      </c:scatterChart>
      <c:valAx>
        <c:axId val="8527987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5281792"/>
        <c:crosses val="autoZero"/>
        <c:crossBetween val="midCat"/>
        <c:majorUnit val="0.2"/>
      </c:valAx>
      <c:valAx>
        <c:axId val="8528179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5279872"/>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'East Texas-MF'!$AI$3</c:f>
              <c:strCache>
                <c:ptCount val="1"/>
                <c:pt idx="0">
                  <c:v>Runoff Treated</c:v>
                </c:pt>
              </c:strCache>
            </c:strRef>
          </c:tx>
          <c:xVal>
            <c:numRef>
              <c:f>'East Texas-MF'!$AH$10:$AH$12</c:f>
              <c:numCache>
                <c:formatCode>General</c:formatCode>
                <c:ptCount val="3"/>
              </c:numCache>
            </c:numRef>
          </c:xVal>
          <c:yVal>
            <c:numRef>
              <c:f>'East Texas-MF'!$AI$4:$AI$12</c:f>
              <c:numCache>
                <c:formatCode>0.0%</c:formatCode>
                <c:ptCount val="9"/>
                <c:pt idx="0">
                  <c:v>0.56396911638547331</c:v>
                </c:pt>
                <c:pt idx="1">
                  <c:v>0.72092269564388523</c:v>
                </c:pt>
                <c:pt idx="2">
                  <c:v>0.86614240777809548</c:v>
                </c:pt>
                <c:pt idx="3">
                  <c:v>0.93348584501000853</c:v>
                </c:pt>
                <c:pt idx="4">
                  <c:v>0.9670193499189782</c:v>
                </c:pt>
                <c:pt idx="5">
                  <c:v>0.98265179677819081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453056"/>
        <c:axId val="85328256"/>
      </c:scatterChart>
      <c:valAx>
        <c:axId val="854530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328256"/>
        <c:crosses val="autoZero"/>
        <c:crossBetween val="midCat"/>
        <c:majorUnit val="0.2"/>
      </c:valAx>
      <c:valAx>
        <c:axId val="853282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45305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362176"/>
        <c:axId val="85363712"/>
      </c:scatterChart>
      <c:valAx>
        <c:axId val="8536217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363712"/>
        <c:crosses val="autoZero"/>
        <c:crossBetween val="midCat"/>
        <c:majorUnit val="0.2"/>
      </c:valAx>
      <c:valAx>
        <c:axId val="8536371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36217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'East Texas-MF'!$AI$3</c:f>
              <c:strCache>
                <c:ptCount val="1"/>
                <c:pt idx="0">
                  <c:v>Runoff Treated</c:v>
                </c:pt>
              </c:strCache>
            </c:strRef>
          </c:tx>
          <c:xVal>
            <c:numRef>
              <c:f>'East Texas-MF'!$AH$10:$AH$12</c:f>
              <c:numCache>
                <c:formatCode>General</c:formatCode>
                <c:ptCount val="3"/>
              </c:numCache>
            </c:numRef>
          </c:xVal>
          <c:yVal>
            <c:numRef>
              <c:f>'East Texas-MF'!$AI$4:$AI$12</c:f>
              <c:numCache>
                <c:formatCode>0.0%</c:formatCode>
                <c:ptCount val="9"/>
                <c:pt idx="0">
                  <c:v>0.56396911638547331</c:v>
                </c:pt>
                <c:pt idx="1">
                  <c:v>0.72092269564388523</c:v>
                </c:pt>
                <c:pt idx="2">
                  <c:v>0.86614240777809548</c:v>
                </c:pt>
                <c:pt idx="3">
                  <c:v>0.93348584501000853</c:v>
                </c:pt>
                <c:pt idx="4">
                  <c:v>0.9670193499189782</c:v>
                </c:pt>
                <c:pt idx="5">
                  <c:v>0.98265179677819081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553152"/>
        <c:axId val="85555072"/>
      </c:scatterChart>
      <c:valAx>
        <c:axId val="855531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555072"/>
        <c:crosses val="autoZero"/>
        <c:crossBetween val="midCat"/>
        <c:majorUnit val="0.2"/>
      </c:valAx>
      <c:valAx>
        <c:axId val="855550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5531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540224"/>
        <c:axId val="85460096"/>
      </c:scatterChart>
      <c:valAx>
        <c:axId val="855402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460096"/>
        <c:crosses val="autoZero"/>
        <c:crossBetween val="midCat"/>
        <c:majorUnit val="0.2"/>
      </c:valAx>
      <c:valAx>
        <c:axId val="8546009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54022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'East Texas-MF'!$AI$3</c:f>
              <c:strCache>
                <c:ptCount val="1"/>
                <c:pt idx="0">
                  <c:v>Runoff Treated</c:v>
                </c:pt>
              </c:strCache>
            </c:strRef>
          </c:tx>
          <c:xVal>
            <c:numRef>
              <c:f>'East Texas-MF'!$AH$10:$AH$12</c:f>
              <c:numCache>
                <c:formatCode>General</c:formatCode>
                <c:ptCount val="3"/>
              </c:numCache>
            </c:numRef>
          </c:xVal>
          <c:yVal>
            <c:numRef>
              <c:f>'East Texas-MF'!$AI$4:$AI$12</c:f>
              <c:numCache>
                <c:formatCode>0.0%</c:formatCode>
                <c:ptCount val="9"/>
                <c:pt idx="0">
                  <c:v>0.56396911638547331</c:v>
                </c:pt>
                <c:pt idx="1">
                  <c:v>0.72092269564388523</c:v>
                </c:pt>
                <c:pt idx="2">
                  <c:v>0.86614240777809548</c:v>
                </c:pt>
                <c:pt idx="3">
                  <c:v>0.93348584501000853</c:v>
                </c:pt>
                <c:pt idx="4">
                  <c:v>0.9670193499189782</c:v>
                </c:pt>
                <c:pt idx="5">
                  <c:v>0.98265179677819081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493632"/>
        <c:axId val="85516288"/>
      </c:scatterChart>
      <c:valAx>
        <c:axId val="8549363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516288"/>
        <c:crosses val="autoZero"/>
        <c:crossBetween val="midCat"/>
        <c:majorUnit val="0.2"/>
      </c:valAx>
      <c:valAx>
        <c:axId val="8551628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49363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'East Texas-MF'!$AH$10:$AH$12</c:f>
              <c:numCache>
                <c:formatCode>General</c:formatCode>
                <c:ptCount val="3"/>
              </c:numCache>
            </c:numRef>
          </c:xVal>
          <c:yVal>
            <c:numRef>
              <c:f>'3-ft'!#REF!</c:f>
              <c:numCache>
                <c:formatCode>General</c:formatCode>
                <c:ptCount val="1"/>
                <c:pt idx="0">
                  <c:v>1</c:v>
                </c:pt>
              </c:numCache>
            </c:numRef>
          </c:yVal>
          <c:smooth val="1"/>
        </c:ser>
        <c:axId val="85624320"/>
        <c:axId val="85625856"/>
      </c:scatterChart>
      <c:valAx>
        <c:axId val="8562432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625856"/>
        <c:crosses val="autoZero"/>
        <c:crossBetween val="midCat"/>
        <c:majorUnit val="0.2"/>
      </c:valAx>
      <c:valAx>
        <c:axId val="8562585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6243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'East Texas-MF'!$A$30:$A$35</c:f>
              <c:numCache>
                <c:formatCode>0</c:formatCode>
                <c:ptCount val="6"/>
                <c:pt idx="0">
                  <c:v>100</c:v>
                </c:pt>
                <c:pt idx="1">
                  <c:v>200</c:v>
                </c:pt>
                <c:pt idx="2">
                  <c:v>400</c:v>
                </c:pt>
                <c:pt idx="3">
                  <c:v>600</c:v>
                </c:pt>
                <c:pt idx="4">
                  <c:v>800</c:v>
                </c:pt>
                <c:pt idx="5">
                  <c:v>1000</c:v>
                </c:pt>
              </c:numCache>
            </c:numRef>
          </c:xVal>
          <c:yVal>
            <c:numRef>
              <c:f>'East Texas-MF'!$B$30:$B$35</c:f>
              <c:numCache>
                <c:formatCode>0.0%</c:formatCode>
                <c:ptCount val="6"/>
                <c:pt idx="0">
                  <c:v>8.8227051758650268E-2</c:v>
                </c:pt>
                <c:pt idx="1">
                  <c:v>0.16056619959965684</c:v>
                </c:pt>
                <c:pt idx="2">
                  <c:v>0.28403393384806025</c:v>
                </c:pt>
                <c:pt idx="3">
                  <c:v>0.38283290439424267</c:v>
                </c:pt>
                <c:pt idx="4">
                  <c:v>0.4656848727480698</c:v>
                </c:pt>
                <c:pt idx="5">
                  <c:v>0.53410542369650171</c:v>
                </c:pt>
              </c:numCache>
            </c:numRef>
          </c:yVal>
          <c:smooth val="1"/>
        </c:ser>
        <c:ser>
          <c:idx val="1"/>
          <c:order val="1"/>
          <c:tx>
            <c:v>%Treated_5 in/hr</c:v>
          </c:tx>
          <c:xVal>
            <c:numRef>
              <c:f>'East Texas-MF'!$A$30:$A$35</c:f>
              <c:numCache>
                <c:formatCode>0</c:formatCode>
                <c:ptCount val="6"/>
                <c:pt idx="0">
                  <c:v>100</c:v>
                </c:pt>
                <c:pt idx="1">
                  <c:v>200</c:v>
                </c:pt>
                <c:pt idx="2">
                  <c:v>400</c:v>
                </c:pt>
                <c:pt idx="3">
                  <c:v>600</c:v>
                </c:pt>
                <c:pt idx="4">
                  <c:v>800</c:v>
                </c:pt>
                <c:pt idx="5">
                  <c:v>1000</c:v>
                </c:pt>
              </c:numCache>
            </c:numRef>
          </c:xVal>
          <c:yVal>
            <c:numRef>
              <c:f>'East Texas-MF'!$C$30:$C$35</c:f>
              <c:numCache>
                <c:formatCode>0.0%</c:formatCode>
                <c:ptCount val="6"/>
                <c:pt idx="0">
                  <c:v>0.1902392526927843</c:v>
                </c:pt>
                <c:pt idx="1">
                  <c:v>0.32117052711848249</c:v>
                </c:pt>
                <c:pt idx="2">
                  <c:v>0.49901820608140313</c:v>
                </c:pt>
                <c:pt idx="3">
                  <c:v>0.61662377275760172</c:v>
                </c:pt>
                <c:pt idx="4">
                  <c:v>0.70040034315127253</c:v>
                </c:pt>
                <c:pt idx="5">
                  <c:v>0.76355924125440855</c:v>
                </c:pt>
              </c:numCache>
            </c:numRef>
          </c:yVal>
          <c:smooth val="1"/>
        </c:ser>
        <c:ser>
          <c:idx val="0"/>
          <c:order val="2"/>
          <c:tx>
            <c:v>%Treated_50 in/hr</c:v>
          </c:tx>
          <c:xVal>
            <c:numRef>
              <c:f>'East Texas-MF'!$A$30:$A$35</c:f>
              <c:numCache>
                <c:formatCode>0</c:formatCode>
                <c:ptCount val="6"/>
                <c:pt idx="0">
                  <c:v>100</c:v>
                </c:pt>
                <c:pt idx="1">
                  <c:v>200</c:v>
                </c:pt>
                <c:pt idx="2">
                  <c:v>400</c:v>
                </c:pt>
                <c:pt idx="3">
                  <c:v>600</c:v>
                </c:pt>
                <c:pt idx="4">
                  <c:v>800</c:v>
                </c:pt>
                <c:pt idx="5">
                  <c:v>1000</c:v>
                </c:pt>
              </c:numCache>
            </c:numRef>
          </c:xVal>
          <c:yVal>
            <c:numRef>
              <c:f>'East Texas-MF'!$D$30:$D$35</c:f>
              <c:numCache>
                <c:formatCode>0.0%</c:formatCode>
                <c:ptCount val="6"/>
                <c:pt idx="0">
                  <c:v>0.56396911638547331</c:v>
                </c:pt>
                <c:pt idx="1">
                  <c:v>0.72092269564388523</c:v>
                </c:pt>
                <c:pt idx="2">
                  <c:v>0.86614240777809548</c:v>
                </c:pt>
                <c:pt idx="3">
                  <c:v>0.93348584501000853</c:v>
                </c:pt>
                <c:pt idx="4">
                  <c:v>0.9670193499189782</c:v>
                </c:pt>
                <c:pt idx="5">
                  <c:v>0.98265179677819081</c:v>
                </c:pt>
              </c:numCache>
            </c:numRef>
          </c:yVal>
          <c:smooth val="1"/>
        </c:ser>
        <c:axId val="85668608"/>
        <c:axId val="85670528"/>
      </c:scatterChart>
      <c:scatterChart>
        <c:scatterStyle val="smoothMarker"/>
        <c:ser>
          <c:idx val="5"/>
          <c:order val="3"/>
          <c:tx>
            <c:v>Contact Time_1 in/hr</c:v>
          </c:tx>
          <c:spPr>
            <a:ln>
              <a:solidFill>
                <a:schemeClr val="accent3">
                  <a:lumMod val="75000"/>
                </a:schemeClr>
              </a:solidFill>
            </a:ln>
          </c:spPr>
          <c:marker>
            <c:symbol val="none"/>
          </c:marker>
          <c:xVal>
            <c:numRef>
              <c:f>'East Texas-MF'!$A$30:$A$35</c:f>
              <c:numCache>
                <c:formatCode>0</c:formatCode>
                <c:ptCount val="6"/>
                <c:pt idx="0">
                  <c:v>100</c:v>
                </c:pt>
                <c:pt idx="1">
                  <c:v>200</c:v>
                </c:pt>
                <c:pt idx="2">
                  <c:v>400</c:v>
                </c:pt>
                <c:pt idx="3">
                  <c:v>600</c:v>
                </c:pt>
                <c:pt idx="4">
                  <c:v>800</c:v>
                </c:pt>
                <c:pt idx="5">
                  <c:v>1000</c:v>
                </c:pt>
              </c:numCache>
            </c:numRef>
          </c:xVal>
          <c:yVal>
            <c:numRef>
              <c:f>'East Texas-MF'!$E$30:$E$35</c:f>
              <c:numCache>
                <c:formatCode>0.0</c:formatCode>
                <c:ptCount val="6"/>
                <c:pt idx="0">
                  <c:v>7.7644229702689156</c:v>
                </c:pt>
                <c:pt idx="1">
                  <c:v>8.6174634127124818</c:v>
                </c:pt>
                <c:pt idx="2">
                  <c:v>9.8486543220819502</c:v>
                </c:pt>
                <c:pt idx="3">
                  <c:v>10.712208857466411</c:v>
                </c:pt>
                <c:pt idx="4">
                  <c:v>11.436226698688101</c:v>
                </c:pt>
                <c:pt idx="5">
                  <c:v>12.136090653129724</c:v>
                </c:pt>
              </c:numCache>
            </c:numRef>
          </c:yVal>
          <c:smooth val="1"/>
        </c:ser>
        <c:ser>
          <c:idx val="4"/>
          <c:order val="4"/>
          <c:tx>
            <c:v>Contact Time_5 in/hr</c:v>
          </c:tx>
          <c:spPr>
            <a:ln>
              <a:solidFill>
                <a:srgbClr val="8A0000"/>
              </a:solidFill>
            </a:ln>
          </c:spPr>
          <c:marker>
            <c:symbol val="none"/>
          </c:marker>
          <c:xVal>
            <c:numRef>
              <c:f>'East Texas-MF'!$A$30:$A$35</c:f>
              <c:numCache>
                <c:formatCode>0</c:formatCode>
                <c:ptCount val="6"/>
                <c:pt idx="0">
                  <c:v>100</c:v>
                </c:pt>
                <c:pt idx="1">
                  <c:v>200</c:v>
                </c:pt>
                <c:pt idx="2">
                  <c:v>400</c:v>
                </c:pt>
                <c:pt idx="3">
                  <c:v>600</c:v>
                </c:pt>
                <c:pt idx="4">
                  <c:v>800</c:v>
                </c:pt>
                <c:pt idx="5">
                  <c:v>1000</c:v>
                </c:pt>
              </c:numCache>
            </c:numRef>
          </c:xVal>
          <c:yVal>
            <c:numRef>
              <c:f>'East Texas-MF'!$F$30:$F$35</c:f>
              <c:numCache>
                <c:formatCode>0.0</c:formatCode>
                <c:ptCount val="6"/>
                <c:pt idx="0">
                  <c:v>1.9828320733851814</c:v>
                </c:pt>
                <c:pt idx="1">
                  <c:v>2.3098651038779336</c:v>
                </c:pt>
                <c:pt idx="2">
                  <c:v>2.8456672683220323</c:v>
                </c:pt>
                <c:pt idx="3">
                  <c:v>3.3211872770059965</c:v>
                </c:pt>
                <c:pt idx="4">
                  <c:v>3.7776374655290583</c:v>
                </c:pt>
                <c:pt idx="5">
                  <c:v>4.2114889418333217</c:v>
                </c:pt>
              </c:numCache>
            </c:numRef>
          </c:yVal>
          <c:smooth val="1"/>
        </c:ser>
        <c:ser>
          <c:idx val="3"/>
          <c:order val="5"/>
          <c:tx>
            <c:v>Contact Time_50 in/hr</c:v>
          </c:tx>
          <c:spPr>
            <a:ln>
              <a:solidFill>
                <a:schemeClr val="accent1">
                  <a:lumMod val="75000"/>
                </a:schemeClr>
              </a:solidFill>
            </a:ln>
          </c:spPr>
          <c:marker>
            <c:symbol val="none"/>
          </c:marker>
          <c:xVal>
            <c:numRef>
              <c:f>'East Texas-MF'!$A$30:$A$35</c:f>
              <c:numCache>
                <c:formatCode>0</c:formatCode>
                <c:ptCount val="6"/>
                <c:pt idx="0">
                  <c:v>100</c:v>
                </c:pt>
                <c:pt idx="1">
                  <c:v>200</c:v>
                </c:pt>
                <c:pt idx="2">
                  <c:v>400</c:v>
                </c:pt>
                <c:pt idx="3">
                  <c:v>600</c:v>
                </c:pt>
                <c:pt idx="4">
                  <c:v>800</c:v>
                </c:pt>
                <c:pt idx="5">
                  <c:v>1000</c:v>
                </c:pt>
              </c:numCache>
            </c:numRef>
          </c:xVal>
          <c:yVal>
            <c:numRef>
              <c:f>'East Texas-MF'!$G$30:$G$35</c:f>
              <c:numCache>
                <c:formatCode>0.0</c:formatCode>
                <c:ptCount val="6"/>
                <c:pt idx="0">
                  <c:v>0.52525579957439272</c:v>
                </c:pt>
                <c:pt idx="1">
                  <c:v>0.78845343731907813</c:v>
                </c:pt>
                <c:pt idx="2">
                  <c:v>1.2475983731317213</c:v>
                </c:pt>
                <c:pt idx="3">
                  <c:v>1.6914586172567443</c:v>
                </c:pt>
                <c:pt idx="4">
                  <c:v>2.1456826566003495</c:v>
                </c:pt>
                <c:pt idx="5">
                  <c:v>2.615328515150972</c:v>
                </c:pt>
              </c:numCache>
            </c:numRef>
          </c:yVal>
          <c:smooth val="1"/>
        </c:ser>
        <c:axId val="85682816"/>
        <c:axId val="85680896"/>
      </c:scatterChart>
      <c:valAx>
        <c:axId val="85668608"/>
        <c:scaling>
          <c:orientation val="minMax"/>
          <c:min val="0"/>
        </c:scaling>
        <c:axPos val="b"/>
        <c:title>
          <c:tx>
            <c:rich>
              <a:bodyPr/>
              <a:lstStyle/>
              <a:p>
                <a:pPr>
                  <a:defRPr/>
                </a:pPr>
                <a:r>
                  <a:rPr lang="en-US"/>
                  <a:t>Filter Area (SF)</a:t>
                </a:r>
              </a:p>
            </c:rich>
          </c:tx>
        </c:title>
        <c:numFmt formatCode="0" sourceLinked="1"/>
        <c:tickLblPos val="nextTo"/>
        <c:crossAx val="85670528"/>
        <c:crosses val="autoZero"/>
        <c:crossBetween val="midCat"/>
      </c:valAx>
      <c:valAx>
        <c:axId val="8567052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5668608"/>
        <c:crosses val="autoZero"/>
        <c:crossBetween val="midCat"/>
      </c:valAx>
      <c:valAx>
        <c:axId val="85680896"/>
        <c:scaling>
          <c:orientation val="minMax"/>
          <c:max val="20"/>
        </c:scaling>
        <c:axPos val="r"/>
        <c:title>
          <c:tx>
            <c:rich>
              <a:bodyPr rot="-5400000" vert="horz"/>
              <a:lstStyle/>
              <a:p>
                <a:pPr>
                  <a:defRPr/>
                </a:pPr>
                <a:r>
                  <a:rPr lang="en-US"/>
                  <a:t>Contact Time (hrs)</a:t>
                </a:r>
              </a:p>
            </c:rich>
          </c:tx>
        </c:title>
        <c:numFmt formatCode="0.0" sourceLinked="1"/>
        <c:tickLblPos val="nextTo"/>
        <c:crossAx val="85682816"/>
        <c:crosses val="max"/>
        <c:crossBetween val="midCat"/>
      </c:valAx>
      <c:valAx>
        <c:axId val="85682816"/>
        <c:scaling>
          <c:orientation val="minMax"/>
        </c:scaling>
        <c:delete val="1"/>
        <c:axPos val="b"/>
        <c:numFmt formatCode="0" sourceLinked="1"/>
        <c:tickLblPos val="none"/>
        <c:crossAx val="85680896"/>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8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5798272"/>
        <c:axId val="85816832"/>
      </c:scatterChart>
      <c:valAx>
        <c:axId val="8579827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816832"/>
        <c:crosses val="autoZero"/>
        <c:crossBetween val="midCat"/>
        <c:majorUnit val="0.2"/>
      </c:valAx>
      <c:valAx>
        <c:axId val="8581683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79827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22" l="0.70000000000000062" r="0.70000000000000062" t="0.750000000000007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75E-2"/>
        </c:manualLayout>
      </c:layout>
      <c:overlay val="1"/>
      <c:spPr>
        <a:noFill/>
        <a:ln w="25400">
          <a:noFill/>
        </a:ln>
      </c:spPr>
    </c:title>
    <c:plotArea>
      <c:layout/>
      <c:scatterChart>
        <c:scatterStyle val="smoothMarker"/>
        <c:ser>
          <c:idx val="0"/>
          <c:order val="0"/>
          <c:tx>
            <c:strRef>
              <c:f>'Northeast-MF'!$AI$3</c:f>
              <c:strCache>
                <c:ptCount val="1"/>
                <c:pt idx="0">
                  <c:v>Runoff Treated</c:v>
                </c:pt>
              </c:strCache>
            </c:strRef>
          </c:tx>
          <c:xVal>
            <c:numRef>
              <c:f>'Northeast-MF'!$AH$10:$AH$12</c:f>
              <c:numCache>
                <c:formatCode>General</c:formatCode>
                <c:ptCount val="3"/>
              </c:numCache>
            </c:numRef>
          </c:xVal>
          <c:yVal>
            <c:numRef>
              <c:f>'Northeast-MF'!$AI$4:$AI$12</c:f>
              <c:numCache>
                <c:formatCode>0.0%</c:formatCode>
                <c:ptCount val="9"/>
                <c:pt idx="0">
                  <c:v>0.8136276798981108</c:v>
                </c:pt>
                <c:pt idx="1">
                  <c:v>0.91375807380901841</c:v>
                </c:pt>
                <c:pt idx="2">
                  <c:v>0.96932205274383154</c:v>
                </c:pt>
                <c:pt idx="3">
                  <c:v>0.98684942030303946</c:v>
                </c:pt>
                <c:pt idx="4">
                  <c:v>0.99408678776116688</c:v>
                </c:pt>
                <c:pt idx="5">
                  <c:v>0.9972607170654294</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5108352"/>
        <c:axId val="75110272"/>
      </c:scatterChart>
      <c:valAx>
        <c:axId val="751083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110272"/>
        <c:crosses val="autoZero"/>
        <c:crossBetween val="midCat"/>
        <c:majorUnit val="0.2"/>
      </c:valAx>
      <c:valAx>
        <c:axId val="751102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51083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11" r="0.75000000000000411"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5851136"/>
        <c:axId val="85873408"/>
      </c:scatterChart>
      <c:valAx>
        <c:axId val="8585113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873408"/>
        <c:crosses val="autoZero"/>
        <c:crossBetween val="midCat"/>
        <c:majorUnit val="0.2"/>
      </c:valAx>
      <c:valAx>
        <c:axId val="858734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85113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44" l="0.70000000000000062" r="0.70000000000000062" t="0.75000000000000744"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8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5894656"/>
        <c:axId val="85896576"/>
      </c:scatterChart>
      <c:valAx>
        <c:axId val="858946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896576"/>
        <c:crosses val="autoZero"/>
        <c:crossBetween val="midCat"/>
        <c:majorUnit val="0.2"/>
      </c:valAx>
      <c:valAx>
        <c:axId val="8589657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89465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33" r="0.75000000000000633"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5959808"/>
        <c:axId val="85961344"/>
      </c:scatterChart>
      <c:valAx>
        <c:axId val="8595980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961344"/>
        <c:crosses val="autoZero"/>
        <c:crossBetween val="midCat"/>
        <c:majorUnit val="0.2"/>
      </c:valAx>
      <c:valAx>
        <c:axId val="8596134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9598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33" r="0.75000000000000633"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8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5974400"/>
        <c:axId val="86078976"/>
      </c:scatterChart>
      <c:valAx>
        <c:axId val="859744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6078976"/>
        <c:crosses val="autoZero"/>
        <c:crossBetween val="midCat"/>
        <c:majorUnit val="0.2"/>
      </c:valAx>
      <c:valAx>
        <c:axId val="8607897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59744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33" r="0.75000000000000633"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6105088"/>
        <c:axId val="86110976"/>
      </c:scatterChart>
      <c:valAx>
        <c:axId val="8610508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6110976"/>
        <c:crosses val="autoZero"/>
        <c:crossBetween val="midCat"/>
        <c:majorUnit val="0.2"/>
      </c:valAx>
      <c:valAx>
        <c:axId val="861109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61050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33" r="0.75000000000000633"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'West Texas-DT'!$B$10</c:f>
              <c:strCache>
                <c:ptCount val="1"/>
                <c:pt idx="0">
                  <c:v>Runoff</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Texas-DT'!$B$11:$B$19</c:f>
              <c:numCache>
                <c:formatCode>0.0%</c:formatCode>
                <c:ptCount val="9"/>
                <c:pt idx="0">
                  <c:v>0.51337369290038526</c:v>
                </c:pt>
                <c:pt idx="1">
                  <c:v>0.73536965694368006</c:v>
                </c:pt>
                <c:pt idx="2">
                  <c:v>0.89152449091909747</c:v>
                </c:pt>
                <c:pt idx="3">
                  <c:v>0.94681709778022383</c:v>
                </c:pt>
                <c:pt idx="4">
                  <c:v>0.97409649605576953</c:v>
                </c:pt>
                <c:pt idx="5">
                  <c:v>0.9852687580260503</c:v>
                </c:pt>
                <c:pt idx="6">
                  <c:v>0.99253348009539533</c:v>
                </c:pt>
                <c:pt idx="7">
                  <c:v>1</c:v>
                </c:pt>
                <c:pt idx="8">
                  <c:v>1</c:v>
                </c:pt>
              </c:numCache>
            </c:numRef>
          </c:yVal>
          <c:smooth val="1"/>
        </c:ser>
        <c:ser>
          <c:idx val="1"/>
          <c:order val="1"/>
          <c:tx>
            <c:strRef>
              <c:f>'West Texas-DT'!$C$10</c:f>
              <c:strCache>
                <c:ptCount val="1"/>
                <c:pt idx="0">
                  <c:v>TSS</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Texas-DT'!$C$11:$C$19</c:f>
              <c:numCache>
                <c:formatCode>0.0%</c:formatCode>
                <c:ptCount val="9"/>
                <c:pt idx="0">
                  <c:v>0.3696346457849734</c:v>
                </c:pt>
                <c:pt idx="1">
                  <c:v>0.53745676843064083</c:v>
                </c:pt>
                <c:pt idx="2">
                  <c:v>0.66433314723944403</c:v>
                </c:pt>
                <c:pt idx="3">
                  <c:v>0.71717056974113358</c:v>
                </c:pt>
                <c:pt idx="4">
                  <c:v>0.74630592366232773</c:v>
                </c:pt>
                <c:pt idx="5">
                  <c:v>0.76244806511327234</c:v>
                </c:pt>
                <c:pt idx="6">
                  <c:v>0.77462836070872387</c:v>
                </c:pt>
                <c:pt idx="7">
                  <c:v>0.79083762818440917</c:v>
                </c:pt>
                <c:pt idx="8">
                  <c:v>0.79994318749449056</c:v>
                </c:pt>
              </c:numCache>
            </c:numRef>
          </c:yVal>
          <c:smooth val="1"/>
        </c:ser>
        <c:axId val="86132224"/>
        <c:axId val="86134144"/>
      </c:scatterChart>
      <c:valAx>
        <c:axId val="86132224"/>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6134144"/>
        <c:crosses val="autoZero"/>
        <c:crossBetween val="midCat"/>
        <c:majorUnit val="0.2"/>
      </c:valAx>
      <c:valAx>
        <c:axId val="86134144"/>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6132224"/>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'West Texas-DT'!$D$10</c:f>
              <c:strCache>
                <c:ptCount val="1"/>
                <c:pt idx="0">
                  <c:v>Clay</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Texas-DT'!$D$11:$D$19</c:f>
              <c:numCache>
                <c:formatCode>0.0%</c:formatCode>
                <c:ptCount val="9"/>
                <c:pt idx="0">
                  <c:v>1.2895718861105398E-3</c:v>
                </c:pt>
                <c:pt idx="1">
                  <c:v>2.439514588781477E-3</c:v>
                </c:pt>
                <c:pt idx="2">
                  <c:v>4.5896629741721262E-3</c:v>
                </c:pt>
                <c:pt idx="3">
                  <c:v>6.6588311344871146E-3</c:v>
                </c:pt>
                <c:pt idx="4">
                  <c:v>8.6471953692004808E-3</c:v>
                </c:pt>
                <c:pt idx="5">
                  <c:v>1.0622043310904121E-2</c:v>
                </c:pt>
                <c:pt idx="6">
                  <c:v>1.252431463579467E-2</c:v>
                </c:pt>
                <c:pt idx="7">
                  <c:v>1.6141392178179999E-2</c:v>
                </c:pt>
                <c:pt idx="8">
                  <c:v>1.9772867510945261E-2</c:v>
                </c:pt>
              </c:numCache>
            </c:numRef>
          </c:yVal>
          <c:smooth val="1"/>
        </c:ser>
        <c:ser>
          <c:idx val="1"/>
          <c:order val="1"/>
          <c:tx>
            <c:strRef>
              <c:f>'West Texas-DT'!$H$10</c:f>
              <c:strCache>
                <c:ptCount val="1"/>
                <c:pt idx="0">
                  <c:v>Silt</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Texas-DT'!$H$11:$H$19</c:f>
              <c:numCache>
                <c:formatCode>0.0%</c:formatCode>
                <c:ptCount val="9"/>
                <c:pt idx="0">
                  <c:v>0.2521788656108287</c:v>
                </c:pt>
                <c:pt idx="1">
                  <c:v>0.37898608213596613</c:v>
                </c:pt>
                <c:pt idx="2">
                  <c:v>0.48766001625872929</c:v>
                </c:pt>
                <c:pt idx="3">
                  <c:v>0.54379474823455665</c:v>
                </c:pt>
                <c:pt idx="4">
                  <c:v>0.57838078727509579</c:v>
                </c:pt>
                <c:pt idx="5">
                  <c:v>0.60165917393902002</c:v>
                </c:pt>
                <c:pt idx="6">
                  <c:v>0.62061430572287679</c:v>
                </c:pt>
                <c:pt idx="7">
                  <c:v>0.64826687822603546</c:v>
                </c:pt>
                <c:pt idx="8">
                  <c:v>0.66816325331296089</c:v>
                </c:pt>
              </c:numCache>
            </c:numRef>
          </c:yVal>
          <c:smooth val="1"/>
        </c:ser>
        <c:ser>
          <c:idx val="2"/>
          <c:order val="2"/>
          <c:tx>
            <c:strRef>
              <c:f>'West Texas-DT'!$I$10</c:f>
              <c:strCache>
                <c:ptCount val="1"/>
                <c:pt idx="0">
                  <c:v>Sand</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Texas-DT'!$I$11:$I$19</c:f>
              <c:numCache>
                <c:formatCode>0.0%</c:formatCode>
                <c:ptCount val="9"/>
                <c:pt idx="0">
                  <c:v>0.51217935533158987</c:v>
                </c:pt>
                <c:pt idx="1">
                  <c:v>0.73358211148003405</c:v>
                </c:pt>
                <c:pt idx="2">
                  <c:v>0.88931331354861454</c:v>
                </c:pt>
                <c:pt idx="3">
                  <c:v>0.9442599829577174</c:v>
                </c:pt>
                <c:pt idx="4">
                  <c:v>0.97120441924014922</c:v>
                </c:pt>
                <c:pt idx="5">
                  <c:v>0.98234066935033637</c:v>
                </c:pt>
                <c:pt idx="6">
                  <c:v>0.98945141480327914</c:v>
                </c:pt>
                <c:pt idx="7">
                  <c:v>0.99662092674756853</c:v>
                </c:pt>
                <c:pt idx="8">
                  <c:v>0.9965621602562218</c:v>
                </c:pt>
              </c:numCache>
            </c:numRef>
          </c:yVal>
          <c:smooth val="1"/>
        </c:ser>
        <c:axId val="86167552"/>
        <c:axId val="86169472"/>
      </c:scatterChart>
      <c:valAx>
        <c:axId val="8616755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169472"/>
        <c:crosses val="autoZero"/>
        <c:crossBetween val="midCat"/>
        <c:majorUnit val="0.2"/>
      </c:valAx>
      <c:valAx>
        <c:axId val="86169472"/>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6167552"/>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'West Texas-DT'!$CD$17</c:f>
              <c:strCache>
                <c:ptCount val="1"/>
                <c:pt idx="0">
                  <c:v>Runoff, 3hr DT</c:v>
                </c:pt>
              </c:strCache>
            </c:strRef>
          </c:tx>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'West Texas-DT'!$CE$17</c:f>
              <c:strCache>
                <c:ptCount val="1"/>
                <c:pt idx="0">
                  <c:v>Runoff, 6hr DT</c:v>
                </c:pt>
              </c:strCache>
            </c:strRef>
          </c:tx>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'West Texas-DT'!$CF$17</c:f>
              <c:strCache>
                <c:ptCount val="1"/>
                <c:pt idx="0">
                  <c:v>Runoff, 12hr DT</c:v>
                </c:pt>
              </c:strCache>
            </c:strRef>
          </c:tx>
          <c:spPr>
            <a:ln w="31750"/>
          </c:spPr>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'West Texas-DT'!$CG$17</c:f>
              <c:strCache>
                <c:ptCount val="1"/>
                <c:pt idx="0">
                  <c:v>TSS, 3hr DT</c:v>
                </c:pt>
              </c:strCache>
            </c:strRef>
          </c:tx>
          <c:spPr>
            <a:ln w="31750">
              <a:solidFill>
                <a:schemeClr val="accent1"/>
              </a:solidFill>
              <a:prstDash val="sysDash"/>
            </a:ln>
          </c:spPr>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Texas-DT'!$CG$18:$CG$26</c:f>
              <c:numCache>
                <c:formatCode>0.0%</c:formatCode>
                <c:ptCount val="9"/>
                <c:pt idx="0">
                  <c:v>0.3696346457849734</c:v>
                </c:pt>
                <c:pt idx="1">
                  <c:v>0.53745676843064083</c:v>
                </c:pt>
                <c:pt idx="2">
                  <c:v>0.66433314723944403</c:v>
                </c:pt>
                <c:pt idx="3">
                  <c:v>0.71717056974113358</c:v>
                </c:pt>
                <c:pt idx="4">
                  <c:v>0.74630592366232773</c:v>
                </c:pt>
                <c:pt idx="5">
                  <c:v>0.76244806511327234</c:v>
                </c:pt>
                <c:pt idx="6">
                  <c:v>0.77462836070872387</c:v>
                </c:pt>
                <c:pt idx="7">
                  <c:v>0.79083762818440917</c:v>
                </c:pt>
                <c:pt idx="8">
                  <c:v>0.79994318749449056</c:v>
                </c:pt>
              </c:numCache>
            </c:numRef>
          </c:yVal>
          <c:smooth val="1"/>
        </c:ser>
        <c:ser>
          <c:idx val="4"/>
          <c:order val="4"/>
          <c:tx>
            <c:strRef>
              <c:f>'West Texas-DT'!$CH$17</c:f>
              <c:strCache>
                <c:ptCount val="1"/>
                <c:pt idx="0">
                  <c:v>TSS, 6hr DT</c:v>
                </c:pt>
              </c:strCache>
            </c:strRef>
          </c:tx>
          <c:spPr>
            <a:ln w="31750">
              <a:solidFill>
                <a:schemeClr val="accent2"/>
              </a:solidFill>
              <a:prstDash val="sysDash"/>
            </a:ln>
          </c:spPr>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Texas-DT'!$CH$18:$CH$26</c:f>
              <c:numCache>
                <c:formatCode>0.0%</c:formatCode>
                <c:ptCount val="9"/>
                <c:pt idx="0">
                  <c:v>0.3109034584080157</c:v>
                </c:pt>
                <c:pt idx="1">
                  <c:v>0.49007817412511384</c:v>
                </c:pt>
                <c:pt idx="2">
                  <c:v>0.6471663238621338</c:v>
                </c:pt>
                <c:pt idx="3">
                  <c:v>0.71847809479035052</c:v>
                </c:pt>
                <c:pt idx="4">
                  <c:v>0.75612288073340572</c:v>
                </c:pt>
                <c:pt idx="5">
                  <c:v>0.7747061528516439</c:v>
                </c:pt>
                <c:pt idx="6">
                  <c:v>0.7878149002438809</c:v>
                </c:pt>
                <c:pt idx="7">
                  <c:v>0.80361954573502181</c:v>
                </c:pt>
                <c:pt idx="8">
                  <c:v>0.81615401228219664</c:v>
                </c:pt>
              </c:numCache>
            </c:numRef>
          </c:yVal>
          <c:smooth val="1"/>
        </c:ser>
        <c:ser>
          <c:idx val="5"/>
          <c:order val="5"/>
          <c:tx>
            <c:strRef>
              <c:f>'West Texas-DT'!$CI$17</c:f>
              <c:strCache>
                <c:ptCount val="1"/>
                <c:pt idx="0">
                  <c:v>TSS, 12hr DT</c:v>
                </c:pt>
              </c:strCache>
            </c:strRef>
          </c:tx>
          <c:spPr>
            <a:ln w="31750">
              <a:solidFill>
                <a:schemeClr val="accent3"/>
              </a:solidFill>
              <a:prstDash val="sysDash"/>
            </a:ln>
          </c:spPr>
          <c:marker>
            <c:symbol val="none"/>
          </c:marker>
          <c:xVal>
            <c:numRef>
              <c:f>'West Texas-DT'!$CC$18:$CC$26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Texas-DT'!$CI$18:$CI$26</c:f>
              <c:numCache>
                <c:formatCode>0.0%</c:formatCode>
                <c:ptCount val="9"/>
                <c:pt idx="0">
                  <c:v>0.25795959950636149</c:v>
                </c:pt>
                <c:pt idx="1">
                  <c:v>0.43765626010049063</c:v>
                </c:pt>
                <c:pt idx="2">
                  <c:v>0.61635168806746388</c:v>
                </c:pt>
                <c:pt idx="3">
                  <c:v>0.70985684482707956</c:v>
                </c:pt>
                <c:pt idx="4">
                  <c:v>0.75811161225869017</c:v>
                </c:pt>
                <c:pt idx="5">
                  <c:v>0.78117800370228885</c:v>
                </c:pt>
                <c:pt idx="6">
                  <c:v>0.79685043927952282</c:v>
                </c:pt>
                <c:pt idx="7">
                  <c:v>0.81548147386360292</c:v>
                </c:pt>
                <c:pt idx="8">
                  <c:v>0.82701275232862215</c:v>
                </c:pt>
              </c:numCache>
            </c:numRef>
          </c:yVal>
          <c:smooth val="1"/>
        </c:ser>
        <c:axId val="86219776"/>
        <c:axId val="86238336"/>
      </c:scatterChart>
      <c:valAx>
        <c:axId val="8621977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6238336"/>
        <c:crosses val="autoZero"/>
        <c:crossBetween val="midCat"/>
        <c:majorUnit val="0.2"/>
      </c:valAx>
      <c:valAx>
        <c:axId val="86238336"/>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6219776"/>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'West Texas-DT'!$B$10</c:f>
              <c:strCache>
                <c:ptCount val="1"/>
                <c:pt idx="0">
                  <c:v>Runoff</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Texas-DT'!$M$11:$M$19</c:f>
              <c:numCache>
                <c:formatCode>0.0%</c:formatCode>
                <c:ptCount val="9"/>
                <c:pt idx="0">
                  <c:v>0.40979636763896532</c:v>
                </c:pt>
                <c:pt idx="1">
                  <c:v>0.63797468354430376</c:v>
                </c:pt>
                <c:pt idx="2">
                  <c:v>0.83364520271509812</c:v>
                </c:pt>
                <c:pt idx="3">
                  <c:v>0.91478627774720234</c:v>
                </c:pt>
                <c:pt idx="4">
                  <c:v>0.95171528159970653</c:v>
                </c:pt>
                <c:pt idx="5">
                  <c:v>0.97094111172261965</c:v>
                </c:pt>
                <c:pt idx="6">
                  <c:v>0.98084755090809028</c:v>
                </c:pt>
                <c:pt idx="7">
                  <c:v>0.99051550174279945</c:v>
                </c:pt>
                <c:pt idx="8">
                  <c:v>0.99655109154283616</c:v>
                </c:pt>
              </c:numCache>
            </c:numRef>
          </c:yVal>
          <c:smooth val="1"/>
        </c:ser>
        <c:ser>
          <c:idx val="1"/>
          <c:order val="1"/>
          <c:tx>
            <c:strRef>
              <c:f>'West Texas-DT'!$C$10</c:f>
              <c:strCache>
                <c:ptCount val="1"/>
                <c:pt idx="0">
                  <c:v>TSS</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Texas-DT'!$N$11:$N$19</c:f>
              <c:numCache>
                <c:formatCode>0.0%</c:formatCode>
                <c:ptCount val="9"/>
                <c:pt idx="0">
                  <c:v>0.3109034584080157</c:v>
                </c:pt>
                <c:pt idx="1">
                  <c:v>0.49007817412511384</c:v>
                </c:pt>
                <c:pt idx="2">
                  <c:v>0.6471663238621338</c:v>
                </c:pt>
                <c:pt idx="3">
                  <c:v>0.71847809479035052</c:v>
                </c:pt>
                <c:pt idx="4">
                  <c:v>0.75612288073340572</c:v>
                </c:pt>
                <c:pt idx="5">
                  <c:v>0.7747061528516439</c:v>
                </c:pt>
                <c:pt idx="6">
                  <c:v>0.7878149002438809</c:v>
                </c:pt>
                <c:pt idx="7">
                  <c:v>0.80361954573502181</c:v>
                </c:pt>
                <c:pt idx="8">
                  <c:v>0.81615401228219664</c:v>
                </c:pt>
              </c:numCache>
            </c:numRef>
          </c:yVal>
          <c:smooth val="1"/>
        </c:ser>
        <c:axId val="86258432"/>
        <c:axId val="86260352"/>
      </c:scatterChart>
      <c:valAx>
        <c:axId val="8625843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260352"/>
        <c:crosses val="autoZero"/>
        <c:crossBetween val="midCat"/>
        <c:majorUnit val="0.2"/>
      </c:valAx>
      <c:valAx>
        <c:axId val="8626035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625843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'West Texas-DT'!$D$10</c:f>
              <c:strCache>
                <c:ptCount val="1"/>
                <c:pt idx="0">
                  <c:v>Clay</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Texas-DT'!$O$11:$O$19</c:f>
              <c:numCache>
                <c:formatCode>0.0%</c:formatCode>
                <c:ptCount val="9"/>
                <c:pt idx="0">
                  <c:v>1.6139629183439602E-3</c:v>
                </c:pt>
                <c:pt idx="1">
                  <c:v>3.5850498046014162E-3</c:v>
                </c:pt>
                <c:pt idx="2">
                  <c:v>5.7893808950136624E-3</c:v>
                </c:pt>
                <c:pt idx="3">
                  <c:v>8.5417095172332733E-3</c:v>
                </c:pt>
                <c:pt idx="4">
                  <c:v>1.1183263303264478E-2</c:v>
                </c:pt>
                <c:pt idx="5">
                  <c:v>1.3042928921928716E-2</c:v>
                </c:pt>
                <c:pt idx="6">
                  <c:v>1.5502306584785354E-2</c:v>
                </c:pt>
                <c:pt idx="7">
                  <c:v>1.9662680339670321E-2</c:v>
                </c:pt>
                <c:pt idx="8">
                  <c:v>2.4196808979519879E-2</c:v>
                </c:pt>
              </c:numCache>
            </c:numRef>
          </c:yVal>
          <c:smooth val="1"/>
        </c:ser>
        <c:ser>
          <c:idx val="1"/>
          <c:order val="1"/>
          <c:tx>
            <c:strRef>
              <c:f>'West Texas-DT'!$H$10</c:f>
              <c:strCache>
                <c:ptCount val="1"/>
                <c:pt idx="0">
                  <c:v>Silt</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Texas-DT'!$S$11:$S$19</c:f>
              <c:numCache>
                <c:formatCode>0.0%</c:formatCode>
                <c:ptCount val="9"/>
                <c:pt idx="0">
                  <c:v>0.23615843446067053</c:v>
                </c:pt>
                <c:pt idx="1">
                  <c:v>0.38078923397878528</c:v>
                </c:pt>
                <c:pt idx="2">
                  <c:v>0.51248689996963726</c:v>
                </c:pt>
                <c:pt idx="3">
                  <c:v>0.58057571572689259</c:v>
                </c:pt>
                <c:pt idx="4">
                  <c:v>0.62296398593521973</c:v>
                </c:pt>
                <c:pt idx="5">
                  <c:v>0.64279963564775355</c:v>
                </c:pt>
                <c:pt idx="6">
                  <c:v>0.66068717617214656</c:v>
                </c:pt>
                <c:pt idx="7">
                  <c:v>0.68470308230247112</c:v>
                </c:pt>
                <c:pt idx="8">
                  <c:v>0.7053281618820948</c:v>
                </c:pt>
              </c:numCache>
            </c:numRef>
          </c:yVal>
          <c:smooth val="1"/>
        </c:ser>
        <c:ser>
          <c:idx val="2"/>
          <c:order val="2"/>
          <c:tx>
            <c:strRef>
              <c:f>'West Texas-DT'!$I$10</c:f>
              <c:strCache>
                <c:ptCount val="1"/>
                <c:pt idx="0">
                  <c:v>Sand</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Texas-DT'!$T$11:$T$19</c:f>
              <c:numCache>
                <c:formatCode>0.0%</c:formatCode>
                <c:ptCount val="9"/>
                <c:pt idx="0">
                  <c:v>0.40910292950959359</c:v>
                </c:pt>
                <c:pt idx="1">
                  <c:v>0.63708753268886076</c:v>
                </c:pt>
                <c:pt idx="2">
                  <c:v>0.83251549966209271</c:v>
                </c:pt>
                <c:pt idx="3">
                  <c:v>0.9135838744747744</c:v>
                </c:pt>
                <c:pt idx="4">
                  <c:v>0.95045984779478732</c:v>
                </c:pt>
                <c:pt idx="5">
                  <c:v>0.96958834072811684</c:v>
                </c:pt>
                <c:pt idx="6">
                  <c:v>0.97946111127435131</c:v>
                </c:pt>
                <c:pt idx="7">
                  <c:v>0.9890400493638527</c:v>
                </c:pt>
                <c:pt idx="8">
                  <c:v>0.99509299797255601</c:v>
                </c:pt>
              </c:numCache>
            </c:numRef>
          </c:yVal>
          <c:smooth val="1"/>
        </c:ser>
        <c:axId val="86385024"/>
        <c:axId val="86386944"/>
      </c:scatterChart>
      <c:valAx>
        <c:axId val="8638502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386944"/>
        <c:crosses val="autoZero"/>
        <c:crossBetween val="midCat"/>
        <c:majorUnit val="0.2"/>
      </c:valAx>
      <c:valAx>
        <c:axId val="86386944"/>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638502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'Northeast-MF'!$AH$10:$AH$12</c:f>
              <c:numCache>
                <c:formatCode>General</c:formatCode>
                <c:ptCount val="3"/>
              </c:numCache>
            </c:numRef>
          </c:xVal>
          <c:yVal>
            <c:numRef>
              <c:f>'3-ft'!#REF!</c:f>
              <c:numCache>
                <c:formatCode>General</c:formatCode>
                <c:ptCount val="1"/>
                <c:pt idx="0">
                  <c:v>1</c:v>
                </c:pt>
              </c:numCache>
            </c:numRef>
          </c:yVal>
          <c:smooth val="1"/>
        </c:ser>
        <c:axId val="75144576"/>
        <c:axId val="75162752"/>
      </c:scatterChart>
      <c:valAx>
        <c:axId val="7514457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162752"/>
        <c:crosses val="autoZero"/>
        <c:crossBetween val="midCat"/>
        <c:majorUnit val="0.2"/>
      </c:valAx>
      <c:valAx>
        <c:axId val="7516275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51445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11" r="0.75000000000000411"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'West Texas-DT'!$B$10</c:f>
              <c:strCache>
                <c:ptCount val="1"/>
                <c:pt idx="0">
                  <c:v>Runoff</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Texas-DT'!$X$11:$X$19</c:f>
              <c:numCache>
                <c:formatCode>0.0%</c:formatCode>
                <c:ptCount val="9"/>
                <c:pt idx="0">
                  <c:v>0.32474775270592554</c:v>
                </c:pt>
                <c:pt idx="1">
                  <c:v>0.54828471840029347</c:v>
                </c:pt>
                <c:pt idx="2">
                  <c:v>0.76541918913960738</c:v>
                </c:pt>
                <c:pt idx="3">
                  <c:v>0.8753990093560815</c:v>
                </c:pt>
                <c:pt idx="4">
                  <c:v>0.92937075765914512</c:v>
                </c:pt>
                <c:pt idx="5">
                  <c:v>0.95246743716749216</c:v>
                </c:pt>
                <c:pt idx="6">
                  <c:v>0.96699688130618233</c:v>
                </c:pt>
                <c:pt idx="7">
                  <c:v>0.98071913410383416</c:v>
                </c:pt>
                <c:pt idx="8">
                  <c:v>0.98864428545221061</c:v>
                </c:pt>
              </c:numCache>
            </c:numRef>
          </c:yVal>
          <c:smooth val="1"/>
        </c:ser>
        <c:ser>
          <c:idx val="1"/>
          <c:order val="1"/>
          <c:tx>
            <c:strRef>
              <c:f>'West Texas-DT'!$C$10</c:f>
              <c:strCache>
                <c:ptCount val="1"/>
                <c:pt idx="0">
                  <c:v>TSS</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Texas-DT'!$Y$11:$Y$19</c:f>
              <c:numCache>
                <c:formatCode>0.0%</c:formatCode>
                <c:ptCount val="9"/>
                <c:pt idx="0">
                  <c:v>0.25795959950636149</c:v>
                </c:pt>
                <c:pt idx="1">
                  <c:v>0.43765626010049063</c:v>
                </c:pt>
                <c:pt idx="2">
                  <c:v>0.61635168806746388</c:v>
                </c:pt>
                <c:pt idx="3">
                  <c:v>0.70985684482707956</c:v>
                </c:pt>
                <c:pt idx="4">
                  <c:v>0.75811161225869017</c:v>
                </c:pt>
                <c:pt idx="5">
                  <c:v>0.78117800370228885</c:v>
                </c:pt>
                <c:pt idx="6">
                  <c:v>0.79685043927952282</c:v>
                </c:pt>
                <c:pt idx="7">
                  <c:v>0.81548147386360292</c:v>
                </c:pt>
                <c:pt idx="8">
                  <c:v>0.82701275232862215</c:v>
                </c:pt>
              </c:numCache>
            </c:numRef>
          </c:yVal>
          <c:smooth val="1"/>
        </c:ser>
        <c:axId val="86400000"/>
        <c:axId val="86418560"/>
      </c:scatterChart>
      <c:valAx>
        <c:axId val="86400000"/>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6418560"/>
        <c:crosses val="autoZero"/>
        <c:crossBetween val="midCat"/>
        <c:majorUnit val="0.2"/>
      </c:valAx>
      <c:valAx>
        <c:axId val="8641856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6400000"/>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'West Texas-DT'!$D$10</c:f>
              <c:strCache>
                <c:ptCount val="1"/>
                <c:pt idx="0">
                  <c:v>Clay</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Texas-DT'!$Z$11:$Z$19</c:f>
              <c:numCache>
                <c:formatCode>0.0%</c:formatCode>
                <c:ptCount val="9"/>
                <c:pt idx="0">
                  <c:v>2.5587224164781239E-3</c:v>
                </c:pt>
                <c:pt idx="1">
                  <c:v>4.8573443422560451E-3</c:v>
                </c:pt>
                <c:pt idx="2">
                  <c:v>8.6016513384068408E-3</c:v>
                </c:pt>
                <c:pt idx="3">
                  <c:v>1.201657215055975E-2</c:v>
                </c:pt>
                <c:pt idx="4">
                  <c:v>1.5122087385772632E-2</c:v>
                </c:pt>
                <c:pt idx="5">
                  <c:v>1.799194899068551E-2</c:v>
                </c:pt>
                <c:pt idx="6">
                  <c:v>2.0806863926189283E-2</c:v>
                </c:pt>
                <c:pt idx="7">
                  <c:v>2.671289630652602E-2</c:v>
                </c:pt>
                <c:pt idx="8">
                  <c:v>3.0726060000587661E-2</c:v>
                </c:pt>
              </c:numCache>
            </c:numRef>
          </c:yVal>
          <c:smooth val="1"/>
        </c:ser>
        <c:ser>
          <c:idx val="1"/>
          <c:order val="1"/>
          <c:tx>
            <c:strRef>
              <c:f>'West Texas-DT'!$H$10</c:f>
              <c:strCache>
                <c:ptCount val="1"/>
                <c:pt idx="0">
                  <c:v>Silt</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Texas-DT'!$AD$11:$AD$19</c:f>
              <c:numCache>
                <c:formatCode>0.0%</c:formatCode>
                <c:ptCount val="9"/>
                <c:pt idx="0">
                  <c:v>0.21294919636823081</c:v>
                </c:pt>
                <c:pt idx="1">
                  <c:v>0.36363333627165789</c:v>
                </c:pt>
                <c:pt idx="2">
                  <c:v>0.5191471023222558</c:v>
                </c:pt>
                <c:pt idx="3">
                  <c:v>0.60438789802054871</c:v>
                </c:pt>
                <c:pt idx="4">
                  <c:v>0.65139913221481116</c:v>
                </c:pt>
                <c:pt idx="5">
                  <c:v>0.67667753846756573</c:v>
                </c:pt>
                <c:pt idx="6">
                  <c:v>0.69509691573864596</c:v>
                </c:pt>
                <c:pt idx="7">
                  <c:v>0.7206289973457134</c:v>
                </c:pt>
                <c:pt idx="8">
                  <c:v>0.7370258278729469</c:v>
                </c:pt>
              </c:numCache>
            </c:numRef>
          </c:yVal>
          <c:smooth val="1"/>
        </c:ser>
        <c:ser>
          <c:idx val="2"/>
          <c:order val="2"/>
          <c:tx>
            <c:strRef>
              <c:f>'West Texas-DT'!$I$10</c:f>
              <c:strCache>
                <c:ptCount val="1"/>
                <c:pt idx="0">
                  <c:v>Sand</c:v>
                </c:pt>
              </c:strCache>
            </c:strRef>
          </c:tx>
          <c:xVal>
            <c:numRef>
              <c:f>'West Texas-DT'!$A$11:$A$19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Texas-DT'!$AE$11:$AE$19</c:f>
              <c:numCache>
                <c:formatCode>0.0%</c:formatCode>
                <c:ptCount val="9"/>
                <c:pt idx="0">
                  <c:v>0.3240090500396674</c:v>
                </c:pt>
                <c:pt idx="1">
                  <c:v>0.54755678312226364</c:v>
                </c:pt>
                <c:pt idx="2">
                  <c:v>0.76461081891105687</c:v>
                </c:pt>
                <c:pt idx="3">
                  <c:v>0.87456292422060944</c:v>
                </c:pt>
                <c:pt idx="4">
                  <c:v>0.92845179678547296</c:v>
                </c:pt>
                <c:pt idx="5">
                  <c:v>0.95154702788470014</c:v>
                </c:pt>
                <c:pt idx="6">
                  <c:v>0.9660329680016454</c:v>
                </c:pt>
                <c:pt idx="7">
                  <c:v>0.97972556048541126</c:v>
                </c:pt>
                <c:pt idx="8">
                  <c:v>0.98762965357153343</c:v>
                </c:pt>
              </c:numCache>
            </c:numRef>
          </c:yVal>
          <c:smooth val="1"/>
        </c:ser>
        <c:axId val="86522496"/>
        <c:axId val="86541056"/>
      </c:scatterChart>
      <c:valAx>
        <c:axId val="8652249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541056"/>
        <c:crosses val="autoZero"/>
        <c:crossBetween val="midCat"/>
        <c:majorUnit val="0.2"/>
      </c:valAx>
      <c:valAx>
        <c:axId val="8654105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652249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Texas-MF'!$AI$3</c:f>
              <c:strCache>
                <c:ptCount val="1"/>
                <c:pt idx="0">
                  <c:v>Runoff Treated</c:v>
                </c:pt>
              </c:strCache>
            </c:strRef>
          </c:tx>
          <c:xVal>
            <c:numRef>
              <c:f>'West Texas-MF'!$AH$10:$AH$12</c:f>
              <c:numCache>
                <c:formatCode>General</c:formatCode>
                <c:ptCount val="3"/>
              </c:numCache>
            </c:numRef>
          </c:xVal>
          <c:yVal>
            <c:numRef>
              <c:f>'West Texas-MF'!$AI$4:$AI$12</c:f>
              <c:numCache>
                <c:formatCode>0.0%</c:formatCode>
                <c:ptCount val="9"/>
                <c:pt idx="0">
                  <c:v>0.61601424140652239</c:v>
                </c:pt>
                <c:pt idx="1">
                  <c:v>0.77312852135293364</c:v>
                </c:pt>
                <c:pt idx="2">
                  <c:v>0.89752060048817195</c:v>
                </c:pt>
                <c:pt idx="3">
                  <c:v>0.94848501532419383</c:v>
                </c:pt>
                <c:pt idx="4">
                  <c:v>0.97487566297784878</c:v>
                </c:pt>
                <c:pt idx="5">
                  <c:v>0.98847473802051788</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78061568"/>
        <c:axId val="78063488"/>
      </c:scatterChart>
      <c:valAx>
        <c:axId val="7806156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063488"/>
        <c:crosses val="autoZero"/>
        <c:crossBetween val="midCat"/>
        <c:majorUnit val="0.2"/>
      </c:valAx>
      <c:valAx>
        <c:axId val="7806348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06156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78105984"/>
        <c:axId val="78107776"/>
      </c:scatterChart>
      <c:valAx>
        <c:axId val="7810598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107776"/>
        <c:crosses val="autoZero"/>
        <c:crossBetween val="midCat"/>
        <c:majorUnit val="0.2"/>
      </c:valAx>
      <c:valAx>
        <c:axId val="781077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10598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Texas-MF'!$AI$3</c:f>
              <c:strCache>
                <c:ptCount val="1"/>
                <c:pt idx="0">
                  <c:v>Runoff Treated</c:v>
                </c:pt>
              </c:strCache>
            </c:strRef>
          </c:tx>
          <c:xVal>
            <c:numRef>
              <c:f>'West Texas-MF'!$AH$10:$AH$12</c:f>
              <c:numCache>
                <c:formatCode>General</c:formatCode>
                <c:ptCount val="3"/>
              </c:numCache>
            </c:numRef>
          </c:xVal>
          <c:yVal>
            <c:numRef>
              <c:f>'West Texas-MF'!$AI$4:$AI$12</c:f>
              <c:numCache>
                <c:formatCode>0.0%</c:formatCode>
                <c:ptCount val="9"/>
                <c:pt idx="0">
                  <c:v>0.61601424140652239</c:v>
                </c:pt>
                <c:pt idx="1">
                  <c:v>0.77312852135293364</c:v>
                </c:pt>
                <c:pt idx="2">
                  <c:v>0.89752060048817195</c:v>
                </c:pt>
                <c:pt idx="3">
                  <c:v>0.94848501532419383</c:v>
                </c:pt>
                <c:pt idx="4">
                  <c:v>0.97487566297784878</c:v>
                </c:pt>
                <c:pt idx="5">
                  <c:v>0.98847473802051788</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86587264"/>
        <c:axId val="86609920"/>
      </c:scatterChart>
      <c:valAx>
        <c:axId val="8658726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6609920"/>
        <c:crosses val="autoZero"/>
        <c:crossBetween val="midCat"/>
        <c:majorUnit val="0.2"/>
      </c:valAx>
      <c:valAx>
        <c:axId val="866099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658726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86636032"/>
        <c:axId val="86637568"/>
      </c:scatterChart>
      <c:valAx>
        <c:axId val="8663603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6637568"/>
        <c:crosses val="autoZero"/>
        <c:crossBetween val="midCat"/>
        <c:majorUnit val="0.2"/>
      </c:valAx>
      <c:valAx>
        <c:axId val="8663756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663603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Texas-MF'!$AI$3</c:f>
              <c:strCache>
                <c:ptCount val="1"/>
                <c:pt idx="0">
                  <c:v>Runoff Treated</c:v>
                </c:pt>
              </c:strCache>
            </c:strRef>
          </c:tx>
          <c:xVal>
            <c:numRef>
              <c:f>'West Texas-MF'!$AH$10:$AH$12</c:f>
              <c:numCache>
                <c:formatCode>General</c:formatCode>
                <c:ptCount val="3"/>
              </c:numCache>
            </c:numRef>
          </c:xVal>
          <c:yVal>
            <c:numRef>
              <c:f>'West Texas-MF'!$AI$4:$AI$12</c:f>
              <c:numCache>
                <c:formatCode>0.0%</c:formatCode>
                <c:ptCount val="9"/>
                <c:pt idx="0">
                  <c:v>0.61601424140652239</c:v>
                </c:pt>
                <c:pt idx="1">
                  <c:v>0.77312852135293364</c:v>
                </c:pt>
                <c:pt idx="2">
                  <c:v>0.89752060048817195</c:v>
                </c:pt>
                <c:pt idx="3">
                  <c:v>0.94848501532419383</c:v>
                </c:pt>
                <c:pt idx="4">
                  <c:v>0.97487566297784878</c:v>
                </c:pt>
                <c:pt idx="5">
                  <c:v>0.98847473802051788</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3325952"/>
        <c:axId val="3327872"/>
      </c:scatterChart>
      <c:valAx>
        <c:axId val="33259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27872"/>
        <c:crosses val="autoZero"/>
        <c:crossBetween val="midCat"/>
        <c:majorUnit val="0.2"/>
      </c:valAx>
      <c:valAx>
        <c:axId val="33278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33259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Texas-MF'!$AH$10:$AH$12</c:f>
              <c:numCache>
                <c:formatCode>General</c:formatCode>
                <c:ptCount val="3"/>
              </c:numCache>
            </c:numRef>
          </c:xVal>
          <c:yVal>
            <c:numRef>
              <c:f>'3-ft'!#REF!</c:f>
              <c:numCache>
                <c:formatCode>General</c:formatCode>
                <c:ptCount val="1"/>
                <c:pt idx="0">
                  <c:v>1</c:v>
                </c:pt>
              </c:numCache>
            </c:numRef>
          </c:yVal>
          <c:smooth val="1"/>
        </c:ser>
        <c:axId val="85327232"/>
        <c:axId val="3347584"/>
      </c:scatterChart>
      <c:valAx>
        <c:axId val="8532723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47584"/>
        <c:crosses val="autoZero"/>
        <c:crossBetween val="midCat"/>
        <c:majorUnit val="0.2"/>
      </c:valAx>
      <c:valAx>
        <c:axId val="334758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532723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'West Texas-MF'!$A$30:$A$35</c:f>
              <c:numCache>
                <c:formatCode>0</c:formatCode>
                <c:ptCount val="6"/>
                <c:pt idx="0">
                  <c:v>100</c:v>
                </c:pt>
                <c:pt idx="1">
                  <c:v>200</c:v>
                </c:pt>
                <c:pt idx="2">
                  <c:v>400</c:v>
                </c:pt>
                <c:pt idx="3">
                  <c:v>600</c:v>
                </c:pt>
                <c:pt idx="4">
                  <c:v>800</c:v>
                </c:pt>
                <c:pt idx="5">
                  <c:v>1000</c:v>
                </c:pt>
              </c:numCache>
            </c:numRef>
          </c:xVal>
          <c:yVal>
            <c:numRef>
              <c:f>'West Texas-MF'!$B$30:$B$35</c:f>
              <c:numCache>
                <c:formatCode>0.0%</c:formatCode>
                <c:ptCount val="6"/>
                <c:pt idx="0">
                  <c:v>0.11421204279762888</c:v>
                </c:pt>
                <c:pt idx="1">
                  <c:v>0.20409623960799428</c:v>
                </c:pt>
                <c:pt idx="2">
                  <c:v>0.34979537154288021</c:v>
                </c:pt>
                <c:pt idx="3">
                  <c:v>0.46576373212942063</c:v>
                </c:pt>
                <c:pt idx="4">
                  <c:v>0.56073702949219106</c:v>
                </c:pt>
                <c:pt idx="5">
                  <c:v>0.63766998843803335</c:v>
                </c:pt>
              </c:numCache>
            </c:numRef>
          </c:yVal>
          <c:smooth val="1"/>
        </c:ser>
        <c:ser>
          <c:idx val="1"/>
          <c:order val="1"/>
          <c:tx>
            <c:v>%Treated_5 in/hr</c:v>
          </c:tx>
          <c:xVal>
            <c:numRef>
              <c:f>'West Texas-MF'!$A$30:$A$35</c:f>
              <c:numCache>
                <c:formatCode>0</c:formatCode>
                <c:ptCount val="6"/>
                <c:pt idx="0">
                  <c:v>100</c:v>
                </c:pt>
                <c:pt idx="1">
                  <c:v>200</c:v>
                </c:pt>
                <c:pt idx="2">
                  <c:v>400</c:v>
                </c:pt>
                <c:pt idx="3">
                  <c:v>600</c:v>
                </c:pt>
                <c:pt idx="4">
                  <c:v>800</c:v>
                </c:pt>
                <c:pt idx="5">
                  <c:v>1000</c:v>
                </c:pt>
              </c:numCache>
            </c:numRef>
          </c:xVal>
          <c:yVal>
            <c:numRef>
              <c:f>'West Texas-MF'!$C$30:$C$35</c:f>
              <c:numCache>
                <c:formatCode>0.0%</c:formatCode>
                <c:ptCount val="6"/>
                <c:pt idx="0">
                  <c:v>0.22362311659233974</c:v>
                </c:pt>
                <c:pt idx="1">
                  <c:v>0.37104736735854943</c:v>
                </c:pt>
                <c:pt idx="2">
                  <c:v>0.57009671676852214</c:v>
                </c:pt>
                <c:pt idx="3">
                  <c:v>0.69364458881609137</c:v>
                </c:pt>
                <c:pt idx="4">
                  <c:v>0.772522894529171</c:v>
                </c:pt>
                <c:pt idx="5">
                  <c:v>0.82785516342748078</c:v>
                </c:pt>
              </c:numCache>
            </c:numRef>
          </c:yVal>
          <c:smooth val="1"/>
        </c:ser>
        <c:ser>
          <c:idx val="0"/>
          <c:order val="2"/>
          <c:tx>
            <c:v>%Treated_50 in/hr</c:v>
          </c:tx>
          <c:xVal>
            <c:numRef>
              <c:f>'West Texas-MF'!$A$30:$A$35</c:f>
              <c:numCache>
                <c:formatCode>0</c:formatCode>
                <c:ptCount val="6"/>
                <c:pt idx="0">
                  <c:v>100</c:v>
                </c:pt>
                <c:pt idx="1">
                  <c:v>200</c:v>
                </c:pt>
                <c:pt idx="2">
                  <c:v>400</c:v>
                </c:pt>
                <c:pt idx="3">
                  <c:v>600</c:v>
                </c:pt>
                <c:pt idx="4">
                  <c:v>800</c:v>
                </c:pt>
                <c:pt idx="5">
                  <c:v>1000</c:v>
                </c:pt>
              </c:numCache>
            </c:numRef>
          </c:xVal>
          <c:yVal>
            <c:numRef>
              <c:f>'West Texas-MF'!$D$30:$D$35</c:f>
              <c:numCache>
                <c:formatCode>0.0%</c:formatCode>
                <c:ptCount val="6"/>
                <c:pt idx="0">
                  <c:v>0.61601424140652239</c:v>
                </c:pt>
                <c:pt idx="1">
                  <c:v>0.77312852135293364</c:v>
                </c:pt>
                <c:pt idx="2">
                  <c:v>0.89752060048817195</c:v>
                </c:pt>
                <c:pt idx="3">
                  <c:v>0.94848501532419383</c:v>
                </c:pt>
                <c:pt idx="4">
                  <c:v>0.97487566297784878</c:v>
                </c:pt>
                <c:pt idx="5">
                  <c:v>0.98847473802051788</c:v>
                </c:pt>
              </c:numCache>
            </c:numRef>
          </c:yVal>
          <c:smooth val="1"/>
        </c:ser>
        <c:axId val="3385984"/>
        <c:axId val="83755776"/>
      </c:scatterChart>
      <c:scatterChart>
        <c:scatterStyle val="smoothMarker"/>
        <c:ser>
          <c:idx val="5"/>
          <c:order val="3"/>
          <c:tx>
            <c:v>Contact Time_1 in/hr</c:v>
          </c:tx>
          <c:spPr>
            <a:ln>
              <a:solidFill>
                <a:schemeClr val="accent3">
                  <a:lumMod val="75000"/>
                </a:schemeClr>
              </a:solidFill>
            </a:ln>
          </c:spPr>
          <c:marker>
            <c:symbol val="none"/>
          </c:marker>
          <c:xVal>
            <c:numRef>
              <c:f>'West Texas-MF'!$A$30:$A$35</c:f>
              <c:numCache>
                <c:formatCode>0</c:formatCode>
                <c:ptCount val="6"/>
                <c:pt idx="0">
                  <c:v>100</c:v>
                </c:pt>
                <c:pt idx="1">
                  <c:v>200</c:v>
                </c:pt>
                <c:pt idx="2">
                  <c:v>400</c:v>
                </c:pt>
                <c:pt idx="3">
                  <c:v>600</c:v>
                </c:pt>
                <c:pt idx="4">
                  <c:v>800</c:v>
                </c:pt>
                <c:pt idx="5">
                  <c:v>1000</c:v>
                </c:pt>
              </c:numCache>
            </c:numRef>
          </c:xVal>
          <c:yVal>
            <c:numRef>
              <c:f>'West Texas-MF'!$E$30:$E$35</c:f>
              <c:numCache>
                <c:formatCode>0.0</c:formatCode>
                <c:ptCount val="6"/>
                <c:pt idx="0">
                  <c:v>8.1847221637599201</c:v>
                </c:pt>
                <c:pt idx="1">
                  <c:v>9.3184982840651021</c:v>
                </c:pt>
                <c:pt idx="2">
                  <c:v>10.968365666508408</c:v>
                </c:pt>
                <c:pt idx="3">
                  <c:v>12.092566871894801</c:v>
                </c:pt>
                <c:pt idx="4">
                  <c:v>13.072993995760616</c:v>
                </c:pt>
                <c:pt idx="5">
                  <c:v>13.952672534762087</c:v>
                </c:pt>
              </c:numCache>
            </c:numRef>
          </c:yVal>
          <c:smooth val="1"/>
        </c:ser>
        <c:ser>
          <c:idx val="4"/>
          <c:order val="4"/>
          <c:tx>
            <c:v>Contact Time_5 in/hr</c:v>
          </c:tx>
          <c:spPr>
            <a:ln>
              <a:solidFill>
                <a:srgbClr val="8A0000"/>
              </a:solidFill>
            </a:ln>
          </c:spPr>
          <c:marker>
            <c:symbol val="none"/>
          </c:marker>
          <c:xVal>
            <c:numRef>
              <c:f>'West Texas-MF'!$A$30:$A$35</c:f>
              <c:numCache>
                <c:formatCode>0</c:formatCode>
                <c:ptCount val="6"/>
                <c:pt idx="0">
                  <c:v>100</c:v>
                </c:pt>
                <c:pt idx="1">
                  <c:v>200</c:v>
                </c:pt>
                <c:pt idx="2">
                  <c:v>400</c:v>
                </c:pt>
                <c:pt idx="3">
                  <c:v>600</c:v>
                </c:pt>
                <c:pt idx="4">
                  <c:v>800</c:v>
                </c:pt>
                <c:pt idx="5">
                  <c:v>1000</c:v>
                </c:pt>
              </c:numCache>
            </c:numRef>
          </c:xVal>
          <c:yVal>
            <c:numRef>
              <c:f>'West Texas-MF'!$F$30:$F$35</c:f>
              <c:numCache>
                <c:formatCode>0.0</c:formatCode>
                <c:ptCount val="6"/>
                <c:pt idx="0">
                  <c:v>2.2180143321748962</c:v>
                </c:pt>
                <c:pt idx="1">
                  <c:v>2.6420877022140696</c:v>
                </c:pt>
                <c:pt idx="2">
                  <c:v>3.2457445969944403</c:v>
                </c:pt>
                <c:pt idx="3">
                  <c:v>3.8020748465591225</c:v>
                </c:pt>
                <c:pt idx="4">
                  <c:v>4.3376151791744899</c:v>
                </c:pt>
                <c:pt idx="5">
                  <c:v>4.8674387815270972</c:v>
                </c:pt>
              </c:numCache>
            </c:numRef>
          </c:yVal>
          <c:smooth val="1"/>
        </c:ser>
        <c:ser>
          <c:idx val="3"/>
          <c:order val="5"/>
          <c:tx>
            <c:v>Contact Time_50 in/hr</c:v>
          </c:tx>
          <c:spPr>
            <a:ln>
              <a:solidFill>
                <a:schemeClr val="accent1">
                  <a:lumMod val="75000"/>
                </a:schemeClr>
              </a:solidFill>
            </a:ln>
          </c:spPr>
          <c:marker>
            <c:symbol val="none"/>
          </c:marker>
          <c:xVal>
            <c:numRef>
              <c:f>'West Texas-MF'!$A$30:$A$35</c:f>
              <c:numCache>
                <c:formatCode>0</c:formatCode>
                <c:ptCount val="6"/>
                <c:pt idx="0">
                  <c:v>100</c:v>
                </c:pt>
                <c:pt idx="1">
                  <c:v>200</c:v>
                </c:pt>
                <c:pt idx="2">
                  <c:v>400</c:v>
                </c:pt>
                <c:pt idx="3">
                  <c:v>600</c:v>
                </c:pt>
                <c:pt idx="4">
                  <c:v>800</c:v>
                </c:pt>
                <c:pt idx="5">
                  <c:v>1000</c:v>
                </c:pt>
              </c:numCache>
            </c:numRef>
          </c:xVal>
          <c:yVal>
            <c:numRef>
              <c:f>'West Texas-MF'!$G$30:$G$35</c:f>
              <c:numCache>
                <c:formatCode>0.0</c:formatCode>
                <c:ptCount val="6"/>
                <c:pt idx="0">
                  <c:v>0.59621759557368048</c:v>
                </c:pt>
                <c:pt idx="1">
                  <c:v>0.9020223340729917</c:v>
                </c:pt>
                <c:pt idx="2">
                  <c:v>1.4894536045841125</c:v>
                </c:pt>
                <c:pt idx="3">
                  <c:v>2.0807324178110695</c:v>
                </c:pt>
                <c:pt idx="4">
                  <c:v>2.6723167077058161</c:v>
                </c:pt>
                <c:pt idx="5">
                  <c:v>3.2752399347197891</c:v>
                </c:pt>
              </c:numCache>
            </c:numRef>
          </c:yVal>
          <c:smooth val="1"/>
        </c:ser>
        <c:axId val="83763968"/>
        <c:axId val="83757696"/>
      </c:scatterChart>
      <c:valAx>
        <c:axId val="3385984"/>
        <c:scaling>
          <c:orientation val="minMax"/>
          <c:min val="0"/>
        </c:scaling>
        <c:axPos val="b"/>
        <c:title>
          <c:tx>
            <c:rich>
              <a:bodyPr/>
              <a:lstStyle/>
              <a:p>
                <a:pPr>
                  <a:defRPr/>
                </a:pPr>
                <a:r>
                  <a:rPr lang="en-US"/>
                  <a:t>Filter Area (SF)</a:t>
                </a:r>
              </a:p>
            </c:rich>
          </c:tx>
        </c:title>
        <c:numFmt formatCode="0" sourceLinked="1"/>
        <c:tickLblPos val="nextTo"/>
        <c:crossAx val="83755776"/>
        <c:crosses val="autoZero"/>
        <c:crossBetween val="midCat"/>
      </c:valAx>
      <c:valAx>
        <c:axId val="83755776"/>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3385984"/>
        <c:crosses val="autoZero"/>
        <c:crossBetween val="midCat"/>
      </c:valAx>
      <c:valAx>
        <c:axId val="83757696"/>
        <c:scaling>
          <c:orientation val="minMax"/>
          <c:max val="20"/>
        </c:scaling>
        <c:axPos val="r"/>
        <c:title>
          <c:tx>
            <c:rich>
              <a:bodyPr rot="-5400000" vert="horz"/>
              <a:lstStyle/>
              <a:p>
                <a:pPr>
                  <a:defRPr/>
                </a:pPr>
                <a:r>
                  <a:rPr lang="en-US"/>
                  <a:t>Contact Time (hrs)</a:t>
                </a:r>
              </a:p>
            </c:rich>
          </c:tx>
        </c:title>
        <c:numFmt formatCode="0.0" sourceLinked="1"/>
        <c:tickLblPos val="nextTo"/>
        <c:crossAx val="83763968"/>
        <c:crosses val="max"/>
        <c:crossBetween val="midCat"/>
      </c:valAx>
      <c:valAx>
        <c:axId val="83763968"/>
        <c:scaling>
          <c:orientation val="minMax"/>
        </c:scaling>
        <c:delete val="1"/>
        <c:axPos val="b"/>
        <c:numFmt formatCode="0" sourceLinked="1"/>
        <c:tickLblPos val="none"/>
        <c:crossAx val="83757696"/>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7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102976"/>
        <c:axId val="87104896"/>
      </c:scatterChart>
      <c:valAx>
        <c:axId val="871029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104896"/>
        <c:crosses val="autoZero"/>
        <c:crossBetween val="midCat"/>
        <c:majorUnit val="0.2"/>
      </c:valAx>
      <c:valAx>
        <c:axId val="8710489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10297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99" l="0.70000000000000062" r="0.70000000000000062" t="0.7500000000000069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45"/>
          <c:w val="0.70400843589565953"/>
          <c:h val="0.62871198243076765"/>
        </c:manualLayout>
      </c:layout>
      <c:scatterChart>
        <c:scatterStyle val="smoothMarker"/>
        <c:ser>
          <c:idx val="2"/>
          <c:order val="0"/>
          <c:tx>
            <c:v>%Treated_1 in/hr</c:v>
          </c:tx>
          <c:xVal>
            <c:numRef>
              <c:f>'Northeast-MF'!$A$30:$A$35</c:f>
              <c:numCache>
                <c:formatCode>0</c:formatCode>
                <c:ptCount val="6"/>
                <c:pt idx="0">
                  <c:v>100</c:v>
                </c:pt>
                <c:pt idx="1">
                  <c:v>200</c:v>
                </c:pt>
                <c:pt idx="2">
                  <c:v>400</c:v>
                </c:pt>
                <c:pt idx="3">
                  <c:v>600</c:v>
                </c:pt>
                <c:pt idx="4">
                  <c:v>800</c:v>
                </c:pt>
                <c:pt idx="5">
                  <c:v>1000</c:v>
                </c:pt>
              </c:numCache>
            </c:numRef>
          </c:xVal>
          <c:yVal>
            <c:numRef>
              <c:f>'Northeast-MF'!$B$30:$B$35</c:f>
              <c:numCache>
                <c:formatCode>0.0%</c:formatCode>
                <c:ptCount val="6"/>
                <c:pt idx="0">
                  <c:v>0.18313774246697193</c:v>
                </c:pt>
                <c:pt idx="1">
                  <c:v>0.31838351982695012</c:v>
                </c:pt>
                <c:pt idx="2">
                  <c:v>0.51839160627103742</c:v>
                </c:pt>
                <c:pt idx="3">
                  <c:v>0.64981653879976953</c:v>
                </c:pt>
                <c:pt idx="4">
                  <c:v>0.74122368115150961</c:v>
                </c:pt>
                <c:pt idx="5">
                  <c:v>0.80834116707604287</c:v>
                </c:pt>
              </c:numCache>
            </c:numRef>
          </c:yVal>
          <c:smooth val="1"/>
        </c:ser>
        <c:ser>
          <c:idx val="1"/>
          <c:order val="1"/>
          <c:tx>
            <c:v>%Treated_5 in/hr</c:v>
          </c:tx>
          <c:xVal>
            <c:numRef>
              <c:f>'Northeast-MF'!$A$30:$A$35</c:f>
              <c:numCache>
                <c:formatCode>0</c:formatCode>
                <c:ptCount val="6"/>
                <c:pt idx="0">
                  <c:v>100</c:v>
                </c:pt>
                <c:pt idx="1">
                  <c:v>200</c:v>
                </c:pt>
                <c:pt idx="2">
                  <c:v>400</c:v>
                </c:pt>
                <c:pt idx="3">
                  <c:v>600</c:v>
                </c:pt>
                <c:pt idx="4">
                  <c:v>800</c:v>
                </c:pt>
                <c:pt idx="5">
                  <c:v>1000</c:v>
                </c:pt>
              </c:numCache>
            </c:numRef>
          </c:xVal>
          <c:yVal>
            <c:numRef>
              <c:f>'Northeast-MF'!$C$30:$C$35</c:f>
              <c:numCache>
                <c:formatCode>0.0%</c:formatCode>
                <c:ptCount val="6"/>
                <c:pt idx="0">
                  <c:v>0.37164286219688469</c:v>
                </c:pt>
                <c:pt idx="1">
                  <c:v>0.57144878753878969</c:v>
                </c:pt>
                <c:pt idx="2">
                  <c:v>0.77864370116545878</c:v>
                </c:pt>
                <c:pt idx="3">
                  <c:v>0.86866603996724989</c:v>
                </c:pt>
                <c:pt idx="4">
                  <c:v>0.91413207184805567</c:v>
                </c:pt>
                <c:pt idx="5">
                  <c:v>0.94351618805025728</c:v>
                </c:pt>
              </c:numCache>
            </c:numRef>
          </c:yVal>
          <c:smooth val="1"/>
        </c:ser>
        <c:ser>
          <c:idx val="0"/>
          <c:order val="2"/>
          <c:tx>
            <c:v>%Treated_50 in/hr</c:v>
          </c:tx>
          <c:xVal>
            <c:numRef>
              <c:f>'Northeast-MF'!$A$30:$A$35</c:f>
              <c:numCache>
                <c:formatCode>0</c:formatCode>
                <c:ptCount val="6"/>
                <c:pt idx="0">
                  <c:v>100</c:v>
                </c:pt>
                <c:pt idx="1">
                  <c:v>200</c:v>
                </c:pt>
                <c:pt idx="2">
                  <c:v>400</c:v>
                </c:pt>
                <c:pt idx="3">
                  <c:v>600</c:v>
                </c:pt>
                <c:pt idx="4">
                  <c:v>800</c:v>
                </c:pt>
                <c:pt idx="5">
                  <c:v>1000</c:v>
                </c:pt>
              </c:numCache>
            </c:numRef>
          </c:xVal>
          <c:yVal>
            <c:numRef>
              <c:f>'Northeast-MF'!$D$30:$D$35</c:f>
              <c:numCache>
                <c:formatCode>0.0%</c:formatCode>
                <c:ptCount val="6"/>
                <c:pt idx="0">
                  <c:v>0.8136276798981108</c:v>
                </c:pt>
                <c:pt idx="1">
                  <c:v>0.91375807380901841</c:v>
                </c:pt>
                <c:pt idx="2">
                  <c:v>0.96932205274383154</c:v>
                </c:pt>
                <c:pt idx="3">
                  <c:v>0.98684942030303946</c:v>
                </c:pt>
                <c:pt idx="4">
                  <c:v>0.99408678776116688</c:v>
                </c:pt>
                <c:pt idx="5">
                  <c:v>0.9972607170654294</c:v>
                </c:pt>
              </c:numCache>
            </c:numRef>
          </c:yVal>
          <c:smooth val="1"/>
        </c:ser>
        <c:axId val="75197056"/>
        <c:axId val="75215616"/>
      </c:scatterChart>
      <c:scatterChart>
        <c:scatterStyle val="smoothMarker"/>
        <c:ser>
          <c:idx val="5"/>
          <c:order val="3"/>
          <c:tx>
            <c:v>Contact Time_1 in/hr</c:v>
          </c:tx>
          <c:spPr>
            <a:ln>
              <a:solidFill>
                <a:schemeClr val="accent3">
                  <a:lumMod val="75000"/>
                </a:schemeClr>
              </a:solidFill>
            </a:ln>
          </c:spPr>
          <c:marker>
            <c:symbol val="none"/>
          </c:marker>
          <c:xVal>
            <c:numRef>
              <c:f>'Northeast-MF'!$A$30:$A$35</c:f>
              <c:numCache>
                <c:formatCode>0</c:formatCode>
                <c:ptCount val="6"/>
                <c:pt idx="0">
                  <c:v>100</c:v>
                </c:pt>
                <c:pt idx="1">
                  <c:v>200</c:v>
                </c:pt>
                <c:pt idx="2">
                  <c:v>400</c:v>
                </c:pt>
                <c:pt idx="3">
                  <c:v>600</c:v>
                </c:pt>
                <c:pt idx="4">
                  <c:v>800</c:v>
                </c:pt>
                <c:pt idx="5">
                  <c:v>1000</c:v>
                </c:pt>
              </c:numCache>
            </c:numRef>
          </c:xVal>
          <c:yVal>
            <c:numRef>
              <c:f>'Northeast-MF'!$E$30:$E$35</c:f>
              <c:numCache>
                <c:formatCode>0.0</c:formatCode>
                <c:ptCount val="6"/>
                <c:pt idx="0">
                  <c:v>8.0719184874608505</c:v>
                </c:pt>
                <c:pt idx="1">
                  <c:v>9.2784789656881852</c:v>
                </c:pt>
                <c:pt idx="2">
                  <c:v>11.221887168733899</c:v>
                </c:pt>
                <c:pt idx="3">
                  <c:v>12.848468829614619</c:v>
                </c:pt>
                <c:pt idx="4">
                  <c:v>14.389968136499128</c:v>
                </c:pt>
                <c:pt idx="5">
                  <c:v>15.817493243670741</c:v>
                </c:pt>
              </c:numCache>
            </c:numRef>
          </c:yVal>
          <c:smooth val="1"/>
        </c:ser>
        <c:ser>
          <c:idx val="4"/>
          <c:order val="4"/>
          <c:tx>
            <c:v>Contact Time_5 in/hr</c:v>
          </c:tx>
          <c:spPr>
            <a:ln>
              <a:solidFill>
                <a:srgbClr val="8A0000"/>
              </a:solidFill>
            </a:ln>
          </c:spPr>
          <c:marker>
            <c:symbol val="none"/>
          </c:marker>
          <c:xVal>
            <c:numRef>
              <c:f>'Northeast-MF'!$A$30:$A$35</c:f>
              <c:numCache>
                <c:formatCode>0</c:formatCode>
                <c:ptCount val="6"/>
                <c:pt idx="0">
                  <c:v>100</c:v>
                </c:pt>
                <c:pt idx="1">
                  <c:v>200</c:v>
                </c:pt>
                <c:pt idx="2">
                  <c:v>400</c:v>
                </c:pt>
                <c:pt idx="3">
                  <c:v>600</c:v>
                </c:pt>
                <c:pt idx="4">
                  <c:v>800</c:v>
                </c:pt>
                <c:pt idx="5">
                  <c:v>1000</c:v>
                </c:pt>
              </c:numCache>
            </c:numRef>
          </c:xVal>
          <c:yVal>
            <c:numRef>
              <c:f>'Northeast-MF'!$F$30:$F$35</c:f>
              <c:numCache>
                <c:formatCode>0.0</c:formatCode>
                <c:ptCount val="6"/>
                <c:pt idx="0">
                  <c:v>2.3430146699495649</c:v>
                </c:pt>
                <c:pt idx="1">
                  <c:v>2.9745211021025613</c:v>
                </c:pt>
                <c:pt idx="2">
                  <c:v>4.1639155082058874</c:v>
                </c:pt>
                <c:pt idx="3">
                  <c:v>5.3360165873887055</c:v>
                </c:pt>
                <c:pt idx="4">
                  <c:v>6.4833724651171405</c:v>
                </c:pt>
                <c:pt idx="5">
                  <c:v>7.656197363643126</c:v>
                </c:pt>
              </c:numCache>
            </c:numRef>
          </c:yVal>
          <c:smooth val="1"/>
        </c:ser>
        <c:ser>
          <c:idx val="3"/>
          <c:order val="5"/>
          <c:tx>
            <c:v>Contact Time_50 in/hr</c:v>
          </c:tx>
          <c:spPr>
            <a:ln>
              <a:solidFill>
                <a:schemeClr val="accent1">
                  <a:lumMod val="75000"/>
                </a:schemeClr>
              </a:solidFill>
            </a:ln>
          </c:spPr>
          <c:marker>
            <c:symbol val="none"/>
          </c:marker>
          <c:xVal>
            <c:numRef>
              <c:f>'Northeast-MF'!$A$30:$A$35</c:f>
              <c:numCache>
                <c:formatCode>0</c:formatCode>
                <c:ptCount val="6"/>
                <c:pt idx="0">
                  <c:v>100</c:v>
                </c:pt>
                <c:pt idx="1">
                  <c:v>200</c:v>
                </c:pt>
                <c:pt idx="2">
                  <c:v>400</c:v>
                </c:pt>
                <c:pt idx="3">
                  <c:v>600</c:v>
                </c:pt>
                <c:pt idx="4">
                  <c:v>800</c:v>
                </c:pt>
                <c:pt idx="5">
                  <c:v>1000</c:v>
                </c:pt>
              </c:numCache>
            </c:numRef>
          </c:xVal>
          <c:yVal>
            <c:numRef>
              <c:f>'Northeast-MF'!$G$30:$G$35</c:f>
              <c:numCache>
                <c:formatCode>0.0</c:formatCode>
                <c:ptCount val="6"/>
                <c:pt idx="0">
                  <c:v>0.85957492791850243</c:v>
                </c:pt>
                <c:pt idx="1">
                  <c:v>1.4666750476669388</c:v>
                </c:pt>
                <c:pt idx="2">
                  <c:v>2.6743381968083679</c:v>
                </c:pt>
                <c:pt idx="3">
                  <c:v>3.8991566681149248</c:v>
                </c:pt>
                <c:pt idx="4">
                  <c:v>5.1442030343449048</c:v>
                </c:pt>
                <c:pt idx="5">
                  <c:v>6.4073695734156404</c:v>
                </c:pt>
              </c:numCache>
            </c:numRef>
          </c:yVal>
          <c:smooth val="1"/>
        </c:ser>
        <c:axId val="75232000"/>
        <c:axId val="75217536"/>
      </c:scatterChart>
      <c:valAx>
        <c:axId val="75197056"/>
        <c:scaling>
          <c:orientation val="minMax"/>
          <c:min val="0"/>
        </c:scaling>
        <c:axPos val="b"/>
        <c:title>
          <c:tx>
            <c:rich>
              <a:bodyPr/>
              <a:lstStyle/>
              <a:p>
                <a:pPr>
                  <a:defRPr/>
                </a:pPr>
                <a:r>
                  <a:rPr lang="en-US"/>
                  <a:t>Filter Area (SF)</a:t>
                </a:r>
              </a:p>
            </c:rich>
          </c:tx>
        </c:title>
        <c:numFmt formatCode="0" sourceLinked="1"/>
        <c:tickLblPos val="nextTo"/>
        <c:crossAx val="75215616"/>
        <c:crosses val="autoZero"/>
        <c:crossBetween val="midCat"/>
      </c:valAx>
      <c:valAx>
        <c:axId val="75215616"/>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75197056"/>
        <c:crosses val="autoZero"/>
        <c:crossBetween val="midCat"/>
      </c:valAx>
      <c:valAx>
        <c:axId val="75217536"/>
        <c:scaling>
          <c:orientation val="minMax"/>
          <c:max val="20"/>
        </c:scaling>
        <c:axPos val="r"/>
        <c:title>
          <c:tx>
            <c:rich>
              <a:bodyPr rot="-5400000" vert="horz"/>
              <a:lstStyle/>
              <a:p>
                <a:pPr>
                  <a:defRPr/>
                </a:pPr>
                <a:r>
                  <a:rPr lang="en-US"/>
                  <a:t>Contact Time (hrs)</a:t>
                </a:r>
              </a:p>
            </c:rich>
          </c:tx>
        </c:title>
        <c:numFmt formatCode="0.0" sourceLinked="1"/>
        <c:tickLblPos val="nextTo"/>
        <c:crossAx val="75232000"/>
        <c:crosses val="max"/>
        <c:crossBetween val="midCat"/>
      </c:valAx>
      <c:valAx>
        <c:axId val="75232000"/>
        <c:scaling>
          <c:orientation val="minMax"/>
        </c:scaling>
        <c:delete val="1"/>
        <c:axPos val="b"/>
        <c:numFmt formatCode="0" sourceLinked="1"/>
        <c:tickLblPos val="none"/>
        <c:crossAx val="75217536"/>
        <c:crosses val="autoZero"/>
        <c:crossBetween val="midCat"/>
      </c:valAx>
    </c:plotArea>
    <c:legend>
      <c:legendPos val="t"/>
      <c:layout>
        <c:manualLayout>
          <c:xMode val="edge"/>
          <c:yMode val="edge"/>
          <c:x val="6.2969804727488282E-2"/>
          <c:y val="2.8128341100219608E-2"/>
          <c:w val="0.82942973037461265"/>
          <c:h val="0.12203192115109983"/>
        </c:manualLayout>
      </c:layout>
    </c:legend>
    <c:plotVisOnly val="1"/>
  </c:chart>
  <c:txPr>
    <a:bodyPr/>
    <a:lstStyle/>
    <a:p>
      <a:pPr>
        <a:defRPr sz="1100"/>
      </a:pPr>
      <a:endParaRPr lang="en-US"/>
    </a:p>
  </c:txPr>
  <c:printSettings>
    <c:headerFooter/>
    <c:pageMargins b="0.750000000000004" l="0.70000000000000062" r="0.70000000000000062" t="0.750000000000004"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155840"/>
        <c:axId val="87157376"/>
      </c:scatterChart>
      <c:valAx>
        <c:axId val="8715584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157376"/>
        <c:crosses val="autoZero"/>
        <c:crossBetween val="midCat"/>
        <c:majorUnit val="0.2"/>
      </c:valAx>
      <c:valAx>
        <c:axId val="871573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15584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22" l="0.70000000000000062" r="0.70000000000000062" t="0.750000000000007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7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072128"/>
        <c:axId val="87082496"/>
      </c:scatterChart>
      <c:valAx>
        <c:axId val="8707212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082496"/>
        <c:crosses val="autoZero"/>
        <c:crossBetween val="midCat"/>
        <c:majorUnit val="0.2"/>
      </c:valAx>
      <c:valAx>
        <c:axId val="8708249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0721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11" r="0.75000000000000611"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170048"/>
        <c:axId val="87200512"/>
      </c:scatterChart>
      <c:valAx>
        <c:axId val="8717004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200512"/>
        <c:crosses val="autoZero"/>
        <c:crossBetween val="midCat"/>
        <c:majorUnit val="0.2"/>
      </c:valAx>
      <c:valAx>
        <c:axId val="8720051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17004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11" r="0.75000000000000611"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7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225856"/>
        <c:axId val="87227776"/>
      </c:scatterChart>
      <c:valAx>
        <c:axId val="872258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227776"/>
        <c:crosses val="autoZero"/>
        <c:crossBetween val="midCat"/>
        <c:majorUnit val="0.2"/>
      </c:valAx>
      <c:valAx>
        <c:axId val="8722777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22585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11" r="0.75000000000000611"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7262336"/>
        <c:axId val="87263872"/>
      </c:scatterChart>
      <c:valAx>
        <c:axId val="8726233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263872"/>
        <c:crosses val="autoZero"/>
        <c:crossBetween val="midCat"/>
        <c:majorUnit val="0.2"/>
      </c:valAx>
      <c:valAx>
        <c:axId val="8726387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2623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11" r="0.75000000000000611"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'Southwest-DT'!$B$10</c:f>
              <c:strCache>
                <c:ptCount val="1"/>
                <c:pt idx="0">
                  <c:v>Runoff</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'Southwest-DT'!$B$11:$B$19</c:f>
              <c:numCache>
                <c:formatCode>0.0%</c:formatCode>
                <c:ptCount val="9"/>
                <c:pt idx="0">
                  <c:v>0.57202762703502719</c:v>
                </c:pt>
                <c:pt idx="1">
                  <c:v>0.80717457185143426</c:v>
                </c:pt>
                <c:pt idx="2">
                  <c:v>0.94220875325956732</c:v>
                </c:pt>
                <c:pt idx="3">
                  <c:v>0.98519980266403551</c:v>
                </c:pt>
                <c:pt idx="4">
                  <c:v>0.99689900627246464</c:v>
                </c:pt>
                <c:pt idx="5">
                  <c:v>0.99975333004440059</c:v>
                </c:pt>
                <c:pt idx="6">
                  <c:v>1</c:v>
                </c:pt>
                <c:pt idx="7">
                  <c:v>1</c:v>
                </c:pt>
                <c:pt idx="8">
                  <c:v>1</c:v>
                </c:pt>
              </c:numCache>
            </c:numRef>
          </c:yVal>
          <c:smooth val="1"/>
        </c:ser>
        <c:ser>
          <c:idx val="1"/>
          <c:order val="1"/>
          <c:tx>
            <c:strRef>
              <c:f>'Southwest-DT'!$C$10</c:f>
              <c:strCache>
                <c:ptCount val="1"/>
                <c:pt idx="0">
                  <c:v>TSS</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'Southwest-DT'!$C$11:$C$19</c:f>
              <c:numCache>
                <c:formatCode>0.0%</c:formatCode>
                <c:ptCount val="9"/>
                <c:pt idx="0">
                  <c:v>0.40689416097533443</c:v>
                </c:pt>
                <c:pt idx="1">
                  <c:v>0.58361967037308793</c:v>
                </c:pt>
                <c:pt idx="2">
                  <c:v>0.6974060676186713</c:v>
                </c:pt>
                <c:pt idx="3">
                  <c:v>0.74321005249195682</c:v>
                </c:pt>
                <c:pt idx="4">
                  <c:v>0.76239812044928601</c:v>
                </c:pt>
                <c:pt idx="5">
                  <c:v>0.77339913642264491</c:v>
                </c:pt>
                <c:pt idx="6">
                  <c:v>0.78109262290455495</c:v>
                </c:pt>
                <c:pt idx="7">
                  <c:v>0.79266122932776428</c:v>
                </c:pt>
                <c:pt idx="8">
                  <c:v>0.80210487102782624</c:v>
                </c:pt>
              </c:numCache>
            </c:numRef>
          </c:yVal>
          <c:smooth val="1"/>
        </c:ser>
        <c:axId val="87285120"/>
        <c:axId val="87320064"/>
      </c:scatterChart>
      <c:valAx>
        <c:axId val="87285120"/>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7320064"/>
        <c:crosses val="autoZero"/>
        <c:crossBetween val="midCat"/>
        <c:majorUnit val="0.2"/>
      </c:valAx>
      <c:valAx>
        <c:axId val="87320064"/>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7285120"/>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'Southwest-DT'!$D$10</c:f>
              <c:strCache>
                <c:ptCount val="1"/>
                <c:pt idx="0">
                  <c:v>Clay</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'Southwest-DT'!$D$11:$D$19</c:f>
              <c:numCache>
                <c:formatCode>0.0%</c:formatCode>
                <c:ptCount val="9"/>
                <c:pt idx="0">
                  <c:v>1.1902127899757293E-3</c:v>
                </c:pt>
                <c:pt idx="1">
                  <c:v>2.2263362871818028E-3</c:v>
                </c:pt>
                <c:pt idx="2">
                  <c:v>4.1590562736354914E-3</c:v>
                </c:pt>
                <c:pt idx="3">
                  <c:v>6.0704408195518429E-3</c:v>
                </c:pt>
                <c:pt idx="4">
                  <c:v>7.9274143478015469E-3</c:v>
                </c:pt>
                <c:pt idx="5">
                  <c:v>9.7730992831743524E-3</c:v>
                </c:pt>
                <c:pt idx="6">
                  <c:v>1.1568549980244961E-2</c:v>
                </c:pt>
                <c:pt idx="7">
                  <c:v>1.5007055370548061E-2</c:v>
                </c:pt>
                <c:pt idx="8">
                  <c:v>1.8470395665180332E-2</c:v>
                </c:pt>
              </c:numCache>
            </c:numRef>
          </c:yVal>
          <c:smooth val="1"/>
        </c:ser>
        <c:ser>
          <c:idx val="1"/>
          <c:order val="1"/>
          <c:tx>
            <c:strRef>
              <c:f>'Southwest-DT'!$H$10</c:f>
              <c:strCache>
                <c:ptCount val="1"/>
                <c:pt idx="0">
                  <c:v>Silt</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'Southwest-DT'!$H$11:$H$19</c:f>
              <c:numCache>
                <c:formatCode>0.0%</c:formatCode>
                <c:ptCount val="9"/>
                <c:pt idx="0">
                  <c:v>0.26953265225489648</c:v>
                </c:pt>
                <c:pt idx="1">
                  <c:v>0.40137438618276233</c:v>
                </c:pt>
                <c:pt idx="2">
                  <c:v>0.50431901563470127</c:v>
                </c:pt>
                <c:pt idx="3">
                  <c:v>0.5584184681379466</c:v>
                </c:pt>
                <c:pt idx="4">
                  <c:v>0.58805855016838815</c:v>
                </c:pt>
                <c:pt idx="5">
                  <c:v>0.60916445598389501</c:v>
                </c:pt>
                <c:pt idx="6">
                  <c:v>0.62587345487385004</c:v>
                </c:pt>
                <c:pt idx="7">
                  <c:v>0.65138755620778543</c:v>
                </c:pt>
                <c:pt idx="8">
                  <c:v>0.67205132546894686</c:v>
                </c:pt>
              </c:numCache>
            </c:numRef>
          </c:yVal>
          <c:smooth val="1"/>
        </c:ser>
        <c:ser>
          <c:idx val="2"/>
          <c:order val="2"/>
          <c:tx>
            <c:strRef>
              <c:f>'Southwest-DT'!$I$10</c:f>
              <c:strCache>
                <c:ptCount val="1"/>
                <c:pt idx="0">
                  <c:v>Sand</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'Southwest-DT'!$I$11:$I$19</c:f>
              <c:numCache>
                <c:formatCode>0.0%</c:formatCode>
                <c:ptCount val="9"/>
                <c:pt idx="0">
                  <c:v>0.57108991364226447</c:v>
                </c:pt>
                <c:pt idx="1">
                  <c:v>0.80577975955297165</c:v>
                </c:pt>
                <c:pt idx="2">
                  <c:v>0.94050911553874805</c:v>
                </c:pt>
                <c:pt idx="3">
                  <c:v>0.9832364395778066</c:v>
                </c:pt>
                <c:pt idx="4">
                  <c:v>0.9947508043122425</c:v>
                </c:pt>
                <c:pt idx="5">
                  <c:v>0.99757295253146694</c:v>
                </c:pt>
                <c:pt idx="6">
                  <c:v>0.9977422814246204</c:v>
                </c:pt>
                <c:pt idx="7">
                  <c:v>0.99757295253146694</c:v>
                </c:pt>
                <c:pt idx="8">
                  <c:v>0.99751650956708238</c:v>
                </c:pt>
              </c:numCache>
            </c:numRef>
          </c:yVal>
          <c:smooth val="1"/>
        </c:ser>
        <c:axId val="87353216"/>
        <c:axId val="87355392"/>
      </c:scatterChart>
      <c:valAx>
        <c:axId val="873532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7355392"/>
        <c:crosses val="autoZero"/>
        <c:crossBetween val="midCat"/>
        <c:majorUnit val="0.2"/>
      </c:valAx>
      <c:valAx>
        <c:axId val="87355392"/>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7353216"/>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'Southwest-DT'!$CD$17</c:f>
              <c:strCache>
                <c:ptCount val="1"/>
                <c:pt idx="0">
                  <c:v>Runoff, 3hr DT</c:v>
                </c:pt>
              </c:strCache>
            </c:strRef>
          </c:tx>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'Southwest-DT'!$CE$17</c:f>
              <c:strCache>
                <c:ptCount val="1"/>
                <c:pt idx="0">
                  <c:v>Runoff, 6hr DT</c:v>
                </c:pt>
              </c:strCache>
            </c:strRef>
          </c:tx>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'Southwest-DT'!$CF$17</c:f>
              <c:strCache>
                <c:ptCount val="1"/>
                <c:pt idx="0">
                  <c:v>Runoff, 12hr DT</c:v>
                </c:pt>
              </c:strCache>
            </c:strRef>
          </c:tx>
          <c:spPr>
            <a:ln w="31750"/>
          </c:spPr>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'Southwest-DT'!$CG$17</c:f>
              <c:strCache>
                <c:ptCount val="1"/>
                <c:pt idx="0">
                  <c:v>TSS, 3hr DT</c:v>
                </c:pt>
              </c:strCache>
            </c:strRef>
          </c:tx>
          <c:spPr>
            <a:ln w="31750">
              <a:solidFill>
                <a:schemeClr val="accent1"/>
              </a:solidFill>
              <a:prstDash val="sysDash"/>
            </a:ln>
          </c:spPr>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'Southwest-DT'!$CG$18:$CG$26</c:f>
              <c:numCache>
                <c:formatCode>0.0%</c:formatCode>
                <c:ptCount val="9"/>
                <c:pt idx="0">
                  <c:v>0.40689416097533443</c:v>
                </c:pt>
                <c:pt idx="1">
                  <c:v>0.58361967037308793</c:v>
                </c:pt>
                <c:pt idx="2">
                  <c:v>0.6974060676186713</c:v>
                </c:pt>
                <c:pt idx="3">
                  <c:v>0.74321005249195682</c:v>
                </c:pt>
                <c:pt idx="4">
                  <c:v>0.76239812044928601</c:v>
                </c:pt>
                <c:pt idx="5">
                  <c:v>0.77339913642264491</c:v>
                </c:pt>
                <c:pt idx="6">
                  <c:v>0.78109262290455495</c:v>
                </c:pt>
                <c:pt idx="7">
                  <c:v>0.79266122932776428</c:v>
                </c:pt>
                <c:pt idx="8">
                  <c:v>0.80210487102782624</c:v>
                </c:pt>
              </c:numCache>
            </c:numRef>
          </c:yVal>
          <c:smooth val="1"/>
        </c:ser>
        <c:ser>
          <c:idx val="4"/>
          <c:order val="4"/>
          <c:tx>
            <c:strRef>
              <c:f>'Southwest-DT'!$CH$17</c:f>
              <c:strCache>
                <c:ptCount val="1"/>
                <c:pt idx="0">
                  <c:v>TSS, 6hr DT</c:v>
                </c:pt>
              </c:strCache>
            </c:strRef>
          </c:tx>
          <c:spPr>
            <a:ln w="31750">
              <a:solidFill>
                <a:schemeClr val="accent2"/>
              </a:solidFill>
              <a:prstDash val="sysDash"/>
            </a:ln>
          </c:spPr>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'Southwest-DT'!$CH$18:$CH$26</c:f>
              <c:numCache>
                <c:formatCode>0.0%</c:formatCode>
                <c:ptCount val="9"/>
                <c:pt idx="0">
                  <c:v>0.33529775357001745</c:v>
                </c:pt>
                <c:pt idx="1">
                  <c:v>0.52715101032906253</c:v>
                </c:pt>
                <c:pt idx="2">
                  <c:v>0.68429198509905731</c:v>
                </c:pt>
                <c:pt idx="3">
                  <c:v>0.75141906078907261</c:v>
                </c:pt>
                <c:pt idx="4">
                  <c:v>0.78450773268612062</c:v>
                </c:pt>
                <c:pt idx="5">
                  <c:v>0.79410456059152223</c:v>
                </c:pt>
                <c:pt idx="6">
                  <c:v>0.80198546593667097</c:v>
                </c:pt>
                <c:pt idx="7">
                  <c:v>0.81118098436529884</c:v>
                </c:pt>
                <c:pt idx="8">
                  <c:v>0.81973813286673813</c:v>
                </c:pt>
              </c:numCache>
            </c:numRef>
          </c:yVal>
          <c:smooth val="1"/>
        </c:ser>
        <c:ser>
          <c:idx val="5"/>
          <c:order val="5"/>
          <c:tx>
            <c:strRef>
              <c:f>'Southwest-DT'!$CI$17</c:f>
              <c:strCache>
                <c:ptCount val="1"/>
                <c:pt idx="0">
                  <c:v>TSS, 12hr DT</c:v>
                </c:pt>
              </c:strCache>
            </c:strRef>
          </c:tx>
          <c:spPr>
            <a:ln w="31750">
              <a:solidFill>
                <a:schemeClr val="accent3"/>
              </a:solidFill>
              <a:prstDash val="sysDash"/>
            </a:ln>
          </c:spPr>
          <c:marker>
            <c:symbol val="none"/>
          </c:marker>
          <c:xVal>
            <c:numRef>
              <c:f>'Southwest-DT'!$CC$18:$CC$26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'Southwest-DT'!$CI$18:$CI$26</c:f>
              <c:numCache>
                <c:formatCode>0.0%</c:formatCode>
                <c:ptCount val="9"/>
                <c:pt idx="0">
                  <c:v>0.27329299542811991</c:v>
                </c:pt>
                <c:pt idx="1">
                  <c:v>0.46324417790822375</c:v>
                </c:pt>
                <c:pt idx="2">
                  <c:v>0.65612852062990346</c:v>
                </c:pt>
                <c:pt idx="3">
                  <c:v>0.74034339899531521</c:v>
                </c:pt>
                <c:pt idx="4">
                  <c:v>0.78487531749167472</c:v>
                </c:pt>
                <c:pt idx="5">
                  <c:v>0.80757769374047528</c:v>
                </c:pt>
                <c:pt idx="6">
                  <c:v>0.82054213467291293</c:v>
                </c:pt>
                <c:pt idx="7">
                  <c:v>0.82972114353445847</c:v>
                </c:pt>
                <c:pt idx="8">
                  <c:v>0.83507560535079295</c:v>
                </c:pt>
              </c:numCache>
            </c:numRef>
          </c:yVal>
          <c:smooth val="1"/>
        </c:ser>
        <c:axId val="87475328"/>
        <c:axId val="87477248"/>
      </c:scatterChart>
      <c:valAx>
        <c:axId val="87475328"/>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7477248"/>
        <c:crosses val="autoZero"/>
        <c:crossBetween val="midCat"/>
        <c:majorUnit val="0.2"/>
      </c:valAx>
      <c:valAx>
        <c:axId val="87477248"/>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7475328"/>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'Southwest-DT'!$B$10</c:f>
              <c:strCache>
                <c:ptCount val="1"/>
                <c:pt idx="0">
                  <c:v>Runoff</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'Southwest-DT'!$M$11:$M$19</c:f>
              <c:numCache>
                <c:formatCode>0.0%</c:formatCode>
                <c:ptCount val="9"/>
                <c:pt idx="0">
                  <c:v>0.44798787793361056</c:v>
                </c:pt>
                <c:pt idx="1">
                  <c:v>0.69427020931707661</c:v>
                </c:pt>
                <c:pt idx="2">
                  <c:v>0.88797660159278313</c:v>
                </c:pt>
                <c:pt idx="3">
                  <c:v>0.96190711114243432</c:v>
                </c:pt>
                <c:pt idx="4">
                  <c:v>0.99147226724927762</c:v>
                </c:pt>
                <c:pt idx="5">
                  <c:v>0.997815208964691</c:v>
                </c:pt>
                <c:pt idx="6">
                  <c:v>1</c:v>
                </c:pt>
                <c:pt idx="7">
                  <c:v>1</c:v>
                </c:pt>
                <c:pt idx="8">
                  <c:v>1</c:v>
                </c:pt>
              </c:numCache>
            </c:numRef>
          </c:yVal>
          <c:smooth val="1"/>
        </c:ser>
        <c:ser>
          <c:idx val="1"/>
          <c:order val="1"/>
          <c:tx>
            <c:strRef>
              <c:f>'Southwest-DT'!$C$10</c:f>
              <c:strCache>
                <c:ptCount val="1"/>
                <c:pt idx="0">
                  <c:v>TSS</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'Southwest-DT'!$N$11:$N$19</c:f>
              <c:numCache>
                <c:formatCode>0.0%</c:formatCode>
                <c:ptCount val="9"/>
                <c:pt idx="0">
                  <c:v>0.33529775357001745</c:v>
                </c:pt>
                <c:pt idx="1">
                  <c:v>0.52715101032906253</c:v>
                </c:pt>
                <c:pt idx="2">
                  <c:v>0.68429198509905731</c:v>
                </c:pt>
                <c:pt idx="3">
                  <c:v>0.75141906078907261</c:v>
                </c:pt>
                <c:pt idx="4">
                  <c:v>0.78450773268612062</c:v>
                </c:pt>
                <c:pt idx="5">
                  <c:v>0.79410456059152223</c:v>
                </c:pt>
                <c:pt idx="6">
                  <c:v>0.80198546593667097</c:v>
                </c:pt>
                <c:pt idx="7">
                  <c:v>0.81118098436529884</c:v>
                </c:pt>
                <c:pt idx="8">
                  <c:v>0.81973813286673813</c:v>
                </c:pt>
              </c:numCache>
            </c:numRef>
          </c:yVal>
          <c:smooth val="1"/>
        </c:ser>
        <c:axId val="87526016"/>
        <c:axId val="87532288"/>
      </c:scatterChart>
      <c:valAx>
        <c:axId val="875260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7532288"/>
        <c:crosses val="autoZero"/>
        <c:crossBetween val="midCat"/>
        <c:majorUnit val="0.2"/>
      </c:valAx>
      <c:valAx>
        <c:axId val="87532288"/>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7526016"/>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'Southwest-DT'!$D$10</c:f>
              <c:strCache>
                <c:ptCount val="1"/>
                <c:pt idx="0">
                  <c:v>Clay</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'Southwest-DT'!$O$11:$O$19</c:f>
              <c:numCache>
                <c:formatCode>0.0%</c:formatCode>
                <c:ptCount val="9"/>
                <c:pt idx="0">
                  <c:v>1.4830953321668455E-3</c:v>
                </c:pt>
                <c:pt idx="1">
                  <c:v>3.1895354744031156E-3</c:v>
                </c:pt>
                <c:pt idx="2">
                  <c:v>5.1714172828356943E-3</c:v>
                </c:pt>
                <c:pt idx="3">
                  <c:v>7.6384263701529597E-3</c:v>
                </c:pt>
                <c:pt idx="4">
                  <c:v>1.0056442964384489E-2</c:v>
                </c:pt>
                <c:pt idx="5">
                  <c:v>1.1785855393125247E-2</c:v>
                </c:pt>
                <c:pt idx="6">
                  <c:v>1.4084212902861657E-2</c:v>
                </c:pt>
                <c:pt idx="7">
                  <c:v>1.8037478128351301E-2</c:v>
                </c:pt>
                <c:pt idx="8">
                  <c:v>2.2357622622340124E-2</c:v>
                </c:pt>
              </c:numCache>
            </c:numRef>
          </c:yVal>
          <c:smooth val="1"/>
        </c:ser>
        <c:ser>
          <c:idx val="1"/>
          <c:order val="1"/>
          <c:tx>
            <c:strRef>
              <c:f>'Southwest-DT'!$H$10</c:f>
              <c:strCache>
                <c:ptCount val="1"/>
                <c:pt idx="0">
                  <c:v>Silt</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'Southwest-DT'!$S$11:$S$19</c:f>
              <c:numCache>
                <c:formatCode>0.0%</c:formatCode>
                <c:ptCount val="9"/>
                <c:pt idx="0">
                  <c:v>0.24785441478053097</c:v>
                </c:pt>
                <c:pt idx="1">
                  <c:v>0.40052040413162499</c:v>
                </c:pt>
                <c:pt idx="2">
                  <c:v>0.53445466689243848</c:v>
                </c:pt>
                <c:pt idx="3">
                  <c:v>0.60125867810577416</c:v>
                </c:pt>
                <c:pt idx="4">
                  <c:v>0.64172075784086846</c:v>
                </c:pt>
                <c:pt idx="5">
                  <c:v>0.65589358619781379</c:v>
                </c:pt>
                <c:pt idx="6">
                  <c:v>0.67076818874527289</c:v>
                </c:pt>
                <c:pt idx="7">
                  <c:v>0.69082613685537431</c:v>
                </c:pt>
                <c:pt idx="8">
                  <c:v>0.70936200635924063</c:v>
                </c:pt>
              </c:numCache>
            </c:numRef>
          </c:yVal>
          <c:smooth val="1"/>
        </c:ser>
        <c:ser>
          <c:idx val="2"/>
          <c:order val="2"/>
          <c:tx>
            <c:strRef>
              <c:f>'Southwest-DT'!$I$10</c:f>
              <c:strCache>
                <c:ptCount val="1"/>
                <c:pt idx="0">
                  <c:v>Sand</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'Southwest-DT'!$T$11:$T$19</c:f>
              <c:numCache>
                <c:formatCode>0.0%</c:formatCode>
                <c:ptCount val="9"/>
                <c:pt idx="0">
                  <c:v>0.44737822430434043</c:v>
                </c:pt>
                <c:pt idx="1">
                  <c:v>0.69351470339222221</c:v>
                </c:pt>
                <c:pt idx="2">
                  <c:v>0.88705762826663648</c:v>
                </c:pt>
                <c:pt idx="3">
                  <c:v>0.96094146864593322</c:v>
                </c:pt>
                <c:pt idx="4">
                  <c:v>0.99046113901902122</c:v>
                </c:pt>
                <c:pt idx="5">
                  <c:v>0.99672630806569962</c:v>
                </c:pt>
                <c:pt idx="6">
                  <c:v>0.9988711407123102</c:v>
                </c:pt>
                <c:pt idx="7">
                  <c:v>0.99881469774792564</c:v>
                </c:pt>
                <c:pt idx="8">
                  <c:v>0.99881469774792564</c:v>
                </c:pt>
              </c:numCache>
            </c:numRef>
          </c:yVal>
          <c:smooth val="1"/>
        </c:ser>
        <c:axId val="87554304"/>
        <c:axId val="87638400"/>
      </c:scatterChart>
      <c:valAx>
        <c:axId val="8755430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7638400"/>
        <c:crosses val="autoZero"/>
        <c:crossBetween val="midCat"/>
        <c:majorUnit val="0.2"/>
      </c:valAx>
      <c:valAx>
        <c:axId val="8763840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755430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73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335168"/>
        <c:axId val="75337088"/>
      </c:scatterChart>
      <c:valAx>
        <c:axId val="7533516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337088"/>
        <c:crosses val="autoZero"/>
        <c:crossBetween val="midCat"/>
        <c:majorUnit val="0.2"/>
      </c:valAx>
      <c:valAx>
        <c:axId val="7533708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533516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55" l="0.70000000000000062" r="0.70000000000000062" t="0.7500000000000085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'Southwest-DT'!$B$10</c:f>
              <c:strCache>
                <c:ptCount val="1"/>
                <c:pt idx="0">
                  <c:v>Runoff</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'Southwest-DT'!$X$11:$X$19</c:f>
              <c:numCache>
                <c:formatCode>0.0%</c:formatCode>
                <c:ptCount val="9"/>
                <c:pt idx="0">
                  <c:v>0.34663471703432236</c:v>
                </c:pt>
                <c:pt idx="1">
                  <c:v>0.58397350059905562</c:v>
                </c:pt>
                <c:pt idx="2">
                  <c:v>0.8185566283740926</c:v>
                </c:pt>
                <c:pt idx="3">
                  <c:v>0.91602649940094438</c:v>
                </c:pt>
                <c:pt idx="4">
                  <c:v>0.96550144478116851</c:v>
                </c:pt>
                <c:pt idx="5">
                  <c:v>0.98791317217562902</c:v>
                </c:pt>
                <c:pt idx="6">
                  <c:v>0.99869617309183167</c:v>
                </c:pt>
                <c:pt idx="7">
                  <c:v>1</c:v>
                </c:pt>
                <c:pt idx="8">
                  <c:v>1</c:v>
                </c:pt>
              </c:numCache>
            </c:numRef>
          </c:yVal>
          <c:smooth val="1"/>
        </c:ser>
        <c:ser>
          <c:idx val="1"/>
          <c:order val="1"/>
          <c:tx>
            <c:strRef>
              <c:f>'Southwest-DT'!$C$10</c:f>
              <c:strCache>
                <c:ptCount val="1"/>
                <c:pt idx="0">
                  <c:v>TSS</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'Southwest-DT'!$Y$11:$Y$19</c:f>
              <c:numCache>
                <c:formatCode>0.0%</c:formatCode>
                <c:ptCount val="9"/>
                <c:pt idx="0">
                  <c:v>0.27329299542811991</c:v>
                </c:pt>
                <c:pt idx="1">
                  <c:v>0.46324417790822375</c:v>
                </c:pt>
                <c:pt idx="2">
                  <c:v>0.65612852062990346</c:v>
                </c:pt>
                <c:pt idx="3">
                  <c:v>0.74034339899531521</c:v>
                </c:pt>
                <c:pt idx="4">
                  <c:v>0.78487531749167472</c:v>
                </c:pt>
                <c:pt idx="5">
                  <c:v>0.80757769374047528</c:v>
                </c:pt>
                <c:pt idx="6">
                  <c:v>0.82054213467291293</c:v>
                </c:pt>
                <c:pt idx="7">
                  <c:v>0.82972114353445847</c:v>
                </c:pt>
                <c:pt idx="8">
                  <c:v>0.83507560535079295</c:v>
                </c:pt>
              </c:numCache>
            </c:numRef>
          </c:yVal>
          <c:smooth val="1"/>
        </c:ser>
        <c:axId val="87671936"/>
        <c:axId val="87673856"/>
      </c:scatterChart>
      <c:valAx>
        <c:axId val="87671936"/>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7673856"/>
        <c:crosses val="autoZero"/>
        <c:crossBetween val="midCat"/>
        <c:majorUnit val="0.2"/>
      </c:valAx>
      <c:valAx>
        <c:axId val="87673856"/>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7671936"/>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'Southwest-DT'!$D$10</c:f>
              <c:strCache>
                <c:ptCount val="1"/>
                <c:pt idx="0">
                  <c:v>Clay</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'Southwest-DT'!$Z$11:$Z$19</c:f>
              <c:numCache>
                <c:formatCode>0.0%</c:formatCode>
                <c:ptCount val="9"/>
                <c:pt idx="0">
                  <c:v>2.2611051532426484E-3</c:v>
                </c:pt>
                <c:pt idx="1">
                  <c:v>4.2751030084100016E-3</c:v>
                </c:pt>
                <c:pt idx="2">
                  <c:v>7.5622283682338989E-3</c:v>
                </c:pt>
                <c:pt idx="3">
                  <c:v>1.0581926962804087E-2</c:v>
                </c:pt>
                <c:pt idx="4">
                  <c:v>1.3361178529096348E-2</c:v>
                </c:pt>
                <c:pt idx="5">
                  <c:v>1.5972230061522829E-2</c:v>
                </c:pt>
                <c:pt idx="6">
                  <c:v>1.8569735282497037E-2</c:v>
                </c:pt>
                <c:pt idx="7">
                  <c:v>2.4072359880340916E-2</c:v>
                </c:pt>
                <c:pt idx="8">
                  <c:v>2.7927414347801546E-2</c:v>
                </c:pt>
              </c:numCache>
            </c:numRef>
          </c:yVal>
          <c:smooth val="1"/>
        </c:ser>
        <c:ser>
          <c:idx val="1"/>
          <c:order val="1"/>
          <c:tx>
            <c:strRef>
              <c:f>'Southwest-DT'!$H$10</c:f>
              <c:strCache>
                <c:ptCount val="1"/>
                <c:pt idx="0">
                  <c:v>Silt</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'Southwest-DT'!$AD$11:$AD$19</c:f>
              <c:numCache>
                <c:formatCode>0.0%</c:formatCode>
                <c:ptCount val="9"/>
                <c:pt idx="0">
                  <c:v>0.22264604617034486</c:v>
                </c:pt>
                <c:pt idx="1">
                  <c:v>0.38086583507365812</c:v>
                </c:pt>
                <c:pt idx="2">
                  <c:v>0.54855411939568399</c:v>
                </c:pt>
                <c:pt idx="3">
                  <c:v>0.62705499426163203</c:v>
                </c:pt>
                <c:pt idx="4">
                  <c:v>0.67076818874527289</c:v>
                </c:pt>
                <c:pt idx="5">
                  <c:v>0.69603017817162427</c:v>
                </c:pt>
                <c:pt idx="6">
                  <c:v>0.71263569829354112</c:v>
                </c:pt>
                <c:pt idx="7">
                  <c:v>0.73097966171850004</c:v>
                </c:pt>
                <c:pt idx="8">
                  <c:v>0.7425128407743975</c:v>
                </c:pt>
              </c:numCache>
            </c:numRef>
          </c:yVal>
          <c:smooth val="1"/>
        </c:ser>
        <c:ser>
          <c:idx val="2"/>
          <c:order val="2"/>
          <c:tx>
            <c:strRef>
              <c:f>'Southwest-DT'!$I$10</c:f>
              <c:strCache>
                <c:ptCount val="1"/>
                <c:pt idx="0">
                  <c:v>Sand</c:v>
                </c:pt>
              </c:strCache>
            </c:strRef>
          </c:tx>
          <c:xVal>
            <c:numRef>
              <c:f>'Southwest-DT'!$A$11:$A$19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'Southwest-DT'!$AE$11:$AE$19</c:f>
              <c:numCache>
                <c:formatCode>0.0%</c:formatCode>
                <c:ptCount val="9"/>
                <c:pt idx="0">
                  <c:v>0.34597843878760515</c:v>
                </c:pt>
                <c:pt idx="1">
                  <c:v>0.58328159394931423</c:v>
                </c:pt>
                <c:pt idx="2">
                  <c:v>0.81780211096686806</c:v>
                </c:pt>
                <c:pt idx="3">
                  <c:v>0.91527911045888122</c:v>
                </c:pt>
                <c:pt idx="4">
                  <c:v>0.9647231472596941</c:v>
                </c:pt>
                <c:pt idx="5">
                  <c:v>0.98713100412033639</c:v>
                </c:pt>
                <c:pt idx="6">
                  <c:v>0.99785516735338942</c:v>
                </c:pt>
                <c:pt idx="7">
                  <c:v>0.99915335553423268</c:v>
                </c:pt>
                <c:pt idx="8">
                  <c:v>0.99909691256984812</c:v>
                </c:pt>
              </c:numCache>
            </c:numRef>
          </c:yVal>
          <c:smooth val="1"/>
        </c:ser>
        <c:axId val="87581440"/>
        <c:axId val="87583360"/>
      </c:scatterChart>
      <c:valAx>
        <c:axId val="87581440"/>
        <c:scaling>
          <c:orientation val="minMax"/>
          <c:max val="2"/>
          <c:min val="0"/>
        </c:scaling>
        <c:axPos val="b"/>
        <c:majorGridlines/>
        <c:title>
          <c:tx>
            <c:rich>
              <a:bodyPr/>
              <a:lstStyle/>
              <a:p>
                <a:pPr>
                  <a:defRPr/>
                </a:pPr>
                <a:r>
                  <a:rPr lang="en-US"/>
                  <a:t>Unit Basin Size (in)</a:t>
                </a:r>
              </a:p>
            </c:rich>
          </c:tx>
        </c:title>
        <c:numFmt formatCode="0.0" sourceLinked="0"/>
        <c:tickLblPos val="nextTo"/>
        <c:crossAx val="87583360"/>
        <c:crosses val="autoZero"/>
        <c:crossBetween val="midCat"/>
        <c:majorUnit val="0.2"/>
      </c:valAx>
      <c:valAx>
        <c:axId val="8758336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7581440"/>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'Southwest-MF'!$AI$3</c:f>
              <c:strCache>
                <c:ptCount val="1"/>
                <c:pt idx="0">
                  <c:v>Runoff Treated</c:v>
                </c:pt>
              </c:strCache>
            </c:strRef>
          </c:tx>
          <c:xVal>
            <c:numRef>
              <c:f>'Southwest-MF'!$AH$10:$AH$12</c:f>
              <c:numCache>
                <c:formatCode>General</c:formatCode>
                <c:ptCount val="3"/>
              </c:numCache>
            </c:numRef>
          </c:xVal>
          <c:yVal>
            <c:numRef>
              <c:f>'Southwest-MF'!$AI$4:$AI$12</c:f>
              <c:numCache>
                <c:formatCode>0.0%</c:formatCode>
                <c:ptCount val="9"/>
                <c:pt idx="0">
                  <c:v>0.69108056938503615</c:v>
                </c:pt>
                <c:pt idx="1">
                  <c:v>0.83826519879391348</c:v>
                </c:pt>
                <c:pt idx="2">
                  <c:v>0.93867891452212326</c:v>
                </c:pt>
                <c:pt idx="3">
                  <c:v>0.9760185120258047</c:v>
                </c:pt>
                <c:pt idx="4">
                  <c:v>0.99246195918939761</c:v>
                </c:pt>
                <c:pt idx="5">
                  <c:v>0.99733539022508944</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824256"/>
        <c:axId val="87830528"/>
      </c:scatterChart>
      <c:valAx>
        <c:axId val="878242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830528"/>
        <c:crosses val="autoZero"/>
        <c:crossBetween val="midCat"/>
        <c:majorUnit val="0.2"/>
      </c:valAx>
      <c:valAx>
        <c:axId val="8783052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82425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868928"/>
        <c:axId val="87870464"/>
      </c:scatterChart>
      <c:valAx>
        <c:axId val="878689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870464"/>
        <c:crosses val="autoZero"/>
        <c:crossBetween val="midCat"/>
        <c:majorUnit val="0.2"/>
      </c:valAx>
      <c:valAx>
        <c:axId val="878704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86892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'Southwest-MF'!$AI$3</c:f>
              <c:strCache>
                <c:ptCount val="1"/>
                <c:pt idx="0">
                  <c:v>Runoff Treated</c:v>
                </c:pt>
              </c:strCache>
            </c:strRef>
          </c:tx>
          <c:xVal>
            <c:numRef>
              <c:f>'Southwest-MF'!$AH$10:$AH$12</c:f>
              <c:numCache>
                <c:formatCode>General</c:formatCode>
                <c:ptCount val="3"/>
              </c:numCache>
            </c:numRef>
          </c:xVal>
          <c:yVal>
            <c:numRef>
              <c:f>'Southwest-MF'!$AI$4:$AI$12</c:f>
              <c:numCache>
                <c:formatCode>0.0%</c:formatCode>
                <c:ptCount val="9"/>
                <c:pt idx="0">
                  <c:v>0.69108056938503615</c:v>
                </c:pt>
                <c:pt idx="1">
                  <c:v>0.83826519879391348</c:v>
                </c:pt>
                <c:pt idx="2">
                  <c:v>0.93867891452212326</c:v>
                </c:pt>
                <c:pt idx="3">
                  <c:v>0.9760185120258047</c:v>
                </c:pt>
                <c:pt idx="4">
                  <c:v>0.99246195918939761</c:v>
                </c:pt>
                <c:pt idx="5">
                  <c:v>0.99733539022508944</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728128"/>
        <c:axId val="87730048"/>
      </c:scatterChart>
      <c:valAx>
        <c:axId val="8772812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730048"/>
        <c:crosses val="autoZero"/>
        <c:crossBetween val="midCat"/>
        <c:majorUnit val="0.2"/>
      </c:valAx>
      <c:valAx>
        <c:axId val="8773004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7281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891328"/>
        <c:axId val="87905408"/>
      </c:scatterChart>
      <c:valAx>
        <c:axId val="878913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905408"/>
        <c:crosses val="autoZero"/>
        <c:crossBetween val="midCat"/>
        <c:majorUnit val="0.2"/>
      </c:valAx>
      <c:valAx>
        <c:axId val="879054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8913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'Southwest-MF'!$AI$3</c:f>
              <c:strCache>
                <c:ptCount val="1"/>
                <c:pt idx="0">
                  <c:v>Runoff Treated</c:v>
                </c:pt>
              </c:strCache>
            </c:strRef>
          </c:tx>
          <c:xVal>
            <c:numRef>
              <c:f>'Southwest-MF'!$AH$10:$AH$12</c:f>
              <c:numCache>
                <c:formatCode>General</c:formatCode>
                <c:ptCount val="3"/>
              </c:numCache>
            </c:numRef>
          </c:xVal>
          <c:yVal>
            <c:numRef>
              <c:f>'Southwest-MF'!$AI$4:$AI$12</c:f>
              <c:numCache>
                <c:formatCode>0.0%</c:formatCode>
                <c:ptCount val="9"/>
                <c:pt idx="0">
                  <c:v>0.69108056938503615</c:v>
                </c:pt>
                <c:pt idx="1">
                  <c:v>0.83826519879391348</c:v>
                </c:pt>
                <c:pt idx="2">
                  <c:v>0.93867891452212326</c:v>
                </c:pt>
                <c:pt idx="3">
                  <c:v>0.9760185120258047</c:v>
                </c:pt>
                <c:pt idx="4">
                  <c:v>0.99246195918939761</c:v>
                </c:pt>
                <c:pt idx="5">
                  <c:v>0.99733539022508944</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930752"/>
        <c:axId val="87945216"/>
      </c:scatterChart>
      <c:valAx>
        <c:axId val="879307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945216"/>
        <c:crosses val="autoZero"/>
        <c:crossBetween val="midCat"/>
        <c:majorUnit val="0.2"/>
      </c:valAx>
      <c:valAx>
        <c:axId val="8794521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79307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'Southwest-MF'!$AH$10:$AH$12</c:f>
              <c:numCache>
                <c:formatCode>General</c:formatCode>
                <c:ptCount val="3"/>
              </c:numCache>
            </c:numRef>
          </c:xVal>
          <c:yVal>
            <c:numRef>
              <c:f>'3-ft'!#REF!</c:f>
              <c:numCache>
                <c:formatCode>General</c:formatCode>
                <c:ptCount val="1"/>
                <c:pt idx="0">
                  <c:v>1</c:v>
                </c:pt>
              </c:numCache>
            </c:numRef>
          </c:yVal>
          <c:smooth val="1"/>
        </c:ser>
        <c:axId val="87987712"/>
        <c:axId val="87989248"/>
      </c:scatterChart>
      <c:valAx>
        <c:axId val="8798771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989248"/>
        <c:crosses val="autoZero"/>
        <c:crossBetween val="midCat"/>
        <c:majorUnit val="0.2"/>
      </c:valAx>
      <c:valAx>
        <c:axId val="8798924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798771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'Southwest-MF'!$A$30:$A$35</c:f>
              <c:numCache>
                <c:formatCode>0</c:formatCode>
                <c:ptCount val="6"/>
                <c:pt idx="0">
                  <c:v>100</c:v>
                </c:pt>
                <c:pt idx="1">
                  <c:v>200</c:v>
                </c:pt>
                <c:pt idx="2">
                  <c:v>400</c:v>
                </c:pt>
                <c:pt idx="3">
                  <c:v>600</c:v>
                </c:pt>
                <c:pt idx="4">
                  <c:v>800</c:v>
                </c:pt>
                <c:pt idx="5">
                  <c:v>1000</c:v>
                </c:pt>
              </c:numCache>
            </c:numRef>
          </c:xVal>
          <c:yVal>
            <c:numRef>
              <c:f>'Southwest-MF'!$B$30:$B$35</c:f>
              <c:numCache>
                <c:formatCode>0.0%</c:formatCode>
                <c:ptCount val="6"/>
                <c:pt idx="0">
                  <c:v>0.11951476053572681</c:v>
                </c:pt>
                <c:pt idx="1">
                  <c:v>0.21534254259869573</c:v>
                </c:pt>
                <c:pt idx="2">
                  <c:v>0.37378164224107707</c:v>
                </c:pt>
                <c:pt idx="3">
                  <c:v>0.49708996564055818</c:v>
                </c:pt>
                <c:pt idx="4">
                  <c:v>0.59547016338265202</c:v>
                </c:pt>
                <c:pt idx="5">
                  <c:v>0.67463712222144312</c:v>
                </c:pt>
              </c:numCache>
            </c:numRef>
          </c:yVal>
          <c:smooth val="1"/>
        </c:ser>
        <c:ser>
          <c:idx val="1"/>
          <c:order val="1"/>
          <c:tx>
            <c:v>%Treated_5 in/hr</c:v>
          </c:tx>
          <c:xVal>
            <c:numRef>
              <c:f>'Southwest-MF'!$A$30:$A$35</c:f>
              <c:numCache>
                <c:formatCode>0</c:formatCode>
                <c:ptCount val="6"/>
                <c:pt idx="0">
                  <c:v>100</c:v>
                </c:pt>
                <c:pt idx="1">
                  <c:v>200</c:v>
                </c:pt>
                <c:pt idx="2">
                  <c:v>400</c:v>
                </c:pt>
                <c:pt idx="3">
                  <c:v>600</c:v>
                </c:pt>
                <c:pt idx="4">
                  <c:v>800</c:v>
                </c:pt>
                <c:pt idx="5">
                  <c:v>1000</c:v>
                </c:pt>
              </c:numCache>
            </c:numRef>
          </c:xVal>
          <c:yVal>
            <c:numRef>
              <c:f>'Southwest-MF'!$C$30:$C$35</c:f>
              <c:numCache>
                <c:formatCode>0.0%</c:formatCode>
                <c:ptCount val="6"/>
                <c:pt idx="0">
                  <c:v>0.24719865367085056</c:v>
                </c:pt>
                <c:pt idx="1">
                  <c:v>0.41525839702685646</c:v>
                </c:pt>
                <c:pt idx="2">
                  <c:v>0.64122431807026159</c:v>
                </c:pt>
                <c:pt idx="3">
                  <c:v>0.77189537900567984</c:v>
                </c:pt>
                <c:pt idx="4">
                  <c:v>0.84527732978052028</c:v>
                </c:pt>
                <c:pt idx="5">
                  <c:v>0.89267933524998244</c:v>
                </c:pt>
              </c:numCache>
            </c:numRef>
          </c:yVal>
          <c:smooth val="1"/>
        </c:ser>
        <c:ser>
          <c:idx val="0"/>
          <c:order val="2"/>
          <c:tx>
            <c:v>%Treated_50 in/hr</c:v>
          </c:tx>
          <c:xVal>
            <c:numRef>
              <c:f>'Southwest-MF'!$A$30:$A$35</c:f>
              <c:numCache>
                <c:formatCode>0</c:formatCode>
                <c:ptCount val="6"/>
                <c:pt idx="0">
                  <c:v>100</c:v>
                </c:pt>
                <c:pt idx="1">
                  <c:v>200</c:v>
                </c:pt>
                <c:pt idx="2">
                  <c:v>400</c:v>
                </c:pt>
                <c:pt idx="3">
                  <c:v>600</c:v>
                </c:pt>
                <c:pt idx="4">
                  <c:v>800</c:v>
                </c:pt>
                <c:pt idx="5">
                  <c:v>1000</c:v>
                </c:pt>
              </c:numCache>
            </c:numRef>
          </c:xVal>
          <c:yVal>
            <c:numRef>
              <c:f>'Southwest-MF'!$D$30:$D$35</c:f>
              <c:numCache>
                <c:formatCode>0.0%</c:formatCode>
                <c:ptCount val="6"/>
                <c:pt idx="0">
                  <c:v>0.69108056938503615</c:v>
                </c:pt>
                <c:pt idx="1">
                  <c:v>0.83826519879391348</c:v>
                </c:pt>
                <c:pt idx="2">
                  <c:v>0.93867891452212326</c:v>
                </c:pt>
                <c:pt idx="3">
                  <c:v>0.9760185120258047</c:v>
                </c:pt>
                <c:pt idx="4">
                  <c:v>0.99246195918939761</c:v>
                </c:pt>
                <c:pt idx="5">
                  <c:v>0.99733539022508944</c:v>
                </c:pt>
              </c:numCache>
            </c:numRef>
          </c:yVal>
          <c:smooth val="1"/>
        </c:ser>
        <c:axId val="88113920"/>
        <c:axId val="88115840"/>
      </c:scatterChart>
      <c:scatterChart>
        <c:scatterStyle val="smoothMarker"/>
        <c:ser>
          <c:idx val="5"/>
          <c:order val="3"/>
          <c:tx>
            <c:v>Contact Time_1 in/hr</c:v>
          </c:tx>
          <c:spPr>
            <a:ln>
              <a:solidFill>
                <a:schemeClr val="accent3">
                  <a:lumMod val="75000"/>
                </a:schemeClr>
              </a:solidFill>
            </a:ln>
          </c:spPr>
          <c:marker>
            <c:symbol val="none"/>
          </c:marker>
          <c:xVal>
            <c:numRef>
              <c:f>'Southwest-MF'!$A$30:$A$35</c:f>
              <c:numCache>
                <c:formatCode>0</c:formatCode>
                <c:ptCount val="6"/>
                <c:pt idx="0">
                  <c:v>100</c:v>
                </c:pt>
                <c:pt idx="1">
                  <c:v>200</c:v>
                </c:pt>
                <c:pt idx="2">
                  <c:v>400</c:v>
                </c:pt>
                <c:pt idx="3">
                  <c:v>600</c:v>
                </c:pt>
                <c:pt idx="4">
                  <c:v>800</c:v>
                </c:pt>
                <c:pt idx="5">
                  <c:v>1000</c:v>
                </c:pt>
              </c:numCache>
            </c:numRef>
          </c:xVal>
          <c:yVal>
            <c:numRef>
              <c:f>'Southwest-MF'!$E$30:$E$35</c:f>
              <c:numCache>
                <c:formatCode>0.0</c:formatCode>
                <c:ptCount val="6"/>
                <c:pt idx="0">
                  <c:v>7.7449392354195998</c:v>
                </c:pt>
                <c:pt idx="1">
                  <c:v>8.6064021796328252</c:v>
                </c:pt>
                <c:pt idx="2">
                  <c:v>9.8466593801387265</c:v>
                </c:pt>
                <c:pt idx="3">
                  <c:v>10.848676461471699</c:v>
                </c:pt>
                <c:pt idx="4">
                  <c:v>11.728534687141337</c:v>
                </c:pt>
                <c:pt idx="5">
                  <c:v>12.530251607452279</c:v>
                </c:pt>
              </c:numCache>
            </c:numRef>
          </c:yVal>
          <c:smooth val="1"/>
        </c:ser>
        <c:ser>
          <c:idx val="4"/>
          <c:order val="4"/>
          <c:tx>
            <c:v>Contact Time_5 in/hr</c:v>
          </c:tx>
          <c:spPr>
            <a:ln>
              <a:solidFill>
                <a:srgbClr val="8A0000"/>
              </a:solidFill>
            </a:ln>
          </c:spPr>
          <c:marker>
            <c:symbol val="none"/>
          </c:marker>
          <c:xVal>
            <c:numRef>
              <c:f>'Southwest-MF'!$A$30:$A$35</c:f>
              <c:numCache>
                <c:formatCode>0</c:formatCode>
                <c:ptCount val="6"/>
                <c:pt idx="0">
                  <c:v>100</c:v>
                </c:pt>
                <c:pt idx="1">
                  <c:v>200</c:v>
                </c:pt>
                <c:pt idx="2">
                  <c:v>400</c:v>
                </c:pt>
                <c:pt idx="3">
                  <c:v>600</c:v>
                </c:pt>
                <c:pt idx="4">
                  <c:v>800</c:v>
                </c:pt>
                <c:pt idx="5">
                  <c:v>1000</c:v>
                </c:pt>
              </c:numCache>
            </c:numRef>
          </c:xVal>
          <c:yVal>
            <c:numRef>
              <c:f>'Southwest-MF'!$F$30:$F$35</c:f>
              <c:numCache>
                <c:formatCode>0.0</c:formatCode>
                <c:ptCount val="6"/>
                <c:pt idx="0">
                  <c:v>1.9801061563197635</c:v>
                </c:pt>
                <c:pt idx="1">
                  <c:v>2.3466623756268938</c:v>
                </c:pt>
                <c:pt idx="2">
                  <c:v>2.9101914906000812</c:v>
                </c:pt>
                <c:pt idx="3">
                  <c:v>3.4868545583151516</c:v>
                </c:pt>
                <c:pt idx="4">
                  <c:v>4.0681945643108914</c:v>
                </c:pt>
                <c:pt idx="5">
                  <c:v>4.6919657459689308</c:v>
                </c:pt>
              </c:numCache>
            </c:numRef>
          </c:yVal>
          <c:smooth val="1"/>
        </c:ser>
        <c:ser>
          <c:idx val="3"/>
          <c:order val="5"/>
          <c:tx>
            <c:v>Contact Time_50 in/hr</c:v>
          </c:tx>
          <c:spPr>
            <a:ln>
              <a:solidFill>
                <a:schemeClr val="accent1">
                  <a:lumMod val="75000"/>
                </a:schemeClr>
              </a:solidFill>
            </a:ln>
          </c:spPr>
          <c:marker>
            <c:symbol val="none"/>
          </c:marker>
          <c:xVal>
            <c:numRef>
              <c:f>'Southwest-MF'!$A$30:$A$35</c:f>
              <c:numCache>
                <c:formatCode>0</c:formatCode>
                <c:ptCount val="6"/>
                <c:pt idx="0">
                  <c:v>100</c:v>
                </c:pt>
                <c:pt idx="1">
                  <c:v>200</c:v>
                </c:pt>
                <c:pt idx="2">
                  <c:v>400</c:v>
                </c:pt>
                <c:pt idx="3">
                  <c:v>600</c:v>
                </c:pt>
                <c:pt idx="4">
                  <c:v>800</c:v>
                </c:pt>
                <c:pt idx="5">
                  <c:v>1000</c:v>
                </c:pt>
              </c:numCache>
            </c:numRef>
          </c:xVal>
          <c:yVal>
            <c:numRef>
              <c:f>'Southwest-MF'!$G$30:$G$35</c:f>
              <c:numCache>
                <c:formatCode>0.0</c:formatCode>
                <c:ptCount val="6"/>
                <c:pt idx="0">
                  <c:v>0.57353167697385021</c:v>
                </c:pt>
                <c:pt idx="1">
                  <c:v>0.91172900288106362</c:v>
                </c:pt>
                <c:pt idx="2">
                  <c:v>1.5693659761456371</c:v>
                </c:pt>
                <c:pt idx="3">
                  <c:v>2.2246375429831757</c:v>
                </c:pt>
                <c:pt idx="4">
                  <c:v>2.8787392766961939</c:v>
                </c:pt>
                <c:pt idx="5">
                  <c:v>3.5588418918396774</c:v>
                </c:pt>
              </c:numCache>
            </c:numRef>
          </c:yVal>
          <c:smooth val="1"/>
        </c:ser>
        <c:axId val="88136320"/>
        <c:axId val="88134400"/>
      </c:scatterChart>
      <c:valAx>
        <c:axId val="88113920"/>
        <c:scaling>
          <c:orientation val="minMax"/>
          <c:min val="0"/>
        </c:scaling>
        <c:axPos val="b"/>
        <c:title>
          <c:tx>
            <c:rich>
              <a:bodyPr/>
              <a:lstStyle/>
              <a:p>
                <a:pPr>
                  <a:defRPr/>
                </a:pPr>
                <a:r>
                  <a:rPr lang="en-US"/>
                  <a:t>Filter Area (SF)</a:t>
                </a:r>
              </a:p>
            </c:rich>
          </c:tx>
        </c:title>
        <c:numFmt formatCode="0" sourceLinked="1"/>
        <c:tickLblPos val="nextTo"/>
        <c:crossAx val="88115840"/>
        <c:crosses val="autoZero"/>
        <c:crossBetween val="midCat"/>
      </c:valAx>
      <c:valAx>
        <c:axId val="88115840"/>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8113920"/>
        <c:crosses val="autoZero"/>
        <c:crossBetween val="midCat"/>
      </c:valAx>
      <c:valAx>
        <c:axId val="88134400"/>
        <c:scaling>
          <c:orientation val="minMax"/>
          <c:max val="20"/>
        </c:scaling>
        <c:axPos val="r"/>
        <c:title>
          <c:tx>
            <c:rich>
              <a:bodyPr rot="-5400000" vert="horz"/>
              <a:lstStyle/>
              <a:p>
                <a:pPr>
                  <a:defRPr/>
                </a:pPr>
                <a:r>
                  <a:rPr lang="en-US"/>
                  <a:t>Contact Time (hrs)</a:t>
                </a:r>
              </a:p>
            </c:rich>
          </c:tx>
        </c:title>
        <c:numFmt formatCode="0.0" sourceLinked="1"/>
        <c:tickLblPos val="nextTo"/>
        <c:crossAx val="88136320"/>
        <c:crosses val="max"/>
        <c:crossBetween val="midCat"/>
      </c:valAx>
      <c:valAx>
        <c:axId val="88136320"/>
        <c:scaling>
          <c:orientation val="minMax"/>
        </c:scaling>
        <c:delete val="1"/>
        <c:axPos val="b"/>
        <c:numFmt formatCode="0" sourceLinked="1"/>
        <c:tickLblPos val="none"/>
        <c:crossAx val="88134400"/>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6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051072"/>
        <c:axId val="88069632"/>
      </c:scatterChart>
      <c:valAx>
        <c:axId val="8805107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069632"/>
        <c:crosses val="autoZero"/>
        <c:crossBetween val="midCat"/>
        <c:majorUnit val="0.2"/>
      </c:valAx>
      <c:valAx>
        <c:axId val="8806963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805107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77" l="0.70000000000000062" r="0.70000000000000062" t="0.750000000000006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strRef>
          <c:f>Detention!$I$23</c:f>
          <c:strCache>
            <c:ptCount val="1"/>
            <c:pt idx="0">
              <c:v>Detention Facility - Sediment Capture
East Gulf Rain Zone</c:v>
            </c:pt>
          </c:strCache>
        </c:strRef>
      </c:tx>
      <c:layout>
        <c:manualLayout>
          <c:xMode val="edge"/>
          <c:yMode val="edge"/>
          <c:x val="0.28138414989792992"/>
          <c:y val="2.083333333333336E-2"/>
        </c:manualLayout>
      </c:layout>
      <c:overlay val="1"/>
      <c:txPr>
        <a:bodyPr/>
        <a:lstStyle/>
        <a:p>
          <a:pPr>
            <a:defRPr sz="1200"/>
          </a:pPr>
          <a:endParaRPr lang="en-US"/>
        </a:p>
      </c:txPr>
    </c:title>
    <c:plotArea>
      <c:layout>
        <c:manualLayout>
          <c:layoutTarget val="inner"/>
          <c:xMode val="edge"/>
          <c:yMode val="edge"/>
          <c:x val="0.13769553805774279"/>
          <c:y val="0.16200617702959538"/>
          <c:w val="0.66842214898576258"/>
          <c:h val="0.67103668884061907"/>
        </c:manualLayout>
      </c:layout>
      <c:scatterChart>
        <c:scatterStyle val="smoothMarker"/>
        <c:ser>
          <c:idx val="0"/>
          <c:order val="0"/>
          <c:tx>
            <c:strRef>
              <c:f>Detention!$H$46</c:f>
              <c:strCache>
                <c:ptCount val="1"/>
                <c:pt idx="0">
                  <c:v>3-hour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Detention!$H$47:$H$55</c:f>
              <c:numCache>
                <c:formatCode>0%</c:formatCode>
                <c:ptCount val="9"/>
                <c:pt idx="0">
                  <c:v>0.17542112567463378</c:v>
                </c:pt>
                <c:pt idx="1">
                  <c:v>0.28197938833204833</c:v>
                </c:pt>
                <c:pt idx="2">
                  <c:v>0.39290824124046952</c:v>
                </c:pt>
                <c:pt idx="3">
                  <c:v>0.46242740512293334</c:v>
                </c:pt>
                <c:pt idx="4">
                  <c:v>0.50681901824723719</c:v>
                </c:pt>
                <c:pt idx="5">
                  <c:v>0.53631465775721754</c:v>
                </c:pt>
                <c:pt idx="6">
                  <c:v>0.55900181615694344</c:v>
                </c:pt>
                <c:pt idx="7">
                  <c:v>0.59130514863359895</c:v>
                </c:pt>
                <c:pt idx="8">
                  <c:v>0.61425032125417633</c:v>
                </c:pt>
              </c:numCache>
            </c:numRef>
          </c:yVal>
          <c:smooth val="1"/>
        </c:ser>
        <c:ser>
          <c:idx val="1"/>
          <c:order val="1"/>
          <c:tx>
            <c:strRef>
              <c:f>Detention!$I$46</c:f>
              <c:strCache>
                <c:ptCount val="1"/>
                <c:pt idx="0">
                  <c:v>6-hour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Detention!$I$47:$I$55</c:f>
              <c:numCache>
                <c:formatCode>0%</c:formatCode>
                <c:ptCount val="9"/>
                <c:pt idx="0">
                  <c:v>0.17104818812644565</c:v>
                </c:pt>
                <c:pt idx="1">
                  <c:v>0.28614949884348495</c:v>
                </c:pt>
                <c:pt idx="2">
                  <c:v>0.41386784888203554</c:v>
                </c:pt>
                <c:pt idx="3">
                  <c:v>0.49409364345069823</c:v>
                </c:pt>
                <c:pt idx="4">
                  <c:v>0.54965729461149671</c:v>
                </c:pt>
                <c:pt idx="5">
                  <c:v>0.58000162768782659</c:v>
                </c:pt>
                <c:pt idx="6">
                  <c:v>0.60484219994859934</c:v>
                </c:pt>
                <c:pt idx="7">
                  <c:v>0.63845532425254869</c:v>
                </c:pt>
                <c:pt idx="8">
                  <c:v>0.66226728347468522</c:v>
                </c:pt>
              </c:numCache>
            </c:numRef>
          </c:yVal>
          <c:smooth val="1"/>
        </c:ser>
        <c:ser>
          <c:idx val="2"/>
          <c:order val="2"/>
          <c:tx>
            <c:strRef>
              <c:f>Detention!$J$46</c:f>
              <c:strCache>
                <c:ptCount val="1"/>
                <c:pt idx="0">
                  <c:v>12-hour 
drain time</c:v>
                </c:pt>
              </c:strCache>
            </c:strRef>
          </c:tx>
          <c:xVal>
            <c:numRef>
              <c:f>Detention!$B$47:$B$55</c:f>
              <c:numCache>
                <c:formatCode>0.0</c:formatCode>
                <c:ptCount val="9"/>
                <c:pt idx="0">
                  <c:v>0.1</c:v>
                </c:pt>
                <c:pt idx="1">
                  <c:v>0.2</c:v>
                </c:pt>
                <c:pt idx="2">
                  <c:v>0.4</c:v>
                </c:pt>
                <c:pt idx="3">
                  <c:v>0.6</c:v>
                </c:pt>
                <c:pt idx="4">
                  <c:v>0.8</c:v>
                </c:pt>
                <c:pt idx="5">
                  <c:v>1</c:v>
                </c:pt>
                <c:pt idx="6">
                  <c:v>1.2</c:v>
                </c:pt>
                <c:pt idx="7">
                  <c:v>1.6</c:v>
                </c:pt>
                <c:pt idx="8">
                  <c:v>2</c:v>
                </c:pt>
              </c:numCache>
            </c:numRef>
          </c:xVal>
          <c:yVal>
            <c:numRef>
              <c:f>Detention!$J$47:$J$55</c:f>
              <c:numCache>
                <c:formatCode>0%</c:formatCode>
                <c:ptCount val="9"/>
                <c:pt idx="0">
                  <c:v>0.15612212798766384</c:v>
                </c:pt>
                <c:pt idx="1">
                  <c:v>0.27344391330420631</c:v>
                </c:pt>
                <c:pt idx="2">
                  <c:v>0.4118721322710529</c:v>
                </c:pt>
                <c:pt idx="3">
                  <c:v>0.50541394671464068</c:v>
                </c:pt>
                <c:pt idx="4">
                  <c:v>0.56573263085753456</c:v>
                </c:pt>
                <c:pt idx="5">
                  <c:v>0.60560541420371794</c:v>
                </c:pt>
                <c:pt idx="6">
                  <c:v>0.63580673348753547</c:v>
                </c:pt>
                <c:pt idx="7">
                  <c:v>0.67375233444701466</c:v>
                </c:pt>
                <c:pt idx="8">
                  <c:v>0.69750158485393654</c:v>
                </c:pt>
              </c:numCache>
            </c:numRef>
          </c:yVal>
          <c:smooth val="1"/>
        </c:ser>
        <c:axId val="73682944"/>
        <c:axId val="73684864"/>
      </c:scatterChart>
      <c:valAx>
        <c:axId val="73682944"/>
        <c:scaling>
          <c:orientation val="minMax"/>
          <c:max val="2"/>
          <c:min val="0"/>
        </c:scaling>
        <c:axPos val="b"/>
        <c:majorGridlines>
          <c:spPr>
            <a:ln>
              <a:solidFill>
                <a:schemeClr val="bg1">
                  <a:lumMod val="85000"/>
                </a:schemeClr>
              </a:solidFill>
            </a:ln>
          </c:spPr>
        </c:majorGridlines>
        <c:title>
          <c:tx>
            <c:rich>
              <a:bodyPr/>
              <a:lstStyle/>
              <a:p>
                <a:pPr>
                  <a:defRPr sz="1200"/>
                </a:pPr>
                <a:r>
                  <a:rPr lang="en-US" sz="1200"/>
                  <a:t>Detention</a:t>
                </a:r>
                <a:r>
                  <a:rPr lang="en-US" sz="1200" baseline="0"/>
                  <a:t> Volume </a:t>
                </a:r>
                <a:r>
                  <a:rPr lang="en-US" sz="1200"/>
                  <a:t>(watershed</a:t>
                </a:r>
                <a:r>
                  <a:rPr lang="en-US" sz="1200" baseline="0"/>
                  <a:t> inches</a:t>
                </a:r>
                <a:r>
                  <a:rPr lang="en-US" sz="1200"/>
                  <a:t>)</a:t>
                </a:r>
              </a:p>
            </c:rich>
          </c:tx>
          <c:layout>
            <c:manualLayout>
              <c:xMode val="edge"/>
              <c:yMode val="edge"/>
              <c:x val="0.25129069531966686"/>
              <c:y val="0.92089394433283778"/>
            </c:manualLayout>
          </c:layout>
        </c:title>
        <c:numFmt formatCode="0.0" sourceLinked="1"/>
        <c:tickLblPos val="nextTo"/>
        <c:txPr>
          <a:bodyPr/>
          <a:lstStyle/>
          <a:p>
            <a:pPr>
              <a:defRPr sz="1100"/>
            </a:pPr>
            <a:endParaRPr lang="en-US"/>
          </a:p>
        </c:txPr>
        <c:crossAx val="73684864"/>
        <c:crosses val="autoZero"/>
        <c:crossBetween val="midCat"/>
        <c:majorUnit val="0.2"/>
      </c:valAx>
      <c:valAx>
        <c:axId val="73684864"/>
        <c:scaling>
          <c:orientation val="minMax"/>
          <c:max val="1"/>
          <c:min val="0"/>
        </c:scaling>
        <c:axPos val="l"/>
        <c:majorGridlines>
          <c:spPr>
            <a:ln>
              <a:solidFill>
                <a:schemeClr val="bg1">
                  <a:lumMod val="85000"/>
                </a:schemeClr>
              </a:solidFill>
            </a:ln>
          </c:spPr>
        </c:majorGridlines>
        <c:title>
          <c:tx>
            <c:rich>
              <a:bodyPr rot="-5400000" vert="horz"/>
              <a:lstStyle/>
              <a:p>
                <a:pPr>
                  <a:defRPr sz="1200"/>
                </a:pPr>
                <a:r>
                  <a:rPr lang="en-US" sz="1200"/>
                  <a:t>Sediment</a:t>
                </a:r>
                <a:r>
                  <a:rPr lang="en-US" sz="1200" baseline="0"/>
                  <a:t> Capture</a:t>
                </a:r>
                <a:r>
                  <a:rPr lang="en-US" sz="1200"/>
                  <a:t> (%)</a:t>
                </a:r>
              </a:p>
            </c:rich>
          </c:tx>
          <c:layout>
            <c:manualLayout>
              <c:xMode val="edge"/>
              <c:yMode val="edge"/>
              <c:x val="1.1661563137941101E-2"/>
              <c:y val="0.29876585739282624"/>
            </c:manualLayout>
          </c:layout>
        </c:title>
        <c:numFmt formatCode="0%" sourceLinked="0"/>
        <c:tickLblPos val="nextTo"/>
        <c:txPr>
          <a:bodyPr/>
          <a:lstStyle/>
          <a:p>
            <a:pPr>
              <a:defRPr sz="1100"/>
            </a:pPr>
            <a:endParaRPr lang="en-US"/>
          </a:p>
        </c:txPr>
        <c:crossAx val="73682944"/>
        <c:crosses val="autoZero"/>
        <c:crossBetween val="midCat"/>
        <c:majorUnit val="0.1"/>
      </c:valAx>
    </c:plotArea>
    <c:legend>
      <c:legendPos val="r"/>
      <c:layout>
        <c:manualLayout>
          <c:xMode val="edge"/>
          <c:yMode val="edge"/>
          <c:x val="0.79018044619422578"/>
          <c:y val="0.35234274793952103"/>
          <c:w val="0.20533289588801398"/>
          <c:h val="0.38140337926509238"/>
        </c:manualLayout>
      </c:layout>
      <c:txPr>
        <a:bodyPr/>
        <a:lstStyle/>
        <a:p>
          <a:pPr>
            <a:defRPr sz="1100"/>
          </a:pPr>
          <a:endParaRPr lang="en-US"/>
        </a:p>
      </c:txPr>
    </c:legend>
    <c:plotVisOnly val="1"/>
  </c:chart>
  <c:printSettings>
    <c:headerFooter/>
    <c:pageMargins b="0.750000000000002" l="0.70000000000000062" r="0.70000000000000062" t="0.75000000000000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396224"/>
        <c:axId val="75397760"/>
      </c:scatterChart>
      <c:valAx>
        <c:axId val="753962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397760"/>
        <c:crosses val="autoZero"/>
        <c:crossBetween val="midCat"/>
        <c:majorUnit val="0.2"/>
      </c:valAx>
      <c:valAx>
        <c:axId val="7539776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539622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77" l="0.70000000000000062" r="0.70000000000000062" t="0.75000000000000877"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173568"/>
        <c:axId val="88183552"/>
      </c:scatterChart>
      <c:valAx>
        <c:axId val="8817356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183552"/>
        <c:crosses val="autoZero"/>
        <c:crossBetween val="midCat"/>
        <c:majorUnit val="0.2"/>
      </c:valAx>
      <c:valAx>
        <c:axId val="8818355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817356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99" l="0.70000000000000062" r="0.70000000000000062" t="0.75000000000000699"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6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204800"/>
        <c:axId val="88206720"/>
      </c:scatterChart>
      <c:valAx>
        <c:axId val="882048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206720"/>
        <c:crosses val="autoZero"/>
        <c:crossBetween val="midCat"/>
        <c:majorUnit val="0.2"/>
      </c:valAx>
      <c:valAx>
        <c:axId val="882067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82048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88" r="0.75000000000000588"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319104"/>
        <c:axId val="88320640"/>
      </c:scatterChart>
      <c:valAx>
        <c:axId val="8831910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320640"/>
        <c:crosses val="autoZero"/>
        <c:crossBetween val="midCat"/>
        <c:majorUnit val="0.2"/>
      </c:valAx>
      <c:valAx>
        <c:axId val="8832064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831910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88" r="0.75000000000000588"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6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231296"/>
        <c:axId val="88237568"/>
      </c:scatterChart>
      <c:valAx>
        <c:axId val="8823129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237568"/>
        <c:crosses val="autoZero"/>
        <c:crossBetween val="midCat"/>
        <c:majorUnit val="0.2"/>
      </c:valAx>
      <c:valAx>
        <c:axId val="8823756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823129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88" r="0.75000000000000588"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8267776"/>
        <c:axId val="88507136"/>
      </c:scatterChart>
      <c:valAx>
        <c:axId val="8826777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507136"/>
        <c:crosses val="autoZero"/>
        <c:crossBetween val="midCat"/>
        <c:majorUnit val="0.2"/>
      </c:valAx>
      <c:valAx>
        <c:axId val="8850713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82677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88" r="0.75000000000000588"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'West Inland-DT'!$B$10</c:f>
              <c:strCache>
                <c:ptCount val="1"/>
                <c:pt idx="0">
                  <c:v>Runoff</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Inland-DT'!$B$11:$B$19</c:f>
              <c:numCache>
                <c:formatCode>0.0%</c:formatCode>
                <c:ptCount val="9"/>
                <c:pt idx="0">
                  <c:v>0.58615830915872358</c:v>
                </c:pt>
                <c:pt idx="1">
                  <c:v>0.82262743472855371</c:v>
                </c:pt>
                <c:pt idx="2">
                  <c:v>0.95901367592208864</c:v>
                </c:pt>
                <c:pt idx="3">
                  <c:v>0.99357646083713225</c:v>
                </c:pt>
                <c:pt idx="4">
                  <c:v>1</c:v>
                </c:pt>
                <c:pt idx="5">
                  <c:v>1</c:v>
                </c:pt>
                <c:pt idx="6">
                  <c:v>1</c:v>
                </c:pt>
                <c:pt idx="7">
                  <c:v>1</c:v>
                </c:pt>
                <c:pt idx="8">
                  <c:v>1</c:v>
                </c:pt>
              </c:numCache>
            </c:numRef>
          </c:yVal>
          <c:smooth val="1"/>
        </c:ser>
        <c:ser>
          <c:idx val="1"/>
          <c:order val="1"/>
          <c:tx>
            <c:strRef>
              <c:f>'West Inland-DT'!$C$10</c:f>
              <c:strCache>
                <c:ptCount val="1"/>
                <c:pt idx="0">
                  <c:v>TSS</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Inland-DT'!$C$11:$C$19</c:f>
              <c:numCache>
                <c:formatCode>0.0%</c:formatCode>
                <c:ptCount val="9"/>
                <c:pt idx="0">
                  <c:v>0.41767612678393629</c:v>
                </c:pt>
                <c:pt idx="1">
                  <c:v>0.59601594092266841</c:v>
                </c:pt>
                <c:pt idx="2">
                  <c:v>0.71210023564553604</c:v>
                </c:pt>
                <c:pt idx="3">
                  <c:v>0.75284604712910719</c:v>
                </c:pt>
                <c:pt idx="4">
                  <c:v>0.76897188848323927</c:v>
                </c:pt>
                <c:pt idx="5">
                  <c:v>0.77827238632592111</c:v>
                </c:pt>
                <c:pt idx="6">
                  <c:v>0.78592349817457685</c:v>
                </c:pt>
                <c:pt idx="7">
                  <c:v>0.79774430799867235</c:v>
                </c:pt>
                <c:pt idx="8">
                  <c:v>0.80730033189512118</c:v>
                </c:pt>
              </c:numCache>
            </c:numRef>
          </c:yVal>
          <c:smooth val="1"/>
        </c:ser>
        <c:axId val="88561152"/>
        <c:axId val="88563072"/>
      </c:scatterChart>
      <c:valAx>
        <c:axId val="8856115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88563072"/>
        <c:crosses val="autoZero"/>
        <c:crossBetween val="midCat"/>
        <c:majorUnit val="0.2"/>
      </c:valAx>
      <c:valAx>
        <c:axId val="88563072"/>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856115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'West Inland-DT'!$D$10</c:f>
              <c:strCache>
                <c:ptCount val="1"/>
                <c:pt idx="0">
                  <c:v>Clay</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Inland-DT'!$D$11:$D$19</c:f>
              <c:numCache>
                <c:formatCode>0.0%</c:formatCode>
                <c:ptCount val="9"/>
                <c:pt idx="0">
                  <c:v>2.0309990043146367E-3</c:v>
                </c:pt>
                <c:pt idx="1">
                  <c:v>2.6062396282774641E-3</c:v>
                </c:pt>
                <c:pt idx="2">
                  <c:v>4.308065051443744E-3</c:v>
                </c:pt>
                <c:pt idx="3">
                  <c:v>6.2538333886491869E-3</c:v>
                </c:pt>
                <c:pt idx="4">
                  <c:v>8.1666113508131431E-3</c:v>
                </c:pt>
                <c:pt idx="5">
                  <c:v>1.0074344507135746E-2</c:v>
                </c:pt>
                <c:pt idx="6">
                  <c:v>1.193826750746764E-2</c:v>
                </c:pt>
                <c:pt idx="7">
                  <c:v>1.5516760703617658E-2</c:v>
                </c:pt>
                <c:pt idx="8">
                  <c:v>1.9129770992366412E-2</c:v>
                </c:pt>
              </c:numCache>
            </c:numRef>
          </c:yVal>
          <c:smooth val="1"/>
        </c:ser>
        <c:ser>
          <c:idx val="1"/>
          <c:order val="1"/>
          <c:tx>
            <c:strRef>
              <c:f>'West Inland-DT'!$H$10</c:f>
              <c:strCache>
                <c:ptCount val="1"/>
                <c:pt idx="0">
                  <c:v>Silt</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Inland-DT'!$H$11:$H$19</c:f>
              <c:numCache>
                <c:formatCode>0.0%</c:formatCode>
                <c:ptCount val="9"/>
                <c:pt idx="0">
                  <c:v>0.27737006306007306</c:v>
                </c:pt>
                <c:pt idx="1">
                  <c:v>0.41125743998229897</c:v>
                </c:pt>
                <c:pt idx="2">
                  <c:v>0.51754176346941039</c:v>
                </c:pt>
                <c:pt idx="3">
                  <c:v>0.56966699856178782</c:v>
                </c:pt>
                <c:pt idx="4">
                  <c:v>0.59828299590662681</c:v>
                </c:pt>
                <c:pt idx="5">
                  <c:v>0.61873879853966152</c:v>
                </c:pt>
                <c:pt idx="6">
                  <c:v>0.63560792123022469</c:v>
                </c:pt>
                <c:pt idx="7">
                  <c:v>0.66162628609359442</c:v>
                </c:pt>
                <c:pt idx="8">
                  <c:v>0.6824604491647307</c:v>
                </c:pt>
              </c:numCache>
            </c:numRef>
          </c:yVal>
          <c:smooth val="1"/>
        </c:ser>
        <c:ser>
          <c:idx val="2"/>
          <c:order val="2"/>
          <c:tx>
            <c:strRef>
              <c:f>'West Inland-DT'!$I$10</c:f>
              <c:strCache>
                <c:ptCount val="1"/>
                <c:pt idx="0">
                  <c:v>Sand</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Inland-DT'!$I$11:$I$19</c:f>
              <c:numCache>
                <c:formatCode>0.0%</c:formatCode>
                <c:ptCount val="9"/>
                <c:pt idx="0">
                  <c:v>0.58551609691337536</c:v>
                </c:pt>
                <c:pt idx="1">
                  <c:v>0.82163956189844001</c:v>
                </c:pt>
                <c:pt idx="2">
                  <c:v>0.95798207766345833</c:v>
                </c:pt>
                <c:pt idx="3">
                  <c:v>0.99236641221374045</c:v>
                </c:pt>
                <c:pt idx="4">
                  <c:v>0.99867241951543317</c:v>
                </c:pt>
                <c:pt idx="5">
                  <c:v>0.99867241951543317</c:v>
                </c:pt>
                <c:pt idx="6">
                  <c:v>0.99860604049120483</c:v>
                </c:pt>
                <c:pt idx="7">
                  <c:v>0.99847328244274813</c:v>
                </c:pt>
                <c:pt idx="8">
                  <c:v>0.99847328244274813</c:v>
                </c:pt>
              </c:numCache>
            </c:numRef>
          </c:yVal>
          <c:smooth val="1"/>
        </c:ser>
        <c:axId val="88342528"/>
        <c:axId val="88344448"/>
      </c:scatterChart>
      <c:valAx>
        <c:axId val="88342528"/>
        <c:scaling>
          <c:orientation val="minMax"/>
          <c:max val="2"/>
          <c:min val="0"/>
        </c:scaling>
        <c:axPos val="b"/>
        <c:majorGridlines/>
        <c:title>
          <c:tx>
            <c:rich>
              <a:bodyPr/>
              <a:lstStyle/>
              <a:p>
                <a:pPr>
                  <a:defRPr/>
                </a:pPr>
                <a:r>
                  <a:rPr lang="en-US"/>
                  <a:t>Unit Basin Size (in)</a:t>
                </a:r>
              </a:p>
            </c:rich>
          </c:tx>
        </c:title>
        <c:numFmt formatCode="0.0" sourceLinked="0"/>
        <c:tickLblPos val="nextTo"/>
        <c:crossAx val="88344448"/>
        <c:crosses val="autoZero"/>
        <c:crossBetween val="midCat"/>
        <c:majorUnit val="0.2"/>
      </c:valAx>
      <c:valAx>
        <c:axId val="88344448"/>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8342528"/>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'West Inland-DT'!$CD$17</c:f>
              <c:strCache>
                <c:ptCount val="1"/>
                <c:pt idx="0">
                  <c:v>Runoff, 3hr DT</c:v>
                </c:pt>
              </c:strCache>
            </c:strRef>
          </c:tx>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'West Inland-DT'!$CE$17</c:f>
              <c:strCache>
                <c:ptCount val="1"/>
                <c:pt idx="0">
                  <c:v>Runoff, 6hr DT</c:v>
                </c:pt>
              </c:strCache>
            </c:strRef>
          </c:tx>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'West Inland-DT'!$CF$17</c:f>
              <c:strCache>
                <c:ptCount val="1"/>
                <c:pt idx="0">
                  <c:v>Runoff, 12hr DT</c:v>
                </c:pt>
              </c:strCache>
            </c:strRef>
          </c:tx>
          <c:spPr>
            <a:ln w="31750"/>
          </c:spPr>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'West Inland-DT'!$CG$17</c:f>
              <c:strCache>
                <c:ptCount val="1"/>
                <c:pt idx="0">
                  <c:v>TSS, 3hr DT</c:v>
                </c:pt>
              </c:strCache>
            </c:strRef>
          </c:tx>
          <c:spPr>
            <a:ln w="31750">
              <a:solidFill>
                <a:schemeClr val="accent1"/>
              </a:solidFill>
              <a:prstDash val="sysDash"/>
            </a:ln>
          </c:spPr>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Inland-DT'!$CG$18:$CG$26</c:f>
              <c:numCache>
                <c:formatCode>0.0%</c:formatCode>
                <c:ptCount val="9"/>
                <c:pt idx="0">
                  <c:v>0.41767612678393629</c:v>
                </c:pt>
                <c:pt idx="1">
                  <c:v>0.59601594092266841</c:v>
                </c:pt>
                <c:pt idx="2">
                  <c:v>0.71210023564553604</c:v>
                </c:pt>
                <c:pt idx="3">
                  <c:v>0.75284604712910719</c:v>
                </c:pt>
                <c:pt idx="4">
                  <c:v>0.76897188848323927</c:v>
                </c:pt>
                <c:pt idx="5">
                  <c:v>0.77827238632592111</c:v>
                </c:pt>
                <c:pt idx="6">
                  <c:v>0.78592349817457685</c:v>
                </c:pt>
                <c:pt idx="7">
                  <c:v>0.79774430799867235</c:v>
                </c:pt>
                <c:pt idx="8">
                  <c:v>0.80730033189512118</c:v>
                </c:pt>
              </c:numCache>
            </c:numRef>
          </c:yVal>
          <c:smooth val="1"/>
        </c:ser>
        <c:ser>
          <c:idx val="4"/>
          <c:order val="4"/>
          <c:tx>
            <c:strRef>
              <c:f>'West Inland-DT'!$CH$17</c:f>
              <c:strCache>
                <c:ptCount val="1"/>
                <c:pt idx="0">
                  <c:v>TSS, 6hr DT</c:v>
                </c:pt>
              </c:strCache>
            </c:strRef>
          </c:tx>
          <c:spPr>
            <a:ln w="31750">
              <a:solidFill>
                <a:schemeClr val="accent2"/>
              </a:solidFill>
              <a:prstDash val="sysDash"/>
            </a:ln>
          </c:spPr>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Inland-DT'!$CH$18:$CH$26</c:f>
              <c:numCache>
                <c:formatCode>0.0%</c:formatCode>
                <c:ptCount val="9"/>
                <c:pt idx="0">
                  <c:v>0.33805235977431125</c:v>
                </c:pt>
                <c:pt idx="1">
                  <c:v>0.5302619880517756</c:v>
                </c:pt>
                <c:pt idx="2">
                  <c:v>0.69545627613674077</c:v>
                </c:pt>
                <c:pt idx="3">
                  <c:v>0.76115403252572189</c:v>
                </c:pt>
                <c:pt idx="4">
                  <c:v>0.7896244274809161</c:v>
                </c:pt>
                <c:pt idx="5">
                  <c:v>0.79904892134085626</c:v>
                </c:pt>
                <c:pt idx="6">
                  <c:v>0.80539425821440425</c:v>
                </c:pt>
                <c:pt idx="7">
                  <c:v>0.81468785263856613</c:v>
                </c:pt>
                <c:pt idx="8">
                  <c:v>0.82333879853966152</c:v>
                </c:pt>
              </c:numCache>
            </c:numRef>
          </c:yVal>
          <c:smooth val="1"/>
        </c:ser>
        <c:ser>
          <c:idx val="5"/>
          <c:order val="5"/>
          <c:tx>
            <c:strRef>
              <c:f>'West Inland-DT'!$CI$17</c:f>
              <c:strCache>
                <c:ptCount val="1"/>
                <c:pt idx="0">
                  <c:v>TSS, 12hr DT</c:v>
                </c:pt>
              </c:strCache>
            </c:strRef>
          </c:tx>
          <c:spPr>
            <a:ln w="31750">
              <a:solidFill>
                <a:schemeClr val="accent3"/>
              </a:solidFill>
              <a:prstDash val="sysDash"/>
            </a:ln>
          </c:spPr>
          <c:marker>
            <c:symbol val="none"/>
          </c:marker>
          <c:xVal>
            <c:numRef>
              <c:f>'West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Inland-DT'!$CI$18:$CI$26</c:f>
              <c:numCache>
                <c:formatCode>0.0%</c:formatCode>
                <c:ptCount val="9"/>
                <c:pt idx="0">
                  <c:v>0.26997938599402593</c:v>
                </c:pt>
                <c:pt idx="1">
                  <c:v>0.45980207766345838</c:v>
                </c:pt>
                <c:pt idx="2">
                  <c:v>0.64573942914039173</c:v>
                </c:pt>
                <c:pt idx="3">
                  <c:v>0.74626963159641557</c:v>
                </c:pt>
                <c:pt idx="4">
                  <c:v>0.79117102555592433</c:v>
                </c:pt>
                <c:pt idx="5">
                  <c:v>0.8091973116495188</c:v>
                </c:pt>
                <c:pt idx="6">
                  <c:v>0.81826883504812487</c:v>
                </c:pt>
                <c:pt idx="7">
                  <c:v>0.83172675074676405</c:v>
                </c:pt>
                <c:pt idx="8">
                  <c:v>0.83711496846996347</c:v>
                </c:pt>
              </c:numCache>
            </c:numRef>
          </c:yVal>
          <c:smooth val="1"/>
        </c:ser>
        <c:axId val="88398848"/>
        <c:axId val="88605824"/>
      </c:scatterChart>
      <c:valAx>
        <c:axId val="88398848"/>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8605824"/>
        <c:crosses val="autoZero"/>
        <c:crossBetween val="midCat"/>
        <c:majorUnit val="0.2"/>
      </c:valAx>
      <c:valAx>
        <c:axId val="8860582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8398848"/>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'West Inland-DT'!$B$10</c:f>
              <c:strCache>
                <c:ptCount val="1"/>
                <c:pt idx="0">
                  <c:v>Runoff</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Inland-DT'!$M$11:$M$19</c:f>
              <c:numCache>
                <c:formatCode>0.0%</c:formatCode>
                <c:ptCount val="9"/>
                <c:pt idx="0">
                  <c:v>0.45068379610443432</c:v>
                </c:pt>
                <c:pt idx="1">
                  <c:v>0.69680895151263988</c:v>
                </c:pt>
                <c:pt idx="2">
                  <c:v>0.90111893907998342</c:v>
                </c:pt>
                <c:pt idx="3">
                  <c:v>0.97169498549523414</c:v>
                </c:pt>
                <c:pt idx="4">
                  <c:v>0.99386655615416497</c:v>
                </c:pt>
                <c:pt idx="5">
                  <c:v>1</c:v>
                </c:pt>
                <c:pt idx="6">
                  <c:v>1</c:v>
                </c:pt>
                <c:pt idx="7">
                  <c:v>1</c:v>
                </c:pt>
                <c:pt idx="8">
                  <c:v>1</c:v>
                </c:pt>
              </c:numCache>
            </c:numRef>
          </c:yVal>
          <c:smooth val="1"/>
        </c:ser>
        <c:ser>
          <c:idx val="1"/>
          <c:order val="1"/>
          <c:tx>
            <c:strRef>
              <c:f>'West Inland-DT'!$C$10</c:f>
              <c:strCache>
                <c:ptCount val="1"/>
                <c:pt idx="0">
                  <c:v>TSS</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Inland-DT'!$N$11:$N$19</c:f>
              <c:numCache>
                <c:formatCode>0.0%</c:formatCode>
                <c:ptCount val="9"/>
                <c:pt idx="0">
                  <c:v>0.33805235977431125</c:v>
                </c:pt>
                <c:pt idx="1">
                  <c:v>0.5302619880517756</c:v>
                </c:pt>
                <c:pt idx="2">
                  <c:v>0.69545627613674077</c:v>
                </c:pt>
                <c:pt idx="3">
                  <c:v>0.76115403252572189</c:v>
                </c:pt>
                <c:pt idx="4">
                  <c:v>0.7896244274809161</c:v>
                </c:pt>
                <c:pt idx="5">
                  <c:v>0.79904892134085626</c:v>
                </c:pt>
                <c:pt idx="6">
                  <c:v>0.80539425821440425</c:v>
                </c:pt>
                <c:pt idx="7">
                  <c:v>0.81468785263856613</c:v>
                </c:pt>
                <c:pt idx="8">
                  <c:v>0.82333879853966152</c:v>
                </c:pt>
              </c:numCache>
            </c:numRef>
          </c:yVal>
          <c:smooth val="1"/>
        </c:ser>
        <c:axId val="88634112"/>
        <c:axId val="88636032"/>
      </c:scatterChart>
      <c:valAx>
        <c:axId val="8863411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8636032"/>
        <c:crosses val="autoZero"/>
        <c:crossBetween val="midCat"/>
        <c:majorUnit val="0.2"/>
      </c:valAx>
      <c:valAx>
        <c:axId val="8863603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863411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'West Inland-DT'!$D$10</c:f>
              <c:strCache>
                <c:ptCount val="1"/>
                <c:pt idx="0">
                  <c:v>Clay</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Inland-DT'!$O$11:$O$19</c:f>
              <c:numCache>
                <c:formatCode>0.0%</c:formatCode>
                <c:ptCount val="9"/>
                <c:pt idx="0">
                  <c:v>2.5639561898440095E-3</c:v>
                </c:pt>
                <c:pt idx="1">
                  <c:v>4.5374709591769003E-3</c:v>
                </c:pt>
                <c:pt idx="2">
                  <c:v>6.0521739130434777E-3</c:v>
                </c:pt>
                <c:pt idx="3">
                  <c:v>8.1918353800199128E-3</c:v>
                </c:pt>
                <c:pt idx="4">
                  <c:v>1.0470627281778958E-2</c:v>
                </c:pt>
                <c:pt idx="5">
                  <c:v>1.2176568204447395E-2</c:v>
                </c:pt>
                <c:pt idx="6">
                  <c:v>1.4503153003650847E-2</c:v>
                </c:pt>
                <c:pt idx="7">
                  <c:v>1.8549618320610688E-2</c:v>
                </c:pt>
                <c:pt idx="8">
                  <c:v>2.2992366412213739E-2</c:v>
                </c:pt>
              </c:numCache>
            </c:numRef>
          </c:yVal>
          <c:smooth val="1"/>
        </c:ser>
        <c:ser>
          <c:idx val="1"/>
          <c:order val="1"/>
          <c:tx>
            <c:strRef>
              <c:f>'West Inland-DT'!$H$10</c:f>
              <c:strCache>
                <c:ptCount val="1"/>
                <c:pt idx="0">
                  <c:v>Silt</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Inland-DT'!$S$11:$S$19</c:f>
              <c:numCache>
                <c:formatCode>0.0%</c:formatCode>
                <c:ptCount val="9"/>
                <c:pt idx="0">
                  <c:v>0.25066600287642438</c:v>
                </c:pt>
                <c:pt idx="1">
                  <c:v>0.40424515986281673</c:v>
                </c:pt>
                <c:pt idx="2">
                  <c:v>0.54423276911162743</c:v>
                </c:pt>
                <c:pt idx="3">
                  <c:v>0.61166279455692008</c:v>
                </c:pt>
                <c:pt idx="4">
                  <c:v>0.65004314636574845</c:v>
                </c:pt>
                <c:pt idx="5">
                  <c:v>0.66401150569753298</c:v>
                </c:pt>
                <c:pt idx="6">
                  <c:v>0.67785374488328365</c:v>
                </c:pt>
                <c:pt idx="7">
                  <c:v>0.69813032415090182</c:v>
                </c:pt>
                <c:pt idx="8">
                  <c:v>0.71678725522734821</c:v>
                </c:pt>
              </c:numCache>
            </c:numRef>
          </c:yVal>
          <c:smooth val="1"/>
        </c:ser>
        <c:ser>
          <c:idx val="2"/>
          <c:order val="2"/>
          <c:tx>
            <c:strRef>
              <c:f>'West Inland-DT'!$I$10</c:f>
              <c:strCache>
                <c:ptCount val="1"/>
                <c:pt idx="0">
                  <c:v>Sand</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Inland-DT'!$T$11:$T$19</c:f>
              <c:numCache>
                <c:formatCode>0.0%</c:formatCode>
                <c:ptCount val="9"/>
                <c:pt idx="0">
                  <c:v>0.45024892134085626</c:v>
                </c:pt>
                <c:pt idx="1">
                  <c:v>0.69624958513109858</c:v>
                </c:pt>
                <c:pt idx="2">
                  <c:v>0.90049784268171251</c:v>
                </c:pt>
                <c:pt idx="3">
                  <c:v>0.97099236641221376</c:v>
                </c:pt>
                <c:pt idx="4">
                  <c:v>0.99316296050448061</c:v>
                </c:pt>
                <c:pt idx="5">
                  <c:v>0.9992698307334883</c:v>
                </c:pt>
                <c:pt idx="6">
                  <c:v>0.9992698307334883</c:v>
                </c:pt>
                <c:pt idx="7">
                  <c:v>0.99920345170925984</c:v>
                </c:pt>
                <c:pt idx="8">
                  <c:v>0.9992698307334883</c:v>
                </c:pt>
              </c:numCache>
            </c:numRef>
          </c:yVal>
          <c:smooth val="1"/>
        </c:ser>
        <c:axId val="88809856"/>
        <c:axId val="88811776"/>
      </c:scatterChart>
      <c:valAx>
        <c:axId val="8880985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8811776"/>
        <c:crosses val="autoZero"/>
        <c:crossBetween val="midCat"/>
        <c:majorUnit val="0.2"/>
      </c:valAx>
      <c:valAx>
        <c:axId val="8881177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880985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73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500928"/>
        <c:axId val="75503104"/>
      </c:scatterChart>
      <c:valAx>
        <c:axId val="7550092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503104"/>
        <c:crosses val="autoZero"/>
        <c:crossBetween val="midCat"/>
        <c:majorUnit val="0.2"/>
      </c:valAx>
      <c:valAx>
        <c:axId val="7550310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550092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66" r="0.75000000000000766"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'West Inland-DT'!$B$10</c:f>
              <c:strCache>
                <c:ptCount val="1"/>
                <c:pt idx="0">
                  <c:v>Runoff</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Inland-DT'!$X$11:$X$19</c:f>
              <c:numCache>
                <c:formatCode>0.0%</c:formatCode>
                <c:ptCount val="9"/>
                <c:pt idx="0">
                  <c:v>0.34113966017405717</c:v>
                </c:pt>
                <c:pt idx="1">
                  <c:v>0.57745544964774143</c:v>
                </c:pt>
                <c:pt idx="2">
                  <c:v>0.80294239535847489</c:v>
                </c:pt>
                <c:pt idx="3">
                  <c:v>0.92142561127227518</c:v>
                </c:pt>
                <c:pt idx="4">
                  <c:v>0.97057604641525075</c:v>
                </c:pt>
                <c:pt idx="5">
                  <c:v>0.98727724823870699</c:v>
                </c:pt>
                <c:pt idx="6">
                  <c:v>0.99320348114380441</c:v>
                </c:pt>
                <c:pt idx="7">
                  <c:v>1</c:v>
                </c:pt>
                <c:pt idx="8">
                  <c:v>1</c:v>
                </c:pt>
              </c:numCache>
            </c:numRef>
          </c:yVal>
          <c:smooth val="1"/>
        </c:ser>
        <c:ser>
          <c:idx val="1"/>
          <c:order val="1"/>
          <c:tx>
            <c:strRef>
              <c:f>'West Inland-DT'!$C$10</c:f>
              <c:strCache>
                <c:ptCount val="1"/>
                <c:pt idx="0">
                  <c:v>TSS</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Inland-DT'!$Y$11:$Y$19</c:f>
              <c:numCache>
                <c:formatCode>0.0%</c:formatCode>
                <c:ptCount val="9"/>
                <c:pt idx="0">
                  <c:v>0.26997938599402593</c:v>
                </c:pt>
                <c:pt idx="1">
                  <c:v>0.45980207766345838</c:v>
                </c:pt>
                <c:pt idx="2">
                  <c:v>0.64573942914039173</c:v>
                </c:pt>
                <c:pt idx="3">
                  <c:v>0.74626963159641557</c:v>
                </c:pt>
                <c:pt idx="4">
                  <c:v>0.79117102555592433</c:v>
                </c:pt>
                <c:pt idx="5">
                  <c:v>0.8091973116495188</c:v>
                </c:pt>
                <c:pt idx="6">
                  <c:v>0.81826883504812487</c:v>
                </c:pt>
                <c:pt idx="7">
                  <c:v>0.83172675074676405</c:v>
                </c:pt>
                <c:pt idx="8">
                  <c:v>0.83711496846996347</c:v>
                </c:pt>
              </c:numCache>
            </c:numRef>
          </c:yVal>
          <c:smooth val="1"/>
        </c:ser>
        <c:axId val="88841216"/>
        <c:axId val="88851584"/>
      </c:scatterChart>
      <c:valAx>
        <c:axId val="88841216"/>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8851584"/>
        <c:crosses val="autoZero"/>
        <c:crossBetween val="midCat"/>
        <c:majorUnit val="0.2"/>
      </c:valAx>
      <c:valAx>
        <c:axId val="88851584"/>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8841216"/>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'West Inland-DT'!$D$10</c:f>
              <c:strCache>
                <c:ptCount val="1"/>
                <c:pt idx="0">
                  <c:v>Clay</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Inland-DT'!$Z$11:$Z$19</c:f>
              <c:numCache>
                <c:formatCode>0.0%</c:formatCode>
                <c:ptCount val="9"/>
                <c:pt idx="0">
                  <c:v>3.4416860272153999E-3</c:v>
                </c:pt>
                <c:pt idx="1">
                  <c:v>6.4703617656820447E-3</c:v>
                </c:pt>
                <c:pt idx="2">
                  <c:v>9.3322270162628611E-3</c:v>
                </c:pt>
                <c:pt idx="3">
                  <c:v>1.2076999668104878E-2</c:v>
                </c:pt>
                <c:pt idx="4">
                  <c:v>1.4671755725190841E-2</c:v>
                </c:pt>
                <c:pt idx="5">
                  <c:v>1.7129107202124128E-2</c:v>
                </c:pt>
                <c:pt idx="6">
                  <c:v>1.9581812147361433E-2</c:v>
                </c:pt>
                <c:pt idx="7">
                  <c:v>2.4983073348821772E-2</c:v>
                </c:pt>
                <c:pt idx="8">
                  <c:v>2.877796216395619E-2</c:v>
                </c:pt>
              </c:numCache>
            </c:numRef>
          </c:yVal>
          <c:smooth val="1"/>
        </c:ser>
        <c:ser>
          <c:idx val="1"/>
          <c:order val="1"/>
          <c:tx>
            <c:strRef>
              <c:f>'West Inland-DT'!$H$10</c:f>
              <c:strCache>
                <c:ptCount val="1"/>
                <c:pt idx="0">
                  <c:v>Silt</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Inland-DT'!$AD$11:$AD$19</c:f>
              <c:numCache>
                <c:formatCode>0.0%</c:formatCode>
                <c:ptCount val="9"/>
                <c:pt idx="0">
                  <c:v>0.22115233986060409</c:v>
                </c:pt>
                <c:pt idx="1">
                  <c:v>0.38005597964376592</c:v>
                </c:pt>
                <c:pt idx="2">
                  <c:v>0.54246929970129443</c:v>
                </c:pt>
                <c:pt idx="3">
                  <c:v>0.63391304347826094</c:v>
                </c:pt>
                <c:pt idx="4">
                  <c:v>0.67882730390529922</c:v>
                </c:pt>
                <c:pt idx="5">
                  <c:v>0.70002655160969129</c:v>
                </c:pt>
                <c:pt idx="6">
                  <c:v>0.71334882177231995</c:v>
                </c:pt>
                <c:pt idx="7">
                  <c:v>0.73513220488992159</c:v>
                </c:pt>
                <c:pt idx="8">
                  <c:v>0.7466843677397943</c:v>
                </c:pt>
              </c:numCache>
            </c:numRef>
          </c:yVal>
          <c:smooth val="1"/>
        </c:ser>
        <c:ser>
          <c:idx val="2"/>
          <c:order val="2"/>
          <c:tx>
            <c:strRef>
              <c:f>'West Inland-DT'!$I$10</c:f>
              <c:strCache>
                <c:ptCount val="1"/>
                <c:pt idx="0">
                  <c:v>Sand</c:v>
                </c:pt>
              </c:strCache>
            </c:strRef>
          </c:tx>
          <c:xVal>
            <c:numRef>
              <c:f>'West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'West Inland-DT'!$AE$11:$AE$19</c:f>
              <c:numCache>
                <c:formatCode>0.0%</c:formatCode>
                <c:ptCount val="9"/>
                <c:pt idx="0">
                  <c:v>0.34057749751078664</c:v>
                </c:pt>
                <c:pt idx="1">
                  <c:v>0.57690673747095922</c:v>
                </c:pt>
                <c:pt idx="2">
                  <c:v>0.80232326584799207</c:v>
                </c:pt>
                <c:pt idx="3">
                  <c:v>0.92080982409558587</c:v>
                </c:pt>
                <c:pt idx="4">
                  <c:v>0.96993030202456032</c:v>
                </c:pt>
                <c:pt idx="5">
                  <c:v>0.98665781613010295</c:v>
                </c:pt>
                <c:pt idx="6">
                  <c:v>0.99256554928642549</c:v>
                </c:pt>
                <c:pt idx="7">
                  <c:v>0.99933620975771653</c:v>
                </c:pt>
                <c:pt idx="8">
                  <c:v>0.99933620975771653</c:v>
                </c:pt>
              </c:numCache>
            </c:numRef>
          </c:yVal>
          <c:smooth val="1"/>
        </c:ser>
        <c:axId val="88869504"/>
        <c:axId val="88900352"/>
      </c:scatterChart>
      <c:valAx>
        <c:axId val="8886950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8900352"/>
        <c:crosses val="autoZero"/>
        <c:crossBetween val="midCat"/>
        <c:majorUnit val="0.2"/>
      </c:valAx>
      <c:valAx>
        <c:axId val="8890035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886950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Inland-MF'!$AI$3</c:f>
              <c:strCache>
                <c:ptCount val="1"/>
                <c:pt idx="0">
                  <c:v>Runoff Treated</c:v>
                </c:pt>
              </c:strCache>
            </c:strRef>
          </c:tx>
          <c:xVal>
            <c:numRef>
              <c:f>'West Inland-MF'!$AH$10:$AH$12</c:f>
              <c:numCache>
                <c:formatCode>General</c:formatCode>
                <c:ptCount val="3"/>
              </c:numCache>
            </c:numRef>
          </c:xVal>
          <c:yVal>
            <c:numRef>
              <c:f>'West Inland-MF'!$AI$4:$AI$12</c:f>
              <c:numCache>
                <c:formatCode>0.0%</c:formatCode>
                <c:ptCount val="9"/>
                <c:pt idx="0">
                  <c:v>0.73121614357193065</c:v>
                </c:pt>
                <c:pt idx="1">
                  <c:v>0.86858536988793777</c:v>
                </c:pt>
                <c:pt idx="2">
                  <c:v>0.95571269073315968</c:v>
                </c:pt>
                <c:pt idx="3">
                  <c:v>0.98296323863871315</c:v>
                </c:pt>
                <c:pt idx="4">
                  <c:v>0.99354918744572629</c:v>
                </c:pt>
                <c:pt idx="5">
                  <c:v>0.99896621593681512</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8956928"/>
        <c:axId val="88958848"/>
      </c:scatterChart>
      <c:valAx>
        <c:axId val="8895692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958848"/>
        <c:crosses val="autoZero"/>
        <c:crossBetween val="midCat"/>
        <c:majorUnit val="0.2"/>
      </c:valAx>
      <c:valAx>
        <c:axId val="8895884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895692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8993152"/>
        <c:axId val="89064576"/>
      </c:scatterChart>
      <c:valAx>
        <c:axId val="8899315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064576"/>
        <c:crosses val="autoZero"/>
        <c:crossBetween val="midCat"/>
        <c:majorUnit val="0.2"/>
      </c:valAx>
      <c:valAx>
        <c:axId val="890645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899315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Inland-MF'!$AI$3</c:f>
              <c:strCache>
                <c:ptCount val="1"/>
                <c:pt idx="0">
                  <c:v>Runoff Treated</c:v>
                </c:pt>
              </c:strCache>
            </c:strRef>
          </c:tx>
          <c:xVal>
            <c:numRef>
              <c:f>'West Inland-MF'!$AH$10:$AH$12</c:f>
              <c:numCache>
                <c:formatCode>General</c:formatCode>
                <c:ptCount val="3"/>
              </c:numCache>
            </c:numRef>
          </c:xVal>
          <c:yVal>
            <c:numRef>
              <c:f>'West Inland-MF'!$AI$4:$AI$12</c:f>
              <c:numCache>
                <c:formatCode>0.0%</c:formatCode>
                <c:ptCount val="9"/>
                <c:pt idx="0">
                  <c:v>0.73121614357193065</c:v>
                </c:pt>
                <c:pt idx="1">
                  <c:v>0.86858536988793777</c:v>
                </c:pt>
                <c:pt idx="2">
                  <c:v>0.95571269073315968</c:v>
                </c:pt>
                <c:pt idx="3">
                  <c:v>0.98296323863871315</c:v>
                </c:pt>
                <c:pt idx="4">
                  <c:v>0.99354918744572629</c:v>
                </c:pt>
                <c:pt idx="5">
                  <c:v>0.99896621593681512</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9110400"/>
        <c:axId val="89120768"/>
      </c:scatterChart>
      <c:valAx>
        <c:axId val="891104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120768"/>
        <c:crosses val="autoZero"/>
        <c:crossBetween val="midCat"/>
        <c:majorUnit val="0.2"/>
      </c:valAx>
      <c:valAx>
        <c:axId val="8912076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91104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9155072"/>
        <c:axId val="89156608"/>
      </c:scatterChart>
      <c:valAx>
        <c:axId val="8915507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156608"/>
        <c:crosses val="autoZero"/>
        <c:crossBetween val="midCat"/>
        <c:majorUnit val="0.2"/>
      </c:valAx>
      <c:valAx>
        <c:axId val="891566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915507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'West Inland-MF'!$AI$3</c:f>
              <c:strCache>
                <c:ptCount val="1"/>
                <c:pt idx="0">
                  <c:v>Runoff Treated</c:v>
                </c:pt>
              </c:strCache>
            </c:strRef>
          </c:tx>
          <c:xVal>
            <c:numRef>
              <c:f>'West Inland-MF'!$AH$10:$AH$12</c:f>
              <c:numCache>
                <c:formatCode>General</c:formatCode>
                <c:ptCount val="3"/>
              </c:numCache>
            </c:numRef>
          </c:xVal>
          <c:yVal>
            <c:numRef>
              <c:f>'West Inland-MF'!$AI$4:$AI$12</c:f>
              <c:numCache>
                <c:formatCode>0.0%</c:formatCode>
                <c:ptCount val="9"/>
                <c:pt idx="0">
                  <c:v>0.73121614357193065</c:v>
                </c:pt>
                <c:pt idx="1">
                  <c:v>0.86858536988793777</c:v>
                </c:pt>
                <c:pt idx="2">
                  <c:v>0.95571269073315968</c:v>
                </c:pt>
                <c:pt idx="3">
                  <c:v>0.98296323863871315</c:v>
                </c:pt>
                <c:pt idx="4">
                  <c:v>0.99354918744572629</c:v>
                </c:pt>
                <c:pt idx="5">
                  <c:v>0.99896621593681512</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9190400"/>
        <c:axId val="89192320"/>
      </c:scatterChart>
      <c:valAx>
        <c:axId val="891904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192320"/>
        <c:crosses val="autoZero"/>
        <c:crossBetween val="midCat"/>
        <c:majorUnit val="0.2"/>
      </c:valAx>
      <c:valAx>
        <c:axId val="891923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91904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'West Inland-MF'!$AH$10:$AH$12</c:f>
              <c:numCache>
                <c:formatCode>General</c:formatCode>
                <c:ptCount val="3"/>
              </c:numCache>
            </c:numRef>
          </c:xVal>
          <c:yVal>
            <c:numRef>
              <c:f>'3-ft'!#REF!</c:f>
              <c:numCache>
                <c:formatCode>General</c:formatCode>
                <c:ptCount val="1"/>
                <c:pt idx="0">
                  <c:v>1</c:v>
                </c:pt>
              </c:numCache>
            </c:numRef>
          </c:yVal>
          <c:smooth val="1"/>
        </c:ser>
        <c:axId val="89230720"/>
        <c:axId val="89236608"/>
      </c:scatterChart>
      <c:valAx>
        <c:axId val="8923072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236608"/>
        <c:crosses val="autoZero"/>
        <c:crossBetween val="midCat"/>
        <c:majorUnit val="0.2"/>
      </c:valAx>
      <c:valAx>
        <c:axId val="892366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92307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'West Inland-MF'!$A$30:$A$35</c:f>
              <c:numCache>
                <c:formatCode>0</c:formatCode>
                <c:ptCount val="6"/>
                <c:pt idx="0">
                  <c:v>100</c:v>
                </c:pt>
                <c:pt idx="1">
                  <c:v>200</c:v>
                </c:pt>
                <c:pt idx="2">
                  <c:v>400</c:v>
                </c:pt>
                <c:pt idx="3">
                  <c:v>600</c:v>
                </c:pt>
                <c:pt idx="4">
                  <c:v>800</c:v>
                </c:pt>
                <c:pt idx="5">
                  <c:v>1000</c:v>
                </c:pt>
              </c:numCache>
            </c:numRef>
          </c:xVal>
          <c:yVal>
            <c:numRef>
              <c:f>'West Inland-MF'!$B$30:$B$35</c:f>
              <c:numCache>
                <c:formatCode>0.0%</c:formatCode>
                <c:ptCount val="6"/>
                <c:pt idx="0">
                  <c:v>0.1205350866311045</c:v>
                </c:pt>
                <c:pt idx="1">
                  <c:v>0.21437373361452261</c:v>
                </c:pt>
                <c:pt idx="2">
                  <c:v>0.36926353223338709</c:v>
                </c:pt>
                <c:pt idx="3">
                  <c:v>0.49294959268907912</c:v>
                </c:pt>
                <c:pt idx="4">
                  <c:v>0.5931439440929579</c:v>
                </c:pt>
                <c:pt idx="5">
                  <c:v>0.67104991109457057</c:v>
                </c:pt>
              </c:numCache>
            </c:numRef>
          </c:yVal>
          <c:smooth val="1"/>
        </c:ser>
        <c:ser>
          <c:idx val="1"/>
          <c:order val="1"/>
          <c:tx>
            <c:v>%Treated_5 in/hr</c:v>
          </c:tx>
          <c:xVal>
            <c:numRef>
              <c:f>'West Inland-MF'!$A$30:$A$35</c:f>
              <c:numCache>
                <c:formatCode>0</c:formatCode>
                <c:ptCount val="6"/>
                <c:pt idx="0">
                  <c:v>100</c:v>
                </c:pt>
                <c:pt idx="1">
                  <c:v>200</c:v>
                </c:pt>
                <c:pt idx="2">
                  <c:v>400</c:v>
                </c:pt>
                <c:pt idx="3">
                  <c:v>600</c:v>
                </c:pt>
                <c:pt idx="4">
                  <c:v>800</c:v>
                </c:pt>
                <c:pt idx="5">
                  <c:v>1000</c:v>
                </c:pt>
              </c:numCache>
            </c:numRef>
          </c:xVal>
          <c:yVal>
            <c:numRef>
              <c:f>'West Inland-MF'!$C$30:$C$35</c:f>
              <c:numCache>
                <c:formatCode>0.0%</c:formatCode>
                <c:ptCount val="6"/>
                <c:pt idx="0">
                  <c:v>0.25594425836331308</c:v>
                </c:pt>
                <c:pt idx="1">
                  <c:v>0.43009552164743831</c:v>
                </c:pt>
                <c:pt idx="2">
                  <c:v>0.6608774759128313</c:v>
                </c:pt>
                <c:pt idx="3">
                  <c:v>0.79175453831203735</c:v>
                </c:pt>
                <c:pt idx="4">
                  <c:v>0.87090104618947195</c:v>
                </c:pt>
                <c:pt idx="5">
                  <c:v>0.91663565314477113</c:v>
                </c:pt>
              </c:numCache>
            </c:numRef>
          </c:yVal>
          <c:smooth val="1"/>
        </c:ser>
        <c:ser>
          <c:idx val="0"/>
          <c:order val="2"/>
          <c:tx>
            <c:v>%Treated_50 in/hr</c:v>
          </c:tx>
          <c:xVal>
            <c:numRef>
              <c:f>'West Inland-MF'!$A$30:$A$35</c:f>
              <c:numCache>
                <c:formatCode>0</c:formatCode>
                <c:ptCount val="6"/>
                <c:pt idx="0">
                  <c:v>100</c:v>
                </c:pt>
                <c:pt idx="1">
                  <c:v>200</c:v>
                </c:pt>
                <c:pt idx="2">
                  <c:v>400</c:v>
                </c:pt>
                <c:pt idx="3">
                  <c:v>600</c:v>
                </c:pt>
                <c:pt idx="4">
                  <c:v>800</c:v>
                </c:pt>
                <c:pt idx="5">
                  <c:v>1000</c:v>
                </c:pt>
              </c:numCache>
            </c:numRef>
          </c:xVal>
          <c:yVal>
            <c:numRef>
              <c:f>'West Inland-MF'!$D$30:$D$35</c:f>
              <c:numCache>
                <c:formatCode>0.0%</c:formatCode>
                <c:ptCount val="6"/>
                <c:pt idx="0">
                  <c:v>0.73121614357193065</c:v>
                </c:pt>
                <c:pt idx="1">
                  <c:v>0.86858536988793777</c:v>
                </c:pt>
                <c:pt idx="2">
                  <c:v>0.95571269073315968</c:v>
                </c:pt>
                <c:pt idx="3">
                  <c:v>0.98296323863871315</c:v>
                </c:pt>
                <c:pt idx="4">
                  <c:v>0.99354918744572629</c:v>
                </c:pt>
                <c:pt idx="5">
                  <c:v>0.99896621593681512</c:v>
                </c:pt>
              </c:numCache>
            </c:numRef>
          </c:yVal>
          <c:smooth val="1"/>
        </c:ser>
        <c:axId val="89287296"/>
        <c:axId val="89293568"/>
      </c:scatterChart>
      <c:scatterChart>
        <c:scatterStyle val="smoothMarker"/>
        <c:ser>
          <c:idx val="5"/>
          <c:order val="3"/>
          <c:tx>
            <c:v>Contact Time_1 in/hr</c:v>
          </c:tx>
          <c:spPr>
            <a:ln>
              <a:solidFill>
                <a:schemeClr val="accent3">
                  <a:lumMod val="75000"/>
                </a:schemeClr>
              </a:solidFill>
            </a:ln>
          </c:spPr>
          <c:marker>
            <c:symbol val="none"/>
          </c:marker>
          <c:xVal>
            <c:numRef>
              <c:f>'West Inland-MF'!$A$30:$A$35</c:f>
              <c:numCache>
                <c:formatCode>0</c:formatCode>
                <c:ptCount val="6"/>
                <c:pt idx="0">
                  <c:v>100</c:v>
                </c:pt>
                <c:pt idx="1">
                  <c:v>200</c:v>
                </c:pt>
                <c:pt idx="2">
                  <c:v>400</c:v>
                </c:pt>
                <c:pt idx="3">
                  <c:v>600</c:v>
                </c:pt>
                <c:pt idx="4">
                  <c:v>800</c:v>
                </c:pt>
                <c:pt idx="5">
                  <c:v>1000</c:v>
                </c:pt>
              </c:numCache>
            </c:numRef>
          </c:xVal>
          <c:yVal>
            <c:numRef>
              <c:f>'West Inland-MF'!$E$30:$E$35</c:f>
              <c:numCache>
                <c:formatCode>0.0</c:formatCode>
                <c:ptCount val="6"/>
                <c:pt idx="0">
                  <c:v>7.3725807402913652</c:v>
                </c:pt>
                <c:pt idx="1">
                  <c:v>8.1192744616341077</c:v>
                </c:pt>
                <c:pt idx="2">
                  <c:v>9.2187625523329384</c:v>
                </c:pt>
                <c:pt idx="3">
                  <c:v>10.091399244586684</c:v>
                </c:pt>
                <c:pt idx="4">
                  <c:v>10.839353045471087</c:v>
                </c:pt>
                <c:pt idx="5">
                  <c:v>11.597545296698344</c:v>
                </c:pt>
              </c:numCache>
            </c:numRef>
          </c:yVal>
          <c:smooth val="1"/>
        </c:ser>
        <c:ser>
          <c:idx val="4"/>
          <c:order val="4"/>
          <c:tx>
            <c:v>Contact Time_5 in/hr</c:v>
          </c:tx>
          <c:spPr>
            <a:ln>
              <a:solidFill>
                <a:srgbClr val="8A0000"/>
              </a:solidFill>
            </a:ln>
          </c:spPr>
          <c:marker>
            <c:symbol val="none"/>
          </c:marker>
          <c:xVal>
            <c:numRef>
              <c:f>'West Inland-MF'!$A$30:$A$35</c:f>
              <c:numCache>
                <c:formatCode>0</c:formatCode>
                <c:ptCount val="6"/>
                <c:pt idx="0">
                  <c:v>100</c:v>
                </c:pt>
                <c:pt idx="1">
                  <c:v>200</c:v>
                </c:pt>
                <c:pt idx="2">
                  <c:v>400</c:v>
                </c:pt>
                <c:pt idx="3">
                  <c:v>600</c:v>
                </c:pt>
                <c:pt idx="4">
                  <c:v>800</c:v>
                </c:pt>
                <c:pt idx="5">
                  <c:v>1000</c:v>
                </c:pt>
              </c:numCache>
            </c:numRef>
          </c:xVal>
          <c:yVal>
            <c:numRef>
              <c:f>'West Inland-MF'!$F$30:$F$35</c:f>
              <c:numCache>
                <c:formatCode>0.0</c:formatCode>
                <c:ptCount val="6"/>
                <c:pt idx="0">
                  <c:v>1.8285164984431488</c:v>
                </c:pt>
                <c:pt idx="1">
                  <c:v>2.1645824829616438</c:v>
                </c:pt>
                <c:pt idx="2">
                  <c:v>2.7570995312930799</c:v>
                </c:pt>
                <c:pt idx="3">
                  <c:v>3.3463362398653818</c:v>
                </c:pt>
                <c:pt idx="4">
                  <c:v>3.979318911144651</c:v>
                </c:pt>
                <c:pt idx="5">
                  <c:v>4.633601287876381</c:v>
                </c:pt>
              </c:numCache>
            </c:numRef>
          </c:yVal>
          <c:smooth val="1"/>
        </c:ser>
        <c:ser>
          <c:idx val="3"/>
          <c:order val="5"/>
          <c:tx>
            <c:v>Contact Time_50 in/hr</c:v>
          </c:tx>
          <c:spPr>
            <a:ln>
              <a:solidFill>
                <a:schemeClr val="accent1">
                  <a:lumMod val="75000"/>
                </a:schemeClr>
              </a:solidFill>
            </a:ln>
          </c:spPr>
          <c:marker>
            <c:symbol val="none"/>
          </c:marker>
          <c:xVal>
            <c:numRef>
              <c:f>'West Inland-MF'!$A$30:$A$35</c:f>
              <c:numCache>
                <c:formatCode>0</c:formatCode>
                <c:ptCount val="6"/>
                <c:pt idx="0">
                  <c:v>100</c:v>
                </c:pt>
                <c:pt idx="1">
                  <c:v>200</c:v>
                </c:pt>
                <c:pt idx="2">
                  <c:v>400</c:v>
                </c:pt>
                <c:pt idx="3">
                  <c:v>600</c:v>
                </c:pt>
                <c:pt idx="4">
                  <c:v>800</c:v>
                </c:pt>
                <c:pt idx="5">
                  <c:v>1000</c:v>
                </c:pt>
              </c:numCache>
            </c:numRef>
          </c:xVal>
          <c:yVal>
            <c:numRef>
              <c:f>'West Inland-MF'!$G$30:$G$35</c:f>
              <c:numCache>
                <c:formatCode>0.0</c:formatCode>
                <c:ptCount val="6"/>
                <c:pt idx="0">
                  <c:v>0.55799478992293294</c:v>
                </c:pt>
                <c:pt idx="1">
                  <c:v>0.91585155877935309</c:v>
                </c:pt>
                <c:pt idx="2">
                  <c:v>1.5925994180186698</c:v>
                </c:pt>
                <c:pt idx="3">
                  <c:v>2.2661202079650886</c:v>
                </c:pt>
                <c:pt idx="4">
                  <c:v>2.9494796275228583</c:v>
                </c:pt>
                <c:pt idx="5">
                  <c:v>3.6260036260036257</c:v>
                </c:pt>
              </c:numCache>
            </c:numRef>
          </c:yVal>
          <c:smooth val="1"/>
        </c:ser>
        <c:axId val="89305856"/>
        <c:axId val="89295488"/>
      </c:scatterChart>
      <c:valAx>
        <c:axId val="89287296"/>
        <c:scaling>
          <c:orientation val="minMax"/>
          <c:min val="0"/>
        </c:scaling>
        <c:axPos val="b"/>
        <c:title>
          <c:tx>
            <c:rich>
              <a:bodyPr/>
              <a:lstStyle/>
              <a:p>
                <a:pPr>
                  <a:defRPr/>
                </a:pPr>
                <a:r>
                  <a:rPr lang="en-US"/>
                  <a:t>Filter Area (SF)</a:t>
                </a:r>
              </a:p>
            </c:rich>
          </c:tx>
        </c:title>
        <c:numFmt formatCode="0" sourceLinked="1"/>
        <c:tickLblPos val="nextTo"/>
        <c:crossAx val="89293568"/>
        <c:crosses val="autoZero"/>
        <c:crossBetween val="midCat"/>
      </c:valAx>
      <c:valAx>
        <c:axId val="8929356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9287296"/>
        <c:crosses val="autoZero"/>
        <c:crossBetween val="midCat"/>
      </c:valAx>
      <c:valAx>
        <c:axId val="89295488"/>
        <c:scaling>
          <c:orientation val="minMax"/>
          <c:max val="20"/>
        </c:scaling>
        <c:axPos val="r"/>
        <c:title>
          <c:tx>
            <c:rich>
              <a:bodyPr rot="-5400000" vert="horz"/>
              <a:lstStyle/>
              <a:p>
                <a:pPr>
                  <a:defRPr/>
                </a:pPr>
                <a:r>
                  <a:rPr lang="en-US"/>
                  <a:t>Contact Time (hrs)</a:t>
                </a:r>
              </a:p>
            </c:rich>
          </c:tx>
        </c:title>
        <c:numFmt formatCode="0.0" sourceLinked="1"/>
        <c:tickLblPos val="nextTo"/>
        <c:crossAx val="89305856"/>
        <c:crosses val="max"/>
        <c:crossBetween val="midCat"/>
      </c:valAx>
      <c:valAx>
        <c:axId val="89305856"/>
        <c:scaling>
          <c:orientation val="minMax"/>
        </c:scaling>
        <c:delete val="1"/>
        <c:axPos val="b"/>
        <c:numFmt formatCode="0" sourceLinked="1"/>
        <c:tickLblPos val="none"/>
        <c:crossAx val="89295488"/>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5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449984"/>
        <c:axId val="89451904"/>
      </c:scatterChart>
      <c:valAx>
        <c:axId val="8944998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451904"/>
        <c:crosses val="autoZero"/>
        <c:crossBetween val="midCat"/>
        <c:majorUnit val="0.2"/>
      </c:valAx>
      <c:valAx>
        <c:axId val="8945190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944998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55" l="0.70000000000000062" r="0.70000000000000062" t="0.750000000000006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529216"/>
        <c:axId val="75559680"/>
      </c:scatterChart>
      <c:valAx>
        <c:axId val="7552921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559680"/>
        <c:crosses val="autoZero"/>
        <c:crossBetween val="midCat"/>
        <c:majorUnit val="0.2"/>
      </c:valAx>
      <c:valAx>
        <c:axId val="7555968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552921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66" r="0.75000000000000766"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502848"/>
        <c:axId val="89504384"/>
      </c:scatterChart>
      <c:valAx>
        <c:axId val="8950284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504384"/>
        <c:crosses val="autoZero"/>
        <c:crossBetween val="midCat"/>
        <c:majorUnit val="0.2"/>
      </c:valAx>
      <c:valAx>
        <c:axId val="8950438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950284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77" l="0.70000000000000062" r="0.70000000000000062" t="0.750000000000006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5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492864"/>
        <c:axId val="89544192"/>
      </c:scatterChart>
      <c:valAx>
        <c:axId val="8949286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544192"/>
        <c:crosses val="autoZero"/>
        <c:crossBetween val="midCat"/>
        <c:majorUnit val="0.2"/>
      </c:valAx>
      <c:valAx>
        <c:axId val="8954419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949286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66" r="0.75000000000000566"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586688"/>
        <c:axId val="89596672"/>
      </c:scatterChart>
      <c:valAx>
        <c:axId val="8958668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596672"/>
        <c:crosses val="autoZero"/>
        <c:crossBetween val="midCat"/>
        <c:majorUnit val="0.2"/>
      </c:valAx>
      <c:valAx>
        <c:axId val="89596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95866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66" r="0.75000000000000566"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5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630208"/>
        <c:axId val="89632128"/>
      </c:scatterChart>
      <c:valAx>
        <c:axId val="8963020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632128"/>
        <c:crosses val="autoZero"/>
        <c:crossBetween val="midCat"/>
        <c:majorUnit val="0.2"/>
      </c:valAx>
      <c:valAx>
        <c:axId val="8963212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96302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66" r="0.75000000000000566" t="1" header="0.5" footer="0.5"/>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9736320"/>
        <c:axId val="89737856"/>
      </c:scatterChart>
      <c:valAx>
        <c:axId val="8973632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9737856"/>
        <c:crosses val="autoZero"/>
        <c:crossBetween val="midCat"/>
        <c:majorUnit val="0.2"/>
      </c:valAx>
      <c:valAx>
        <c:axId val="8973785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97363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66" r="0.75000000000000566"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766"/>
        </c:manualLayout>
      </c:layout>
      <c:scatterChart>
        <c:scatterStyle val="smoothMarker"/>
        <c:ser>
          <c:idx val="0"/>
          <c:order val="0"/>
          <c:tx>
            <c:strRef>
              <c:f>'Pacific Southwest-DT'!$B$10</c:f>
              <c:strCache>
                <c:ptCount val="1"/>
                <c:pt idx="0">
                  <c:v>Runoff</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Southwest-DT'!$B$11:$B$19</c:f>
              <c:numCache>
                <c:formatCode>0.0%</c:formatCode>
                <c:ptCount val="9"/>
                <c:pt idx="0">
                  <c:v>0.59714995269631033</c:v>
                </c:pt>
                <c:pt idx="1">
                  <c:v>0.81770340586565748</c:v>
                </c:pt>
                <c:pt idx="2">
                  <c:v>0.94962157048249762</c:v>
                </c:pt>
                <c:pt idx="3">
                  <c:v>0.98273415326395464</c:v>
                </c:pt>
                <c:pt idx="4">
                  <c:v>0.99544701986754969</c:v>
                </c:pt>
                <c:pt idx="5">
                  <c:v>1</c:v>
                </c:pt>
                <c:pt idx="6">
                  <c:v>1</c:v>
                </c:pt>
                <c:pt idx="7">
                  <c:v>1</c:v>
                </c:pt>
                <c:pt idx="8">
                  <c:v>1</c:v>
                </c:pt>
              </c:numCache>
            </c:numRef>
          </c:yVal>
          <c:smooth val="1"/>
        </c:ser>
        <c:ser>
          <c:idx val="1"/>
          <c:order val="1"/>
          <c:tx>
            <c:strRef>
              <c:f>'Pacific Southwest-DT'!$C$10</c:f>
              <c:strCache>
                <c:ptCount val="1"/>
                <c:pt idx="0">
                  <c:v>TSS</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Southwest-DT'!$C$11:$C$19</c:f>
              <c:numCache>
                <c:formatCode>0.0%</c:formatCode>
                <c:ptCount val="9"/>
                <c:pt idx="0">
                  <c:v>0.42554816507244997</c:v>
                </c:pt>
                <c:pt idx="1">
                  <c:v>0.59338520930012306</c:v>
                </c:pt>
                <c:pt idx="2">
                  <c:v>0.7058997963822331</c:v>
                </c:pt>
                <c:pt idx="3">
                  <c:v>0.74586885595226815</c:v>
                </c:pt>
                <c:pt idx="4">
                  <c:v>0.76644570982100579</c:v>
                </c:pt>
                <c:pt idx="5">
                  <c:v>0.77904285443697319</c:v>
                </c:pt>
                <c:pt idx="6">
                  <c:v>0.78692942039965896</c:v>
                </c:pt>
                <c:pt idx="7">
                  <c:v>0.79907342077848276</c:v>
                </c:pt>
                <c:pt idx="8">
                  <c:v>0.80872191968936447</c:v>
                </c:pt>
              </c:numCache>
            </c:numRef>
          </c:yVal>
          <c:smooth val="1"/>
        </c:ser>
        <c:axId val="89816448"/>
        <c:axId val="89822720"/>
      </c:scatterChart>
      <c:valAx>
        <c:axId val="89816448"/>
        <c:scaling>
          <c:orientation val="minMax"/>
          <c:max val="2"/>
          <c:min val="0"/>
        </c:scaling>
        <c:axPos val="b"/>
        <c:majorGridlines/>
        <c:title>
          <c:tx>
            <c:rich>
              <a:bodyPr/>
              <a:lstStyle/>
              <a:p>
                <a:pPr>
                  <a:defRPr/>
                </a:pPr>
                <a:r>
                  <a:rPr lang="en-US"/>
                  <a:t>Unit Basin Size (in)</a:t>
                </a:r>
              </a:p>
            </c:rich>
          </c:tx>
          <c:layout>
            <c:manualLayout>
              <c:xMode val="edge"/>
              <c:yMode val="edge"/>
              <c:x val="0.40806337796953585"/>
              <c:y val="0.91325133945033732"/>
            </c:manualLayout>
          </c:layout>
        </c:title>
        <c:numFmt formatCode="0.0" sourceLinked="0"/>
        <c:tickLblPos val="nextTo"/>
        <c:crossAx val="89822720"/>
        <c:crosses val="autoZero"/>
        <c:crossBetween val="midCat"/>
        <c:majorUnit val="0.2"/>
      </c:valAx>
      <c:valAx>
        <c:axId val="89822720"/>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89816448"/>
        <c:crosses val="autoZero"/>
        <c:crossBetween val="midCat"/>
      </c:valAx>
      <c:spPr>
        <a:ln>
          <a:solidFill>
            <a:schemeClr val="bg1">
              <a:lumMod val="50000"/>
            </a:schemeClr>
          </a:solidFill>
        </a:ln>
      </c:spPr>
    </c:plotArea>
    <c:legend>
      <c:legendPos val="t"/>
      <c:layout>
        <c:manualLayout>
          <c:xMode val="edge"/>
          <c:yMode val="edge"/>
          <c:x val="0.35385279568998418"/>
          <c:y val="9.1139240506329128E-2"/>
          <c:w val="0.26288245659980597"/>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11" l="0.70000000000000062" r="0.70000000000000062" t="0.75000000000000311"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52"/>
          <c:y val="0.18721974766559077"/>
          <c:w val="0.76058563966632964"/>
          <c:h val="0.6115858740406267"/>
        </c:manualLayout>
      </c:layout>
      <c:scatterChart>
        <c:scatterStyle val="smoothMarker"/>
        <c:ser>
          <c:idx val="0"/>
          <c:order val="0"/>
          <c:tx>
            <c:strRef>
              <c:f>'Pacific Southwest-DT'!$D$10</c:f>
              <c:strCache>
                <c:ptCount val="1"/>
                <c:pt idx="0">
                  <c:v>Clay</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Southwest-DT'!$D$11:$D$19</c:f>
              <c:numCache>
                <c:formatCode>0.0%</c:formatCode>
                <c:ptCount val="9"/>
                <c:pt idx="0">
                  <c:v>1.2952457619092716E-3</c:v>
                </c:pt>
                <c:pt idx="1">
                  <c:v>2.4835211667771566E-3</c:v>
                </c:pt>
                <c:pt idx="2">
                  <c:v>4.7323610190358936E-3</c:v>
                </c:pt>
                <c:pt idx="3">
                  <c:v>6.9310540770906332E-3</c:v>
                </c:pt>
                <c:pt idx="4">
                  <c:v>9.063831802253999E-3</c:v>
                </c:pt>
                <c:pt idx="5">
                  <c:v>1.1172459513211478E-2</c:v>
                </c:pt>
                <c:pt idx="6">
                  <c:v>1.3216687186286579E-2</c:v>
                </c:pt>
                <c:pt idx="7">
                  <c:v>1.712520125011838E-2</c:v>
                </c:pt>
                <c:pt idx="8">
                  <c:v>2.1028980017047068E-2</c:v>
                </c:pt>
              </c:numCache>
            </c:numRef>
          </c:yVal>
          <c:smooth val="1"/>
        </c:ser>
        <c:ser>
          <c:idx val="1"/>
          <c:order val="1"/>
          <c:tx>
            <c:strRef>
              <c:f>'Pacific Southwest-DT'!$H$10</c:f>
              <c:strCache>
                <c:ptCount val="1"/>
                <c:pt idx="0">
                  <c:v>Silt</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Southwest-DT'!$H$11:$H$19</c:f>
              <c:numCache>
                <c:formatCode>0.0%</c:formatCode>
                <c:ptCount val="9"/>
                <c:pt idx="0">
                  <c:v>0.28273494964800955</c:v>
                </c:pt>
                <c:pt idx="1">
                  <c:v>0.41086450737127878</c:v>
                </c:pt>
                <c:pt idx="2">
                  <c:v>0.51427376329829211</c:v>
                </c:pt>
                <c:pt idx="3">
                  <c:v>0.56633519588344861</c:v>
                </c:pt>
                <c:pt idx="4">
                  <c:v>0.59788174385200621</c:v>
                </c:pt>
                <c:pt idx="5">
                  <c:v>0.62064273763298283</c:v>
                </c:pt>
                <c:pt idx="6">
                  <c:v>0.63804653218423457</c:v>
                </c:pt>
                <c:pt idx="7">
                  <c:v>0.66475676358240987</c:v>
                </c:pt>
                <c:pt idx="8">
                  <c:v>0.6859219623070365</c:v>
                </c:pt>
              </c:numCache>
            </c:numRef>
          </c:yVal>
          <c:smooth val="1"/>
        </c:ser>
        <c:ser>
          <c:idx val="2"/>
          <c:order val="2"/>
          <c:tx>
            <c:strRef>
              <c:f>'Pacific Southwest-DT'!$I$10</c:f>
              <c:strCache>
                <c:ptCount val="1"/>
                <c:pt idx="0">
                  <c:v>Sand</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Southwest-DT'!$I$11:$I$19</c:f>
              <c:numCache>
                <c:formatCode>0.0%</c:formatCode>
                <c:ptCount val="9"/>
                <c:pt idx="0">
                  <c:v>0.5965053508855005</c:v>
                </c:pt>
                <c:pt idx="1">
                  <c:v>0.81674400984941742</c:v>
                </c:pt>
                <c:pt idx="2">
                  <c:v>0.94847996969409976</c:v>
                </c:pt>
                <c:pt idx="3">
                  <c:v>0.98134293020172358</c:v>
                </c:pt>
                <c:pt idx="4">
                  <c:v>0.99389146699498054</c:v>
                </c:pt>
                <c:pt idx="5">
                  <c:v>0.99838999905294057</c:v>
                </c:pt>
                <c:pt idx="6">
                  <c:v>0.99829529311487808</c:v>
                </c:pt>
                <c:pt idx="7">
                  <c:v>0.99815323420778479</c:v>
                </c:pt>
                <c:pt idx="8">
                  <c:v>0.99801117530069128</c:v>
                </c:pt>
              </c:numCache>
            </c:numRef>
          </c:yVal>
          <c:smooth val="1"/>
        </c:ser>
        <c:axId val="89839488"/>
        <c:axId val="89661440"/>
      </c:scatterChart>
      <c:valAx>
        <c:axId val="89839488"/>
        <c:scaling>
          <c:orientation val="minMax"/>
          <c:max val="2"/>
          <c:min val="0"/>
        </c:scaling>
        <c:axPos val="b"/>
        <c:majorGridlines/>
        <c:title>
          <c:tx>
            <c:rich>
              <a:bodyPr/>
              <a:lstStyle/>
              <a:p>
                <a:pPr>
                  <a:defRPr/>
                </a:pPr>
                <a:r>
                  <a:rPr lang="en-US"/>
                  <a:t>Unit Basin Size (in)</a:t>
                </a:r>
              </a:p>
            </c:rich>
          </c:tx>
        </c:title>
        <c:numFmt formatCode="0.0" sourceLinked="0"/>
        <c:tickLblPos val="nextTo"/>
        <c:crossAx val="89661440"/>
        <c:crosses val="autoZero"/>
        <c:crossBetween val="midCat"/>
        <c:majorUnit val="0.2"/>
      </c:valAx>
      <c:valAx>
        <c:axId val="89661440"/>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26"/>
            </c:manualLayout>
          </c:layout>
        </c:title>
        <c:numFmt formatCode="0%" sourceLinked="0"/>
        <c:tickLblPos val="nextTo"/>
        <c:crossAx val="89839488"/>
        <c:crosses val="autoZero"/>
        <c:crossBetween val="midCat"/>
      </c:valAx>
      <c:spPr>
        <a:ln>
          <a:solidFill>
            <a:schemeClr val="bg1">
              <a:lumMod val="50000"/>
            </a:schemeClr>
          </a:solidFill>
        </a:ln>
      </c:spPr>
    </c:plotArea>
    <c:legend>
      <c:legendPos val="t"/>
      <c:layout>
        <c:manualLayout>
          <c:xMode val="edge"/>
          <c:yMode val="edge"/>
          <c:x val="0.35980946153357313"/>
          <c:y val="0.10300157977883158"/>
          <c:w val="0.35307659269864289"/>
          <c:h val="5.8520755293937757E-2"/>
        </c:manualLayout>
      </c:layout>
    </c:legend>
    <c:plotVisOnly val="1"/>
  </c:chart>
  <c:spPr>
    <a:ln>
      <a:solidFill>
        <a:schemeClr val="accent1"/>
      </a:solidFill>
    </a:ln>
  </c:spPr>
  <c:printSettings>
    <c:headerFooter/>
    <c:pageMargins b="0.75000000000000333" l="0.70000000000000062" r="0.70000000000000062" t="0.75000000000000333"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51"/>
          <c:w val="0.54938999479322437"/>
          <c:h val="0.60480936066198021"/>
        </c:manualLayout>
      </c:layout>
      <c:scatterChart>
        <c:scatterStyle val="smoothMarker"/>
        <c:ser>
          <c:idx val="0"/>
          <c:order val="0"/>
          <c:tx>
            <c:strRef>
              <c:f>'Pacific Southwest-DT'!$CD$17</c:f>
              <c:strCache>
                <c:ptCount val="1"/>
                <c:pt idx="0">
                  <c:v>Runoff, 3hr DT</c:v>
                </c:pt>
              </c:strCache>
            </c:strRef>
          </c:tx>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'Pacific Southwest-DT'!$CE$17</c:f>
              <c:strCache>
                <c:ptCount val="1"/>
                <c:pt idx="0">
                  <c:v>Runoff, 6hr DT</c:v>
                </c:pt>
              </c:strCache>
            </c:strRef>
          </c:tx>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'Pacific Southwest-DT'!$CF$17</c:f>
              <c:strCache>
                <c:ptCount val="1"/>
                <c:pt idx="0">
                  <c:v>Runoff, 12hr DT</c:v>
                </c:pt>
              </c:strCache>
            </c:strRef>
          </c:tx>
          <c:spPr>
            <a:ln w="31750"/>
          </c:spPr>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'Pacific Southwest-DT'!$CG$17</c:f>
              <c:strCache>
                <c:ptCount val="1"/>
                <c:pt idx="0">
                  <c:v>TSS, 3hr DT</c:v>
                </c:pt>
              </c:strCache>
            </c:strRef>
          </c:tx>
          <c:spPr>
            <a:ln w="31750">
              <a:solidFill>
                <a:schemeClr val="accent1"/>
              </a:solidFill>
              <a:prstDash val="sysDash"/>
            </a:ln>
          </c:spPr>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Southwest-DT'!$CG$18:$CG$26</c:f>
              <c:numCache>
                <c:formatCode>0.0%</c:formatCode>
                <c:ptCount val="9"/>
                <c:pt idx="0">
                  <c:v>0.42554816507244997</c:v>
                </c:pt>
                <c:pt idx="1">
                  <c:v>0.59338520930012306</c:v>
                </c:pt>
                <c:pt idx="2">
                  <c:v>0.7058997963822331</c:v>
                </c:pt>
                <c:pt idx="3">
                  <c:v>0.74586885595226815</c:v>
                </c:pt>
                <c:pt idx="4">
                  <c:v>0.76644570982100579</c:v>
                </c:pt>
                <c:pt idx="5">
                  <c:v>0.77904285443697319</c:v>
                </c:pt>
                <c:pt idx="6">
                  <c:v>0.78692942039965896</c:v>
                </c:pt>
                <c:pt idx="7">
                  <c:v>0.79907342077848276</c:v>
                </c:pt>
                <c:pt idx="8">
                  <c:v>0.80872191968936447</c:v>
                </c:pt>
              </c:numCache>
            </c:numRef>
          </c:yVal>
          <c:smooth val="1"/>
        </c:ser>
        <c:ser>
          <c:idx val="4"/>
          <c:order val="4"/>
          <c:tx>
            <c:strRef>
              <c:f>'Pacific Southwest-DT'!$CH$17</c:f>
              <c:strCache>
                <c:ptCount val="1"/>
                <c:pt idx="0">
                  <c:v>TSS, 6hr DT</c:v>
                </c:pt>
              </c:strCache>
            </c:strRef>
          </c:tx>
          <c:spPr>
            <a:ln w="31750">
              <a:solidFill>
                <a:schemeClr val="accent2"/>
              </a:solidFill>
              <a:prstDash val="sysDash"/>
            </a:ln>
          </c:spPr>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Southwest-DT'!$CH$18:$CH$26</c:f>
              <c:numCache>
                <c:formatCode>0.0%</c:formatCode>
                <c:ptCount val="9"/>
                <c:pt idx="0">
                  <c:v>0.34444453309972534</c:v>
                </c:pt>
                <c:pt idx="1">
                  <c:v>0.52748961786153981</c:v>
                </c:pt>
                <c:pt idx="2">
                  <c:v>0.68546770527512069</c:v>
                </c:pt>
                <c:pt idx="3">
                  <c:v>0.75377784354579025</c:v>
                </c:pt>
                <c:pt idx="4">
                  <c:v>0.78395965527038536</c:v>
                </c:pt>
                <c:pt idx="5">
                  <c:v>0.79687110521829707</c:v>
                </c:pt>
                <c:pt idx="6">
                  <c:v>0.80483689269817216</c:v>
                </c:pt>
                <c:pt idx="7">
                  <c:v>0.81451548442087318</c:v>
                </c:pt>
                <c:pt idx="8">
                  <c:v>0.82304697414527883</c:v>
                </c:pt>
              </c:numCache>
            </c:numRef>
          </c:yVal>
          <c:smooth val="1"/>
        </c:ser>
        <c:ser>
          <c:idx val="5"/>
          <c:order val="5"/>
          <c:tx>
            <c:strRef>
              <c:f>'Pacific Southwest-DT'!$CI$17</c:f>
              <c:strCache>
                <c:ptCount val="1"/>
                <c:pt idx="0">
                  <c:v>TSS, 12hr DT</c:v>
                </c:pt>
              </c:strCache>
            </c:strRef>
          </c:tx>
          <c:spPr>
            <a:ln w="31750">
              <a:solidFill>
                <a:schemeClr val="accent3"/>
              </a:solidFill>
              <a:prstDash val="sysDash"/>
            </a:ln>
          </c:spPr>
          <c:marker>
            <c:symbol val="none"/>
          </c:marker>
          <c:xVal>
            <c:numRef>
              <c:f>'Pacific Southwest-DT'!$CC$18:$CC$26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Southwest-DT'!$CI$18:$CI$26</c:f>
              <c:numCache>
                <c:formatCode>0.0%</c:formatCode>
                <c:ptCount val="9"/>
                <c:pt idx="0">
                  <c:v>0.27140602093001231</c:v>
                </c:pt>
                <c:pt idx="1">
                  <c:v>0.45703597641822136</c:v>
                </c:pt>
                <c:pt idx="2">
                  <c:v>0.64039189317170175</c:v>
                </c:pt>
                <c:pt idx="3">
                  <c:v>0.73592906525239132</c:v>
                </c:pt>
                <c:pt idx="4">
                  <c:v>0.78604136281844861</c:v>
                </c:pt>
                <c:pt idx="5">
                  <c:v>0.81004058149445957</c:v>
                </c:pt>
                <c:pt idx="6">
                  <c:v>0.81966713230419541</c:v>
                </c:pt>
                <c:pt idx="7">
                  <c:v>0.83084970167629502</c:v>
                </c:pt>
                <c:pt idx="8">
                  <c:v>0.83642759731035121</c:v>
                </c:pt>
              </c:numCache>
            </c:numRef>
          </c:yVal>
          <c:smooth val="1"/>
        </c:ser>
        <c:axId val="83698816"/>
        <c:axId val="83700736"/>
      </c:scatterChart>
      <c:valAx>
        <c:axId val="8369881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83700736"/>
        <c:crosses val="autoZero"/>
        <c:crossBetween val="midCat"/>
        <c:majorUnit val="0.2"/>
      </c:valAx>
      <c:valAx>
        <c:axId val="83700736"/>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83698816"/>
        <c:crosses val="autoZero"/>
        <c:crossBetween val="midCat"/>
        <c:majorUnit val="0.1"/>
      </c:valAx>
    </c:plotArea>
    <c:legend>
      <c:legendPos val="t"/>
      <c:layout>
        <c:manualLayout>
          <c:xMode val="edge"/>
          <c:yMode val="edge"/>
          <c:x val="0.73869385137407073"/>
          <c:y val="0.2482514010073073"/>
          <c:w val="0.25400001130106331"/>
          <c:h val="0.43908299220944219"/>
        </c:manualLayout>
      </c:layout>
      <c:txPr>
        <a:bodyPr/>
        <a:lstStyle/>
        <a:p>
          <a:pPr>
            <a:defRPr sz="1400"/>
          </a:pPr>
          <a:endParaRPr lang="en-US"/>
        </a:p>
      </c:txPr>
    </c:legend>
    <c:plotVisOnly val="1"/>
  </c:chart>
  <c:txPr>
    <a:bodyPr/>
    <a:lstStyle/>
    <a:p>
      <a:pPr>
        <a:defRPr sz="1100"/>
      </a:pPr>
      <a:endParaRPr lang="en-US"/>
    </a:p>
  </c:txPr>
  <c:printSettings>
    <c:headerFooter/>
    <c:pageMargins b="0.75000000000000311" l="0.70000000000000062" r="0.70000000000000062" t="0.75000000000000311"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'Pacific Southwest-DT'!$B$10</c:f>
              <c:strCache>
                <c:ptCount val="1"/>
                <c:pt idx="0">
                  <c:v>Runoff</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Southwest-DT'!$M$11:$M$19</c:f>
              <c:numCache>
                <c:formatCode>0.0%</c:formatCode>
                <c:ptCount val="9"/>
                <c:pt idx="0">
                  <c:v>0.45925969725638599</c:v>
                </c:pt>
                <c:pt idx="1">
                  <c:v>0.69225993377483441</c:v>
                </c:pt>
                <c:pt idx="2">
                  <c:v>0.88747634815515608</c:v>
                </c:pt>
                <c:pt idx="3">
                  <c:v>0.96265964995269626</c:v>
                </c:pt>
                <c:pt idx="4">
                  <c:v>0.98746452223273418</c:v>
                </c:pt>
                <c:pt idx="5">
                  <c:v>0.99807828760643336</c:v>
                </c:pt>
                <c:pt idx="6">
                  <c:v>1</c:v>
                </c:pt>
                <c:pt idx="7">
                  <c:v>1</c:v>
                </c:pt>
                <c:pt idx="8">
                  <c:v>1</c:v>
                </c:pt>
              </c:numCache>
            </c:numRef>
          </c:yVal>
          <c:smooth val="1"/>
        </c:ser>
        <c:ser>
          <c:idx val="1"/>
          <c:order val="1"/>
          <c:tx>
            <c:strRef>
              <c:f>'Pacific Southwest-DT'!$C$10</c:f>
              <c:strCache>
                <c:ptCount val="1"/>
                <c:pt idx="0">
                  <c:v>TSS</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Southwest-DT'!$N$11:$N$19</c:f>
              <c:numCache>
                <c:formatCode>0.0%</c:formatCode>
                <c:ptCount val="9"/>
                <c:pt idx="0">
                  <c:v>0.34444453309972534</c:v>
                </c:pt>
                <c:pt idx="1">
                  <c:v>0.52748961786153981</c:v>
                </c:pt>
                <c:pt idx="2">
                  <c:v>0.68546770527512069</c:v>
                </c:pt>
                <c:pt idx="3">
                  <c:v>0.75377784354579025</c:v>
                </c:pt>
                <c:pt idx="4">
                  <c:v>0.78395965527038536</c:v>
                </c:pt>
                <c:pt idx="5">
                  <c:v>0.79687110521829707</c:v>
                </c:pt>
                <c:pt idx="6">
                  <c:v>0.80483689269817216</c:v>
                </c:pt>
                <c:pt idx="7">
                  <c:v>0.81451548442087318</c:v>
                </c:pt>
                <c:pt idx="8">
                  <c:v>0.82304697414527883</c:v>
                </c:pt>
              </c:numCache>
            </c:numRef>
          </c:yVal>
          <c:smooth val="1"/>
        </c:ser>
        <c:axId val="83733120"/>
        <c:axId val="86770432"/>
      </c:scatterChart>
      <c:valAx>
        <c:axId val="83733120"/>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770432"/>
        <c:crosses val="autoZero"/>
        <c:crossBetween val="midCat"/>
        <c:majorUnit val="0.2"/>
      </c:valAx>
      <c:valAx>
        <c:axId val="8677043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83733120"/>
        <c:crosses val="autoZero"/>
        <c:crossBetween val="midCat"/>
      </c:valAx>
      <c:spPr>
        <a:ln>
          <a:solidFill>
            <a:schemeClr val="bg1">
              <a:lumMod val="50000"/>
            </a:schemeClr>
          </a:solidFill>
        </a:ln>
      </c:spPr>
    </c:plotArea>
    <c:legend>
      <c:legendPos val="t"/>
      <c:layout>
        <c:manualLayout>
          <c:xMode val="edge"/>
          <c:yMode val="edge"/>
          <c:x val="0.35385279568998446"/>
          <c:y val="9.1139240506329128E-2"/>
          <c:w val="0.26288245659980608"/>
          <c:h val="6.1039370078740163E-2"/>
        </c:manualLayout>
      </c:layout>
    </c:legend>
    <c:plotVisOnly val="1"/>
  </c:chart>
  <c:spPr>
    <a:ln>
      <a:solidFill>
        <a:schemeClr val="accent1"/>
      </a:solidFill>
    </a:ln>
  </c:spPr>
  <c:printSettings>
    <c:headerFooter/>
    <c:pageMargins b="0.75000000000000333" l="0.70000000000000062" r="0.70000000000000062" t="0.75000000000000333"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68"/>
          <c:w val="0.76058563966632964"/>
          <c:h val="0.6115858740406267"/>
        </c:manualLayout>
      </c:layout>
      <c:scatterChart>
        <c:scatterStyle val="smoothMarker"/>
        <c:ser>
          <c:idx val="0"/>
          <c:order val="0"/>
          <c:tx>
            <c:strRef>
              <c:f>'Pacific Southwest-DT'!$D$10</c:f>
              <c:strCache>
                <c:ptCount val="1"/>
                <c:pt idx="0">
                  <c:v>Clay</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Southwest-DT'!$O$11:$O$19</c:f>
              <c:numCache>
                <c:formatCode>0.0%</c:formatCode>
                <c:ptCount val="9"/>
                <c:pt idx="0">
                  <c:v>1.5419547305616061E-3</c:v>
                </c:pt>
                <c:pt idx="1">
                  <c:v>3.4233828961075857E-3</c:v>
                </c:pt>
                <c:pt idx="2">
                  <c:v>5.6511033241784248E-3</c:v>
                </c:pt>
                <c:pt idx="3">
                  <c:v>8.4198314234302483E-3</c:v>
                </c:pt>
                <c:pt idx="4">
                  <c:v>1.1113741831612841E-2</c:v>
                </c:pt>
                <c:pt idx="5">
                  <c:v>1.3092148877734633E-2</c:v>
                </c:pt>
                <c:pt idx="6">
                  <c:v>1.5626953309972533E-2</c:v>
                </c:pt>
                <c:pt idx="7">
                  <c:v>2.0023676484515578E-2</c:v>
                </c:pt>
                <c:pt idx="8">
                  <c:v>2.4695520409129652E-2</c:v>
                </c:pt>
              </c:numCache>
            </c:numRef>
          </c:yVal>
          <c:smooth val="1"/>
        </c:ser>
        <c:ser>
          <c:idx val="1"/>
          <c:order val="1"/>
          <c:tx>
            <c:strRef>
              <c:f>'Pacific Southwest-DT'!$H$10</c:f>
              <c:strCache>
                <c:ptCount val="1"/>
                <c:pt idx="0">
                  <c:v>Silt</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Southwest-DT'!$S$11:$S$19</c:f>
              <c:numCache>
                <c:formatCode>0.0%</c:formatCode>
                <c:ptCount val="9"/>
                <c:pt idx="0">
                  <c:v>0.25550099441234964</c:v>
                </c:pt>
                <c:pt idx="1">
                  <c:v>0.40333270196041288</c:v>
                </c:pt>
                <c:pt idx="2">
                  <c:v>0.5373236101903589</c:v>
                </c:pt>
                <c:pt idx="3">
                  <c:v>0.60536982668813333</c:v>
                </c:pt>
                <c:pt idx="4">
                  <c:v>0.64462385958266233</c:v>
                </c:pt>
                <c:pt idx="5">
                  <c:v>0.66136313413517689</c:v>
                </c:pt>
                <c:pt idx="6">
                  <c:v>0.6766786627521546</c:v>
                </c:pt>
                <c:pt idx="7">
                  <c:v>0.69775073397102005</c:v>
                </c:pt>
                <c:pt idx="8">
                  <c:v>0.71629573507592259</c:v>
                </c:pt>
              </c:numCache>
            </c:numRef>
          </c:yVal>
          <c:smooth val="1"/>
        </c:ser>
        <c:ser>
          <c:idx val="2"/>
          <c:order val="2"/>
          <c:tx>
            <c:strRef>
              <c:f>'Pacific Southwest-DT'!$I$10</c:f>
              <c:strCache>
                <c:ptCount val="1"/>
                <c:pt idx="0">
                  <c:v>Sand</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Southwest-DT'!$T$11:$T$19</c:f>
              <c:numCache>
                <c:formatCode>0.0%</c:formatCode>
                <c:ptCount val="9"/>
                <c:pt idx="0">
                  <c:v>0.45878397575527985</c:v>
                </c:pt>
                <c:pt idx="1">
                  <c:v>0.69163746566909734</c:v>
                </c:pt>
                <c:pt idx="2">
                  <c:v>0.88677905104650057</c:v>
                </c:pt>
                <c:pt idx="3">
                  <c:v>0.96188085992991745</c:v>
                </c:pt>
                <c:pt idx="4">
                  <c:v>0.98664646273321321</c:v>
                </c:pt>
                <c:pt idx="5">
                  <c:v>0.99720617482716167</c:v>
                </c:pt>
                <c:pt idx="6">
                  <c:v>0.99910029358840791</c:v>
                </c:pt>
                <c:pt idx="7">
                  <c:v>0.99905294061937688</c:v>
                </c:pt>
                <c:pt idx="8">
                  <c:v>0.99895823468131439</c:v>
                </c:pt>
              </c:numCache>
            </c:numRef>
          </c:yVal>
          <c:smooth val="1"/>
        </c:ser>
        <c:axId val="86788352"/>
        <c:axId val="86798720"/>
      </c:scatterChart>
      <c:valAx>
        <c:axId val="86788352"/>
        <c:scaling>
          <c:orientation val="minMax"/>
          <c:max val="2"/>
          <c:min val="0"/>
        </c:scaling>
        <c:axPos val="b"/>
        <c:majorGridlines/>
        <c:title>
          <c:tx>
            <c:rich>
              <a:bodyPr/>
              <a:lstStyle/>
              <a:p>
                <a:pPr>
                  <a:defRPr/>
                </a:pPr>
                <a:r>
                  <a:rPr lang="en-US"/>
                  <a:t>Unit Basin Size (in)</a:t>
                </a:r>
              </a:p>
            </c:rich>
          </c:tx>
        </c:title>
        <c:numFmt formatCode="0.0" sourceLinked="0"/>
        <c:tickLblPos val="nextTo"/>
        <c:crossAx val="86798720"/>
        <c:crosses val="autoZero"/>
        <c:crossBetween val="midCat"/>
        <c:majorUnit val="0.2"/>
      </c:valAx>
      <c:valAx>
        <c:axId val="8679872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186"/>
            </c:manualLayout>
          </c:layout>
        </c:title>
        <c:numFmt formatCode="0%" sourceLinked="0"/>
        <c:tickLblPos val="nextTo"/>
        <c:crossAx val="86788352"/>
        <c:crosses val="autoZero"/>
        <c:crossBetween val="midCat"/>
      </c:valAx>
      <c:spPr>
        <a:ln>
          <a:solidFill>
            <a:schemeClr val="bg1">
              <a:lumMod val="50000"/>
            </a:schemeClr>
          </a:solidFill>
        </a:ln>
      </c:spPr>
    </c:plotArea>
    <c:legend>
      <c:legendPos val="t"/>
      <c:layout>
        <c:manualLayout>
          <c:xMode val="edge"/>
          <c:yMode val="edge"/>
          <c:x val="0.35980946153357335"/>
          <c:y val="0.10300157977883163"/>
          <c:w val="0.35307659269864311"/>
          <c:h val="5.8520755293937757E-2"/>
        </c:manualLayout>
      </c:layout>
    </c:legend>
    <c:plotVisOnly val="1"/>
  </c:chart>
  <c:spPr>
    <a:ln>
      <a:solidFill>
        <a:schemeClr val="accent1"/>
      </a:solidFill>
    </a:ln>
  </c:spPr>
  <c:printSettings>
    <c:headerFooter/>
    <c:pageMargins b="0.75000000000000355" l="0.70000000000000062" r="0.70000000000000062" t="0.750000000000003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73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470336"/>
        <c:axId val="75472256"/>
      </c:scatterChart>
      <c:valAx>
        <c:axId val="7547033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472256"/>
        <c:crosses val="autoZero"/>
        <c:crossBetween val="midCat"/>
        <c:majorUnit val="0.2"/>
      </c:valAx>
      <c:valAx>
        <c:axId val="754722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54703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66" r="0.75000000000000766"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689"/>
          <c:y val="0.15633502774178545"/>
          <c:w val="0.75286372987160199"/>
          <c:h val="0.68532068850509764"/>
        </c:manualLayout>
      </c:layout>
      <c:scatterChart>
        <c:scatterStyle val="smoothMarker"/>
        <c:ser>
          <c:idx val="0"/>
          <c:order val="0"/>
          <c:tx>
            <c:strRef>
              <c:f>'Pacific Southwest-DT'!$B$10</c:f>
              <c:strCache>
                <c:ptCount val="1"/>
                <c:pt idx="0">
                  <c:v>Runoff</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Southwest-DT'!$X$11:$X$19</c:f>
              <c:numCache>
                <c:formatCode>0.0%</c:formatCode>
                <c:ptCount val="9"/>
                <c:pt idx="0">
                  <c:v>0.34283349101229899</c:v>
                </c:pt>
                <c:pt idx="1">
                  <c:v>0.57329115421002841</c:v>
                </c:pt>
                <c:pt idx="2">
                  <c:v>0.79629848628193001</c:v>
                </c:pt>
                <c:pt idx="3">
                  <c:v>0.90902909176915803</c:v>
                </c:pt>
                <c:pt idx="4">
                  <c:v>0.965734389782403</c:v>
                </c:pt>
                <c:pt idx="5">
                  <c:v>0.98991840113528851</c:v>
                </c:pt>
                <c:pt idx="6">
                  <c:v>0.9961565752128666</c:v>
                </c:pt>
                <c:pt idx="7">
                  <c:v>1</c:v>
                </c:pt>
                <c:pt idx="8">
                  <c:v>1</c:v>
                </c:pt>
              </c:numCache>
            </c:numRef>
          </c:yVal>
          <c:smooth val="1"/>
        </c:ser>
        <c:ser>
          <c:idx val="1"/>
          <c:order val="1"/>
          <c:tx>
            <c:strRef>
              <c:f>'Pacific Southwest-DT'!$C$10</c:f>
              <c:strCache>
                <c:ptCount val="1"/>
                <c:pt idx="0">
                  <c:v>TSS</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Southwest-DT'!$Y$11:$Y$19</c:f>
              <c:numCache>
                <c:formatCode>0.0%</c:formatCode>
                <c:ptCount val="9"/>
                <c:pt idx="0">
                  <c:v>0.27140602093001231</c:v>
                </c:pt>
                <c:pt idx="1">
                  <c:v>0.45703597641822136</c:v>
                </c:pt>
                <c:pt idx="2">
                  <c:v>0.64039189317170175</c:v>
                </c:pt>
                <c:pt idx="3">
                  <c:v>0.73592906525239132</c:v>
                </c:pt>
                <c:pt idx="4">
                  <c:v>0.78604136281844861</c:v>
                </c:pt>
                <c:pt idx="5">
                  <c:v>0.81004058149445957</c:v>
                </c:pt>
                <c:pt idx="6">
                  <c:v>0.81966713230419541</c:v>
                </c:pt>
                <c:pt idx="7">
                  <c:v>0.83084970167629502</c:v>
                </c:pt>
                <c:pt idx="8">
                  <c:v>0.83642759731035121</c:v>
                </c:pt>
              </c:numCache>
            </c:numRef>
          </c:yVal>
          <c:smooth val="1"/>
        </c:ser>
        <c:axId val="86815872"/>
        <c:axId val="86817792"/>
      </c:scatterChart>
      <c:valAx>
        <c:axId val="86815872"/>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16"/>
            </c:manualLayout>
          </c:layout>
        </c:title>
        <c:numFmt formatCode="0.0" sourceLinked="0"/>
        <c:tickLblPos val="nextTo"/>
        <c:crossAx val="86817792"/>
        <c:crosses val="autoZero"/>
        <c:crossBetween val="midCat"/>
        <c:majorUnit val="0.2"/>
      </c:valAx>
      <c:valAx>
        <c:axId val="86817792"/>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46"/>
            </c:manualLayout>
          </c:layout>
        </c:title>
        <c:numFmt formatCode="0%" sourceLinked="0"/>
        <c:tickLblPos val="nextTo"/>
        <c:crossAx val="86815872"/>
        <c:crosses val="autoZero"/>
        <c:crossBetween val="midCat"/>
      </c:valAx>
      <c:spPr>
        <a:ln>
          <a:solidFill>
            <a:schemeClr val="bg1">
              <a:lumMod val="50000"/>
            </a:schemeClr>
          </a:solidFill>
        </a:ln>
      </c:spPr>
    </c:plotArea>
    <c:legend>
      <c:legendPos val="t"/>
      <c:layout>
        <c:manualLayout>
          <c:xMode val="edge"/>
          <c:yMode val="edge"/>
          <c:x val="0.35385279568998446"/>
          <c:y val="9.1139240506329128E-2"/>
          <c:w val="0.26288245659980608"/>
          <c:h val="6.1039370078740163E-2"/>
        </c:manualLayout>
      </c:layout>
    </c:legend>
    <c:plotVisOnly val="1"/>
  </c:chart>
  <c:spPr>
    <a:ln>
      <a:solidFill>
        <a:schemeClr val="accent1"/>
      </a:solidFill>
    </a:ln>
  </c:spPr>
  <c:printSettings>
    <c:headerFooter/>
    <c:pageMargins b="0.75000000000000333" l="0.70000000000000062" r="0.70000000000000062" t="0.750000000000003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68"/>
          <c:w val="0.76058563966632964"/>
          <c:h val="0.6115858740406267"/>
        </c:manualLayout>
      </c:layout>
      <c:scatterChart>
        <c:scatterStyle val="smoothMarker"/>
        <c:ser>
          <c:idx val="0"/>
          <c:order val="0"/>
          <c:tx>
            <c:strRef>
              <c:f>'Pacific Southwest-DT'!$D$10</c:f>
              <c:strCache>
                <c:ptCount val="1"/>
                <c:pt idx="0">
                  <c:v>Clay</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Southwest-DT'!$Z$11:$Z$19</c:f>
              <c:numCache>
                <c:formatCode>0.0%</c:formatCode>
                <c:ptCount val="9"/>
                <c:pt idx="0">
                  <c:v>2.2713798655175678E-3</c:v>
                </c:pt>
                <c:pt idx="1">
                  <c:v>4.3571834454020257E-3</c:v>
                </c:pt>
                <c:pt idx="2">
                  <c:v>7.8047163557155028E-3</c:v>
                </c:pt>
                <c:pt idx="3">
                  <c:v>1.104744767496922E-2</c:v>
                </c:pt>
                <c:pt idx="4">
                  <c:v>1.4046311203712471E-2</c:v>
                </c:pt>
                <c:pt idx="5">
                  <c:v>1.684060990624112E-2</c:v>
                </c:pt>
                <c:pt idx="6">
                  <c:v>1.9614073302396059E-2</c:v>
                </c:pt>
                <c:pt idx="7">
                  <c:v>2.5380244341320198E-2</c:v>
                </c:pt>
                <c:pt idx="8">
                  <c:v>2.9636329197840702E-2</c:v>
                </c:pt>
              </c:numCache>
            </c:numRef>
          </c:yVal>
          <c:smooth val="1"/>
        </c:ser>
        <c:ser>
          <c:idx val="1"/>
          <c:order val="1"/>
          <c:tx>
            <c:strRef>
              <c:f>'Pacific Southwest-DT'!$H$10</c:f>
              <c:strCache>
                <c:ptCount val="1"/>
                <c:pt idx="0">
                  <c:v>Silt</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Southwest-DT'!$AD$11:$AD$19</c:f>
              <c:numCache>
                <c:formatCode>0.0%</c:formatCode>
                <c:ptCount val="9"/>
                <c:pt idx="0">
                  <c:v>0.22269091138681057</c:v>
                </c:pt>
                <c:pt idx="1">
                  <c:v>0.37888531110900653</c:v>
                </c:pt>
                <c:pt idx="2">
                  <c:v>0.53830381664930393</c:v>
                </c:pt>
                <c:pt idx="3">
                  <c:v>0.62502604413296714</c:v>
                </c:pt>
                <c:pt idx="4">
                  <c:v>0.67302143511064816</c:v>
                </c:pt>
                <c:pt idx="5">
                  <c:v>0.69920920541717957</c:v>
                </c:pt>
                <c:pt idx="6">
                  <c:v>0.71340089023581776</c:v>
                </c:pt>
                <c:pt idx="7">
                  <c:v>0.73340120592227798</c:v>
                </c:pt>
                <c:pt idx="8">
                  <c:v>0.74527101682608821</c:v>
                </c:pt>
              </c:numCache>
            </c:numRef>
          </c:yVal>
          <c:smooth val="1"/>
        </c:ser>
        <c:ser>
          <c:idx val="2"/>
          <c:order val="2"/>
          <c:tx>
            <c:strRef>
              <c:f>'Pacific Southwest-DT'!$I$10</c:f>
              <c:strCache>
                <c:ptCount val="1"/>
                <c:pt idx="0">
                  <c:v>Sand</c:v>
                </c:pt>
              </c:strCache>
            </c:strRef>
          </c:tx>
          <c:xVal>
            <c:numRef>
              <c:f>'Pacific Southwest-DT'!$A$11:$A$19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Southwest-DT'!$AE$11:$AE$19</c:f>
              <c:numCache>
                <c:formatCode>0.0%</c:formatCode>
                <c:ptCount val="9"/>
                <c:pt idx="0">
                  <c:v>0.34216308362534331</c:v>
                </c:pt>
                <c:pt idx="1">
                  <c:v>0.57263945449379672</c:v>
                </c:pt>
                <c:pt idx="2">
                  <c:v>0.79552987972345857</c:v>
                </c:pt>
                <c:pt idx="3">
                  <c:v>0.9082299460176152</c:v>
                </c:pt>
                <c:pt idx="4">
                  <c:v>0.9649588029169428</c:v>
                </c:pt>
                <c:pt idx="5">
                  <c:v>0.98910881712283361</c:v>
                </c:pt>
                <c:pt idx="6">
                  <c:v>0.99531205606591533</c:v>
                </c:pt>
                <c:pt idx="7">
                  <c:v>0.99910029358840791</c:v>
                </c:pt>
                <c:pt idx="8">
                  <c:v>0.99914764655743904</c:v>
                </c:pt>
              </c:numCache>
            </c:numRef>
          </c:yVal>
          <c:smooth val="1"/>
        </c:ser>
        <c:axId val="90026752"/>
        <c:axId val="90028672"/>
      </c:scatterChart>
      <c:valAx>
        <c:axId val="90026752"/>
        <c:scaling>
          <c:orientation val="minMax"/>
          <c:max val="2"/>
          <c:min val="0"/>
        </c:scaling>
        <c:axPos val="b"/>
        <c:majorGridlines/>
        <c:title>
          <c:tx>
            <c:rich>
              <a:bodyPr/>
              <a:lstStyle/>
              <a:p>
                <a:pPr>
                  <a:defRPr/>
                </a:pPr>
                <a:r>
                  <a:rPr lang="en-US"/>
                  <a:t>Unit Basin Size (in)</a:t>
                </a:r>
              </a:p>
            </c:rich>
          </c:tx>
        </c:title>
        <c:numFmt formatCode="0.0" sourceLinked="0"/>
        <c:tickLblPos val="nextTo"/>
        <c:crossAx val="90028672"/>
        <c:crosses val="autoZero"/>
        <c:crossBetween val="midCat"/>
        <c:majorUnit val="0.2"/>
      </c:valAx>
      <c:valAx>
        <c:axId val="90028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186"/>
            </c:manualLayout>
          </c:layout>
        </c:title>
        <c:numFmt formatCode="0%" sourceLinked="0"/>
        <c:tickLblPos val="nextTo"/>
        <c:crossAx val="90026752"/>
        <c:crosses val="autoZero"/>
        <c:crossBetween val="midCat"/>
      </c:valAx>
      <c:spPr>
        <a:ln>
          <a:solidFill>
            <a:schemeClr val="bg1">
              <a:lumMod val="50000"/>
            </a:schemeClr>
          </a:solidFill>
        </a:ln>
      </c:spPr>
    </c:plotArea>
    <c:legend>
      <c:legendPos val="t"/>
      <c:layout>
        <c:manualLayout>
          <c:xMode val="edge"/>
          <c:yMode val="edge"/>
          <c:x val="0.35980946153357335"/>
          <c:y val="0.10300157977883163"/>
          <c:w val="0.35307659269864311"/>
          <c:h val="5.8520755293937757E-2"/>
        </c:manualLayout>
      </c:layout>
    </c:legend>
    <c:plotVisOnly val="1"/>
  </c:chart>
  <c:spPr>
    <a:ln>
      <a:solidFill>
        <a:schemeClr val="accent1"/>
      </a:solidFill>
    </a:ln>
  </c:spPr>
  <c:printSettings>
    <c:headerFooter/>
    <c:pageMargins b="0.75000000000000355" l="0.70000000000000062" r="0.70000000000000062" t="0.750000000000003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Southwest-MF'!$AI$3</c:f>
              <c:strCache>
                <c:ptCount val="1"/>
                <c:pt idx="0">
                  <c:v>Runoff Treated</c:v>
                </c:pt>
              </c:strCache>
            </c:strRef>
          </c:tx>
          <c:xVal>
            <c:numRef>
              <c:f>'Pacific Southwest-MF'!$AH$10:$AH$12</c:f>
              <c:numCache>
                <c:formatCode>General</c:formatCode>
                <c:ptCount val="3"/>
              </c:numCache>
            </c:numRef>
          </c:xVal>
          <c:yVal>
            <c:numRef>
              <c:f>'Pacific Southwest-MF'!$AI$4:$AI$12</c:f>
              <c:numCache>
                <c:formatCode>0.0%</c:formatCode>
                <c:ptCount val="9"/>
                <c:pt idx="0">
                  <c:v>0.78018928550563771</c:v>
                </c:pt>
                <c:pt idx="1">
                  <c:v>0.90544487935970086</c:v>
                </c:pt>
                <c:pt idx="2">
                  <c:v>0.96164631652742882</c:v>
                </c:pt>
                <c:pt idx="3">
                  <c:v>0.97537535783139573</c:v>
                </c:pt>
                <c:pt idx="4">
                  <c:v>0.98232751066191504</c:v>
                </c:pt>
                <c:pt idx="5">
                  <c:v>0.98559911199392414</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142976"/>
        <c:axId val="90149248"/>
      </c:scatterChart>
      <c:valAx>
        <c:axId val="901429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149248"/>
        <c:crosses val="autoZero"/>
        <c:crossBetween val="midCat"/>
        <c:majorUnit val="0.2"/>
      </c:valAx>
      <c:valAx>
        <c:axId val="9014924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14297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253184"/>
        <c:axId val="90254720"/>
      </c:scatterChart>
      <c:valAx>
        <c:axId val="9025318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254720"/>
        <c:crosses val="autoZero"/>
        <c:crossBetween val="midCat"/>
        <c:majorUnit val="0.2"/>
      </c:valAx>
      <c:valAx>
        <c:axId val="9025472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25318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Southwest-MF'!$AI$3</c:f>
              <c:strCache>
                <c:ptCount val="1"/>
                <c:pt idx="0">
                  <c:v>Runoff Treated</c:v>
                </c:pt>
              </c:strCache>
            </c:strRef>
          </c:tx>
          <c:xVal>
            <c:numRef>
              <c:f>'Pacific Southwest-MF'!$AH$10:$AH$12</c:f>
              <c:numCache>
                <c:formatCode>General</c:formatCode>
                <c:ptCount val="3"/>
              </c:numCache>
            </c:numRef>
          </c:xVal>
          <c:yVal>
            <c:numRef>
              <c:f>'Pacific Southwest-MF'!$AI$4:$AI$12</c:f>
              <c:numCache>
                <c:formatCode>0.0%</c:formatCode>
                <c:ptCount val="9"/>
                <c:pt idx="0">
                  <c:v>0.78018928550563771</c:v>
                </c:pt>
                <c:pt idx="1">
                  <c:v>0.90544487935970086</c:v>
                </c:pt>
                <c:pt idx="2">
                  <c:v>0.96164631652742882</c:v>
                </c:pt>
                <c:pt idx="3">
                  <c:v>0.97537535783139573</c:v>
                </c:pt>
                <c:pt idx="4">
                  <c:v>0.98232751066191504</c:v>
                </c:pt>
                <c:pt idx="5">
                  <c:v>0.98559911199392414</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292608"/>
        <c:axId val="90294528"/>
      </c:scatterChart>
      <c:valAx>
        <c:axId val="9029260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294528"/>
        <c:crosses val="autoZero"/>
        <c:crossBetween val="midCat"/>
        <c:majorUnit val="0.2"/>
      </c:valAx>
      <c:valAx>
        <c:axId val="9029452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2926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210304"/>
        <c:axId val="90211840"/>
      </c:scatterChart>
      <c:valAx>
        <c:axId val="9021030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211840"/>
        <c:crosses val="autoZero"/>
        <c:crossBetween val="midCat"/>
        <c:majorUnit val="0.2"/>
      </c:valAx>
      <c:valAx>
        <c:axId val="9021184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21030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Southwest-MF'!$AI$3</c:f>
              <c:strCache>
                <c:ptCount val="1"/>
                <c:pt idx="0">
                  <c:v>Runoff Treated</c:v>
                </c:pt>
              </c:strCache>
            </c:strRef>
          </c:tx>
          <c:xVal>
            <c:numRef>
              <c:f>'Pacific Southwest-MF'!$AH$10:$AH$12</c:f>
              <c:numCache>
                <c:formatCode>General</c:formatCode>
                <c:ptCount val="3"/>
              </c:numCache>
            </c:numRef>
          </c:xVal>
          <c:yVal>
            <c:numRef>
              <c:f>'Pacific Southwest-MF'!$AI$4:$AI$12</c:f>
              <c:numCache>
                <c:formatCode>0.0%</c:formatCode>
                <c:ptCount val="9"/>
                <c:pt idx="0">
                  <c:v>0.78018928550563771</c:v>
                </c:pt>
                <c:pt idx="1">
                  <c:v>0.90544487935970086</c:v>
                </c:pt>
                <c:pt idx="2">
                  <c:v>0.96164631652742882</c:v>
                </c:pt>
                <c:pt idx="3">
                  <c:v>0.97537535783139573</c:v>
                </c:pt>
                <c:pt idx="4">
                  <c:v>0.98232751066191504</c:v>
                </c:pt>
                <c:pt idx="5">
                  <c:v>0.98559911199392414</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401024"/>
        <c:axId val="90403200"/>
      </c:scatterChart>
      <c:valAx>
        <c:axId val="9040102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403200"/>
        <c:crosses val="autoZero"/>
        <c:crossBetween val="midCat"/>
        <c:majorUnit val="0.2"/>
      </c:valAx>
      <c:valAx>
        <c:axId val="9040320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40102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Southwest-MF'!$AH$10:$AH$12</c:f>
              <c:numCache>
                <c:formatCode>General</c:formatCode>
                <c:ptCount val="3"/>
              </c:numCache>
            </c:numRef>
          </c:xVal>
          <c:yVal>
            <c:numRef>
              <c:f>'3-ft'!#REF!</c:f>
              <c:numCache>
                <c:formatCode>General</c:formatCode>
                <c:ptCount val="1"/>
                <c:pt idx="0">
                  <c:v>1</c:v>
                </c:pt>
              </c:numCache>
            </c:numRef>
          </c:yVal>
          <c:smooth val="1"/>
        </c:ser>
        <c:axId val="90433408"/>
        <c:axId val="90434944"/>
      </c:scatterChart>
      <c:valAx>
        <c:axId val="9043340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434944"/>
        <c:crosses val="autoZero"/>
        <c:crossBetween val="midCat"/>
        <c:majorUnit val="0.2"/>
      </c:valAx>
      <c:valAx>
        <c:axId val="9043494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4334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'Pacific Southwest-MF'!$A$30:$A$35</c:f>
              <c:numCache>
                <c:formatCode>0</c:formatCode>
                <c:ptCount val="6"/>
                <c:pt idx="0">
                  <c:v>100</c:v>
                </c:pt>
                <c:pt idx="1">
                  <c:v>200</c:v>
                </c:pt>
                <c:pt idx="2">
                  <c:v>400</c:v>
                </c:pt>
                <c:pt idx="3">
                  <c:v>600</c:v>
                </c:pt>
                <c:pt idx="4">
                  <c:v>800</c:v>
                </c:pt>
                <c:pt idx="5">
                  <c:v>1000</c:v>
                </c:pt>
              </c:numCache>
            </c:numRef>
          </c:xVal>
          <c:yVal>
            <c:numRef>
              <c:f>'Pacific Southwest-MF'!$B$30:$B$35</c:f>
              <c:numCache>
                <c:formatCode>0.0%</c:formatCode>
                <c:ptCount val="6"/>
                <c:pt idx="0">
                  <c:v>0.11957410761231524</c:v>
                </c:pt>
                <c:pt idx="1">
                  <c:v>0.21306595781971141</c:v>
                </c:pt>
                <c:pt idx="2">
                  <c:v>0.37056727230238945</c:v>
                </c:pt>
                <c:pt idx="3">
                  <c:v>0.49187941812233454</c:v>
                </c:pt>
                <c:pt idx="4">
                  <c:v>0.58631769585791904</c:v>
                </c:pt>
                <c:pt idx="5">
                  <c:v>0.66296664135070393</c:v>
                </c:pt>
              </c:numCache>
            </c:numRef>
          </c:yVal>
          <c:smooth val="1"/>
        </c:ser>
        <c:ser>
          <c:idx val="1"/>
          <c:order val="1"/>
          <c:tx>
            <c:v>%Treated_5 in/hr</c:v>
          </c:tx>
          <c:xVal>
            <c:numRef>
              <c:f>'Pacific Southwest-MF'!$A$30:$A$35</c:f>
              <c:numCache>
                <c:formatCode>0</c:formatCode>
                <c:ptCount val="6"/>
                <c:pt idx="0">
                  <c:v>100</c:v>
                </c:pt>
                <c:pt idx="1">
                  <c:v>200</c:v>
                </c:pt>
                <c:pt idx="2">
                  <c:v>400</c:v>
                </c:pt>
                <c:pt idx="3">
                  <c:v>600</c:v>
                </c:pt>
                <c:pt idx="4">
                  <c:v>800</c:v>
                </c:pt>
                <c:pt idx="5">
                  <c:v>1000</c:v>
                </c:pt>
              </c:numCache>
            </c:numRef>
          </c:xVal>
          <c:yVal>
            <c:numRef>
              <c:f>'Pacific Southwest-MF'!$C$30:$C$35</c:f>
              <c:numCache>
                <c:formatCode>0.0%</c:formatCode>
                <c:ptCount val="6"/>
                <c:pt idx="0">
                  <c:v>0.26724893380849446</c:v>
                </c:pt>
                <c:pt idx="1">
                  <c:v>0.44429514517730911</c:v>
                </c:pt>
                <c:pt idx="2">
                  <c:v>0.66930536893147163</c:v>
                </c:pt>
                <c:pt idx="3">
                  <c:v>0.79266226558392239</c:v>
                </c:pt>
                <c:pt idx="4">
                  <c:v>0.86548460594730381</c:v>
                </c:pt>
                <c:pt idx="5">
                  <c:v>0.91073202079803706</c:v>
                </c:pt>
              </c:numCache>
            </c:numRef>
          </c:yVal>
          <c:smooth val="1"/>
        </c:ser>
        <c:ser>
          <c:idx val="0"/>
          <c:order val="2"/>
          <c:tx>
            <c:v>%Treated_50 in/hr</c:v>
          </c:tx>
          <c:xVal>
            <c:numRef>
              <c:f>'Pacific Southwest-MF'!$A$30:$A$35</c:f>
              <c:numCache>
                <c:formatCode>0</c:formatCode>
                <c:ptCount val="6"/>
                <c:pt idx="0">
                  <c:v>100</c:v>
                </c:pt>
                <c:pt idx="1">
                  <c:v>200</c:v>
                </c:pt>
                <c:pt idx="2">
                  <c:v>400</c:v>
                </c:pt>
                <c:pt idx="3">
                  <c:v>600</c:v>
                </c:pt>
                <c:pt idx="4">
                  <c:v>800</c:v>
                </c:pt>
                <c:pt idx="5">
                  <c:v>1000</c:v>
                </c:pt>
              </c:numCache>
            </c:numRef>
          </c:xVal>
          <c:yVal>
            <c:numRef>
              <c:f>'Pacific Southwest-MF'!$D$30:$D$35</c:f>
              <c:numCache>
                <c:formatCode>0.0%</c:formatCode>
                <c:ptCount val="6"/>
                <c:pt idx="0">
                  <c:v>0.78018928550563771</c:v>
                </c:pt>
                <c:pt idx="1">
                  <c:v>0.90544487935970086</c:v>
                </c:pt>
                <c:pt idx="2">
                  <c:v>0.96164631652742882</c:v>
                </c:pt>
                <c:pt idx="3">
                  <c:v>0.97537535783139573</c:v>
                </c:pt>
                <c:pt idx="4">
                  <c:v>0.98232751066191504</c:v>
                </c:pt>
                <c:pt idx="5">
                  <c:v>0.98559911199392414</c:v>
                </c:pt>
              </c:numCache>
            </c:numRef>
          </c:yVal>
          <c:smooth val="1"/>
        </c:ser>
        <c:axId val="90547328"/>
        <c:axId val="90549248"/>
      </c:scatterChart>
      <c:scatterChart>
        <c:scatterStyle val="smoothMarker"/>
        <c:ser>
          <c:idx val="5"/>
          <c:order val="3"/>
          <c:tx>
            <c:v>Contact Time_1 in/hr</c:v>
          </c:tx>
          <c:spPr>
            <a:ln>
              <a:solidFill>
                <a:schemeClr val="accent3">
                  <a:lumMod val="75000"/>
                </a:schemeClr>
              </a:solidFill>
            </a:ln>
          </c:spPr>
          <c:marker>
            <c:symbol val="none"/>
          </c:marker>
          <c:xVal>
            <c:numRef>
              <c:f>'Pacific Southwest-MF'!$A$30:$A$35</c:f>
              <c:numCache>
                <c:formatCode>0</c:formatCode>
                <c:ptCount val="6"/>
                <c:pt idx="0">
                  <c:v>100</c:v>
                </c:pt>
                <c:pt idx="1">
                  <c:v>200</c:v>
                </c:pt>
                <c:pt idx="2">
                  <c:v>400</c:v>
                </c:pt>
                <c:pt idx="3">
                  <c:v>600</c:v>
                </c:pt>
                <c:pt idx="4">
                  <c:v>800</c:v>
                </c:pt>
                <c:pt idx="5">
                  <c:v>1000</c:v>
                </c:pt>
              </c:numCache>
            </c:numRef>
          </c:xVal>
          <c:yVal>
            <c:numRef>
              <c:f>'Pacific Southwest-MF'!$E$30:$E$35</c:f>
              <c:numCache>
                <c:formatCode>0.0</c:formatCode>
                <c:ptCount val="6"/>
                <c:pt idx="0">
                  <c:v>8.5077420452611872</c:v>
                </c:pt>
                <c:pt idx="1">
                  <c:v>10.086600671479415</c:v>
                </c:pt>
                <c:pt idx="2">
                  <c:v>12.315769286934552</c:v>
                </c:pt>
                <c:pt idx="3">
                  <c:v>13.715969699463511</c:v>
                </c:pt>
                <c:pt idx="4">
                  <c:v>15.020814557315134</c:v>
                </c:pt>
                <c:pt idx="5">
                  <c:v>16.255178435415853</c:v>
                </c:pt>
              </c:numCache>
            </c:numRef>
          </c:yVal>
          <c:smooth val="1"/>
        </c:ser>
        <c:ser>
          <c:idx val="4"/>
          <c:order val="4"/>
          <c:tx>
            <c:v>Contact Time_5 in/hr</c:v>
          </c:tx>
          <c:spPr>
            <a:ln>
              <a:solidFill>
                <a:srgbClr val="8A0000"/>
              </a:solidFill>
            </a:ln>
          </c:spPr>
          <c:marker>
            <c:symbol val="none"/>
          </c:marker>
          <c:xVal>
            <c:numRef>
              <c:f>'Pacific Southwest-MF'!$A$30:$A$35</c:f>
              <c:numCache>
                <c:formatCode>0</c:formatCode>
                <c:ptCount val="6"/>
                <c:pt idx="0">
                  <c:v>100</c:v>
                </c:pt>
                <c:pt idx="1">
                  <c:v>200</c:v>
                </c:pt>
                <c:pt idx="2">
                  <c:v>400</c:v>
                </c:pt>
                <c:pt idx="3">
                  <c:v>600</c:v>
                </c:pt>
                <c:pt idx="4">
                  <c:v>800</c:v>
                </c:pt>
                <c:pt idx="5">
                  <c:v>1000</c:v>
                </c:pt>
              </c:numCache>
            </c:numRef>
          </c:xVal>
          <c:yVal>
            <c:numRef>
              <c:f>'Pacific Southwest-MF'!$F$30:$F$35</c:f>
              <c:numCache>
                <c:formatCode>0.0</c:formatCode>
                <c:ptCount val="6"/>
                <c:pt idx="0">
                  <c:v>2.4704219904260558</c:v>
                </c:pt>
                <c:pt idx="1">
                  <c:v>3.0606712489287649</c:v>
                </c:pt>
                <c:pt idx="2">
                  <c:v>4.1080535455436422</c:v>
                </c:pt>
                <c:pt idx="3">
                  <c:v>5.1622418879056049</c:v>
                </c:pt>
                <c:pt idx="4">
                  <c:v>6.2509767151117357</c:v>
                </c:pt>
                <c:pt idx="5">
                  <c:v>7.3784557524549177</c:v>
                </c:pt>
              </c:numCache>
            </c:numRef>
          </c:yVal>
          <c:smooth val="1"/>
        </c:ser>
        <c:ser>
          <c:idx val="3"/>
          <c:order val="5"/>
          <c:tx>
            <c:v>Contact Time_50 in/hr</c:v>
          </c:tx>
          <c:spPr>
            <a:ln>
              <a:solidFill>
                <a:schemeClr val="accent1">
                  <a:lumMod val="75000"/>
                </a:schemeClr>
              </a:solidFill>
            </a:ln>
          </c:spPr>
          <c:marker>
            <c:symbol val="none"/>
          </c:marker>
          <c:xVal>
            <c:numRef>
              <c:f>'Pacific Southwest-MF'!$A$30:$A$35</c:f>
              <c:numCache>
                <c:formatCode>0</c:formatCode>
                <c:ptCount val="6"/>
                <c:pt idx="0">
                  <c:v>100</c:v>
                </c:pt>
                <c:pt idx="1">
                  <c:v>200</c:v>
                </c:pt>
                <c:pt idx="2">
                  <c:v>400</c:v>
                </c:pt>
                <c:pt idx="3">
                  <c:v>600</c:v>
                </c:pt>
                <c:pt idx="4">
                  <c:v>800</c:v>
                </c:pt>
                <c:pt idx="5">
                  <c:v>1000</c:v>
                </c:pt>
              </c:numCache>
            </c:numRef>
          </c:xVal>
          <c:yVal>
            <c:numRef>
              <c:f>'Pacific Southwest-MF'!$G$30:$G$35</c:f>
              <c:numCache>
                <c:formatCode>0.0</c:formatCode>
                <c:ptCount val="6"/>
                <c:pt idx="0">
                  <c:v>0.83718438148817897</c:v>
                </c:pt>
                <c:pt idx="1">
                  <c:v>1.4384113363252289</c:v>
                </c:pt>
                <c:pt idx="2">
                  <c:v>2.6279827604330914</c:v>
                </c:pt>
                <c:pt idx="3">
                  <c:v>3.7538745347876916</c:v>
                </c:pt>
                <c:pt idx="4">
                  <c:v>4.8488374912114827</c:v>
                </c:pt>
                <c:pt idx="5">
                  <c:v>5.9236692900059236</c:v>
                </c:pt>
              </c:numCache>
            </c:numRef>
          </c:yVal>
          <c:smooth val="1"/>
        </c:ser>
        <c:axId val="90565632"/>
        <c:axId val="90563712"/>
      </c:scatterChart>
      <c:valAx>
        <c:axId val="90547328"/>
        <c:scaling>
          <c:orientation val="minMax"/>
          <c:min val="0"/>
        </c:scaling>
        <c:axPos val="b"/>
        <c:title>
          <c:tx>
            <c:rich>
              <a:bodyPr/>
              <a:lstStyle/>
              <a:p>
                <a:pPr>
                  <a:defRPr/>
                </a:pPr>
                <a:r>
                  <a:rPr lang="en-US"/>
                  <a:t>Filter Area (SF)</a:t>
                </a:r>
              </a:p>
            </c:rich>
          </c:tx>
        </c:title>
        <c:numFmt formatCode="0" sourceLinked="1"/>
        <c:tickLblPos val="nextTo"/>
        <c:crossAx val="90549248"/>
        <c:crosses val="autoZero"/>
        <c:crossBetween val="midCat"/>
      </c:valAx>
      <c:valAx>
        <c:axId val="9054924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90547328"/>
        <c:crosses val="autoZero"/>
        <c:crossBetween val="midCat"/>
      </c:valAx>
      <c:valAx>
        <c:axId val="90563712"/>
        <c:scaling>
          <c:orientation val="minMax"/>
          <c:max val="20"/>
        </c:scaling>
        <c:axPos val="r"/>
        <c:title>
          <c:tx>
            <c:rich>
              <a:bodyPr rot="-5400000" vert="horz"/>
              <a:lstStyle/>
              <a:p>
                <a:pPr>
                  <a:defRPr/>
                </a:pPr>
                <a:r>
                  <a:rPr lang="en-US"/>
                  <a:t>Contact Time (hrs)</a:t>
                </a:r>
              </a:p>
            </c:rich>
          </c:tx>
        </c:title>
        <c:numFmt formatCode="0.0" sourceLinked="1"/>
        <c:tickLblPos val="nextTo"/>
        <c:crossAx val="90565632"/>
        <c:crosses val="max"/>
        <c:crossBetween val="midCat"/>
      </c:valAx>
      <c:valAx>
        <c:axId val="90565632"/>
        <c:scaling>
          <c:orientation val="minMax"/>
        </c:scaling>
        <c:delete val="1"/>
        <c:axPos val="b"/>
        <c:numFmt formatCode="0" sourceLinked="1"/>
        <c:tickLblPos val="none"/>
        <c:crossAx val="90563712"/>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636288"/>
        <c:axId val="90638208"/>
      </c:scatterChart>
      <c:valAx>
        <c:axId val="9063628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38208"/>
        <c:crosses val="autoZero"/>
        <c:crossBetween val="midCat"/>
        <c:majorUnit val="0.2"/>
      </c:valAx>
      <c:valAx>
        <c:axId val="9063820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63628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33" l="0.70000000000000062" r="0.70000000000000062" t="0.750000000000006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5646080"/>
        <c:axId val="75647616"/>
      </c:scatterChart>
      <c:valAx>
        <c:axId val="7564608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5647616"/>
        <c:crosses val="autoZero"/>
        <c:crossBetween val="midCat"/>
        <c:majorUnit val="0.2"/>
      </c:valAx>
      <c:valAx>
        <c:axId val="7564761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564608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66" r="0.75000000000000766"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680704"/>
        <c:axId val="90698880"/>
      </c:scatterChart>
      <c:valAx>
        <c:axId val="9068070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98880"/>
        <c:crosses val="autoZero"/>
        <c:crossBetween val="midCat"/>
        <c:majorUnit val="0.2"/>
      </c:valAx>
      <c:valAx>
        <c:axId val="9069888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68070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55" l="0.70000000000000062" r="0.70000000000000062" t="0.7500000000000065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736512"/>
        <c:axId val="90746880"/>
      </c:scatterChart>
      <c:valAx>
        <c:axId val="9073651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746880"/>
        <c:crosses val="autoZero"/>
        <c:crossBetween val="midCat"/>
        <c:majorUnit val="0.2"/>
      </c:valAx>
      <c:valAx>
        <c:axId val="9074688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73651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44" r="0.75000000000000544"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764800"/>
        <c:axId val="90766336"/>
      </c:scatterChart>
      <c:valAx>
        <c:axId val="9076480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766336"/>
        <c:crosses val="autoZero"/>
        <c:crossBetween val="midCat"/>
        <c:majorUnit val="0.2"/>
      </c:valAx>
      <c:valAx>
        <c:axId val="9076633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7648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44" r="0.75000000000000544"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812416"/>
        <c:axId val="90814336"/>
      </c:scatterChart>
      <c:valAx>
        <c:axId val="9081241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814336"/>
        <c:crosses val="autoZero"/>
        <c:crossBetween val="midCat"/>
        <c:majorUnit val="0.2"/>
      </c:valAx>
      <c:valAx>
        <c:axId val="9081433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081241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44" r="0.75000000000000544" t="1" header="0.5" footer="0.5"/>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0856832"/>
        <c:axId val="90866816"/>
      </c:scatterChart>
      <c:valAx>
        <c:axId val="9085683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866816"/>
        <c:crosses val="autoZero"/>
        <c:crossBetween val="midCat"/>
        <c:majorUnit val="0.2"/>
      </c:valAx>
      <c:valAx>
        <c:axId val="9086681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085683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44" r="0.75000000000000544"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'Northwest Inland-DT'!$B$10</c:f>
              <c:strCache>
                <c:ptCount val="1"/>
                <c:pt idx="0">
                  <c:v>Runoff</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Inland-DT'!$B$11:$B$19</c:f>
              <c:numCache>
                <c:formatCode>0.0%</c:formatCode>
                <c:ptCount val="9"/>
                <c:pt idx="0">
                  <c:v>0.69137737252853371</c:v>
                </c:pt>
                <c:pt idx="1">
                  <c:v>0.89219736904592295</c:v>
                </c:pt>
                <c:pt idx="2">
                  <c:v>0.98242864605594338</c:v>
                </c:pt>
                <c:pt idx="3">
                  <c:v>0.99610580804483073</c:v>
                </c:pt>
                <c:pt idx="4">
                  <c:v>0.99936679805606998</c:v>
                </c:pt>
                <c:pt idx="5">
                  <c:v>1</c:v>
                </c:pt>
                <c:pt idx="6">
                  <c:v>1</c:v>
                </c:pt>
                <c:pt idx="7">
                  <c:v>1</c:v>
                </c:pt>
                <c:pt idx="8">
                  <c:v>1</c:v>
                </c:pt>
              </c:numCache>
            </c:numRef>
          </c:yVal>
          <c:smooth val="1"/>
        </c:ser>
        <c:ser>
          <c:idx val="1"/>
          <c:order val="1"/>
          <c:tx>
            <c:strRef>
              <c:f>'Northwest Inland-DT'!$C$10</c:f>
              <c:strCache>
                <c:ptCount val="1"/>
                <c:pt idx="0">
                  <c:v>TSS</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Inland-DT'!$C$11:$C$19</c:f>
              <c:numCache>
                <c:formatCode>0.0%</c:formatCode>
                <c:ptCount val="9"/>
                <c:pt idx="0">
                  <c:v>0.4898606440162272</c:v>
                </c:pt>
                <c:pt idx="1">
                  <c:v>0.64552572261663288</c:v>
                </c:pt>
                <c:pt idx="2">
                  <c:v>0.73117218559837727</c:v>
                </c:pt>
                <c:pt idx="3">
                  <c:v>0.75838911004056797</c:v>
                </c:pt>
                <c:pt idx="4">
                  <c:v>0.77281087728194731</c:v>
                </c:pt>
                <c:pt idx="5">
                  <c:v>0.78319497971602425</c:v>
                </c:pt>
                <c:pt idx="6">
                  <c:v>0.79125844320486816</c:v>
                </c:pt>
                <c:pt idx="7">
                  <c:v>0.8036185851926978</c:v>
                </c:pt>
                <c:pt idx="8">
                  <c:v>0.81371811612576062</c:v>
                </c:pt>
              </c:numCache>
            </c:numRef>
          </c:yVal>
          <c:smooth val="1"/>
        </c:ser>
        <c:axId val="91002752"/>
        <c:axId val="91017216"/>
      </c:scatterChart>
      <c:valAx>
        <c:axId val="9100275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91017216"/>
        <c:crosses val="autoZero"/>
        <c:crossBetween val="midCat"/>
        <c:majorUnit val="0.2"/>
      </c:valAx>
      <c:valAx>
        <c:axId val="91017216"/>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9100275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'Northwest Inland-DT'!$D$10</c:f>
              <c:strCache>
                <c:ptCount val="1"/>
                <c:pt idx="0">
                  <c:v>Clay</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Inland-DT'!$D$11:$D$19</c:f>
              <c:numCache>
                <c:formatCode>0.0%</c:formatCode>
                <c:ptCount val="9"/>
                <c:pt idx="0">
                  <c:v>1.3503042596348883E-3</c:v>
                </c:pt>
                <c:pt idx="1">
                  <c:v>2.5834178498985801E-3</c:v>
                </c:pt>
                <c:pt idx="2">
                  <c:v>4.9447261663286002E-3</c:v>
                </c:pt>
                <c:pt idx="3">
                  <c:v>7.2928498985801223E-3</c:v>
                </c:pt>
                <c:pt idx="4">
                  <c:v>9.5846855983772825E-3</c:v>
                </c:pt>
                <c:pt idx="5">
                  <c:v>1.1855983772819472E-2</c:v>
                </c:pt>
                <c:pt idx="6">
                  <c:v>1.4073529411764705E-2</c:v>
                </c:pt>
                <c:pt idx="7">
                  <c:v>1.8322515212981744E-2</c:v>
                </c:pt>
                <c:pt idx="8">
                  <c:v>2.259761663286004E-2</c:v>
                </c:pt>
              </c:numCache>
            </c:numRef>
          </c:yVal>
          <c:smooth val="1"/>
        </c:ser>
        <c:ser>
          <c:idx val="1"/>
          <c:order val="1"/>
          <c:tx>
            <c:strRef>
              <c:f>'Northwest Inland-DT'!$H$10</c:f>
              <c:strCache>
                <c:ptCount val="1"/>
                <c:pt idx="0">
                  <c:v>Silt</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Inland-DT'!$H$11:$H$19</c:f>
              <c:numCache>
                <c:formatCode>0.0%</c:formatCode>
                <c:ptCount val="9"/>
                <c:pt idx="0">
                  <c:v>0.3210187626774848</c:v>
                </c:pt>
                <c:pt idx="1">
                  <c:v>0.44396213657876943</c:v>
                </c:pt>
                <c:pt idx="2">
                  <c:v>0.53373225152129822</c:v>
                </c:pt>
                <c:pt idx="3">
                  <c:v>0.57885311020960106</c:v>
                </c:pt>
                <c:pt idx="4">
                  <c:v>0.60706896551724143</c:v>
                </c:pt>
                <c:pt idx="5">
                  <c:v>0.62915990534144695</c:v>
                </c:pt>
                <c:pt idx="6">
                  <c:v>0.6468323191345503</c:v>
                </c:pt>
                <c:pt idx="7">
                  <c:v>0.67388353617309005</c:v>
                </c:pt>
                <c:pt idx="8">
                  <c:v>0.69585192697768772</c:v>
                </c:pt>
              </c:numCache>
            </c:numRef>
          </c:yVal>
          <c:smooth val="1"/>
        </c:ser>
        <c:ser>
          <c:idx val="2"/>
          <c:order val="2"/>
          <c:tx>
            <c:strRef>
              <c:f>'Northwest Inland-DT'!$I$10</c:f>
              <c:strCache>
                <c:ptCount val="1"/>
                <c:pt idx="0">
                  <c:v>Sand</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Inland-DT'!$I$11:$I$19</c:f>
              <c:numCache>
                <c:formatCode>0.0%</c:formatCode>
                <c:ptCount val="9"/>
                <c:pt idx="0">
                  <c:v>0.69066937119675453</c:v>
                </c:pt>
                <c:pt idx="1">
                  <c:v>0.89122718052738337</c:v>
                </c:pt>
                <c:pt idx="2">
                  <c:v>0.98149087221095332</c:v>
                </c:pt>
                <c:pt idx="3">
                  <c:v>0.99508113590263692</c:v>
                </c:pt>
                <c:pt idx="4">
                  <c:v>0.99830121703853958</c:v>
                </c:pt>
                <c:pt idx="5">
                  <c:v>0.9989604462474645</c:v>
                </c:pt>
                <c:pt idx="6">
                  <c:v>0.9989604462474645</c:v>
                </c:pt>
                <c:pt idx="7">
                  <c:v>0.99890973630831636</c:v>
                </c:pt>
                <c:pt idx="8">
                  <c:v>0.99890973630831636</c:v>
                </c:pt>
              </c:numCache>
            </c:numRef>
          </c:yVal>
          <c:smooth val="1"/>
        </c:ser>
        <c:axId val="91054464"/>
        <c:axId val="91056384"/>
      </c:scatterChart>
      <c:valAx>
        <c:axId val="91054464"/>
        <c:scaling>
          <c:orientation val="minMax"/>
          <c:max val="2"/>
          <c:min val="0"/>
        </c:scaling>
        <c:axPos val="b"/>
        <c:majorGridlines/>
        <c:title>
          <c:tx>
            <c:rich>
              <a:bodyPr/>
              <a:lstStyle/>
              <a:p>
                <a:pPr>
                  <a:defRPr/>
                </a:pPr>
                <a:r>
                  <a:rPr lang="en-US"/>
                  <a:t>Unit Basin Size (in)</a:t>
                </a:r>
              </a:p>
            </c:rich>
          </c:tx>
        </c:title>
        <c:numFmt formatCode="0.0" sourceLinked="0"/>
        <c:tickLblPos val="nextTo"/>
        <c:crossAx val="91056384"/>
        <c:crosses val="autoZero"/>
        <c:crossBetween val="midCat"/>
        <c:majorUnit val="0.2"/>
      </c:valAx>
      <c:valAx>
        <c:axId val="91056384"/>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91054464"/>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'Northwest Inland-DT'!$CD$17</c:f>
              <c:strCache>
                <c:ptCount val="1"/>
                <c:pt idx="0">
                  <c:v>Runoff, 3hr DT</c:v>
                </c:pt>
              </c:strCache>
            </c:strRef>
          </c:tx>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'Northwest Inland-DT'!$CE$17</c:f>
              <c:strCache>
                <c:ptCount val="1"/>
                <c:pt idx="0">
                  <c:v>Runoff, 6hr DT</c:v>
                </c:pt>
              </c:strCache>
            </c:strRef>
          </c:tx>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'Northwest Inland-DT'!$CF$17</c:f>
              <c:strCache>
                <c:ptCount val="1"/>
                <c:pt idx="0">
                  <c:v>Runoff, 12hr DT</c:v>
                </c:pt>
              </c:strCache>
            </c:strRef>
          </c:tx>
          <c:spPr>
            <a:ln w="31750"/>
          </c:spPr>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'Northwest Inland-DT'!$CG$17</c:f>
              <c:strCache>
                <c:ptCount val="1"/>
                <c:pt idx="0">
                  <c:v>TSS, 3hr DT</c:v>
                </c:pt>
              </c:strCache>
            </c:strRef>
          </c:tx>
          <c:spPr>
            <a:ln w="31750">
              <a:solidFill>
                <a:schemeClr val="accent1"/>
              </a:solidFill>
              <a:prstDash val="sysDash"/>
            </a:ln>
          </c:spPr>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Inland-DT'!$CG$18:$CG$26</c:f>
              <c:numCache>
                <c:formatCode>0.0%</c:formatCode>
                <c:ptCount val="9"/>
                <c:pt idx="0">
                  <c:v>0.4898606440162272</c:v>
                </c:pt>
                <c:pt idx="1">
                  <c:v>0.64552572261663288</c:v>
                </c:pt>
                <c:pt idx="2">
                  <c:v>0.73117218559837727</c:v>
                </c:pt>
                <c:pt idx="3">
                  <c:v>0.75838911004056797</c:v>
                </c:pt>
                <c:pt idx="4">
                  <c:v>0.77281087728194731</c:v>
                </c:pt>
                <c:pt idx="5">
                  <c:v>0.78319497971602425</c:v>
                </c:pt>
                <c:pt idx="6">
                  <c:v>0.79125844320486816</c:v>
                </c:pt>
                <c:pt idx="7">
                  <c:v>0.8036185851926978</c:v>
                </c:pt>
                <c:pt idx="8">
                  <c:v>0.81371811612576062</c:v>
                </c:pt>
              </c:numCache>
            </c:numRef>
          </c:yVal>
          <c:smooth val="1"/>
        </c:ser>
        <c:ser>
          <c:idx val="4"/>
          <c:order val="4"/>
          <c:tx>
            <c:strRef>
              <c:f>'Northwest Inland-DT'!$CH$17</c:f>
              <c:strCache>
                <c:ptCount val="1"/>
                <c:pt idx="0">
                  <c:v>TSS, 6hr DT</c:v>
                </c:pt>
              </c:strCache>
            </c:strRef>
          </c:tx>
          <c:spPr>
            <a:ln w="31750">
              <a:solidFill>
                <a:schemeClr val="accent2"/>
              </a:solidFill>
              <a:prstDash val="sysDash"/>
            </a:ln>
          </c:spPr>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Inland-DT'!$CH$18:$CH$26</c:f>
              <c:numCache>
                <c:formatCode>0.0%</c:formatCode>
                <c:ptCount val="9"/>
                <c:pt idx="0">
                  <c:v>0.41704719827586212</c:v>
                </c:pt>
                <c:pt idx="1">
                  <c:v>0.60282284482758619</c:v>
                </c:pt>
                <c:pt idx="2">
                  <c:v>0.73029646298174433</c:v>
                </c:pt>
                <c:pt idx="3">
                  <c:v>0.77512619168356989</c:v>
                </c:pt>
                <c:pt idx="4">
                  <c:v>0.79399336967545642</c:v>
                </c:pt>
                <c:pt idx="5">
                  <c:v>0.80122478448275858</c:v>
                </c:pt>
                <c:pt idx="6">
                  <c:v>0.80900360040567953</c:v>
                </c:pt>
                <c:pt idx="7">
                  <c:v>0.81897829614604456</c:v>
                </c:pt>
                <c:pt idx="8">
                  <c:v>0.82816024340770789</c:v>
                </c:pt>
              </c:numCache>
            </c:numRef>
          </c:yVal>
          <c:smooth val="1"/>
        </c:ser>
        <c:ser>
          <c:idx val="5"/>
          <c:order val="5"/>
          <c:tx>
            <c:strRef>
              <c:f>'Northwest Inland-DT'!$CI$17</c:f>
              <c:strCache>
                <c:ptCount val="1"/>
                <c:pt idx="0">
                  <c:v>TSS, 12hr DT</c:v>
                </c:pt>
              </c:strCache>
            </c:strRef>
          </c:tx>
          <c:spPr>
            <a:ln w="31750">
              <a:solidFill>
                <a:schemeClr val="accent3"/>
              </a:solidFill>
              <a:prstDash val="sysDash"/>
            </a:ln>
          </c:spPr>
          <c:marker>
            <c:symbol val="none"/>
          </c:marker>
          <c:xVal>
            <c:numRef>
              <c:f>'Northwest Inland-DT'!$CC$18:$CC$26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Inland-DT'!$CI$18:$CI$26</c:f>
              <c:numCache>
                <c:formatCode>0.0%</c:formatCode>
                <c:ptCount val="9"/>
                <c:pt idx="0">
                  <c:v>0.3460084406693712</c:v>
                </c:pt>
                <c:pt idx="1">
                  <c:v>0.54817767494929015</c:v>
                </c:pt>
                <c:pt idx="2">
                  <c:v>0.711611549188641</c:v>
                </c:pt>
                <c:pt idx="3">
                  <c:v>0.77871364097363083</c:v>
                </c:pt>
                <c:pt idx="4">
                  <c:v>0.804071729208925</c:v>
                </c:pt>
                <c:pt idx="5">
                  <c:v>0.81806469320486819</c:v>
                </c:pt>
                <c:pt idx="6">
                  <c:v>0.82508057809330615</c:v>
                </c:pt>
                <c:pt idx="7">
                  <c:v>0.83486904158215003</c:v>
                </c:pt>
                <c:pt idx="8">
                  <c:v>0.84068433062880321</c:v>
                </c:pt>
              </c:numCache>
            </c:numRef>
          </c:yVal>
          <c:smooth val="1"/>
        </c:ser>
        <c:axId val="91102592"/>
        <c:axId val="91121152"/>
      </c:scatterChart>
      <c:valAx>
        <c:axId val="91102592"/>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91121152"/>
        <c:crosses val="autoZero"/>
        <c:crossBetween val="midCat"/>
        <c:majorUnit val="0.2"/>
      </c:valAx>
      <c:valAx>
        <c:axId val="91121152"/>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91102592"/>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'Northwest Inland-DT'!$B$10</c:f>
              <c:strCache>
                <c:ptCount val="1"/>
                <c:pt idx="0">
                  <c:v>Runoff</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Inland-DT'!$M$11:$M$19</c:f>
              <c:numCache>
                <c:formatCode>0.0%</c:formatCode>
                <c:ptCount val="9"/>
                <c:pt idx="0">
                  <c:v>0.56212502572382894</c:v>
                </c:pt>
                <c:pt idx="1">
                  <c:v>0.79731205774801728</c:v>
                </c:pt>
                <c:pt idx="2">
                  <c:v>0.94875813268746734</c:v>
                </c:pt>
                <c:pt idx="3">
                  <c:v>0.98912475661300281</c:v>
                </c:pt>
                <c:pt idx="4">
                  <c:v>0.99667568979436771</c:v>
                </c:pt>
                <c:pt idx="5">
                  <c:v>0.99895521679251553</c:v>
                </c:pt>
                <c:pt idx="6">
                  <c:v>1</c:v>
                </c:pt>
                <c:pt idx="7">
                  <c:v>1</c:v>
                </c:pt>
                <c:pt idx="8">
                  <c:v>1</c:v>
                </c:pt>
              </c:numCache>
            </c:numRef>
          </c:yVal>
          <c:smooth val="1"/>
        </c:ser>
        <c:ser>
          <c:idx val="1"/>
          <c:order val="1"/>
          <c:tx>
            <c:strRef>
              <c:f>'Northwest Inland-DT'!$C$10</c:f>
              <c:strCache>
                <c:ptCount val="1"/>
                <c:pt idx="0">
                  <c:v>TSS</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Inland-DT'!$N$11:$N$19</c:f>
              <c:numCache>
                <c:formatCode>0.0%</c:formatCode>
                <c:ptCount val="9"/>
                <c:pt idx="0">
                  <c:v>0.41704719827586212</c:v>
                </c:pt>
                <c:pt idx="1">
                  <c:v>0.60282284482758619</c:v>
                </c:pt>
                <c:pt idx="2">
                  <c:v>0.73029646298174433</c:v>
                </c:pt>
                <c:pt idx="3">
                  <c:v>0.77512619168356989</c:v>
                </c:pt>
                <c:pt idx="4">
                  <c:v>0.79399336967545642</c:v>
                </c:pt>
                <c:pt idx="5">
                  <c:v>0.80122478448275858</c:v>
                </c:pt>
                <c:pt idx="6">
                  <c:v>0.80900360040567953</c:v>
                </c:pt>
                <c:pt idx="7">
                  <c:v>0.81897829614604456</c:v>
                </c:pt>
                <c:pt idx="8">
                  <c:v>0.82816024340770789</c:v>
                </c:pt>
              </c:numCache>
            </c:numRef>
          </c:yVal>
          <c:smooth val="1"/>
        </c:ser>
        <c:axId val="91153536"/>
        <c:axId val="91155456"/>
      </c:scatterChart>
      <c:valAx>
        <c:axId val="91153536"/>
        <c:scaling>
          <c:orientation val="minMax"/>
          <c:max val="2"/>
          <c:min val="0"/>
        </c:scaling>
        <c:axPos val="b"/>
        <c:majorGridlines/>
        <c:title>
          <c:tx>
            <c:rich>
              <a:bodyPr/>
              <a:lstStyle/>
              <a:p>
                <a:pPr>
                  <a:defRPr/>
                </a:pPr>
                <a:r>
                  <a:rPr lang="en-US"/>
                  <a:t>Unit Basin Size (in)</a:t>
                </a:r>
              </a:p>
            </c:rich>
          </c:tx>
        </c:title>
        <c:numFmt formatCode="0.0" sourceLinked="0"/>
        <c:tickLblPos val="nextTo"/>
        <c:crossAx val="91155456"/>
        <c:crosses val="autoZero"/>
        <c:crossBetween val="midCat"/>
        <c:majorUnit val="0.2"/>
      </c:valAx>
      <c:valAx>
        <c:axId val="91155456"/>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91153536"/>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'Northwest Inland-DT'!$D$10</c:f>
              <c:strCache>
                <c:ptCount val="1"/>
                <c:pt idx="0">
                  <c:v>Clay</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Inland-DT'!$O$11:$O$19</c:f>
              <c:numCache>
                <c:formatCode>0.0%</c:formatCode>
                <c:ptCount val="9"/>
                <c:pt idx="0">
                  <c:v>1.6488336713995943E-3</c:v>
                </c:pt>
                <c:pt idx="1">
                  <c:v>3.6019269776876267E-3</c:v>
                </c:pt>
                <c:pt idx="2">
                  <c:v>5.9115111561866126E-3</c:v>
                </c:pt>
                <c:pt idx="3">
                  <c:v>8.8701825557809342E-3</c:v>
                </c:pt>
                <c:pt idx="4">
                  <c:v>1.1804513184584179E-2</c:v>
                </c:pt>
                <c:pt idx="5">
                  <c:v>1.3920131845841786E-2</c:v>
                </c:pt>
                <c:pt idx="6">
                  <c:v>1.673782961460446E-2</c:v>
                </c:pt>
                <c:pt idx="7">
                  <c:v>2.160446247464503E-2</c:v>
                </c:pt>
                <c:pt idx="8">
                  <c:v>2.6845841784989857E-2</c:v>
                </c:pt>
              </c:numCache>
            </c:numRef>
          </c:yVal>
          <c:smooth val="1"/>
        </c:ser>
        <c:ser>
          <c:idx val="1"/>
          <c:order val="1"/>
          <c:tx>
            <c:strRef>
              <c:f>'Northwest Inland-DT'!$H$10</c:f>
              <c:strCache>
                <c:ptCount val="1"/>
                <c:pt idx="0">
                  <c:v>Silt</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Inland-DT'!$S$11:$S$19</c:f>
              <c:numCache>
                <c:formatCode>0.0%</c:formatCode>
                <c:ptCount val="9"/>
                <c:pt idx="0">
                  <c:v>0.3025743745774172</c:v>
                </c:pt>
                <c:pt idx="1">
                  <c:v>0.45400777552400268</c:v>
                </c:pt>
                <c:pt idx="2">
                  <c:v>0.56875338066260983</c:v>
                </c:pt>
                <c:pt idx="3">
                  <c:v>0.62322430696416498</c:v>
                </c:pt>
                <c:pt idx="4">
                  <c:v>0.65643002028397579</c:v>
                </c:pt>
                <c:pt idx="5">
                  <c:v>0.66975743745774174</c:v>
                </c:pt>
                <c:pt idx="6">
                  <c:v>0.68557555780933066</c:v>
                </c:pt>
                <c:pt idx="7">
                  <c:v>0.70720081135902635</c:v>
                </c:pt>
                <c:pt idx="8">
                  <c:v>0.72699459093982433</c:v>
                </c:pt>
              </c:numCache>
            </c:numRef>
          </c:yVal>
          <c:smooth val="1"/>
        </c:ser>
        <c:ser>
          <c:idx val="2"/>
          <c:order val="2"/>
          <c:tx>
            <c:strRef>
              <c:f>'Northwest Inland-DT'!$I$10</c:f>
              <c:strCache>
                <c:ptCount val="1"/>
                <c:pt idx="0">
                  <c:v>Sand</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Inland-DT'!$T$11:$T$19</c:f>
              <c:numCache>
                <c:formatCode>0.0%</c:formatCode>
                <c:ptCount val="9"/>
                <c:pt idx="0">
                  <c:v>0.56161257606490878</c:v>
                </c:pt>
                <c:pt idx="1">
                  <c:v>0.79667849898580123</c:v>
                </c:pt>
                <c:pt idx="2">
                  <c:v>0.94812373225152136</c:v>
                </c:pt>
                <c:pt idx="3">
                  <c:v>0.98846348884381341</c:v>
                </c:pt>
                <c:pt idx="4">
                  <c:v>0.99601926977687627</c:v>
                </c:pt>
                <c:pt idx="5">
                  <c:v>0.99827586206896546</c:v>
                </c:pt>
                <c:pt idx="6">
                  <c:v>0.99931541582150107</c:v>
                </c:pt>
                <c:pt idx="7">
                  <c:v>0.99931541582150107</c:v>
                </c:pt>
                <c:pt idx="8">
                  <c:v>0.99934077079107508</c:v>
                </c:pt>
              </c:numCache>
            </c:numRef>
          </c:yVal>
          <c:smooth val="1"/>
        </c:ser>
        <c:axId val="91190016"/>
        <c:axId val="91191936"/>
      </c:scatterChart>
      <c:valAx>
        <c:axId val="911900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91191936"/>
        <c:crosses val="autoZero"/>
        <c:crossBetween val="midCat"/>
        <c:majorUnit val="0.2"/>
      </c:valAx>
      <c:valAx>
        <c:axId val="9119193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119001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1"/>
        </c:manualLayout>
      </c:layout>
      <c:scatterChart>
        <c:scatterStyle val="smoothMarker"/>
        <c:ser>
          <c:idx val="0"/>
          <c:order val="0"/>
          <c:tx>
            <c:strRef>
              <c:f>'Northeast Coastal-DT'!$B$10</c:f>
              <c:strCache>
                <c:ptCount val="1"/>
                <c:pt idx="0">
                  <c:v>Runoff</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Coastal-DT'!$B$11:$B$19</c:f>
              <c:numCache>
                <c:formatCode>0.0%</c:formatCode>
                <c:ptCount val="9"/>
                <c:pt idx="0">
                  <c:v>0.63359526895657814</c:v>
                </c:pt>
                <c:pt idx="1">
                  <c:v>0.84616007777057678</c:v>
                </c:pt>
                <c:pt idx="2">
                  <c:v>0.96079066753078424</c:v>
                </c:pt>
                <c:pt idx="3">
                  <c:v>0.98865845755022685</c:v>
                </c:pt>
                <c:pt idx="4">
                  <c:v>0.99603046014257934</c:v>
                </c:pt>
                <c:pt idx="5">
                  <c:v>0.9984607906675308</c:v>
                </c:pt>
                <c:pt idx="6">
                  <c:v>0.99991898898250164</c:v>
                </c:pt>
                <c:pt idx="7">
                  <c:v>1</c:v>
                </c:pt>
                <c:pt idx="8">
                  <c:v>1</c:v>
                </c:pt>
              </c:numCache>
            </c:numRef>
          </c:yVal>
          <c:smooth val="1"/>
        </c:ser>
        <c:ser>
          <c:idx val="1"/>
          <c:order val="1"/>
          <c:tx>
            <c:strRef>
              <c:f>'Northeast Coastal-DT'!$C$10</c:f>
              <c:strCache>
                <c:ptCount val="1"/>
                <c:pt idx="0">
                  <c:v>TSS</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Coastal-DT'!$C$11:$C$19</c:f>
              <c:numCache>
                <c:formatCode>0.0%</c:formatCode>
                <c:ptCount val="9"/>
                <c:pt idx="0">
                  <c:v>0.44834040871934605</c:v>
                </c:pt>
                <c:pt idx="1">
                  <c:v>0.61061336447385495</c:v>
                </c:pt>
                <c:pt idx="2">
                  <c:v>0.71185972492539251</c:v>
                </c:pt>
                <c:pt idx="3">
                  <c:v>0.74861644608797195</c:v>
                </c:pt>
                <c:pt idx="4">
                  <c:v>0.76606411703646038</c:v>
                </c:pt>
                <c:pt idx="5">
                  <c:v>0.77759252627481512</c:v>
                </c:pt>
                <c:pt idx="6">
                  <c:v>0.78682203191903466</c:v>
                </c:pt>
                <c:pt idx="7">
                  <c:v>0.79933819903983383</c:v>
                </c:pt>
                <c:pt idx="8">
                  <c:v>0.80938698585701307</c:v>
                </c:pt>
              </c:numCache>
            </c:numRef>
          </c:yVal>
          <c:smooth val="1"/>
        </c:ser>
        <c:axId val="75722752"/>
        <c:axId val="75724672"/>
      </c:scatterChart>
      <c:valAx>
        <c:axId val="75722752"/>
        <c:scaling>
          <c:orientation val="minMax"/>
          <c:max val="2"/>
          <c:min val="0"/>
        </c:scaling>
        <c:axPos val="b"/>
        <c:majorGridlines/>
        <c:title>
          <c:tx>
            <c:rich>
              <a:bodyPr/>
              <a:lstStyle/>
              <a:p>
                <a:pPr>
                  <a:defRPr/>
                </a:pPr>
                <a:r>
                  <a:rPr lang="en-US"/>
                  <a:t>Unit Basin Size (in)</a:t>
                </a:r>
              </a:p>
            </c:rich>
          </c:tx>
          <c:layout>
            <c:manualLayout>
              <c:xMode val="edge"/>
              <c:yMode val="edge"/>
              <c:x val="0.40806337796953596"/>
              <c:y val="0.91325133945033732"/>
            </c:manualLayout>
          </c:layout>
        </c:title>
        <c:numFmt formatCode="0.0" sourceLinked="0"/>
        <c:tickLblPos val="nextTo"/>
        <c:crossAx val="75724672"/>
        <c:crosses val="autoZero"/>
        <c:crossBetween val="midCat"/>
        <c:majorUnit val="0.2"/>
      </c:valAx>
      <c:valAx>
        <c:axId val="75724672"/>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75722752"/>
        <c:crosses val="autoZero"/>
        <c:crossBetween val="midCat"/>
      </c:valAx>
      <c:spPr>
        <a:ln>
          <a:solidFill>
            <a:schemeClr val="bg1">
              <a:lumMod val="50000"/>
            </a:schemeClr>
          </a:solidFill>
        </a:ln>
      </c:spPr>
    </c:plotArea>
    <c:legend>
      <c:legendPos val="t"/>
      <c:layout>
        <c:manualLayout>
          <c:xMode val="edge"/>
          <c:yMode val="edge"/>
          <c:x val="0.35385279568998446"/>
          <c:y val="9.1139240506329128E-2"/>
          <c:w val="0.26288245659980608"/>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33" l="0.70000000000000062" r="0.70000000000000062" t="0.75000000000000333"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'Northwest Inland-DT'!$B$10</c:f>
              <c:strCache>
                <c:ptCount val="1"/>
                <c:pt idx="0">
                  <c:v>Runoff</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Inland-DT'!$X$11:$X$19</c:f>
              <c:numCache>
                <c:formatCode>0.0%</c:formatCode>
                <c:ptCount val="9"/>
                <c:pt idx="0">
                  <c:v>0.44150005540517007</c:v>
                </c:pt>
                <c:pt idx="1">
                  <c:v>0.69400516059584305</c:v>
                </c:pt>
                <c:pt idx="2">
                  <c:v>0.88936379034683632</c:v>
                </c:pt>
                <c:pt idx="3">
                  <c:v>0.96327428725206188</c:v>
                </c:pt>
                <c:pt idx="4">
                  <c:v>0.98611704737933548</c:v>
                </c:pt>
                <c:pt idx="5">
                  <c:v>0.99643823906539397</c:v>
                </c:pt>
                <c:pt idx="6">
                  <c:v>0.99886023650092604</c:v>
                </c:pt>
                <c:pt idx="7">
                  <c:v>1</c:v>
                </c:pt>
                <c:pt idx="8">
                  <c:v>1</c:v>
                </c:pt>
              </c:numCache>
            </c:numRef>
          </c:yVal>
          <c:smooth val="1"/>
        </c:ser>
        <c:ser>
          <c:idx val="1"/>
          <c:order val="1"/>
          <c:tx>
            <c:strRef>
              <c:f>'Northwest Inland-DT'!$C$10</c:f>
              <c:strCache>
                <c:ptCount val="1"/>
                <c:pt idx="0">
                  <c:v>TSS</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Inland-DT'!$Y$11:$Y$19</c:f>
              <c:numCache>
                <c:formatCode>0.0%</c:formatCode>
                <c:ptCount val="9"/>
                <c:pt idx="0">
                  <c:v>0.3460084406693712</c:v>
                </c:pt>
                <c:pt idx="1">
                  <c:v>0.54817767494929015</c:v>
                </c:pt>
                <c:pt idx="2">
                  <c:v>0.711611549188641</c:v>
                </c:pt>
                <c:pt idx="3">
                  <c:v>0.77871364097363083</c:v>
                </c:pt>
                <c:pt idx="4">
                  <c:v>0.804071729208925</c:v>
                </c:pt>
                <c:pt idx="5">
                  <c:v>0.81806469320486819</c:v>
                </c:pt>
                <c:pt idx="6">
                  <c:v>0.82508057809330615</c:v>
                </c:pt>
                <c:pt idx="7">
                  <c:v>0.83486904158215003</c:v>
                </c:pt>
                <c:pt idx="8">
                  <c:v>0.84068433062880321</c:v>
                </c:pt>
              </c:numCache>
            </c:numRef>
          </c:yVal>
          <c:smooth val="1"/>
        </c:ser>
        <c:axId val="91225472"/>
        <c:axId val="91231744"/>
      </c:scatterChart>
      <c:valAx>
        <c:axId val="91225472"/>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91231744"/>
        <c:crosses val="autoZero"/>
        <c:crossBetween val="midCat"/>
        <c:majorUnit val="0.2"/>
      </c:valAx>
      <c:valAx>
        <c:axId val="91231744"/>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9122547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'Northwest Inland-DT'!$D$10</c:f>
              <c:strCache>
                <c:ptCount val="1"/>
                <c:pt idx="0">
                  <c:v>Clay</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Inland-DT'!$Z$11:$Z$19</c:f>
              <c:numCache>
                <c:formatCode>0.0%</c:formatCode>
                <c:ptCount val="9"/>
                <c:pt idx="0">
                  <c:v>2.4811866125760648E-3</c:v>
                </c:pt>
                <c:pt idx="1">
                  <c:v>4.6995436105476676E-3</c:v>
                </c:pt>
                <c:pt idx="2">
                  <c:v>8.3516734279918872E-3</c:v>
                </c:pt>
                <c:pt idx="3">
                  <c:v>1.1836206896551725E-2</c:v>
                </c:pt>
                <c:pt idx="4">
                  <c:v>1.511866125760649E-2</c:v>
                </c:pt>
                <c:pt idx="5">
                  <c:v>1.8236054766734282E-2</c:v>
                </c:pt>
                <c:pt idx="6">
                  <c:v>2.1355476673427992E-2</c:v>
                </c:pt>
                <c:pt idx="7">
                  <c:v>2.79842799188641E-2</c:v>
                </c:pt>
                <c:pt idx="8">
                  <c:v>3.2677484787018256E-2</c:v>
                </c:pt>
              </c:numCache>
            </c:numRef>
          </c:yVal>
          <c:smooth val="1"/>
        </c:ser>
        <c:ser>
          <c:idx val="1"/>
          <c:order val="1"/>
          <c:tx>
            <c:strRef>
              <c:f>'Northwest Inland-DT'!$H$10</c:f>
              <c:strCache>
                <c:ptCount val="1"/>
                <c:pt idx="0">
                  <c:v>Silt</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Inland-DT'!$AD$11:$AD$19</c:f>
              <c:numCache>
                <c:formatCode>0.0%</c:formatCode>
                <c:ptCount val="9"/>
                <c:pt idx="0">
                  <c:v>0.2788302907369844</c:v>
                </c:pt>
                <c:pt idx="1">
                  <c:v>0.44728194726166332</c:v>
                </c:pt>
                <c:pt idx="2">
                  <c:v>0.59302400270453026</c:v>
                </c:pt>
                <c:pt idx="3">
                  <c:v>0.65963066260987158</c:v>
                </c:pt>
                <c:pt idx="4">
                  <c:v>0.69023411088573372</c:v>
                </c:pt>
                <c:pt idx="5">
                  <c:v>0.70954530087897238</c:v>
                </c:pt>
                <c:pt idx="6">
                  <c:v>0.72208502366463834</c:v>
                </c:pt>
                <c:pt idx="7">
                  <c:v>0.74186105476673436</c:v>
                </c:pt>
                <c:pt idx="8">
                  <c:v>0.75423427991886405</c:v>
                </c:pt>
              </c:numCache>
            </c:numRef>
          </c:yVal>
          <c:smooth val="1"/>
        </c:ser>
        <c:ser>
          <c:idx val="2"/>
          <c:order val="2"/>
          <c:tx>
            <c:strRef>
              <c:f>'Northwest Inland-DT'!$I$10</c:f>
              <c:strCache>
                <c:ptCount val="1"/>
                <c:pt idx="0">
                  <c:v>Sand</c:v>
                </c:pt>
              </c:strCache>
            </c:strRef>
          </c:tx>
          <c:xVal>
            <c:numRef>
              <c:f>'Northwest Inland-DT'!$A$11:$A$19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'Northwest Inland-DT'!$AE$11:$AE$19</c:f>
              <c:numCache>
                <c:formatCode>0.0%</c:formatCode>
                <c:ptCount val="9"/>
                <c:pt idx="0">
                  <c:v>0.44082150101419876</c:v>
                </c:pt>
                <c:pt idx="1">
                  <c:v>0.69333164300202843</c:v>
                </c:pt>
                <c:pt idx="2">
                  <c:v>0.88866632860040573</c:v>
                </c:pt>
                <c:pt idx="3">
                  <c:v>0.96257606490872216</c:v>
                </c:pt>
                <c:pt idx="4">
                  <c:v>0.98542089249492903</c:v>
                </c:pt>
                <c:pt idx="5">
                  <c:v>0.99571501014198782</c:v>
                </c:pt>
                <c:pt idx="6">
                  <c:v>0.9981490872210953</c:v>
                </c:pt>
                <c:pt idx="7">
                  <c:v>0.99926470588235294</c:v>
                </c:pt>
                <c:pt idx="8">
                  <c:v>0.99929006085192695</c:v>
                </c:pt>
              </c:numCache>
            </c:numRef>
          </c:yVal>
          <c:smooth val="1"/>
        </c:ser>
        <c:axId val="91274240"/>
        <c:axId val="91284608"/>
      </c:scatterChart>
      <c:valAx>
        <c:axId val="91274240"/>
        <c:scaling>
          <c:orientation val="minMax"/>
          <c:max val="2"/>
          <c:min val="0"/>
        </c:scaling>
        <c:axPos val="b"/>
        <c:majorGridlines/>
        <c:title>
          <c:tx>
            <c:rich>
              <a:bodyPr/>
              <a:lstStyle/>
              <a:p>
                <a:pPr>
                  <a:defRPr/>
                </a:pPr>
                <a:r>
                  <a:rPr lang="en-US"/>
                  <a:t>Unit Basin Size (in)</a:t>
                </a:r>
              </a:p>
            </c:rich>
          </c:tx>
        </c:title>
        <c:numFmt formatCode="0.0" sourceLinked="0"/>
        <c:tickLblPos val="nextTo"/>
        <c:crossAx val="91284608"/>
        <c:crosses val="autoZero"/>
        <c:crossBetween val="midCat"/>
        <c:majorUnit val="0.2"/>
      </c:valAx>
      <c:valAx>
        <c:axId val="91284608"/>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1274240"/>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'Northwest Inland-MF'!$AI$3</c:f>
              <c:strCache>
                <c:ptCount val="1"/>
                <c:pt idx="0">
                  <c:v>Runoff Treated</c:v>
                </c:pt>
              </c:strCache>
            </c:strRef>
          </c:tx>
          <c:xVal>
            <c:numRef>
              <c:f>'Northwest Inland-MF'!$AH$10:$AH$12</c:f>
              <c:numCache>
                <c:formatCode>General</c:formatCode>
                <c:ptCount val="3"/>
              </c:numCache>
            </c:numRef>
          </c:xVal>
          <c:yVal>
            <c:numRef>
              <c:f>'Northwest Inland-MF'!$AI$4:$AI$12</c:f>
              <c:numCache>
                <c:formatCode>0.0%</c:formatCode>
                <c:ptCount val="9"/>
                <c:pt idx="0">
                  <c:v>0.81623138765995906</c:v>
                </c:pt>
                <c:pt idx="1">
                  <c:v>0.93016507302221585</c:v>
                </c:pt>
                <c:pt idx="2">
                  <c:v>0.98171669600241029</c:v>
                </c:pt>
                <c:pt idx="3">
                  <c:v>0.99170670599242028</c:v>
                </c:pt>
                <c:pt idx="4">
                  <c:v>0.99636871065442489</c:v>
                </c:pt>
                <c:pt idx="5">
                  <c:v>0.99843014128728413</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468160"/>
        <c:axId val="91470080"/>
      </c:scatterChart>
      <c:valAx>
        <c:axId val="9146816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470080"/>
        <c:crosses val="autoZero"/>
        <c:crossBetween val="midCat"/>
        <c:majorUnit val="0.2"/>
      </c:valAx>
      <c:valAx>
        <c:axId val="9147008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46816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516928"/>
        <c:axId val="91518464"/>
      </c:scatterChart>
      <c:valAx>
        <c:axId val="915169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518464"/>
        <c:crosses val="autoZero"/>
        <c:crossBetween val="midCat"/>
        <c:majorUnit val="0.2"/>
      </c:valAx>
      <c:valAx>
        <c:axId val="915184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51692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'Northwest Inland-MF'!$AI$3</c:f>
              <c:strCache>
                <c:ptCount val="1"/>
                <c:pt idx="0">
                  <c:v>Runoff Treated</c:v>
                </c:pt>
              </c:strCache>
            </c:strRef>
          </c:tx>
          <c:xVal>
            <c:numRef>
              <c:f>'Northwest Inland-MF'!$AH$10:$AH$12</c:f>
              <c:numCache>
                <c:formatCode>General</c:formatCode>
                <c:ptCount val="3"/>
              </c:numCache>
            </c:numRef>
          </c:xVal>
          <c:yVal>
            <c:numRef>
              <c:f>'Northwest Inland-MF'!$AI$4:$AI$12</c:f>
              <c:numCache>
                <c:formatCode>0.0%</c:formatCode>
                <c:ptCount val="9"/>
                <c:pt idx="0">
                  <c:v>0.81623138765995906</c:v>
                </c:pt>
                <c:pt idx="1">
                  <c:v>0.93016507302221585</c:v>
                </c:pt>
                <c:pt idx="2">
                  <c:v>0.98171669600241029</c:v>
                </c:pt>
                <c:pt idx="3">
                  <c:v>0.99170670599242028</c:v>
                </c:pt>
                <c:pt idx="4">
                  <c:v>0.99636871065442489</c:v>
                </c:pt>
                <c:pt idx="5">
                  <c:v>0.99843014128728413</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543808"/>
        <c:axId val="91357568"/>
      </c:scatterChart>
      <c:valAx>
        <c:axId val="9154380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357568"/>
        <c:crosses val="autoZero"/>
        <c:crossBetween val="midCat"/>
        <c:majorUnit val="0.2"/>
      </c:valAx>
      <c:valAx>
        <c:axId val="9135756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5438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404160"/>
        <c:axId val="91405696"/>
      </c:scatterChart>
      <c:valAx>
        <c:axId val="9140416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405696"/>
        <c:crosses val="autoZero"/>
        <c:crossBetween val="midCat"/>
        <c:majorUnit val="0.2"/>
      </c:valAx>
      <c:valAx>
        <c:axId val="9140569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40416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'Northwest Inland-MF'!$AI$3</c:f>
              <c:strCache>
                <c:ptCount val="1"/>
                <c:pt idx="0">
                  <c:v>Runoff Treated</c:v>
                </c:pt>
              </c:strCache>
            </c:strRef>
          </c:tx>
          <c:xVal>
            <c:numRef>
              <c:f>'Northwest Inland-MF'!$AH$10:$AH$12</c:f>
              <c:numCache>
                <c:formatCode>General</c:formatCode>
                <c:ptCount val="3"/>
              </c:numCache>
            </c:numRef>
          </c:xVal>
          <c:yVal>
            <c:numRef>
              <c:f>'Northwest Inland-MF'!$AI$4:$AI$12</c:f>
              <c:numCache>
                <c:formatCode>0.0%</c:formatCode>
                <c:ptCount val="9"/>
                <c:pt idx="0">
                  <c:v>0.81623138765995906</c:v>
                </c:pt>
                <c:pt idx="1">
                  <c:v>0.93016507302221585</c:v>
                </c:pt>
                <c:pt idx="2">
                  <c:v>0.98171669600241029</c:v>
                </c:pt>
                <c:pt idx="3">
                  <c:v>0.99170670599242028</c:v>
                </c:pt>
                <c:pt idx="4">
                  <c:v>0.99636871065442489</c:v>
                </c:pt>
                <c:pt idx="5">
                  <c:v>0.99843014128728413</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640192"/>
        <c:axId val="91642112"/>
      </c:scatterChart>
      <c:valAx>
        <c:axId val="9164019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642112"/>
        <c:crosses val="autoZero"/>
        <c:crossBetween val="midCat"/>
        <c:majorUnit val="0.2"/>
      </c:valAx>
      <c:valAx>
        <c:axId val="9164211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64019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'Northwest Inland-MF'!$AH$10:$AH$12</c:f>
              <c:numCache>
                <c:formatCode>General</c:formatCode>
                <c:ptCount val="3"/>
              </c:numCache>
            </c:numRef>
          </c:xVal>
          <c:yVal>
            <c:numRef>
              <c:f>'3-ft'!#REF!</c:f>
              <c:numCache>
                <c:formatCode>General</c:formatCode>
                <c:ptCount val="1"/>
                <c:pt idx="0">
                  <c:v>1</c:v>
                </c:pt>
              </c:numCache>
            </c:numRef>
          </c:yVal>
          <c:smooth val="1"/>
        </c:ser>
        <c:axId val="91553792"/>
        <c:axId val="91555328"/>
      </c:scatterChart>
      <c:valAx>
        <c:axId val="9155379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555328"/>
        <c:crosses val="autoZero"/>
        <c:crossBetween val="midCat"/>
        <c:majorUnit val="0.2"/>
      </c:valAx>
      <c:valAx>
        <c:axId val="9155532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55379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'Northwest Inland-MF'!$A$30:$A$35</c:f>
              <c:numCache>
                <c:formatCode>0</c:formatCode>
                <c:ptCount val="6"/>
                <c:pt idx="0">
                  <c:v>100</c:v>
                </c:pt>
                <c:pt idx="1">
                  <c:v>200</c:v>
                </c:pt>
                <c:pt idx="2">
                  <c:v>400</c:v>
                </c:pt>
                <c:pt idx="3">
                  <c:v>600</c:v>
                </c:pt>
                <c:pt idx="4">
                  <c:v>800</c:v>
                </c:pt>
                <c:pt idx="5">
                  <c:v>1000</c:v>
                </c:pt>
              </c:numCache>
            </c:numRef>
          </c:xVal>
          <c:yVal>
            <c:numRef>
              <c:f>'Northwest Inland-MF'!$B$30:$B$35</c:f>
              <c:numCache>
                <c:formatCode>0.0%</c:formatCode>
                <c:ptCount val="6"/>
                <c:pt idx="0">
                  <c:v>0.16174301888587603</c:v>
                </c:pt>
                <c:pt idx="1">
                  <c:v>0.28658642944357232</c:v>
                </c:pt>
                <c:pt idx="2">
                  <c:v>0.47663447663447661</c:v>
                </c:pt>
                <c:pt idx="3">
                  <c:v>0.61108732537303967</c:v>
                </c:pt>
                <c:pt idx="4">
                  <c:v>0.71151071151071155</c:v>
                </c:pt>
                <c:pt idx="5">
                  <c:v>0.78635650064221496</c:v>
                </c:pt>
              </c:numCache>
            </c:numRef>
          </c:yVal>
          <c:smooth val="1"/>
        </c:ser>
        <c:ser>
          <c:idx val="1"/>
          <c:order val="1"/>
          <c:tx>
            <c:v>%Treated_5 in/hr</c:v>
          </c:tx>
          <c:xVal>
            <c:numRef>
              <c:f>'Northwest Inland-MF'!$A$30:$A$35</c:f>
              <c:numCache>
                <c:formatCode>0</c:formatCode>
                <c:ptCount val="6"/>
                <c:pt idx="0">
                  <c:v>100</c:v>
                </c:pt>
                <c:pt idx="1">
                  <c:v>200</c:v>
                </c:pt>
                <c:pt idx="2">
                  <c:v>400</c:v>
                </c:pt>
                <c:pt idx="3">
                  <c:v>600</c:v>
                </c:pt>
                <c:pt idx="4">
                  <c:v>800</c:v>
                </c:pt>
                <c:pt idx="5">
                  <c:v>1000</c:v>
                </c:pt>
              </c:numCache>
            </c:numRef>
          </c:xVal>
          <c:yVal>
            <c:numRef>
              <c:f>'Northwest Inland-MF'!$C$30:$C$35</c:f>
              <c:numCache>
                <c:formatCode>0.0%</c:formatCode>
                <c:ptCount val="6"/>
                <c:pt idx="0">
                  <c:v>0.33558504987076415</c:v>
                </c:pt>
                <c:pt idx="1">
                  <c:v>0.53611467897182186</c:v>
                </c:pt>
                <c:pt idx="2">
                  <c:v>0.75821004392432967</c:v>
                </c:pt>
                <c:pt idx="3">
                  <c:v>0.86626072340358051</c:v>
                </c:pt>
                <c:pt idx="4">
                  <c:v>0.9266923552637838</c:v>
                </c:pt>
                <c:pt idx="5">
                  <c:v>0.95981795981795981</c:v>
                </c:pt>
              </c:numCache>
            </c:numRef>
          </c:yVal>
          <c:smooth val="1"/>
        </c:ser>
        <c:ser>
          <c:idx val="0"/>
          <c:order val="2"/>
          <c:tx>
            <c:v>%Treated_50 in/hr</c:v>
          </c:tx>
          <c:xVal>
            <c:numRef>
              <c:f>'Northwest Inland-MF'!$A$30:$A$35</c:f>
              <c:numCache>
                <c:formatCode>0</c:formatCode>
                <c:ptCount val="6"/>
                <c:pt idx="0">
                  <c:v>100</c:v>
                </c:pt>
                <c:pt idx="1">
                  <c:v>200</c:v>
                </c:pt>
                <c:pt idx="2">
                  <c:v>400</c:v>
                </c:pt>
                <c:pt idx="3">
                  <c:v>600</c:v>
                </c:pt>
                <c:pt idx="4">
                  <c:v>800</c:v>
                </c:pt>
                <c:pt idx="5">
                  <c:v>1000</c:v>
                </c:pt>
              </c:numCache>
            </c:numRef>
          </c:xVal>
          <c:yVal>
            <c:numRef>
              <c:f>'Northwest Inland-MF'!$D$30:$D$35</c:f>
              <c:numCache>
                <c:formatCode>0.0%</c:formatCode>
                <c:ptCount val="6"/>
                <c:pt idx="0">
                  <c:v>0.81623138765995906</c:v>
                </c:pt>
                <c:pt idx="1">
                  <c:v>0.93016507302221585</c:v>
                </c:pt>
                <c:pt idx="2">
                  <c:v>0.98171669600241029</c:v>
                </c:pt>
                <c:pt idx="3">
                  <c:v>0.99170670599242028</c:v>
                </c:pt>
                <c:pt idx="4">
                  <c:v>0.99636871065442489</c:v>
                </c:pt>
                <c:pt idx="5">
                  <c:v>0.99843014128728413</c:v>
                </c:pt>
              </c:numCache>
            </c:numRef>
          </c:yVal>
          <c:smooth val="1"/>
        </c:ser>
        <c:axId val="91597824"/>
        <c:axId val="91608192"/>
      </c:scatterChart>
      <c:scatterChart>
        <c:scatterStyle val="smoothMarker"/>
        <c:ser>
          <c:idx val="5"/>
          <c:order val="3"/>
          <c:tx>
            <c:v>Contact Time_1 in/hr</c:v>
          </c:tx>
          <c:spPr>
            <a:ln>
              <a:solidFill>
                <a:schemeClr val="accent3">
                  <a:lumMod val="75000"/>
                </a:schemeClr>
              </a:solidFill>
            </a:ln>
          </c:spPr>
          <c:marker>
            <c:symbol val="none"/>
          </c:marker>
          <c:xVal>
            <c:numRef>
              <c:f>'Northwest Inland-MF'!$A$30:$A$35</c:f>
              <c:numCache>
                <c:formatCode>0</c:formatCode>
                <c:ptCount val="6"/>
                <c:pt idx="0">
                  <c:v>100</c:v>
                </c:pt>
                <c:pt idx="1">
                  <c:v>200</c:v>
                </c:pt>
                <c:pt idx="2">
                  <c:v>400</c:v>
                </c:pt>
                <c:pt idx="3">
                  <c:v>600</c:v>
                </c:pt>
                <c:pt idx="4">
                  <c:v>800</c:v>
                </c:pt>
                <c:pt idx="5">
                  <c:v>1000</c:v>
                </c:pt>
              </c:numCache>
            </c:numRef>
          </c:xVal>
          <c:yVal>
            <c:numRef>
              <c:f>'Northwest Inland-MF'!$E$30:$E$35</c:f>
              <c:numCache>
                <c:formatCode>0.0</c:formatCode>
                <c:ptCount val="6"/>
                <c:pt idx="0">
                  <c:v>7.6504738922113793</c:v>
                </c:pt>
                <c:pt idx="1">
                  <c:v>8.5764133929271544</c:v>
                </c:pt>
                <c:pt idx="2">
                  <c:v>10.033770805740463</c:v>
                </c:pt>
                <c:pt idx="3">
                  <c:v>11.176038573298847</c:v>
                </c:pt>
                <c:pt idx="4">
                  <c:v>12.324160636630928</c:v>
                </c:pt>
                <c:pt idx="5">
                  <c:v>13.421068777225598</c:v>
                </c:pt>
              </c:numCache>
            </c:numRef>
          </c:yVal>
          <c:smooth val="1"/>
        </c:ser>
        <c:ser>
          <c:idx val="4"/>
          <c:order val="4"/>
          <c:tx>
            <c:v>Contact Time_5 in/hr</c:v>
          </c:tx>
          <c:spPr>
            <a:ln>
              <a:solidFill>
                <a:srgbClr val="8A0000"/>
              </a:solidFill>
            </a:ln>
          </c:spPr>
          <c:marker>
            <c:symbol val="none"/>
          </c:marker>
          <c:xVal>
            <c:numRef>
              <c:f>'Northwest Inland-MF'!$A$30:$A$35</c:f>
              <c:numCache>
                <c:formatCode>0</c:formatCode>
                <c:ptCount val="6"/>
                <c:pt idx="0">
                  <c:v>100</c:v>
                </c:pt>
                <c:pt idx="1">
                  <c:v>200</c:v>
                </c:pt>
                <c:pt idx="2">
                  <c:v>400</c:v>
                </c:pt>
                <c:pt idx="3">
                  <c:v>600</c:v>
                </c:pt>
                <c:pt idx="4">
                  <c:v>800</c:v>
                </c:pt>
                <c:pt idx="5">
                  <c:v>1000</c:v>
                </c:pt>
              </c:numCache>
            </c:numRef>
          </c:xVal>
          <c:yVal>
            <c:numRef>
              <c:f>'Northwest Inland-MF'!$F$30:$F$35</c:f>
              <c:numCache>
                <c:formatCode>0.0</c:formatCode>
                <c:ptCount val="6"/>
                <c:pt idx="0">
                  <c:v>2.0521191354832506</c:v>
                </c:pt>
                <c:pt idx="1">
                  <c:v>2.5424221292422127</c:v>
                </c:pt>
                <c:pt idx="2">
                  <c:v>3.4387557599158978</c:v>
                </c:pt>
                <c:pt idx="3">
                  <c:v>4.3818466353677614</c:v>
                </c:pt>
                <c:pt idx="4">
                  <c:v>5.3663902975663422</c:v>
                </c:pt>
                <c:pt idx="5">
                  <c:v>6.4245174269624146</c:v>
                </c:pt>
              </c:numCache>
            </c:numRef>
          </c:yVal>
          <c:smooth val="1"/>
        </c:ser>
        <c:ser>
          <c:idx val="3"/>
          <c:order val="5"/>
          <c:tx>
            <c:v>Contact Time_50 in/hr</c:v>
          </c:tx>
          <c:spPr>
            <a:ln>
              <a:solidFill>
                <a:schemeClr val="accent1">
                  <a:lumMod val="75000"/>
                </a:schemeClr>
              </a:solidFill>
            </a:ln>
          </c:spPr>
          <c:marker>
            <c:symbol val="none"/>
          </c:marker>
          <c:xVal>
            <c:numRef>
              <c:f>'Northwest Inland-MF'!$A$30:$A$35</c:f>
              <c:numCache>
                <c:formatCode>0</c:formatCode>
                <c:ptCount val="6"/>
                <c:pt idx="0">
                  <c:v>100</c:v>
                </c:pt>
                <c:pt idx="1">
                  <c:v>200</c:v>
                </c:pt>
                <c:pt idx="2">
                  <c:v>400</c:v>
                </c:pt>
                <c:pt idx="3">
                  <c:v>600</c:v>
                </c:pt>
                <c:pt idx="4">
                  <c:v>800</c:v>
                </c:pt>
                <c:pt idx="5">
                  <c:v>1000</c:v>
                </c:pt>
              </c:numCache>
            </c:numRef>
          </c:xVal>
          <c:yVal>
            <c:numRef>
              <c:f>'Northwest Inland-MF'!$G$30:$G$35</c:f>
              <c:numCache>
                <c:formatCode>0.0</c:formatCode>
                <c:ptCount val="6"/>
                <c:pt idx="0">
                  <c:v>0.72410696921924733</c:v>
                </c:pt>
                <c:pt idx="1">
                  <c:v>1.2681435103661673</c:v>
                </c:pt>
                <c:pt idx="2">
                  <c:v>2.3947097440739489</c:v>
                </c:pt>
                <c:pt idx="3">
                  <c:v>3.5419006851047889</c:v>
                </c:pt>
                <c:pt idx="4">
                  <c:v>4.6837153906887741</c:v>
                </c:pt>
                <c:pt idx="5">
                  <c:v>5.8316421571077726</c:v>
                </c:pt>
              </c:numCache>
            </c:numRef>
          </c:yVal>
          <c:smooth val="1"/>
        </c:ser>
        <c:axId val="91612288"/>
        <c:axId val="91610112"/>
      </c:scatterChart>
      <c:valAx>
        <c:axId val="91597824"/>
        <c:scaling>
          <c:orientation val="minMax"/>
          <c:min val="0"/>
        </c:scaling>
        <c:axPos val="b"/>
        <c:title>
          <c:tx>
            <c:rich>
              <a:bodyPr/>
              <a:lstStyle/>
              <a:p>
                <a:pPr>
                  <a:defRPr/>
                </a:pPr>
                <a:r>
                  <a:rPr lang="en-US"/>
                  <a:t>Filter Area (SF)</a:t>
                </a:r>
              </a:p>
            </c:rich>
          </c:tx>
        </c:title>
        <c:numFmt formatCode="0" sourceLinked="1"/>
        <c:tickLblPos val="nextTo"/>
        <c:crossAx val="91608192"/>
        <c:crosses val="autoZero"/>
        <c:crossBetween val="midCat"/>
      </c:valAx>
      <c:valAx>
        <c:axId val="91608192"/>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91597824"/>
        <c:crosses val="autoZero"/>
        <c:crossBetween val="midCat"/>
      </c:valAx>
      <c:valAx>
        <c:axId val="91610112"/>
        <c:scaling>
          <c:orientation val="minMax"/>
          <c:max val="20"/>
        </c:scaling>
        <c:axPos val="r"/>
        <c:title>
          <c:tx>
            <c:rich>
              <a:bodyPr rot="-5400000" vert="horz"/>
              <a:lstStyle/>
              <a:p>
                <a:pPr>
                  <a:defRPr/>
                </a:pPr>
                <a:r>
                  <a:rPr lang="en-US"/>
                  <a:t>Contact Time (hrs)</a:t>
                </a:r>
              </a:p>
            </c:rich>
          </c:tx>
        </c:title>
        <c:numFmt formatCode="0.0" sourceLinked="1"/>
        <c:tickLblPos val="nextTo"/>
        <c:crossAx val="91612288"/>
        <c:crosses val="max"/>
        <c:crossBetween val="midCat"/>
      </c:valAx>
      <c:valAx>
        <c:axId val="91612288"/>
        <c:scaling>
          <c:orientation val="minMax"/>
        </c:scaling>
        <c:delete val="1"/>
        <c:axPos val="b"/>
        <c:numFmt formatCode="0" sourceLinked="1"/>
        <c:tickLblPos val="none"/>
        <c:crossAx val="91610112"/>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3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821952"/>
        <c:axId val="91828224"/>
      </c:scatterChart>
      <c:valAx>
        <c:axId val="918219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828224"/>
        <c:crosses val="autoZero"/>
        <c:crossBetween val="midCat"/>
        <c:majorUnit val="0.2"/>
      </c:valAx>
      <c:valAx>
        <c:axId val="9182822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82195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11" l="0.70000000000000062" r="0.70000000000000062" t="0.750000000000006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63"/>
          <c:y val="0.18721974766559088"/>
          <c:w val="0.76058563966632964"/>
          <c:h val="0.6115858740406267"/>
        </c:manualLayout>
      </c:layout>
      <c:scatterChart>
        <c:scatterStyle val="smoothMarker"/>
        <c:ser>
          <c:idx val="0"/>
          <c:order val="0"/>
          <c:tx>
            <c:strRef>
              <c:f>'Northeast Coastal-DT'!$D$10</c:f>
              <c:strCache>
                <c:ptCount val="1"/>
                <c:pt idx="0">
                  <c:v>Clay</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Coastal-DT'!$D$11:$D$19</c:f>
              <c:numCache>
                <c:formatCode>0.0%</c:formatCode>
                <c:ptCount val="9"/>
                <c:pt idx="0">
                  <c:v>1.2223433242506813E-3</c:v>
                </c:pt>
                <c:pt idx="1">
                  <c:v>2.3581159984429737E-3</c:v>
                </c:pt>
                <c:pt idx="2">
                  <c:v>4.513818606461658E-3</c:v>
                </c:pt>
                <c:pt idx="3">
                  <c:v>6.6535616971584279E-3</c:v>
                </c:pt>
                <c:pt idx="4">
                  <c:v>8.7366030881017263E-3</c:v>
                </c:pt>
                <c:pt idx="5">
                  <c:v>1.0785260153107564E-2</c:v>
                </c:pt>
                <c:pt idx="6">
                  <c:v>1.2799792396522642E-2</c:v>
                </c:pt>
                <c:pt idx="7">
                  <c:v>1.665888153626573E-2</c:v>
                </c:pt>
                <c:pt idx="8">
                  <c:v>2.052809134553004E-2</c:v>
                </c:pt>
              </c:numCache>
            </c:numRef>
          </c:yVal>
          <c:smooth val="1"/>
        </c:ser>
        <c:ser>
          <c:idx val="1"/>
          <c:order val="1"/>
          <c:tx>
            <c:strRef>
              <c:f>'Northeast Coastal-DT'!$H$10</c:f>
              <c:strCache>
                <c:ptCount val="1"/>
                <c:pt idx="0">
                  <c:v>Silt</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Coastal-DT'!$H$11:$H$19</c:f>
              <c:numCache>
                <c:formatCode>0.0%</c:formatCode>
                <c:ptCount val="9"/>
                <c:pt idx="0">
                  <c:v>0.29296267462479997</c:v>
                </c:pt>
                <c:pt idx="1">
                  <c:v>0.41761126248864672</c:v>
                </c:pt>
                <c:pt idx="2">
                  <c:v>0.51520652220924701</c:v>
                </c:pt>
                <c:pt idx="3">
                  <c:v>0.56584144284416771</c:v>
                </c:pt>
                <c:pt idx="4">
                  <c:v>0.59633796116084947</c:v>
                </c:pt>
                <c:pt idx="5">
                  <c:v>0.61906189178668758</c:v>
                </c:pt>
                <c:pt idx="6">
                  <c:v>0.63771895679252633</c:v>
                </c:pt>
                <c:pt idx="7">
                  <c:v>0.66516154145581941</c:v>
                </c:pt>
                <c:pt idx="8">
                  <c:v>0.68707668353444917</c:v>
                </c:pt>
              </c:numCache>
            </c:numRef>
          </c:yVal>
          <c:smooth val="1"/>
        </c:ser>
        <c:ser>
          <c:idx val="2"/>
          <c:order val="2"/>
          <c:tx>
            <c:strRef>
              <c:f>'Northeast Coastal-DT'!$I$10</c:f>
              <c:strCache>
                <c:ptCount val="1"/>
                <c:pt idx="0">
                  <c:v>Sand</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Coastal-DT'!$I$11:$I$19</c:f>
              <c:numCache>
                <c:formatCode>0.0%</c:formatCode>
                <c:ptCount val="9"/>
                <c:pt idx="0">
                  <c:v>0.63289217594394709</c:v>
                </c:pt>
                <c:pt idx="1">
                  <c:v>0.84514078110808355</c:v>
                </c:pt>
                <c:pt idx="2">
                  <c:v>0.95958219800181654</c:v>
                </c:pt>
                <c:pt idx="3">
                  <c:v>0.98731023744647717</c:v>
                </c:pt>
                <c:pt idx="4">
                  <c:v>0.99455040871934608</c:v>
                </c:pt>
                <c:pt idx="5">
                  <c:v>0.99695082392630074</c:v>
                </c:pt>
                <c:pt idx="6">
                  <c:v>0.99841702348514338</c:v>
                </c:pt>
                <c:pt idx="7">
                  <c:v>0.99836512261580379</c:v>
                </c:pt>
                <c:pt idx="8">
                  <c:v>0.998352147398469</c:v>
                </c:pt>
              </c:numCache>
            </c:numRef>
          </c:yVal>
          <c:smooth val="1"/>
        </c:ser>
        <c:axId val="75749632"/>
        <c:axId val="75567488"/>
      </c:scatterChart>
      <c:valAx>
        <c:axId val="75749632"/>
        <c:scaling>
          <c:orientation val="minMax"/>
          <c:max val="2"/>
          <c:min val="0"/>
        </c:scaling>
        <c:axPos val="b"/>
        <c:majorGridlines/>
        <c:title>
          <c:tx>
            <c:rich>
              <a:bodyPr/>
              <a:lstStyle/>
              <a:p>
                <a:pPr>
                  <a:defRPr/>
                </a:pPr>
                <a:r>
                  <a:rPr lang="en-US"/>
                  <a:t>Unit Basin Size (in)</a:t>
                </a:r>
              </a:p>
            </c:rich>
          </c:tx>
        </c:title>
        <c:numFmt formatCode="0.0" sourceLinked="0"/>
        <c:tickLblPos val="nextTo"/>
        <c:crossAx val="75567488"/>
        <c:crosses val="autoZero"/>
        <c:crossBetween val="midCat"/>
        <c:majorUnit val="0.2"/>
      </c:valAx>
      <c:valAx>
        <c:axId val="75567488"/>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43"/>
            </c:manualLayout>
          </c:layout>
        </c:title>
        <c:numFmt formatCode="0%" sourceLinked="0"/>
        <c:tickLblPos val="nextTo"/>
        <c:crossAx val="75749632"/>
        <c:crosses val="autoZero"/>
        <c:crossBetween val="midCat"/>
      </c:valAx>
      <c:spPr>
        <a:ln>
          <a:solidFill>
            <a:schemeClr val="bg1">
              <a:lumMod val="50000"/>
            </a:schemeClr>
          </a:solidFill>
        </a:ln>
      </c:spPr>
    </c:plotArea>
    <c:legend>
      <c:legendPos val="t"/>
      <c:layout>
        <c:manualLayout>
          <c:xMode val="edge"/>
          <c:yMode val="edge"/>
          <c:x val="0.35980946153357335"/>
          <c:y val="0.10300157977883163"/>
          <c:w val="0.35307659269864311"/>
          <c:h val="5.8520755293937757E-2"/>
        </c:manualLayout>
      </c:layout>
    </c:legend>
    <c:plotVisOnly val="1"/>
  </c:chart>
  <c:spPr>
    <a:ln>
      <a:solidFill>
        <a:schemeClr val="accent1"/>
      </a:solidFill>
    </a:ln>
  </c:spPr>
  <c:printSettings>
    <c:headerFooter/>
    <c:pageMargins b="0.75000000000000355" l="0.70000000000000062" r="0.70000000000000062" t="0.75000000000000355"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866624"/>
        <c:axId val="91868160"/>
      </c:scatterChart>
      <c:valAx>
        <c:axId val="918666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868160"/>
        <c:crosses val="autoZero"/>
        <c:crossBetween val="midCat"/>
        <c:majorUnit val="0.2"/>
      </c:valAx>
      <c:valAx>
        <c:axId val="9186816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86662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33" l="0.70000000000000062" r="0.70000000000000062" t="0.75000000000000633"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3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791360"/>
        <c:axId val="91793280"/>
      </c:scatterChart>
      <c:valAx>
        <c:axId val="9179136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793280"/>
        <c:crosses val="autoZero"/>
        <c:crossBetween val="midCat"/>
        <c:majorUnit val="0.2"/>
      </c:valAx>
      <c:valAx>
        <c:axId val="9179328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79136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22" r="0.75000000000000522" t="1" header="0.5" footer="0.5"/>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950464"/>
        <c:axId val="91964544"/>
      </c:scatterChart>
      <c:valAx>
        <c:axId val="9195046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964544"/>
        <c:crosses val="autoZero"/>
        <c:crossBetween val="midCat"/>
        <c:majorUnit val="0.2"/>
      </c:valAx>
      <c:valAx>
        <c:axId val="9196454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95046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22" r="0.75000000000000522" t="1" header="0.5" footer="0.5"/>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3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989888"/>
        <c:axId val="91996160"/>
      </c:scatterChart>
      <c:valAx>
        <c:axId val="9198988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996160"/>
        <c:crosses val="autoZero"/>
        <c:crossBetween val="midCat"/>
        <c:majorUnit val="0.2"/>
      </c:valAx>
      <c:valAx>
        <c:axId val="9199616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19898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22" r="0.75000000000000522" t="1" header="0.5" footer="0.5"/>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1923968"/>
        <c:axId val="91925504"/>
      </c:scatterChart>
      <c:valAx>
        <c:axId val="9192396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1925504"/>
        <c:crosses val="autoZero"/>
        <c:crossBetween val="midCat"/>
        <c:majorUnit val="0.2"/>
      </c:valAx>
      <c:valAx>
        <c:axId val="9192550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19239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22" r="0.75000000000000522" t="1" header="0.5" footer="0.5"/>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'Pacific Central-DT'!$B$10</c:f>
              <c:strCache>
                <c:ptCount val="1"/>
                <c:pt idx="0">
                  <c:v>Runoff</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Central-DT'!$B$11:$B$19</c:f>
              <c:numCache>
                <c:formatCode>0.0%</c:formatCode>
                <c:ptCount val="9"/>
                <c:pt idx="0">
                  <c:v>0.67712431835438669</c:v>
                </c:pt>
                <c:pt idx="1">
                  <c:v>0.88877959549941332</c:v>
                </c:pt>
                <c:pt idx="2">
                  <c:v>0.98341616621798855</c:v>
                </c:pt>
                <c:pt idx="3">
                  <c:v>0.99761855456616277</c:v>
                </c:pt>
                <c:pt idx="4">
                  <c:v>1</c:v>
                </c:pt>
                <c:pt idx="5">
                  <c:v>1</c:v>
                </c:pt>
                <c:pt idx="6">
                  <c:v>1</c:v>
                </c:pt>
                <c:pt idx="7">
                  <c:v>1</c:v>
                </c:pt>
                <c:pt idx="8">
                  <c:v>1</c:v>
                </c:pt>
              </c:numCache>
            </c:numRef>
          </c:yVal>
          <c:smooth val="1"/>
        </c:ser>
        <c:ser>
          <c:idx val="1"/>
          <c:order val="1"/>
          <c:tx>
            <c:strRef>
              <c:f>'Pacific Central-DT'!$C$10</c:f>
              <c:strCache>
                <c:ptCount val="1"/>
                <c:pt idx="0">
                  <c:v>TSS</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Central-DT'!$C$11:$C$19</c:f>
              <c:numCache>
                <c:formatCode>0.0%</c:formatCode>
                <c:ptCount val="9"/>
                <c:pt idx="0">
                  <c:v>0.48240444871334204</c:v>
                </c:pt>
                <c:pt idx="1">
                  <c:v>0.6461573288371707</c:v>
                </c:pt>
                <c:pt idx="2">
                  <c:v>0.73560474308300394</c:v>
                </c:pt>
                <c:pt idx="3">
                  <c:v>0.76404191658144227</c:v>
                </c:pt>
                <c:pt idx="4">
                  <c:v>0.77838549987561834</c:v>
                </c:pt>
                <c:pt idx="5">
                  <c:v>0.78853090190441977</c:v>
                </c:pt>
                <c:pt idx="6">
                  <c:v>0.79681507227949921</c:v>
                </c:pt>
                <c:pt idx="7">
                  <c:v>0.80943616462588786</c:v>
                </c:pt>
                <c:pt idx="8">
                  <c:v>0.81957422814339809</c:v>
                </c:pt>
              </c:numCache>
            </c:numRef>
          </c:yVal>
          <c:smooth val="1"/>
        </c:ser>
        <c:axId val="92065792"/>
        <c:axId val="92067712"/>
      </c:scatterChart>
      <c:valAx>
        <c:axId val="9206579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92067712"/>
        <c:crosses val="autoZero"/>
        <c:crossBetween val="midCat"/>
        <c:majorUnit val="0.2"/>
      </c:valAx>
      <c:valAx>
        <c:axId val="92067712"/>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9206579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'Pacific Central-DT'!$D$10</c:f>
              <c:strCache>
                <c:ptCount val="1"/>
                <c:pt idx="0">
                  <c:v>Clay</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Central-DT'!$D$11:$D$19</c:f>
              <c:numCache>
                <c:formatCode>0.0%</c:formatCode>
                <c:ptCount val="9"/>
                <c:pt idx="0">
                  <c:v>1.4605434091600098E-3</c:v>
                </c:pt>
                <c:pt idx="1">
                  <c:v>2.7949915696951272E-3</c:v>
                </c:pt>
                <c:pt idx="2">
                  <c:v>5.3589098648387191E-3</c:v>
                </c:pt>
                <c:pt idx="3">
                  <c:v>7.881644047651952E-3</c:v>
                </c:pt>
                <c:pt idx="4">
                  <c:v>1.0334171757096658E-2</c:v>
                </c:pt>
                <c:pt idx="5">
                  <c:v>1.2758506315818569E-2</c:v>
                </c:pt>
                <c:pt idx="6">
                  <c:v>1.5120650100887255E-2</c:v>
                </c:pt>
                <c:pt idx="7">
                  <c:v>1.9633489040603663E-2</c:v>
                </c:pt>
                <c:pt idx="8">
                  <c:v>2.4152685259404626E-2</c:v>
                </c:pt>
              </c:numCache>
            </c:numRef>
          </c:yVal>
          <c:smooth val="1"/>
        </c:ser>
        <c:ser>
          <c:idx val="1"/>
          <c:order val="1"/>
          <c:tx>
            <c:strRef>
              <c:f>'Pacific Central-DT'!$H$10</c:f>
              <c:strCache>
                <c:ptCount val="1"/>
                <c:pt idx="0">
                  <c:v>Silt</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Central-DT'!$H$11:$H$19</c:f>
              <c:numCache>
                <c:formatCode>0.0%</c:formatCode>
                <c:ptCount val="9"/>
                <c:pt idx="0">
                  <c:v>0.32009167380708886</c:v>
                </c:pt>
                <c:pt idx="1">
                  <c:v>0.44898790274284345</c:v>
                </c:pt>
                <c:pt idx="2">
                  <c:v>0.54225747901637233</c:v>
                </c:pt>
                <c:pt idx="3">
                  <c:v>0.58947732109787454</c:v>
                </c:pt>
                <c:pt idx="4">
                  <c:v>0.61849968213604578</c:v>
                </c:pt>
                <c:pt idx="5">
                  <c:v>0.64071422648497756</c:v>
                </c:pt>
                <c:pt idx="6">
                  <c:v>0.65886103356459091</c:v>
                </c:pt>
                <c:pt idx="7">
                  <c:v>0.68649861337608387</c:v>
                </c:pt>
                <c:pt idx="8">
                  <c:v>0.70849479900863299</c:v>
                </c:pt>
              </c:numCache>
            </c:numRef>
          </c:yVal>
          <c:smooth val="1"/>
        </c:ser>
        <c:ser>
          <c:idx val="2"/>
          <c:order val="2"/>
          <c:tx>
            <c:strRef>
              <c:f>'Pacific Central-DT'!$I$10</c:f>
              <c:strCache>
                <c:ptCount val="1"/>
                <c:pt idx="0">
                  <c:v>Sand</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Central-DT'!$I$11:$I$19</c:f>
              <c:numCache>
                <c:formatCode>0.0%</c:formatCode>
                <c:ptCount val="9"/>
                <c:pt idx="0">
                  <c:v>0.6765803366593881</c:v>
                </c:pt>
                <c:pt idx="1">
                  <c:v>0.88794604604881278</c:v>
                </c:pt>
                <c:pt idx="2">
                  <c:v>0.98264186406478893</c:v>
                </c:pt>
                <c:pt idx="3">
                  <c:v>0.99676607977003229</c:v>
                </c:pt>
                <c:pt idx="4">
                  <c:v>0.99908786865308596</c:v>
                </c:pt>
                <c:pt idx="5">
                  <c:v>0.99914314934077786</c:v>
                </c:pt>
                <c:pt idx="6">
                  <c:v>0.99914314934077786</c:v>
                </c:pt>
                <c:pt idx="7">
                  <c:v>0.99906022830924013</c:v>
                </c:pt>
                <c:pt idx="8">
                  <c:v>0.99908786865308596</c:v>
                </c:pt>
              </c:numCache>
            </c:numRef>
          </c:yVal>
          <c:smooth val="1"/>
        </c:ser>
        <c:axId val="92104960"/>
        <c:axId val="92107136"/>
      </c:scatterChart>
      <c:valAx>
        <c:axId val="92104960"/>
        <c:scaling>
          <c:orientation val="minMax"/>
          <c:max val="2"/>
          <c:min val="0"/>
        </c:scaling>
        <c:axPos val="b"/>
        <c:majorGridlines/>
        <c:title>
          <c:tx>
            <c:rich>
              <a:bodyPr/>
              <a:lstStyle/>
              <a:p>
                <a:pPr>
                  <a:defRPr/>
                </a:pPr>
                <a:r>
                  <a:rPr lang="en-US"/>
                  <a:t>Unit Basin Size (in)</a:t>
                </a:r>
              </a:p>
            </c:rich>
          </c:tx>
        </c:title>
        <c:numFmt formatCode="0.0" sourceLinked="0"/>
        <c:tickLblPos val="nextTo"/>
        <c:crossAx val="92107136"/>
        <c:crosses val="autoZero"/>
        <c:crossBetween val="midCat"/>
        <c:majorUnit val="0.2"/>
      </c:valAx>
      <c:valAx>
        <c:axId val="92107136"/>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92104960"/>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'Pacific Central-DT'!$CD$17</c:f>
              <c:strCache>
                <c:ptCount val="1"/>
                <c:pt idx="0">
                  <c:v>Runoff, 3hr DT</c:v>
                </c:pt>
              </c:strCache>
            </c:strRef>
          </c:tx>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'Pacific Central-DT'!$CE$17</c:f>
              <c:strCache>
                <c:ptCount val="1"/>
                <c:pt idx="0">
                  <c:v>Runoff, 6hr DT</c:v>
                </c:pt>
              </c:strCache>
            </c:strRef>
          </c:tx>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'Pacific Central-DT'!$CF$17</c:f>
              <c:strCache>
                <c:ptCount val="1"/>
                <c:pt idx="0">
                  <c:v>Runoff, 12hr DT</c:v>
                </c:pt>
              </c:strCache>
            </c:strRef>
          </c:tx>
          <c:spPr>
            <a:ln w="31750"/>
          </c:spPr>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'Pacific Central-DT'!$CG$17</c:f>
              <c:strCache>
                <c:ptCount val="1"/>
                <c:pt idx="0">
                  <c:v>TSS, 3hr DT</c:v>
                </c:pt>
              </c:strCache>
            </c:strRef>
          </c:tx>
          <c:spPr>
            <a:ln w="31750">
              <a:solidFill>
                <a:schemeClr val="accent1"/>
              </a:solidFill>
              <a:prstDash val="sysDash"/>
            </a:ln>
          </c:spPr>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Central-DT'!$CG$18:$CG$26</c:f>
              <c:numCache>
                <c:formatCode>0.0%</c:formatCode>
                <c:ptCount val="9"/>
                <c:pt idx="0">
                  <c:v>0.48240444871334204</c:v>
                </c:pt>
                <c:pt idx="1">
                  <c:v>0.6461573288371707</c:v>
                </c:pt>
                <c:pt idx="2">
                  <c:v>0.73560474308300394</c:v>
                </c:pt>
                <c:pt idx="3">
                  <c:v>0.76404191658144227</c:v>
                </c:pt>
                <c:pt idx="4">
                  <c:v>0.77838549987561834</c:v>
                </c:pt>
                <c:pt idx="5">
                  <c:v>0.78853090190441977</c:v>
                </c:pt>
                <c:pt idx="6">
                  <c:v>0.79681507227949921</c:v>
                </c:pt>
                <c:pt idx="7">
                  <c:v>0.80943616462588786</c:v>
                </c:pt>
                <c:pt idx="8">
                  <c:v>0.81957422814339809</c:v>
                </c:pt>
              </c:numCache>
            </c:numRef>
          </c:yVal>
          <c:smooth val="1"/>
        </c:ser>
        <c:ser>
          <c:idx val="4"/>
          <c:order val="4"/>
          <c:tx>
            <c:strRef>
              <c:f>'Pacific Central-DT'!$CH$17</c:f>
              <c:strCache>
                <c:ptCount val="1"/>
                <c:pt idx="0">
                  <c:v>TSS, 6hr DT</c:v>
                </c:pt>
              </c:strCache>
            </c:strRef>
          </c:tx>
          <c:spPr>
            <a:ln w="31750">
              <a:solidFill>
                <a:schemeClr val="accent2"/>
              </a:solidFill>
              <a:prstDash val="sysDash"/>
            </a:ln>
          </c:spPr>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Central-DT'!$CH$18:$CH$26</c:f>
              <c:numCache>
                <c:formatCode>0.0%</c:formatCode>
                <c:ptCount val="9"/>
                <c:pt idx="0">
                  <c:v>0.39934327372232514</c:v>
                </c:pt>
                <c:pt idx="1">
                  <c:v>0.58649127947151658</c:v>
                </c:pt>
                <c:pt idx="2">
                  <c:v>0.71903551784184194</c:v>
                </c:pt>
                <c:pt idx="3">
                  <c:v>0.77256181762901133</c:v>
                </c:pt>
                <c:pt idx="4">
                  <c:v>0.79700324774040188</c:v>
                </c:pt>
                <c:pt idx="5">
                  <c:v>0.80461212305481067</c:v>
                </c:pt>
                <c:pt idx="6">
                  <c:v>0.81236503220100054</c:v>
                </c:pt>
                <c:pt idx="7">
                  <c:v>0.82252733630006358</c:v>
                </c:pt>
                <c:pt idx="8">
                  <c:v>0.8315046021172503</c:v>
                </c:pt>
              </c:numCache>
            </c:numRef>
          </c:yVal>
          <c:smooth val="1"/>
        </c:ser>
        <c:ser>
          <c:idx val="5"/>
          <c:order val="5"/>
          <c:tx>
            <c:strRef>
              <c:f>'Pacific Central-DT'!$CI$17</c:f>
              <c:strCache>
                <c:ptCount val="1"/>
                <c:pt idx="0">
                  <c:v>TSS, 12hr DT</c:v>
                </c:pt>
              </c:strCache>
            </c:strRef>
          </c:tx>
          <c:spPr>
            <a:ln w="31750">
              <a:solidFill>
                <a:schemeClr val="accent3"/>
              </a:solidFill>
              <a:prstDash val="sysDash"/>
            </a:ln>
          </c:spPr>
          <c:marker>
            <c:symbol val="none"/>
          </c:marker>
          <c:xVal>
            <c:numRef>
              <c:f>'Pacific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Central-DT'!$CI$18:$CI$26</c:f>
              <c:numCache>
                <c:formatCode>0.0%</c:formatCode>
                <c:ptCount val="9"/>
                <c:pt idx="0">
                  <c:v>0.32027351502252688</c:v>
                </c:pt>
                <c:pt idx="1">
                  <c:v>0.51882701290804056</c:v>
                </c:pt>
                <c:pt idx="2">
                  <c:v>0.68433607894082216</c:v>
                </c:pt>
                <c:pt idx="3">
                  <c:v>0.75753217336023659</c:v>
                </c:pt>
                <c:pt idx="4">
                  <c:v>0.7944818541142652</c:v>
                </c:pt>
                <c:pt idx="5">
                  <c:v>0.81590482047596669</c:v>
                </c:pt>
                <c:pt idx="6">
                  <c:v>0.82663651565825469</c:v>
                </c:pt>
                <c:pt idx="7">
                  <c:v>0.83709665828242907</c:v>
                </c:pt>
                <c:pt idx="8">
                  <c:v>0.84293070565797834</c:v>
                </c:pt>
              </c:numCache>
            </c:numRef>
          </c:yVal>
          <c:smooth val="1"/>
        </c:ser>
        <c:axId val="92235264"/>
        <c:axId val="92237184"/>
      </c:scatterChart>
      <c:valAx>
        <c:axId val="92235264"/>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92237184"/>
        <c:crosses val="autoZero"/>
        <c:crossBetween val="midCat"/>
        <c:majorUnit val="0.2"/>
      </c:valAx>
      <c:valAx>
        <c:axId val="9223718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92235264"/>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'Pacific Central-DT'!$B$10</c:f>
              <c:strCache>
                <c:ptCount val="1"/>
                <c:pt idx="0">
                  <c:v>Runoff</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Central-DT'!$M$11:$M$19</c:f>
              <c:numCache>
                <c:formatCode>0.0%</c:formatCode>
                <c:ptCount val="9"/>
                <c:pt idx="0">
                  <c:v>0.53377165734796717</c:v>
                </c:pt>
                <c:pt idx="1">
                  <c:v>0.77039759784634498</c:v>
                </c:pt>
                <c:pt idx="2">
                  <c:v>0.92828052736936562</c:v>
                </c:pt>
                <c:pt idx="3">
                  <c:v>0.98068958376475457</c:v>
                </c:pt>
                <c:pt idx="4">
                  <c:v>0.9962725201905156</c:v>
                </c:pt>
                <c:pt idx="5">
                  <c:v>0.99894733209084008</c:v>
                </c:pt>
                <c:pt idx="6">
                  <c:v>1</c:v>
                </c:pt>
                <c:pt idx="7">
                  <c:v>1</c:v>
                </c:pt>
                <c:pt idx="8">
                  <c:v>1</c:v>
                </c:pt>
              </c:numCache>
            </c:numRef>
          </c:yVal>
          <c:smooth val="1"/>
        </c:ser>
        <c:ser>
          <c:idx val="1"/>
          <c:order val="1"/>
          <c:tx>
            <c:strRef>
              <c:f>'Pacific Central-DT'!$C$10</c:f>
              <c:strCache>
                <c:ptCount val="1"/>
                <c:pt idx="0">
                  <c:v>TSS</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Central-DT'!$N$11:$N$19</c:f>
              <c:numCache>
                <c:formatCode>0.0%</c:formatCode>
                <c:ptCount val="9"/>
                <c:pt idx="0">
                  <c:v>0.39934327372232514</c:v>
                </c:pt>
                <c:pt idx="1">
                  <c:v>0.58649127947151658</c:v>
                </c:pt>
                <c:pt idx="2">
                  <c:v>0.71903551784184194</c:v>
                </c:pt>
                <c:pt idx="3">
                  <c:v>0.77256181762901133</c:v>
                </c:pt>
                <c:pt idx="4">
                  <c:v>0.79700324774040188</c:v>
                </c:pt>
                <c:pt idx="5">
                  <c:v>0.80461212305481067</c:v>
                </c:pt>
                <c:pt idx="6">
                  <c:v>0.81236503220100054</c:v>
                </c:pt>
                <c:pt idx="7">
                  <c:v>0.82252733630006358</c:v>
                </c:pt>
                <c:pt idx="8">
                  <c:v>0.8315046021172503</c:v>
                </c:pt>
              </c:numCache>
            </c:numRef>
          </c:yVal>
          <c:smooth val="1"/>
        </c:ser>
        <c:axId val="92257280"/>
        <c:axId val="92263552"/>
      </c:scatterChart>
      <c:valAx>
        <c:axId val="92257280"/>
        <c:scaling>
          <c:orientation val="minMax"/>
          <c:max val="2"/>
          <c:min val="0"/>
        </c:scaling>
        <c:axPos val="b"/>
        <c:majorGridlines/>
        <c:title>
          <c:tx>
            <c:rich>
              <a:bodyPr/>
              <a:lstStyle/>
              <a:p>
                <a:pPr>
                  <a:defRPr/>
                </a:pPr>
                <a:r>
                  <a:rPr lang="en-US"/>
                  <a:t>Unit Basin Size (in)</a:t>
                </a:r>
              </a:p>
            </c:rich>
          </c:tx>
        </c:title>
        <c:numFmt formatCode="0.0" sourceLinked="0"/>
        <c:tickLblPos val="nextTo"/>
        <c:crossAx val="92263552"/>
        <c:crosses val="autoZero"/>
        <c:crossBetween val="midCat"/>
        <c:majorUnit val="0.2"/>
      </c:valAx>
      <c:valAx>
        <c:axId val="9226355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92257280"/>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'Pacific Central-DT'!$D$10</c:f>
              <c:strCache>
                <c:ptCount val="1"/>
                <c:pt idx="0">
                  <c:v>Clay</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Central-DT'!$O$11:$O$19</c:f>
              <c:numCache>
                <c:formatCode>0.0%</c:formatCode>
                <c:ptCount val="9"/>
                <c:pt idx="0">
                  <c:v>1.7282401393073331E-3</c:v>
                </c:pt>
                <c:pt idx="1">
                  <c:v>3.8353741120539537E-3</c:v>
                </c:pt>
                <c:pt idx="2">
                  <c:v>6.3495397882749665E-3</c:v>
                </c:pt>
                <c:pt idx="3">
                  <c:v>9.540893888719976E-3</c:v>
                </c:pt>
                <c:pt idx="4">
                  <c:v>1.2651261781696564E-2</c:v>
                </c:pt>
                <c:pt idx="5">
                  <c:v>1.4915835152989302E-2</c:v>
                </c:pt>
                <c:pt idx="6">
                  <c:v>1.7874733961690481E-2</c:v>
                </c:pt>
                <c:pt idx="7">
                  <c:v>2.2989303186931646E-2</c:v>
                </c:pt>
                <c:pt idx="8">
                  <c:v>2.8417037507946597E-2</c:v>
                </c:pt>
              </c:numCache>
            </c:numRef>
          </c:yVal>
          <c:smooth val="1"/>
        </c:ser>
        <c:ser>
          <c:idx val="1"/>
          <c:order val="1"/>
          <c:tx>
            <c:strRef>
              <c:f>'Pacific Central-DT'!$H$10</c:f>
              <c:strCache>
                <c:ptCount val="1"/>
                <c:pt idx="0">
                  <c:v>Silt</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Central-DT'!$S$11:$S$19</c:f>
              <c:numCache>
                <c:formatCode>0.0%</c:formatCode>
                <c:ptCount val="9"/>
                <c:pt idx="0">
                  <c:v>0.29459778692980271</c:v>
                </c:pt>
                <c:pt idx="1">
                  <c:v>0.44738844817896201</c:v>
                </c:pt>
                <c:pt idx="2">
                  <c:v>0.56625851092254254</c:v>
                </c:pt>
                <c:pt idx="3">
                  <c:v>0.62662225784755432</c:v>
                </c:pt>
                <c:pt idx="4">
                  <c:v>0.66326966840800838</c:v>
                </c:pt>
                <c:pt idx="5">
                  <c:v>0.67697835761076863</c:v>
                </c:pt>
                <c:pt idx="6">
                  <c:v>0.69271124132784212</c:v>
                </c:pt>
                <c:pt idx="7">
                  <c:v>0.71472585385628873</c:v>
                </c:pt>
                <c:pt idx="8">
                  <c:v>0.7340722518588132</c:v>
                </c:pt>
              </c:numCache>
            </c:numRef>
          </c:yVal>
          <c:smooth val="1"/>
        </c:ser>
        <c:ser>
          <c:idx val="2"/>
          <c:order val="2"/>
          <c:tx>
            <c:strRef>
              <c:f>'Pacific Central-DT'!$I$10</c:f>
              <c:strCache>
                <c:ptCount val="1"/>
                <c:pt idx="0">
                  <c:v>Sand</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Central-DT'!$T$11:$T$19</c:f>
              <c:numCache>
                <c:formatCode>0.0%</c:formatCode>
                <c:ptCount val="9"/>
                <c:pt idx="0">
                  <c:v>0.53337571519389704</c:v>
                </c:pt>
                <c:pt idx="1">
                  <c:v>0.76994941817076201</c:v>
                </c:pt>
                <c:pt idx="2">
                  <c:v>0.92780342187456799</c:v>
                </c:pt>
                <c:pt idx="3">
                  <c:v>0.9802095138063518</c:v>
                </c:pt>
                <c:pt idx="4">
                  <c:v>0.99579866773542658</c:v>
                </c:pt>
                <c:pt idx="5">
                  <c:v>0.99845214074463084</c:v>
                </c:pt>
                <c:pt idx="6">
                  <c:v>0.99950247381077417</c:v>
                </c:pt>
                <c:pt idx="7">
                  <c:v>0.99950247381077417</c:v>
                </c:pt>
                <c:pt idx="8">
                  <c:v>0.99950247381077417</c:v>
                </c:pt>
              </c:numCache>
            </c:numRef>
          </c:yVal>
          <c:smooth val="1"/>
        </c:ser>
        <c:axId val="92166784"/>
        <c:axId val="92189440"/>
      </c:scatterChart>
      <c:valAx>
        <c:axId val="92166784"/>
        <c:scaling>
          <c:orientation val="minMax"/>
          <c:max val="2"/>
          <c:min val="0"/>
        </c:scaling>
        <c:axPos val="b"/>
        <c:majorGridlines/>
        <c:title>
          <c:tx>
            <c:rich>
              <a:bodyPr/>
              <a:lstStyle/>
              <a:p>
                <a:pPr>
                  <a:defRPr/>
                </a:pPr>
                <a:r>
                  <a:rPr lang="en-US"/>
                  <a:t>Unit Basin Size (in)</a:t>
                </a:r>
              </a:p>
            </c:rich>
          </c:tx>
        </c:title>
        <c:numFmt formatCode="0.0" sourceLinked="0"/>
        <c:tickLblPos val="nextTo"/>
        <c:crossAx val="92189440"/>
        <c:crosses val="autoZero"/>
        <c:crossBetween val="midCat"/>
        <c:majorUnit val="0.2"/>
      </c:valAx>
      <c:valAx>
        <c:axId val="9218944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216678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62"/>
          <c:w val="0.54938999479322437"/>
          <c:h val="0.60480936066198043"/>
        </c:manualLayout>
      </c:layout>
      <c:scatterChart>
        <c:scatterStyle val="smoothMarker"/>
        <c:ser>
          <c:idx val="0"/>
          <c:order val="0"/>
          <c:tx>
            <c:strRef>
              <c:f>'Northeast Coastal-DT'!$CD$17</c:f>
              <c:strCache>
                <c:ptCount val="1"/>
                <c:pt idx="0">
                  <c:v>Runoff, 3hr DT</c:v>
                </c:pt>
              </c:strCache>
            </c:strRef>
          </c:tx>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'Northeast Coastal-DT'!$CE$17</c:f>
              <c:strCache>
                <c:ptCount val="1"/>
                <c:pt idx="0">
                  <c:v>Runoff, 6hr DT</c:v>
                </c:pt>
              </c:strCache>
            </c:strRef>
          </c:tx>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'Northeast Coastal-DT'!$CF$17</c:f>
              <c:strCache>
                <c:ptCount val="1"/>
                <c:pt idx="0">
                  <c:v>Runoff, 12hr DT</c:v>
                </c:pt>
              </c:strCache>
            </c:strRef>
          </c:tx>
          <c:spPr>
            <a:ln w="31750"/>
          </c:spPr>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'Northeast Coastal-DT'!$CG$17</c:f>
              <c:strCache>
                <c:ptCount val="1"/>
                <c:pt idx="0">
                  <c:v>TSS, 3hr DT</c:v>
                </c:pt>
              </c:strCache>
            </c:strRef>
          </c:tx>
          <c:spPr>
            <a:ln w="31750">
              <a:solidFill>
                <a:schemeClr val="accent1"/>
              </a:solidFill>
              <a:prstDash val="sysDash"/>
            </a:ln>
          </c:spPr>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Coastal-DT'!$CG$18:$CG$26</c:f>
              <c:numCache>
                <c:formatCode>0.0%</c:formatCode>
                <c:ptCount val="9"/>
                <c:pt idx="0">
                  <c:v>0.44834040871934605</c:v>
                </c:pt>
                <c:pt idx="1">
                  <c:v>0.61061336447385495</c:v>
                </c:pt>
                <c:pt idx="2">
                  <c:v>0.71185972492539251</c:v>
                </c:pt>
                <c:pt idx="3">
                  <c:v>0.74861644608797195</c:v>
                </c:pt>
                <c:pt idx="4">
                  <c:v>0.76606411703646038</c:v>
                </c:pt>
                <c:pt idx="5">
                  <c:v>0.77759252627481512</c:v>
                </c:pt>
                <c:pt idx="6">
                  <c:v>0.78682203191903466</c:v>
                </c:pt>
                <c:pt idx="7">
                  <c:v>0.79933819903983383</c:v>
                </c:pt>
                <c:pt idx="8">
                  <c:v>0.80938698585701307</c:v>
                </c:pt>
              </c:numCache>
            </c:numRef>
          </c:yVal>
          <c:smooth val="1"/>
        </c:ser>
        <c:ser>
          <c:idx val="4"/>
          <c:order val="4"/>
          <c:tx>
            <c:strRef>
              <c:f>'Northeast Coastal-DT'!$CH$17</c:f>
              <c:strCache>
                <c:ptCount val="1"/>
                <c:pt idx="0">
                  <c:v>TSS, 6hr DT</c:v>
                </c:pt>
              </c:strCache>
            </c:strRef>
          </c:tx>
          <c:spPr>
            <a:ln w="31750">
              <a:solidFill>
                <a:schemeClr val="accent2"/>
              </a:solidFill>
              <a:prstDash val="sysDash"/>
            </a:ln>
          </c:spPr>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Coastal-DT'!$CH$18:$CH$26</c:f>
              <c:numCache>
                <c:formatCode>0.0%</c:formatCode>
                <c:ptCount val="9"/>
                <c:pt idx="0">
                  <c:v>0.36555239392759831</c:v>
                </c:pt>
                <c:pt idx="1">
                  <c:v>0.54809093032308287</c:v>
                </c:pt>
                <c:pt idx="2">
                  <c:v>0.69194783962631368</c:v>
                </c:pt>
                <c:pt idx="3">
                  <c:v>0.75305838847800699</c:v>
                </c:pt>
                <c:pt idx="4">
                  <c:v>0.78302997275204356</c:v>
                </c:pt>
                <c:pt idx="5">
                  <c:v>0.79411167769560143</c:v>
                </c:pt>
                <c:pt idx="6">
                  <c:v>0.80248112105877767</c:v>
                </c:pt>
                <c:pt idx="7">
                  <c:v>0.81388108213312571</c:v>
                </c:pt>
                <c:pt idx="8">
                  <c:v>0.82284527053328138</c:v>
                </c:pt>
              </c:numCache>
            </c:numRef>
          </c:yVal>
          <c:smooth val="1"/>
        </c:ser>
        <c:ser>
          <c:idx val="5"/>
          <c:order val="5"/>
          <c:tx>
            <c:strRef>
              <c:f>'Northeast Coastal-DT'!$CI$17</c:f>
              <c:strCache>
                <c:ptCount val="1"/>
                <c:pt idx="0">
                  <c:v>TSS, 12hr DT</c:v>
                </c:pt>
              </c:strCache>
            </c:strRef>
          </c:tx>
          <c:spPr>
            <a:ln w="31750">
              <a:solidFill>
                <a:schemeClr val="accent3"/>
              </a:solidFill>
              <a:prstDash val="sysDash"/>
            </a:ln>
          </c:spPr>
          <c:marker>
            <c:symbol val="none"/>
          </c:marker>
          <c:xVal>
            <c:numRef>
              <c:f>'Northeast Coastal-DT'!$CC$18:$CC$26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Coastal-DT'!$CI$18:$CI$26</c:f>
              <c:numCache>
                <c:formatCode>0.0%</c:formatCode>
                <c:ptCount val="9"/>
                <c:pt idx="0">
                  <c:v>0.29016122356299467</c:v>
                </c:pt>
                <c:pt idx="1">
                  <c:v>0.48088662255092773</c:v>
                </c:pt>
                <c:pt idx="2">
                  <c:v>0.65195688984040479</c:v>
                </c:pt>
                <c:pt idx="3">
                  <c:v>0.73562401063967808</c:v>
                </c:pt>
                <c:pt idx="4">
                  <c:v>0.77926930063578559</c:v>
                </c:pt>
                <c:pt idx="5">
                  <c:v>0.80233780978331382</c:v>
                </c:pt>
                <c:pt idx="6">
                  <c:v>0.8165184896847022</c:v>
                </c:pt>
                <c:pt idx="7">
                  <c:v>0.82935779161800949</c:v>
                </c:pt>
                <c:pt idx="8">
                  <c:v>0.83559530297132478</c:v>
                </c:pt>
              </c:numCache>
            </c:numRef>
          </c:yVal>
          <c:smooth val="1"/>
        </c:ser>
        <c:axId val="75830784"/>
        <c:axId val="75832704"/>
      </c:scatterChart>
      <c:valAx>
        <c:axId val="75830784"/>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75832704"/>
        <c:crosses val="autoZero"/>
        <c:crossBetween val="midCat"/>
        <c:majorUnit val="0.2"/>
      </c:valAx>
      <c:valAx>
        <c:axId val="7583270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75830784"/>
        <c:crosses val="autoZero"/>
        <c:crossBetween val="midCat"/>
        <c:majorUnit val="0.1"/>
      </c:valAx>
    </c:plotArea>
    <c:legend>
      <c:legendPos val="t"/>
      <c:layout>
        <c:manualLayout>
          <c:xMode val="edge"/>
          <c:yMode val="edge"/>
          <c:x val="0.73869385137407118"/>
          <c:y val="0.24825140100730742"/>
          <c:w val="0.25400001130106331"/>
          <c:h val="0.43908299220944258"/>
        </c:manualLayout>
      </c:layout>
      <c:txPr>
        <a:bodyPr/>
        <a:lstStyle/>
        <a:p>
          <a:pPr>
            <a:defRPr sz="1400"/>
          </a:pPr>
          <a:endParaRPr lang="en-US"/>
        </a:p>
      </c:txPr>
    </c:legend>
    <c:plotVisOnly val="1"/>
  </c:chart>
  <c:txPr>
    <a:bodyPr/>
    <a:lstStyle/>
    <a:p>
      <a:pPr>
        <a:defRPr sz="1100"/>
      </a:pPr>
      <a:endParaRPr lang="en-US"/>
    </a:p>
  </c:txPr>
  <c:printSettings>
    <c:headerFooter/>
    <c:pageMargins b="0.75000000000000333" l="0.70000000000000062" r="0.70000000000000062" t="0.7500000000000033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'Pacific Central-DT'!$B$10</c:f>
              <c:strCache>
                <c:ptCount val="1"/>
                <c:pt idx="0">
                  <c:v>Runoff</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Central-DT'!$X$11:$X$19</c:f>
              <c:numCache>
                <c:formatCode>0.0%</c:formatCode>
                <c:ptCount val="9"/>
                <c:pt idx="0">
                  <c:v>0.4048629806032995</c:v>
                </c:pt>
                <c:pt idx="1">
                  <c:v>0.65167046317388</c:v>
                </c:pt>
                <c:pt idx="2">
                  <c:v>0.84943397528818942</c:v>
                </c:pt>
                <c:pt idx="3">
                  <c:v>0.931593842755574</c:v>
                </c:pt>
                <c:pt idx="4">
                  <c:v>0.97045627113964239</c:v>
                </c:pt>
                <c:pt idx="5">
                  <c:v>0.99076758473113824</c:v>
                </c:pt>
                <c:pt idx="6">
                  <c:v>0.99786015047974042</c:v>
                </c:pt>
                <c:pt idx="7">
                  <c:v>1</c:v>
                </c:pt>
                <c:pt idx="8">
                  <c:v>1</c:v>
                </c:pt>
              </c:numCache>
            </c:numRef>
          </c:yVal>
          <c:smooth val="1"/>
        </c:ser>
        <c:ser>
          <c:idx val="1"/>
          <c:order val="1"/>
          <c:tx>
            <c:strRef>
              <c:f>'Pacific Central-DT'!$C$10</c:f>
              <c:strCache>
                <c:ptCount val="1"/>
                <c:pt idx="0">
                  <c:v>TSS</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Central-DT'!$Y$11:$Y$19</c:f>
              <c:numCache>
                <c:formatCode>0.0%</c:formatCode>
                <c:ptCount val="9"/>
                <c:pt idx="0">
                  <c:v>0.32027351502252688</c:v>
                </c:pt>
                <c:pt idx="1">
                  <c:v>0.51882701290804056</c:v>
                </c:pt>
                <c:pt idx="2">
                  <c:v>0.68433607894082216</c:v>
                </c:pt>
                <c:pt idx="3">
                  <c:v>0.75753217336023659</c:v>
                </c:pt>
                <c:pt idx="4">
                  <c:v>0.7944818541142652</c:v>
                </c:pt>
                <c:pt idx="5">
                  <c:v>0.81590482047596669</c:v>
                </c:pt>
                <c:pt idx="6">
                  <c:v>0.82663651565825469</c:v>
                </c:pt>
                <c:pt idx="7">
                  <c:v>0.83709665828242907</c:v>
                </c:pt>
                <c:pt idx="8">
                  <c:v>0.84293070565797834</c:v>
                </c:pt>
              </c:numCache>
            </c:numRef>
          </c:yVal>
          <c:smooth val="1"/>
        </c:ser>
        <c:axId val="92358144"/>
        <c:axId val="92360064"/>
      </c:scatterChart>
      <c:valAx>
        <c:axId val="92358144"/>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92360064"/>
        <c:crosses val="autoZero"/>
        <c:crossBetween val="midCat"/>
        <c:majorUnit val="0.2"/>
      </c:valAx>
      <c:valAx>
        <c:axId val="92360064"/>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92358144"/>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'Pacific Central-DT'!$D$10</c:f>
              <c:strCache>
                <c:ptCount val="1"/>
                <c:pt idx="0">
                  <c:v>Clay</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Central-DT'!$Z$11:$Z$19</c:f>
              <c:numCache>
                <c:formatCode>0.0%</c:formatCode>
                <c:ptCount val="9"/>
                <c:pt idx="0">
                  <c:v>2.4989634871057796E-3</c:v>
                </c:pt>
                <c:pt idx="1">
                  <c:v>4.7942176400674417E-3</c:v>
                </c:pt>
                <c:pt idx="2">
                  <c:v>8.5850907985295325E-3</c:v>
                </c:pt>
                <c:pt idx="3">
                  <c:v>1.2228917327731558E-2</c:v>
                </c:pt>
                <c:pt idx="4">
                  <c:v>1.5668758119351006E-2</c:v>
                </c:pt>
                <c:pt idx="5">
                  <c:v>1.8900743525249453E-2</c:v>
                </c:pt>
                <c:pt idx="6">
                  <c:v>2.2138533403355538E-2</c:v>
                </c:pt>
                <c:pt idx="7">
                  <c:v>2.8859283009480638E-2</c:v>
                </c:pt>
                <c:pt idx="8">
                  <c:v>3.382625279858481E-2</c:v>
                </c:pt>
              </c:numCache>
            </c:numRef>
          </c:yVal>
          <c:smooth val="1"/>
        </c:ser>
        <c:ser>
          <c:idx val="1"/>
          <c:order val="1"/>
          <c:tx>
            <c:strRef>
              <c:f>'Pacific Central-DT'!$H$10</c:f>
              <c:strCache>
                <c:ptCount val="1"/>
                <c:pt idx="0">
                  <c:v>Silt</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Central-DT'!$AD$11:$AD$19</c:f>
              <c:numCache>
                <c:formatCode>0.0%</c:formatCode>
                <c:ptCount val="9"/>
                <c:pt idx="0">
                  <c:v>0.26219353768760884</c:v>
                </c:pt>
                <c:pt idx="1">
                  <c:v>0.42888415931894192</c:v>
                </c:pt>
                <c:pt idx="2">
                  <c:v>0.5765508536259526</c:v>
                </c:pt>
                <c:pt idx="3">
                  <c:v>0.64752941393257613</c:v>
                </c:pt>
                <c:pt idx="4">
                  <c:v>0.686107963183062</c:v>
                </c:pt>
                <c:pt idx="5">
                  <c:v>0.71078249813427674</c:v>
                </c:pt>
                <c:pt idx="6">
                  <c:v>0.72637810147691573</c:v>
                </c:pt>
                <c:pt idx="7">
                  <c:v>0.7465113279342529</c:v>
                </c:pt>
                <c:pt idx="8">
                  <c:v>0.75889328063241113</c:v>
                </c:pt>
              </c:numCache>
            </c:numRef>
          </c:yVal>
          <c:smooth val="1"/>
        </c:ser>
        <c:ser>
          <c:idx val="2"/>
          <c:order val="2"/>
          <c:tx>
            <c:strRef>
              <c:f>'Pacific Central-DT'!$I$10</c:f>
              <c:strCache>
                <c:ptCount val="1"/>
                <c:pt idx="0">
                  <c:v>Sand</c:v>
                </c:pt>
              </c:strCache>
            </c:strRef>
          </c:tx>
          <c:xVal>
            <c:numRef>
              <c:f>'Pacific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Central-DT'!$AE$11:$AE$19</c:f>
              <c:numCache>
                <c:formatCode>0.0%</c:formatCode>
                <c:ptCount val="9"/>
                <c:pt idx="0">
                  <c:v>0.40432294977749522</c:v>
                </c:pt>
                <c:pt idx="1">
                  <c:v>0.65117886066502673</c:v>
                </c:pt>
                <c:pt idx="2">
                  <c:v>0.84891788053843398</c:v>
                </c:pt>
                <c:pt idx="3">
                  <c:v>0.93106498244838165</c:v>
                </c:pt>
                <c:pt idx="4">
                  <c:v>0.96989966555183948</c:v>
                </c:pt>
                <c:pt idx="5">
                  <c:v>0.99021531827855935</c:v>
                </c:pt>
                <c:pt idx="6">
                  <c:v>0.99731888664694979</c:v>
                </c:pt>
                <c:pt idx="7">
                  <c:v>0.9994471931230825</c:v>
                </c:pt>
                <c:pt idx="8">
                  <c:v>0.99947483346692834</c:v>
                </c:pt>
              </c:numCache>
            </c:numRef>
          </c:yVal>
          <c:smooth val="1"/>
        </c:ser>
        <c:axId val="92390528"/>
        <c:axId val="92392448"/>
      </c:scatterChart>
      <c:valAx>
        <c:axId val="92390528"/>
        <c:scaling>
          <c:orientation val="minMax"/>
          <c:max val="2"/>
          <c:min val="0"/>
        </c:scaling>
        <c:axPos val="b"/>
        <c:majorGridlines/>
        <c:title>
          <c:tx>
            <c:rich>
              <a:bodyPr/>
              <a:lstStyle/>
              <a:p>
                <a:pPr>
                  <a:defRPr/>
                </a:pPr>
                <a:r>
                  <a:rPr lang="en-US"/>
                  <a:t>Unit Basin Size (in)</a:t>
                </a:r>
              </a:p>
            </c:rich>
          </c:tx>
        </c:title>
        <c:numFmt formatCode="0.0" sourceLinked="0"/>
        <c:tickLblPos val="nextTo"/>
        <c:crossAx val="92392448"/>
        <c:crosses val="autoZero"/>
        <c:crossBetween val="midCat"/>
        <c:majorUnit val="0.2"/>
      </c:valAx>
      <c:valAx>
        <c:axId val="92392448"/>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2390528"/>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Central-MF'!$AI$3</c:f>
              <c:strCache>
                <c:ptCount val="1"/>
                <c:pt idx="0">
                  <c:v>Runoff Treated</c:v>
                </c:pt>
              </c:strCache>
            </c:strRef>
          </c:tx>
          <c:xVal>
            <c:numRef>
              <c:f>'Pacific Central-MF'!$AH$10:$AH$12</c:f>
              <c:numCache>
                <c:formatCode>General</c:formatCode>
                <c:ptCount val="3"/>
              </c:numCache>
            </c:numRef>
          </c:xVal>
          <c:yVal>
            <c:numRef>
              <c:f>'Pacific Central-MF'!$AI$4:$AI$12</c:f>
              <c:numCache>
                <c:formatCode>0.0%</c:formatCode>
                <c:ptCount val="9"/>
                <c:pt idx="0">
                  <c:v>0.86544836379090517</c:v>
                </c:pt>
                <c:pt idx="1">
                  <c:v>0.97176370590735228</c:v>
                </c:pt>
                <c:pt idx="2">
                  <c:v>0.99843603909902257</c:v>
                </c:pt>
                <c:pt idx="3">
                  <c:v>1</c:v>
                </c:pt>
                <c:pt idx="4">
                  <c:v>1</c:v>
                </c:pt>
                <c:pt idx="5">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518656"/>
        <c:axId val="92533120"/>
      </c:scatterChart>
      <c:valAx>
        <c:axId val="925186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533120"/>
        <c:crosses val="autoZero"/>
        <c:crossBetween val="midCat"/>
        <c:majorUnit val="0.2"/>
      </c:valAx>
      <c:valAx>
        <c:axId val="925331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251865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428160"/>
        <c:axId val="92429696"/>
      </c:scatterChart>
      <c:valAx>
        <c:axId val="9242816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429696"/>
        <c:crosses val="autoZero"/>
        <c:crossBetween val="midCat"/>
        <c:majorUnit val="0.2"/>
      </c:valAx>
      <c:valAx>
        <c:axId val="9242969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242816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Central-MF'!$AI$3</c:f>
              <c:strCache>
                <c:ptCount val="1"/>
                <c:pt idx="0">
                  <c:v>Runoff Treated</c:v>
                </c:pt>
              </c:strCache>
            </c:strRef>
          </c:tx>
          <c:xVal>
            <c:numRef>
              <c:f>'Pacific Central-MF'!$AH$10:$AH$12</c:f>
              <c:numCache>
                <c:formatCode>General</c:formatCode>
                <c:ptCount val="3"/>
              </c:numCache>
            </c:numRef>
          </c:xVal>
          <c:yVal>
            <c:numRef>
              <c:f>'Pacific Central-MF'!$AI$4:$AI$12</c:f>
              <c:numCache>
                <c:formatCode>0.0%</c:formatCode>
                <c:ptCount val="9"/>
                <c:pt idx="0">
                  <c:v>0.86544836379090517</c:v>
                </c:pt>
                <c:pt idx="1">
                  <c:v>0.97176370590735228</c:v>
                </c:pt>
                <c:pt idx="2">
                  <c:v>0.99843603909902257</c:v>
                </c:pt>
                <c:pt idx="3">
                  <c:v>1</c:v>
                </c:pt>
                <c:pt idx="4">
                  <c:v>1</c:v>
                </c:pt>
                <c:pt idx="5">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463488"/>
        <c:axId val="92465408"/>
      </c:scatterChart>
      <c:valAx>
        <c:axId val="9246348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465408"/>
        <c:crosses val="autoZero"/>
        <c:crossBetween val="midCat"/>
        <c:majorUnit val="0.2"/>
      </c:valAx>
      <c:valAx>
        <c:axId val="9246540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24634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569600"/>
        <c:axId val="92571136"/>
      </c:scatterChart>
      <c:valAx>
        <c:axId val="9256960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571136"/>
        <c:crosses val="autoZero"/>
        <c:crossBetween val="midCat"/>
        <c:majorUnit val="0.2"/>
      </c:valAx>
      <c:valAx>
        <c:axId val="9257113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25696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Central-MF'!$AI$3</c:f>
              <c:strCache>
                <c:ptCount val="1"/>
                <c:pt idx="0">
                  <c:v>Runoff Treated</c:v>
                </c:pt>
              </c:strCache>
            </c:strRef>
          </c:tx>
          <c:xVal>
            <c:numRef>
              <c:f>'Pacific Central-MF'!$AH$10:$AH$12</c:f>
              <c:numCache>
                <c:formatCode>General</c:formatCode>
                <c:ptCount val="3"/>
              </c:numCache>
            </c:numRef>
          </c:xVal>
          <c:yVal>
            <c:numRef>
              <c:f>'Pacific Central-MF'!$AI$4:$AI$12</c:f>
              <c:numCache>
                <c:formatCode>0.0%</c:formatCode>
                <c:ptCount val="9"/>
                <c:pt idx="0">
                  <c:v>0.86544836379090517</c:v>
                </c:pt>
                <c:pt idx="1">
                  <c:v>0.97176370590735228</c:v>
                </c:pt>
                <c:pt idx="2">
                  <c:v>0.99843603909902257</c:v>
                </c:pt>
                <c:pt idx="3">
                  <c:v>1</c:v>
                </c:pt>
                <c:pt idx="4">
                  <c:v>1</c:v>
                </c:pt>
                <c:pt idx="5">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612864"/>
        <c:axId val="92615040"/>
      </c:scatterChart>
      <c:valAx>
        <c:axId val="9261286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615040"/>
        <c:crosses val="autoZero"/>
        <c:crossBetween val="midCat"/>
        <c:majorUnit val="0.2"/>
      </c:valAx>
      <c:valAx>
        <c:axId val="926150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261286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Central-MF'!$AH$10:$AH$12</c:f>
              <c:numCache>
                <c:formatCode>General</c:formatCode>
                <c:ptCount val="3"/>
              </c:numCache>
            </c:numRef>
          </c:xVal>
          <c:yVal>
            <c:numRef>
              <c:f>'3-ft'!#REF!</c:f>
              <c:numCache>
                <c:formatCode>General</c:formatCode>
                <c:ptCount val="1"/>
                <c:pt idx="0">
                  <c:v>1</c:v>
                </c:pt>
              </c:numCache>
            </c:numRef>
          </c:yVal>
          <c:smooth val="1"/>
        </c:ser>
        <c:axId val="92673920"/>
        <c:axId val="92675456"/>
      </c:scatterChart>
      <c:valAx>
        <c:axId val="9267392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675456"/>
        <c:crosses val="autoZero"/>
        <c:crossBetween val="midCat"/>
        <c:majorUnit val="0.2"/>
      </c:valAx>
      <c:valAx>
        <c:axId val="9267545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26739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'Pacific Central-MF'!$A$30:$A$35</c:f>
              <c:numCache>
                <c:formatCode>0</c:formatCode>
                <c:ptCount val="6"/>
                <c:pt idx="0">
                  <c:v>100</c:v>
                </c:pt>
                <c:pt idx="1">
                  <c:v>200</c:v>
                </c:pt>
                <c:pt idx="2">
                  <c:v>400</c:v>
                </c:pt>
                <c:pt idx="3">
                  <c:v>600</c:v>
                </c:pt>
                <c:pt idx="4">
                  <c:v>800</c:v>
                </c:pt>
                <c:pt idx="5">
                  <c:v>1000</c:v>
                </c:pt>
              </c:numCache>
            </c:numRef>
          </c:xVal>
          <c:yVal>
            <c:numRef>
              <c:f>'Pacific Central-MF'!$B$30:$B$35</c:f>
              <c:numCache>
                <c:formatCode>0.0%</c:formatCode>
                <c:ptCount val="6"/>
                <c:pt idx="0">
                  <c:v>0.14492817679558012</c:v>
                </c:pt>
                <c:pt idx="1">
                  <c:v>0.25795155121121971</c:v>
                </c:pt>
                <c:pt idx="2">
                  <c:v>0.43384615384615383</c:v>
                </c:pt>
                <c:pt idx="3">
                  <c:v>0.56628984275393113</c:v>
                </c:pt>
                <c:pt idx="4">
                  <c:v>0.66386740331491711</c:v>
                </c:pt>
                <c:pt idx="5">
                  <c:v>0.73956651083722902</c:v>
                </c:pt>
              </c:numCache>
            </c:numRef>
          </c:yVal>
          <c:smooth val="1"/>
        </c:ser>
        <c:ser>
          <c:idx val="1"/>
          <c:order val="1"/>
          <c:tx>
            <c:v>%Treated_5 in/hr</c:v>
          </c:tx>
          <c:xVal>
            <c:numRef>
              <c:f>'Pacific Central-MF'!$A$30:$A$35</c:f>
              <c:numCache>
                <c:formatCode>0</c:formatCode>
                <c:ptCount val="6"/>
                <c:pt idx="0">
                  <c:v>100</c:v>
                </c:pt>
                <c:pt idx="1">
                  <c:v>200</c:v>
                </c:pt>
                <c:pt idx="2">
                  <c:v>400</c:v>
                </c:pt>
                <c:pt idx="3">
                  <c:v>600</c:v>
                </c:pt>
                <c:pt idx="4">
                  <c:v>800</c:v>
                </c:pt>
                <c:pt idx="5">
                  <c:v>1000</c:v>
                </c:pt>
              </c:numCache>
            </c:numRef>
          </c:xVal>
          <c:yVal>
            <c:numRef>
              <c:f>'Pacific Central-MF'!$C$30:$C$35</c:f>
              <c:numCache>
                <c:formatCode>0.0%</c:formatCode>
                <c:ptCount val="6"/>
                <c:pt idx="0">
                  <c:v>0.3237739056523587</c:v>
                </c:pt>
                <c:pt idx="1">
                  <c:v>0.5172120696982575</c:v>
                </c:pt>
                <c:pt idx="2">
                  <c:v>0.74638334041648957</c:v>
                </c:pt>
                <c:pt idx="3">
                  <c:v>0.8642243943901402</c:v>
                </c:pt>
                <c:pt idx="4">
                  <c:v>0.92409689757756053</c:v>
                </c:pt>
                <c:pt idx="5">
                  <c:v>0.95743306417339569</c:v>
                </c:pt>
              </c:numCache>
            </c:numRef>
          </c:yVal>
          <c:smooth val="1"/>
        </c:ser>
        <c:ser>
          <c:idx val="0"/>
          <c:order val="2"/>
          <c:tx>
            <c:v>%Treated_50 in/hr</c:v>
          </c:tx>
          <c:xVal>
            <c:numRef>
              <c:f>'Pacific Central-MF'!$A$30:$A$35</c:f>
              <c:numCache>
                <c:formatCode>0</c:formatCode>
                <c:ptCount val="6"/>
                <c:pt idx="0">
                  <c:v>100</c:v>
                </c:pt>
                <c:pt idx="1">
                  <c:v>200</c:v>
                </c:pt>
                <c:pt idx="2">
                  <c:v>400</c:v>
                </c:pt>
                <c:pt idx="3">
                  <c:v>600</c:v>
                </c:pt>
                <c:pt idx="4">
                  <c:v>800</c:v>
                </c:pt>
                <c:pt idx="5">
                  <c:v>1000</c:v>
                </c:pt>
              </c:numCache>
            </c:numRef>
          </c:xVal>
          <c:yVal>
            <c:numRef>
              <c:f>'Pacific Central-MF'!$D$30:$D$35</c:f>
              <c:numCache>
                <c:formatCode>0.0%</c:formatCode>
                <c:ptCount val="6"/>
                <c:pt idx="0">
                  <c:v>0.86544836379090517</c:v>
                </c:pt>
                <c:pt idx="1">
                  <c:v>0.97176370590735228</c:v>
                </c:pt>
                <c:pt idx="2">
                  <c:v>0.99843603909902257</c:v>
                </c:pt>
                <c:pt idx="3">
                  <c:v>1</c:v>
                </c:pt>
                <c:pt idx="4">
                  <c:v>1</c:v>
                </c:pt>
                <c:pt idx="5">
                  <c:v>1</c:v>
                </c:pt>
              </c:numCache>
            </c:numRef>
          </c:yVal>
          <c:smooth val="1"/>
        </c:ser>
        <c:axId val="92730496"/>
        <c:axId val="92732416"/>
      </c:scatterChart>
      <c:scatterChart>
        <c:scatterStyle val="smoothMarker"/>
        <c:ser>
          <c:idx val="5"/>
          <c:order val="3"/>
          <c:tx>
            <c:v>Contact Time_1 in/hr</c:v>
          </c:tx>
          <c:spPr>
            <a:ln>
              <a:solidFill>
                <a:schemeClr val="accent3">
                  <a:lumMod val="75000"/>
                </a:schemeClr>
              </a:solidFill>
            </a:ln>
          </c:spPr>
          <c:marker>
            <c:symbol val="none"/>
          </c:marker>
          <c:xVal>
            <c:numRef>
              <c:f>'Pacific Central-MF'!$A$30:$A$35</c:f>
              <c:numCache>
                <c:formatCode>0</c:formatCode>
                <c:ptCount val="6"/>
                <c:pt idx="0">
                  <c:v>100</c:v>
                </c:pt>
                <c:pt idx="1">
                  <c:v>200</c:v>
                </c:pt>
                <c:pt idx="2">
                  <c:v>400</c:v>
                </c:pt>
                <c:pt idx="3">
                  <c:v>600</c:v>
                </c:pt>
                <c:pt idx="4">
                  <c:v>800</c:v>
                </c:pt>
                <c:pt idx="5">
                  <c:v>1000</c:v>
                </c:pt>
              </c:numCache>
            </c:numRef>
          </c:xVal>
          <c:yVal>
            <c:numRef>
              <c:f>'Pacific Central-MF'!$E$30:$E$35</c:f>
              <c:numCache>
                <c:formatCode>0.0</c:formatCode>
                <c:ptCount val="6"/>
                <c:pt idx="0">
                  <c:v>7.9667490656141453</c:v>
                </c:pt>
                <c:pt idx="1">
                  <c:v>9.1389300140739529</c:v>
                </c:pt>
                <c:pt idx="2">
                  <c:v>10.945212954754053</c:v>
                </c:pt>
                <c:pt idx="3">
                  <c:v>12.335497332008147</c:v>
                </c:pt>
                <c:pt idx="4">
                  <c:v>13.676415997499168</c:v>
                </c:pt>
                <c:pt idx="5">
                  <c:v>14.97569658382967</c:v>
                </c:pt>
              </c:numCache>
            </c:numRef>
          </c:yVal>
          <c:smooth val="1"/>
        </c:ser>
        <c:ser>
          <c:idx val="4"/>
          <c:order val="4"/>
          <c:tx>
            <c:v>Contact Time_5 in/hr</c:v>
          </c:tx>
          <c:spPr>
            <a:ln>
              <a:solidFill>
                <a:srgbClr val="8A0000"/>
              </a:solidFill>
            </a:ln>
          </c:spPr>
          <c:marker>
            <c:symbol val="none"/>
          </c:marker>
          <c:xVal>
            <c:numRef>
              <c:f>'Pacific Central-MF'!$A$30:$A$35</c:f>
              <c:numCache>
                <c:formatCode>0</c:formatCode>
                <c:ptCount val="6"/>
                <c:pt idx="0">
                  <c:v>100</c:v>
                </c:pt>
                <c:pt idx="1">
                  <c:v>200</c:v>
                </c:pt>
                <c:pt idx="2">
                  <c:v>400</c:v>
                </c:pt>
                <c:pt idx="3">
                  <c:v>600</c:v>
                </c:pt>
                <c:pt idx="4">
                  <c:v>800</c:v>
                </c:pt>
                <c:pt idx="5">
                  <c:v>1000</c:v>
                </c:pt>
              </c:numCache>
            </c:numRef>
          </c:xVal>
          <c:yVal>
            <c:numRef>
              <c:f>'Pacific Central-MF'!$F$30:$F$35</c:f>
              <c:numCache>
                <c:formatCode>0.0</c:formatCode>
                <c:ptCount val="6"/>
                <c:pt idx="0">
                  <c:v>2.3869929345009138</c:v>
                </c:pt>
                <c:pt idx="1">
                  <c:v>3.0039308580943063</c:v>
                </c:pt>
                <c:pt idx="2">
                  <c:v>4.151912548859114</c:v>
                </c:pt>
                <c:pt idx="3">
                  <c:v>5.3494734589695385</c:v>
                </c:pt>
                <c:pt idx="4">
                  <c:v>6.6582012393766021</c:v>
                </c:pt>
                <c:pt idx="5">
                  <c:v>8.0465319447318198</c:v>
                </c:pt>
              </c:numCache>
            </c:numRef>
          </c:yVal>
          <c:smooth val="1"/>
        </c:ser>
        <c:ser>
          <c:idx val="3"/>
          <c:order val="5"/>
          <c:tx>
            <c:v>Contact Time_50 in/hr</c:v>
          </c:tx>
          <c:spPr>
            <a:ln>
              <a:solidFill>
                <a:schemeClr val="accent1">
                  <a:lumMod val="75000"/>
                </a:schemeClr>
              </a:solidFill>
            </a:ln>
          </c:spPr>
          <c:marker>
            <c:symbol val="none"/>
          </c:marker>
          <c:xVal>
            <c:numRef>
              <c:f>'Pacific Central-MF'!$A$30:$A$35</c:f>
              <c:numCache>
                <c:formatCode>0</c:formatCode>
                <c:ptCount val="6"/>
                <c:pt idx="0">
                  <c:v>100</c:v>
                </c:pt>
                <c:pt idx="1">
                  <c:v>200</c:v>
                </c:pt>
                <c:pt idx="2">
                  <c:v>400</c:v>
                </c:pt>
                <c:pt idx="3">
                  <c:v>600</c:v>
                </c:pt>
                <c:pt idx="4">
                  <c:v>800</c:v>
                </c:pt>
                <c:pt idx="5">
                  <c:v>1000</c:v>
                </c:pt>
              </c:numCache>
            </c:numRef>
          </c:xVal>
          <c:yVal>
            <c:numRef>
              <c:f>'Pacific Central-MF'!$G$30:$G$35</c:f>
              <c:numCache>
                <c:formatCode>0.0</c:formatCode>
                <c:ptCount val="6"/>
                <c:pt idx="0">
                  <c:v>0.86844325343655404</c:v>
                </c:pt>
                <c:pt idx="1">
                  <c:v>1.5680371311192649</c:v>
                </c:pt>
                <c:pt idx="2">
                  <c:v>3.0545410115767102</c:v>
                </c:pt>
                <c:pt idx="3">
                  <c:v>4.5710404994188245</c:v>
                </c:pt>
                <c:pt idx="4">
                  <c:v>6.0971095345727884</c:v>
                </c:pt>
                <c:pt idx="5">
                  <c:v>7.6237774728266778</c:v>
                </c:pt>
              </c:numCache>
            </c:numRef>
          </c:yVal>
          <c:smooth val="1"/>
        </c:ser>
        <c:axId val="92752896"/>
        <c:axId val="92750976"/>
      </c:scatterChart>
      <c:valAx>
        <c:axId val="92730496"/>
        <c:scaling>
          <c:orientation val="minMax"/>
          <c:min val="0"/>
        </c:scaling>
        <c:axPos val="b"/>
        <c:title>
          <c:tx>
            <c:rich>
              <a:bodyPr/>
              <a:lstStyle/>
              <a:p>
                <a:pPr>
                  <a:defRPr/>
                </a:pPr>
                <a:r>
                  <a:rPr lang="en-US"/>
                  <a:t>Filter Area (SF)</a:t>
                </a:r>
              </a:p>
            </c:rich>
          </c:tx>
        </c:title>
        <c:numFmt formatCode="0" sourceLinked="1"/>
        <c:tickLblPos val="nextTo"/>
        <c:crossAx val="92732416"/>
        <c:crosses val="autoZero"/>
        <c:crossBetween val="midCat"/>
      </c:valAx>
      <c:valAx>
        <c:axId val="92732416"/>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92730496"/>
        <c:crosses val="autoZero"/>
        <c:crossBetween val="midCat"/>
      </c:valAx>
      <c:valAx>
        <c:axId val="92750976"/>
        <c:scaling>
          <c:orientation val="minMax"/>
          <c:max val="20"/>
        </c:scaling>
        <c:axPos val="r"/>
        <c:title>
          <c:tx>
            <c:rich>
              <a:bodyPr rot="-5400000" vert="horz"/>
              <a:lstStyle/>
              <a:p>
                <a:pPr>
                  <a:defRPr/>
                </a:pPr>
                <a:r>
                  <a:rPr lang="en-US"/>
                  <a:t>Contact Time (hrs)</a:t>
                </a:r>
              </a:p>
            </c:rich>
          </c:tx>
        </c:title>
        <c:numFmt formatCode="0.0" sourceLinked="1"/>
        <c:tickLblPos val="nextTo"/>
        <c:crossAx val="92752896"/>
        <c:crosses val="max"/>
        <c:crossBetween val="midCat"/>
      </c:valAx>
      <c:valAx>
        <c:axId val="92752896"/>
        <c:scaling>
          <c:orientation val="minMax"/>
        </c:scaling>
        <c:delete val="1"/>
        <c:axPos val="b"/>
        <c:numFmt formatCode="0" sourceLinked="1"/>
        <c:tickLblPos val="none"/>
        <c:crossAx val="92750976"/>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2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2884992"/>
        <c:axId val="92886912"/>
      </c:scatterChart>
      <c:valAx>
        <c:axId val="9288499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886912"/>
        <c:crosses val="autoZero"/>
        <c:crossBetween val="midCat"/>
        <c:majorUnit val="0.2"/>
      </c:valAx>
      <c:valAx>
        <c:axId val="9288691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288499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88" l="0.70000000000000062" r="0.70000000000000062" t="0.7500000000000058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'Northeast Coastal-DT'!$B$10</c:f>
              <c:strCache>
                <c:ptCount val="1"/>
                <c:pt idx="0">
                  <c:v>Runoff</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Coastal-DT'!$M$11:$M$19</c:f>
              <c:numCache>
                <c:formatCode>0.0%</c:formatCode>
                <c:ptCount val="9"/>
                <c:pt idx="0">
                  <c:v>0.4925712896953986</c:v>
                </c:pt>
                <c:pt idx="1">
                  <c:v>0.72581011017498376</c:v>
                </c:pt>
                <c:pt idx="2">
                  <c:v>0.90140959170447177</c:v>
                </c:pt>
                <c:pt idx="3">
                  <c:v>0.96540829552819185</c:v>
                </c:pt>
                <c:pt idx="4">
                  <c:v>0.98898250162022039</c:v>
                </c:pt>
                <c:pt idx="5">
                  <c:v>0.99635450421257288</c:v>
                </c:pt>
                <c:pt idx="6">
                  <c:v>0.99821775761503562</c:v>
                </c:pt>
                <c:pt idx="7">
                  <c:v>1</c:v>
                </c:pt>
                <c:pt idx="8">
                  <c:v>1</c:v>
                </c:pt>
              </c:numCache>
            </c:numRef>
          </c:yVal>
          <c:smooth val="1"/>
        </c:ser>
        <c:ser>
          <c:idx val="1"/>
          <c:order val="1"/>
          <c:tx>
            <c:strRef>
              <c:f>'Northeast Coastal-DT'!$C$10</c:f>
              <c:strCache>
                <c:ptCount val="1"/>
                <c:pt idx="0">
                  <c:v>TSS</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Coastal-DT'!$N$11:$N$19</c:f>
              <c:numCache>
                <c:formatCode>0.0%</c:formatCode>
                <c:ptCount val="9"/>
                <c:pt idx="0">
                  <c:v>0.36555239392759831</c:v>
                </c:pt>
                <c:pt idx="1">
                  <c:v>0.54809093032308287</c:v>
                </c:pt>
                <c:pt idx="2">
                  <c:v>0.69194783962631368</c:v>
                </c:pt>
                <c:pt idx="3">
                  <c:v>0.75305838847800699</c:v>
                </c:pt>
                <c:pt idx="4">
                  <c:v>0.78302997275204356</c:v>
                </c:pt>
                <c:pt idx="5">
                  <c:v>0.79411167769560143</c:v>
                </c:pt>
                <c:pt idx="6">
                  <c:v>0.80248112105877767</c:v>
                </c:pt>
                <c:pt idx="7">
                  <c:v>0.81388108213312571</c:v>
                </c:pt>
                <c:pt idx="8">
                  <c:v>0.82284527053328138</c:v>
                </c:pt>
              </c:numCache>
            </c:numRef>
          </c:yVal>
          <c:smooth val="1"/>
        </c:ser>
        <c:axId val="75856896"/>
        <c:axId val="75863168"/>
      </c:scatterChart>
      <c:valAx>
        <c:axId val="7585689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5863168"/>
        <c:crosses val="autoZero"/>
        <c:crossBetween val="midCat"/>
        <c:majorUnit val="0.2"/>
      </c:valAx>
      <c:valAx>
        <c:axId val="75863168"/>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75856896"/>
        <c:crosses val="autoZero"/>
        <c:crossBetween val="midCat"/>
      </c:valAx>
      <c:spPr>
        <a:ln>
          <a:solidFill>
            <a:schemeClr val="bg1">
              <a:lumMod val="50000"/>
            </a:schemeClr>
          </a:solidFill>
        </a:ln>
      </c:spPr>
    </c:plotArea>
    <c:legend>
      <c:legendPos val="t"/>
      <c:layout>
        <c:manualLayout>
          <c:xMode val="edge"/>
          <c:yMode val="edge"/>
          <c:x val="0.35385279568998468"/>
          <c:y val="9.1139240506329128E-2"/>
          <c:w val="0.26288245659980625"/>
          <c:h val="6.1039370078740163E-2"/>
        </c:manualLayout>
      </c:layout>
    </c:legend>
    <c:plotVisOnly val="1"/>
  </c:chart>
  <c:spPr>
    <a:ln>
      <a:solidFill>
        <a:schemeClr val="accent1"/>
      </a:solidFill>
    </a:ln>
  </c:spPr>
  <c:printSettings>
    <c:headerFooter/>
    <c:pageMargins b="0.75000000000000355" l="0.70000000000000062" r="0.70000000000000062" t="0.7500000000000035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2900736"/>
        <c:axId val="92923008"/>
      </c:scatterChart>
      <c:valAx>
        <c:axId val="9290073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923008"/>
        <c:crosses val="autoZero"/>
        <c:crossBetween val="midCat"/>
        <c:majorUnit val="0.2"/>
      </c:valAx>
      <c:valAx>
        <c:axId val="9292300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290073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611" l="0.70000000000000062" r="0.70000000000000062" t="0.75000000000000611"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2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2841856"/>
        <c:axId val="92848128"/>
      </c:scatterChart>
      <c:valAx>
        <c:axId val="9284185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848128"/>
        <c:crosses val="autoZero"/>
        <c:crossBetween val="midCat"/>
        <c:majorUnit val="0.2"/>
      </c:valAx>
      <c:valAx>
        <c:axId val="9284812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284185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 r="0.750000000000005" t="1" header="0.5" footer="0.5"/>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2972544"/>
        <c:axId val="92974080"/>
      </c:scatterChart>
      <c:valAx>
        <c:axId val="9297254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974080"/>
        <c:crosses val="autoZero"/>
        <c:crossBetween val="midCat"/>
        <c:majorUnit val="0.2"/>
      </c:valAx>
      <c:valAx>
        <c:axId val="9297408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297254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 r="0.750000000000005" t="1" header="0.5" footer="0.5"/>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2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003776"/>
        <c:axId val="93005696"/>
      </c:scatterChart>
      <c:valAx>
        <c:axId val="930037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005696"/>
        <c:crosses val="autoZero"/>
        <c:crossBetween val="midCat"/>
        <c:majorUnit val="0.2"/>
      </c:valAx>
      <c:valAx>
        <c:axId val="9300569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30037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 r="0.750000000000005" t="1" header="0.5" footer="0.5"/>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040000"/>
        <c:axId val="93058176"/>
      </c:scatterChart>
      <c:valAx>
        <c:axId val="9304000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058176"/>
        <c:crosses val="autoZero"/>
        <c:crossBetween val="midCat"/>
        <c:majorUnit val="0.2"/>
      </c:valAx>
      <c:valAx>
        <c:axId val="9305817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30400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5" r="0.75000000000000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'Pacific Northwest-DT'!$B$10</c:f>
              <c:strCache>
                <c:ptCount val="1"/>
                <c:pt idx="0">
                  <c:v>Runoff</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Northwest-DT'!$B$11:$B$19</c:f>
              <c:numCache>
                <c:formatCode>0.0%</c:formatCode>
                <c:ptCount val="9"/>
                <c:pt idx="0">
                  <c:v>0.6711508830152898</c:v>
                </c:pt>
                <c:pt idx="1">
                  <c:v>0.88147445774564415</c:v>
                </c:pt>
                <c:pt idx="2">
                  <c:v>0.97457627118644063</c:v>
                </c:pt>
                <c:pt idx="3">
                  <c:v>0.99105132155979614</c:v>
                </c:pt>
                <c:pt idx="4">
                  <c:v>0.99573308047884324</c:v>
                </c:pt>
                <c:pt idx="5">
                  <c:v>0.99851843072182056</c:v>
                </c:pt>
                <c:pt idx="6">
                  <c:v>1</c:v>
                </c:pt>
                <c:pt idx="7">
                  <c:v>1</c:v>
                </c:pt>
                <c:pt idx="8">
                  <c:v>1</c:v>
                </c:pt>
              </c:numCache>
            </c:numRef>
          </c:yVal>
          <c:smooth val="1"/>
        </c:ser>
        <c:ser>
          <c:idx val="1"/>
          <c:order val="1"/>
          <c:tx>
            <c:strRef>
              <c:f>'Pacific Northwest-DT'!$C$10</c:f>
              <c:strCache>
                <c:ptCount val="1"/>
                <c:pt idx="0">
                  <c:v>TSS</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Northwest-DT'!$C$11:$C$19</c:f>
              <c:numCache>
                <c:formatCode>0.0%</c:formatCode>
                <c:ptCount val="9"/>
                <c:pt idx="0">
                  <c:v>0.47499235880398671</c:v>
                </c:pt>
                <c:pt idx="1">
                  <c:v>0.63678863312766976</c:v>
                </c:pt>
                <c:pt idx="2">
                  <c:v>0.72471603227337444</c:v>
                </c:pt>
                <c:pt idx="3">
                  <c:v>0.75439702895111527</c:v>
                </c:pt>
                <c:pt idx="4">
                  <c:v>0.7701458234456573</c:v>
                </c:pt>
                <c:pt idx="5">
                  <c:v>0.78210118652112004</c:v>
                </c:pt>
                <c:pt idx="6">
                  <c:v>0.79131139060275268</c:v>
                </c:pt>
                <c:pt idx="7">
                  <c:v>0.80395690555291888</c:v>
                </c:pt>
                <c:pt idx="8">
                  <c:v>0.81430123398196486</c:v>
                </c:pt>
              </c:numCache>
            </c:numRef>
          </c:yVal>
          <c:smooth val="1"/>
        </c:ser>
        <c:axId val="93189632"/>
        <c:axId val="93191552"/>
      </c:scatterChart>
      <c:valAx>
        <c:axId val="9318963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93191552"/>
        <c:crosses val="autoZero"/>
        <c:crossBetween val="midCat"/>
        <c:majorUnit val="0.2"/>
      </c:valAx>
      <c:valAx>
        <c:axId val="93191552"/>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9318963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'Pacific Northwest-DT'!$D$10</c:f>
              <c:strCache>
                <c:ptCount val="1"/>
                <c:pt idx="0">
                  <c:v>Clay</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Northwest-DT'!$D$11:$D$19</c:f>
              <c:numCache>
                <c:formatCode>0.0%</c:formatCode>
                <c:ptCount val="9"/>
                <c:pt idx="0">
                  <c:v>1.2510678690080682E-3</c:v>
                </c:pt>
                <c:pt idx="1">
                  <c:v>2.426672994779307E-3</c:v>
                </c:pt>
                <c:pt idx="2">
                  <c:v>4.6699572852396771E-3</c:v>
                </c:pt>
                <c:pt idx="3">
                  <c:v>6.9135263407688659E-3</c:v>
                </c:pt>
                <c:pt idx="4">
                  <c:v>9.1053630754627437E-3</c:v>
                </c:pt>
                <c:pt idx="5">
                  <c:v>1.1259610821072616E-2</c:v>
                </c:pt>
                <c:pt idx="6">
                  <c:v>1.3384907451352634E-2</c:v>
                </c:pt>
                <c:pt idx="7">
                  <c:v>1.7467489321309919E-2</c:v>
                </c:pt>
                <c:pt idx="8">
                  <c:v>2.1563360227812054E-2</c:v>
                </c:pt>
              </c:numCache>
            </c:numRef>
          </c:yVal>
          <c:smooth val="1"/>
        </c:ser>
        <c:ser>
          <c:idx val="1"/>
          <c:order val="1"/>
          <c:tx>
            <c:strRef>
              <c:f>'Pacific Northwest-DT'!$H$10</c:f>
              <c:strCache>
                <c:ptCount val="1"/>
                <c:pt idx="0">
                  <c:v>Silt</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Northwest-DT'!$H$11:$H$19</c:f>
              <c:numCache>
                <c:formatCode>0.0%</c:formatCode>
                <c:ptCount val="9"/>
                <c:pt idx="0">
                  <c:v>0.31009555450087012</c:v>
                </c:pt>
                <c:pt idx="1">
                  <c:v>0.43599430469862366</c:v>
                </c:pt>
                <c:pt idx="2">
                  <c:v>0.52774845752254396</c:v>
                </c:pt>
                <c:pt idx="3">
                  <c:v>0.57521088435374146</c:v>
                </c:pt>
                <c:pt idx="4">
                  <c:v>0.60479670938142704</c:v>
                </c:pt>
                <c:pt idx="5">
                  <c:v>0.62796076570162962</c:v>
                </c:pt>
                <c:pt idx="6">
                  <c:v>0.6466097136529031</c:v>
                </c:pt>
                <c:pt idx="7">
                  <c:v>0.67425723777883262</c:v>
                </c:pt>
                <c:pt idx="8">
                  <c:v>0.69668406897642787</c:v>
                </c:pt>
              </c:numCache>
            </c:numRef>
          </c:yVal>
          <c:smooth val="1"/>
        </c:ser>
        <c:ser>
          <c:idx val="2"/>
          <c:order val="2"/>
          <c:tx>
            <c:strRef>
              <c:f>'Pacific Northwest-DT'!$I$10</c:f>
              <c:strCache>
                <c:ptCount val="1"/>
                <c:pt idx="0">
                  <c:v>Sand</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Northwest-DT'!$I$11:$I$19</c:f>
              <c:numCache>
                <c:formatCode>0.0%</c:formatCode>
                <c:ptCount val="9"/>
                <c:pt idx="0">
                  <c:v>0.67077361177028949</c:v>
                </c:pt>
                <c:pt idx="1">
                  <c:v>0.88093972472710025</c:v>
                </c:pt>
                <c:pt idx="2">
                  <c:v>0.97399145704793544</c:v>
                </c:pt>
                <c:pt idx="3">
                  <c:v>0.99041290934978643</c:v>
                </c:pt>
                <c:pt idx="4">
                  <c:v>0.99506407214048409</c:v>
                </c:pt>
                <c:pt idx="5">
                  <c:v>0.99791172282866636</c:v>
                </c:pt>
                <c:pt idx="6">
                  <c:v>0.99933554817275749</c:v>
                </c:pt>
                <c:pt idx="7">
                  <c:v>0.99933554817275749</c:v>
                </c:pt>
                <c:pt idx="8">
                  <c:v>0.9994304698623635</c:v>
                </c:pt>
              </c:numCache>
            </c:numRef>
          </c:yVal>
          <c:smooth val="1"/>
        </c:ser>
        <c:axId val="89944064"/>
        <c:axId val="89945984"/>
      </c:scatterChart>
      <c:valAx>
        <c:axId val="89944064"/>
        <c:scaling>
          <c:orientation val="minMax"/>
          <c:max val="2"/>
          <c:min val="0"/>
        </c:scaling>
        <c:axPos val="b"/>
        <c:majorGridlines/>
        <c:title>
          <c:tx>
            <c:rich>
              <a:bodyPr/>
              <a:lstStyle/>
              <a:p>
                <a:pPr>
                  <a:defRPr/>
                </a:pPr>
                <a:r>
                  <a:rPr lang="en-US"/>
                  <a:t>Unit Basin Size (in)</a:t>
                </a:r>
              </a:p>
            </c:rich>
          </c:tx>
        </c:title>
        <c:numFmt formatCode="0.0" sourceLinked="0"/>
        <c:tickLblPos val="nextTo"/>
        <c:crossAx val="89945984"/>
        <c:crosses val="autoZero"/>
        <c:crossBetween val="midCat"/>
        <c:majorUnit val="0.2"/>
      </c:valAx>
      <c:valAx>
        <c:axId val="89945984"/>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9944064"/>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'Pacific Northwest-DT'!$CD$17</c:f>
              <c:strCache>
                <c:ptCount val="1"/>
                <c:pt idx="0">
                  <c:v>Runoff, 3hr DT</c:v>
                </c:pt>
              </c:strCache>
            </c:strRef>
          </c:tx>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'Pacific Northwest-DT'!$CE$17</c:f>
              <c:strCache>
                <c:ptCount val="1"/>
                <c:pt idx="0">
                  <c:v>Runoff, 6hr DT</c:v>
                </c:pt>
              </c:strCache>
            </c:strRef>
          </c:tx>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'Pacific Northwest-DT'!$CF$17</c:f>
              <c:strCache>
                <c:ptCount val="1"/>
                <c:pt idx="0">
                  <c:v>Runoff, 12hr DT</c:v>
                </c:pt>
              </c:strCache>
            </c:strRef>
          </c:tx>
          <c:spPr>
            <a:ln w="31750"/>
          </c:spPr>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'Pacific Northwest-DT'!$CG$17</c:f>
              <c:strCache>
                <c:ptCount val="1"/>
                <c:pt idx="0">
                  <c:v>TSS, 3hr DT</c:v>
                </c:pt>
              </c:strCache>
            </c:strRef>
          </c:tx>
          <c:spPr>
            <a:ln w="31750">
              <a:solidFill>
                <a:schemeClr val="accent1"/>
              </a:solidFill>
              <a:prstDash val="sysDash"/>
            </a:ln>
          </c:spPr>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Northwest-DT'!$CG$18:$CG$26</c:f>
              <c:numCache>
                <c:formatCode>0.0%</c:formatCode>
                <c:ptCount val="9"/>
                <c:pt idx="0">
                  <c:v>0.47499235880398671</c:v>
                </c:pt>
                <c:pt idx="1">
                  <c:v>0.63678863312766976</c:v>
                </c:pt>
                <c:pt idx="2">
                  <c:v>0.72471603227337444</c:v>
                </c:pt>
                <c:pt idx="3">
                  <c:v>0.75439702895111527</c:v>
                </c:pt>
                <c:pt idx="4">
                  <c:v>0.7701458234456573</c:v>
                </c:pt>
                <c:pt idx="5">
                  <c:v>0.78210118652112004</c:v>
                </c:pt>
                <c:pt idx="6">
                  <c:v>0.79131139060275268</c:v>
                </c:pt>
                <c:pt idx="7">
                  <c:v>0.80395690555291888</c:v>
                </c:pt>
                <c:pt idx="8">
                  <c:v>0.81430123398196486</c:v>
                </c:pt>
              </c:numCache>
            </c:numRef>
          </c:yVal>
          <c:smooth val="1"/>
        </c:ser>
        <c:ser>
          <c:idx val="4"/>
          <c:order val="4"/>
          <c:tx>
            <c:strRef>
              <c:f>'Pacific Northwest-DT'!$CH$17</c:f>
              <c:strCache>
                <c:ptCount val="1"/>
                <c:pt idx="0">
                  <c:v>TSS, 6hr DT</c:v>
                </c:pt>
              </c:strCache>
            </c:strRef>
          </c:tx>
          <c:spPr>
            <a:ln w="31750">
              <a:solidFill>
                <a:schemeClr val="accent2"/>
              </a:solidFill>
              <a:prstDash val="sysDash"/>
            </a:ln>
          </c:spPr>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Northwest-DT'!$CH$18:$CH$26</c:f>
              <c:numCache>
                <c:formatCode>0.0%</c:formatCode>
                <c:ptCount val="9"/>
                <c:pt idx="0">
                  <c:v>0.38650341718082581</c:v>
                </c:pt>
                <c:pt idx="1">
                  <c:v>0.56938302800189844</c:v>
                </c:pt>
                <c:pt idx="2">
                  <c:v>0.70767127195064072</c:v>
                </c:pt>
                <c:pt idx="3">
                  <c:v>0.75948404366397715</c:v>
                </c:pt>
                <c:pt idx="4">
                  <c:v>0.78370645467489319</c:v>
                </c:pt>
                <c:pt idx="5">
                  <c:v>0.79380047460844805</c:v>
                </c:pt>
                <c:pt idx="6">
                  <c:v>0.80312154722354057</c:v>
                </c:pt>
                <c:pt idx="7">
                  <c:v>0.8163228286663502</c:v>
                </c:pt>
                <c:pt idx="8">
                  <c:v>0.82673141907925962</c:v>
                </c:pt>
              </c:numCache>
            </c:numRef>
          </c:yVal>
          <c:smooth val="1"/>
        </c:ser>
        <c:ser>
          <c:idx val="5"/>
          <c:order val="5"/>
          <c:tx>
            <c:strRef>
              <c:f>'Pacific Northwest-DT'!$CI$17</c:f>
              <c:strCache>
                <c:ptCount val="1"/>
                <c:pt idx="0">
                  <c:v>TSS, 12hr DT</c:v>
                </c:pt>
              </c:strCache>
            </c:strRef>
          </c:tx>
          <c:spPr>
            <a:ln w="31750">
              <a:solidFill>
                <a:schemeClr val="accent3"/>
              </a:solidFill>
              <a:prstDash val="sysDash"/>
            </a:ln>
          </c:spPr>
          <c:marker>
            <c:symbol val="none"/>
          </c:marker>
          <c:xVal>
            <c:numRef>
              <c:f>'Pacific Northwest-DT'!$CC$18:$CC$26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Northwest-DT'!$CI$18:$CI$26</c:f>
              <c:numCache>
                <c:formatCode>0.0%</c:formatCode>
                <c:ptCount val="9"/>
                <c:pt idx="0">
                  <c:v>0.30205462743236827</c:v>
                </c:pt>
                <c:pt idx="1">
                  <c:v>0.49358999050783109</c:v>
                </c:pt>
                <c:pt idx="2">
                  <c:v>0.66096648789748458</c:v>
                </c:pt>
                <c:pt idx="3">
                  <c:v>0.74158248694826767</c:v>
                </c:pt>
                <c:pt idx="4">
                  <c:v>0.78070066445182729</c:v>
                </c:pt>
                <c:pt idx="5">
                  <c:v>0.79831158044613193</c:v>
                </c:pt>
                <c:pt idx="6">
                  <c:v>0.80955633602278132</c:v>
                </c:pt>
                <c:pt idx="7">
                  <c:v>0.82518618889416229</c:v>
                </c:pt>
                <c:pt idx="8">
                  <c:v>0.83427664926435685</c:v>
                </c:pt>
              </c:numCache>
            </c:numRef>
          </c:yVal>
          <c:smooth val="1"/>
        </c:ser>
        <c:axId val="93404160"/>
        <c:axId val="93418624"/>
      </c:scatterChart>
      <c:valAx>
        <c:axId val="93404160"/>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93418624"/>
        <c:crosses val="autoZero"/>
        <c:crossBetween val="midCat"/>
        <c:majorUnit val="0.2"/>
      </c:valAx>
      <c:valAx>
        <c:axId val="9341862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93404160"/>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'Pacific Northwest-DT'!$B$10</c:f>
              <c:strCache>
                <c:ptCount val="1"/>
                <c:pt idx="0">
                  <c:v>Runoff</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Northwest-DT'!$M$11:$M$19</c:f>
              <c:numCache>
                <c:formatCode>0.0%</c:formatCode>
                <c:ptCount val="9"/>
                <c:pt idx="0">
                  <c:v>0.52111532535261351</c:v>
                </c:pt>
                <c:pt idx="1">
                  <c:v>0.75358539765319421</c:v>
                </c:pt>
                <c:pt idx="2">
                  <c:v>0.92041009837620003</c:v>
                </c:pt>
                <c:pt idx="3">
                  <c:v>0.9700723005807752</c:v>
                </c:pt>
                <c:pt idx="4">
                  <c:v>0.98482873059144249</c:v>
                </c:pt>
                <c:pt idx="5">
                  <c:v>0.99093279601754181</c:v>
                </c:pt>
                <c:pt idx="6">
                  <c:v>0.99407372288728224</c:v>
                </c:pt>
                <c:pt idx="7">
                  <c:v>0.99828137963731189</c:v>
                </c:pt>
                <c:pt idx="8">
                  <c:v>1</c:v>
                </c:pt>
              </c:numCache>
            </c:numRef>
          </c:yVal>
          <c:smooth val="1"/>
        </c:ser>
        <c:ser>
          <c:idx val="1"/>
          <c:order val="1"/>
          <c:tx>
            <c:strRef>
              <c:f>'Pacific Northwest-DT'!$C$10</c:f>
              <c:strCache>
                <c:ptCount val="1"/>
                <c:pt idx="0">
                  <c:v>TSS</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Northwest-DT'!$N$11:$N$19</c:f>
              <c:numCache>
                <c:formatCode>0.0%</c:formatCode>
                <c:ptCount val="9"/>
                <c:pt idx="0">
                  <c:v>0.38650341718082581</c:v>
                </c:pt>
                <c:pt idx="1">
                  <c:v>0.56938302800189844</c:v>
                </c:pt>
                <c:pt idx="2">
                  <c:v>0.70767127195064072</c:v>
                </c:pt>
                <c:pt idx="3">
                  <c:v>0.75948404366397715</c:v>
                </c:pt>
                <c:pt idx="4">
                  <c:v>0.78370645467489319</c:v>
                </c:pt>
                <c:pt idx="5">
                  <c:v>0.79380047460844805</c:v>
                </c:pt>
                <c:pt idx="6">
                  <c:v>0.80312154722354057</c:v>
                </c:pt>
                <c:pt idx="7">
                  <c:v>0.8163228286663502</c:v>
                </c:pt>
                <c:pt idx="8">
                  <c:v>0.82673141907925962</c:v>
                </c:pt>
              </c:numCache>
            </c:numRef>
          </c:yVal>
          <c:smooth val="1"/>
        </c:ser>
        <c:axId val="93332224"/>
        <c:axId val="93334144"/>
      </c:scatterChart>
      <c:valAx>
        <c:axId val="93332224"/>
        <c:scaling>
          <c:orientation val="minMax"/>
          <c:max val="2"/>
          <c:min val="0"/>
        </c:scaling>
        <c:axPos val="b"/>
        <c:majorGridlines/>
        <c:title>
          <c:tx>
            <c:rich>
              <a:bodyPr/>
              <a:lstStyle/>
              <a:p>
                <a:pPr>
                  <a:defRPr/>
                </a:pPr>
                <a:r>
                  <a:rPr lang="en-US"/>
                  <a:t>Unit Basin Size (in)</a:t>
                </a:r>
              </a:p>
            </c:rich>
          </c:tx>
        </c:title>
        <c:numFmt formatCode="0.0" sourceLinked="0"/>
        <c:tickLblPos val="nextTo"/>
        <c:crossAx val="93334144"/>
        <c:crosses val="autoZero"/>
        <c:crossBetween val="midCat"/>
        <c:majorUnit val="0.2"/>
      </c:valAx>
      <c:valAx>
        <c:axId val="93334144"/>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93332224"/>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'Pacific Northwest-DT'!$D$10</c:f>
              <c:strCache>
                <c:ptCount val="1"/>
                <c:pt idx="0">
                  <c:v>Clay</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Northwest-DT'!$O$11:$O$19</c:f>
              <c:numCache>
                <c:formatCode>0.0%</c:formatCode>
                <c:ptCount val="9"/>
                <c:pt idx="0">
                  <c:v>1.4722354057902229E-3</c:v>
                </c:pt>
                <c:pt idx="1">
                  <c:v>3.2182249644043667E-3</c:v>
                </c:pt>
                <c:pt idx="2">
                  <c:v>5.4093023255813956E-3</c:v>
                </c:pt>
                <c:pt idx="3">
                  <c:v>8.1526340768865689E-3</c:v>
                </c:pt>
                <c:pt idx="4">
                  <c:v>1.0863787375415282E-2</c:v>
                </c:pt>
                <c:pt idx="5">
                  <c:v>1.288656858092074E-2</c:v>
                </c:pt>
                <c:pt idx="6">
                  <c:v>1.54921689606075E-2</c:v>
                </c:pt>
                <c:pt idx="7">
                  <c:v>2.0068343616516372E-2</c:v>
                </c:pt>
                <c:pt idx="8">
                  <c:v>2.4917892738490745E-2</c:v>
                </c:pt>
              </c:numCache>
            </c:numRef>
          </c:yVal>
          <c:smooth val="1"/>
        </c:ser>
        <c:ser>
          <c:idx val="1"/>
          <c:order val="1"/>
          <c:tx>
            <c:strRef>
              <c:f>'Pacific Northwest-DT'!$H$10</c:f>
              <c:strCache>
                <c:ptCount val="1"/>
                <c:pt idx="0">
                  <c:v>Silt</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Northwest-DT'!$S$11:$S$19</c:f>
              <c:numCache>
                <c:formatCode>0.0%</c:formatCode>
                <c:ptCount val="9"/>
                <c:pt idx="0">
                  <c:v>0.28007973421926913</c:v>
                </c:pt>
                <c:pt idx="1">
                  <c:v>0.42802404682803358</c:v>
                </c:pt>
                <c:pt idx="2">
                  <c:v>0.5498006644518274</c:v>
                </c:pt>
                <c:pt idx="3">
                  <c:v>0.60958076253757321</c:v>
                </c:pt>
                <c:pt idx="4">
                  <c:v>0.64665401044138593</c:v>
                </c:pt>
                <c:pt idx="5">
                  <c:v>0.66211042556557509</c:v>
                </c:pt>
                <c:pt idx="6">
                  <c:v>0.67905394716025946</c:v>
                </c:pt>
                <c:pt idx="7">
                  <c:v>0.70313557981332064</c:v>
                </c:pt>
                <c:pt idx="8">
                  <c:v>0.72382850814744504</c:v>
                </c:pt>
              </c:numCache>
            </c:numRef>
          </c:yVal>
          <c:smooth val="1"/>
        </c:ser>
        <c:ser>
          <c:idx val="2"/>
          <c:order val="2"/>
          <c:tx>
            <c:strRef>
              <c:f>'Pacific Northwest-DT'!$I$10</c:f>
              <c:strCache>
                <c:ptCount val="1"/>
                <c:pt idx="0">
                  <c:v>Sand</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Northwest-DT'!$T$11:$T$19</c:f>
              <c:numCache>
                <c:formatCode>0.0%</c:formatCode>
                <c:ptCount val="9"/>
                <c:pt idx="0">
                  <c:v>0.5207878500237304</c:v>
                </c:pt>
                <c:pt idx="1">
                  <c:v>0.75322259136212621</c:v>
                </c:pt>
                <c:pt idx="2">
                  <c:v>0.91998101566207879</c:v>
                </c:pt>
                <c:pt idx="3">
                  <c:v>0.96953013763644991</c:v>
                </c:pt>
                <c:pt idx="4">
                  <c:v>0.98433792121499764</c:v>
                </c:pt>
                <c:pt idx="5">
                  <c:v>0.99041290934978643</c:v>
                </c:pt>
                <c:pt idx="6">
                  <c:v>0.99354532510678695</c:v>
                </c:pt>
                <c:pt idx="7">
                  <c:v>0.99781680113906024</c:v>
                </c:pt>
                <c:pt idx="8">
                  <c:v>0.99952539155196962</c:v>
                </c:pt>
              </c:numCache>
            </c:numRef>
          </c:yVal>
          <c:smooth val="1"/>
        </c:ser>
        <c:axId val="93368704"/>
        <c:axId val="93370624"/>
      </c:scatterChart>
      <c:valAx>
        <c:axId val="93368704"/>
        <c:scaling>
          <c:orientation val="minMax"/>
          <c:max val="2"/>
          <c:min val="0"/>
        </c:scaling>
        <c:axPos val="b"/>
        <c:majorGridlines/>
        <c:title>
          <c:tx>
            <c:rich>
              <a:bodyPr/>
              <a:lstStyle/>
              <a:p>
                <a:pPr>
                  <a:defRPr/>
                </a:pPr>
                <a:r>
                  <a:rPr lang="en-US"/>
                  <a:t>Unit Basin Size (in)</a:t>
                </a:r>
              </a:p>
            </c:rich>
          </c:tx>
        </c:title>
        <c:numFmt formatCode="0.0" sourceLinked="0"/>
        <c:tickLblPos val="nextTo"/>
        <c:crossAx val="93370624"/>
        <c:crosses val="autoZero"/>
        <c:crossBetween val="midCat"/>
        <c:majorUnit val="0.2"/>
      </c:valAx>
      <c:valAx>
        <c:axId val="93370624"/>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336870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76"/>
          <c:w val="0.76058563966632964"/>
          <c:h val="0.6115858740406267"/>
        </c:manualLayout>
      </c:layout>
      <c:scatterChart>
        <c:scatterStyle val="smoothMarker"/>
        <c:ser>
          <c:idx val="0"/>
          <c:order val="0"/>
          <c:tx>
            <c:strRef>
              <c:f>'Northeast Coastal-DT'!$D$10</c:f>
              <c:strCache>
                <c:ptCount val="1"/>
                <c:pt idx="0">
                  <c:v>Clay</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Coastal-DT'!$O$11:$O$19</c:f>
              <c:numCache>
                <c:formatCode>0.0%</c:formatCode>
                <c:ptCount val="9"/>
                <c:pt idx="0">
                  <c:v>1.4540028545478136E-3</c:v>
                </c:pt>
                <c:pt idx="1">
                  <c:v>3.1887894122226549E-3</c:v>
                </c:pt>
                <c:pt idx="2">
                  <c:v>5.3250291942390036E-3</c:v>
                </c:pt>
                <c:pt idx="3">
                  <c:v>7.9667834436226801E-3</c:v>
                </c:pt>
                <c:pt idx="4">
                  <c:v>1.0555339301933307E-2</c:v>
                </c:pt>
                <c:pt idx="5">
                  <c:v>1.2491760736992345E-2</c:v>
                </c:pt>
                <c:pt idx="6">
                  <c:v>1.4965615674062542E-2</c:v>
                </c:pt>
                <c:pt idx="7">
                  <c:v>1.9298040742182429E-2</c:v>
                </c:pt>
                <c:pt idx="8">
                  <c:v>2.3896457765667574E-2</c:v>
                </c:pt>
              </c:numCache>
            </c:numRef>
          </c:yVal>
          <c:smooth val="1"/>
        </c:ser>
        <c:ser>
          <c:idx val="1"/>
          <c:order val="1"/>
          <c:tx>
            <c:strRef>
              <c:f>'Northeast Coastal-DT'!$H$10</c:f>
              <c:strCache>
                <c:ptCount val="1"/>
                <c:pt idx="0">
                  <c:v>Silt</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Coastal-DT'!$S$11:$S$19</c:f>
              <c:numCache>
                <c:formatCode>0.0%</c:formatCode>
                <c:ptCount val="9"/>
                <c:pt idx="0">
                  <c:v>0.26541585571558324</c:v>
                </c:pt>
                <c:pt idx="1">
                  <c:v>0.41182128800657419</c:v>
                </c:pt>
                <c:pt idx="2">
                  <c:v>0.53624843216123863</c:v>
                </c:pt>
                <c:pt idx="3">
                  <c:v>0.60063751567838763</c:v>
                </c:pt>
                <c:pt idx="4">
                  <c:v>0.64087323212663816</c:v>
                </c:pt>
                <c:pt idx="5">
                  <c:v>0.65709528134596251</c:v>
                </c:pt>
                <c:pt idx="6">
                  <c:v>0.67331430301457551</c:v>
                </c:pt>
                <c:pt idx="7">
                  <c:v>0.6963063881320013</c:v>
                </c:pt>
                <c:pt idx="8">
                  <c:v>0.71568703775788245</c:v>
                </c:pt>
              </c:numCache>
            </c:numRef>
          </c:yVal>
          <c:smooth val="1"/>
        </c:ser>
        <c:ser>
          <c:idx val="2"/>
          <c:order val="2"/>
          <c:tx>
            <c:strRef>
              <c:f>'Northeast Coastal-DT'!$I$10</c:f>
              <c:strCache>
                <c:ptCount val="1"/>
                <c:pt idx="0">
                  <c:v>Sand</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Coastal-DT'!$T$11:$T$19</c:f>
              <c:numCache>
                <c:formatCode>0.0%</c:formatCode>
                <c:ptCount val="9"/>
                <c:pt idx="0">
                  <c:v>0.49208511742571687</c:v>
                </c:pt>
                <c:pt idx="1">
                  <c:v>0.72522382249902684</c:v>
                </c:pt>
                <c:pt idx="2">
                  <c:v>0.90073958738808879</c:v>
                </c:pt>
                <c:pt idx="3">
                  <c:v>0.96474633450110292</c:v>
                </c:pt>
                <c:pt idx="4">
                  <c:v>0.98821850265991951</c:v>
                </c:pt>
                <c:pt idx="5">
                  <c:v>0.99558842610613729</c:v>
                </c:pt>
                <c:pt idx="6">
                  <c:v>0.99748280783703136</c:v>
                </c:pt>
                <c:pt idx="7">
                  <c:v>0.99915661087323215</c:v>
                </c:pt>
                <c:pt idx="8">
                  <c:v>0.99918256130790184</c:v>
                </c:pt>
              </c:numCache>
            </c:numRef>
          </c:yVal>
          <c:smooth val="1"/>
        </c:ser>
        <c:axId val="75958912"/>
        <c:axId val="75977472"/>
      </c:scatterChart>
      <c:valAx>
        <c:axId val="75958912"/>
        <c:scaling>
          <c:orientation val="minMax"/>
          <c:max val="2"/>
          <c:min val="0"/>
        </c:scaling>
        <c:axPos val="b"/>
        <c:majorGridlines/>
        <c:title>
          <c:tx>
            <c:rich>
              <a:bodyPr/>
              <a:lstStyle/>
              <a:p>
                <a:pPr>
                  <a:defRPr/>
                </a:pPr>
                <a:r>
                  <a:rPr lang="en-US"/>
                  <a:t>Unit Basin Size (in)</a:t>
                </a:r>
              </a:p>
            </c:rich>
          </c:tx>
        </c:title>
        <c:numFmt formatCode="0.0" sourceLinked="0"/>
        <c:tickLblPos val="nextTo"/>
        <c:crossAx val="75977472"/>
        <c:crosses val="autoZero"/>
        <c:crossBetween val="midCat"/>
        <c:majorUnit val="0.2"/>
      </c:valAx>
      <c:valAx>
        <c:axId val="7597747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197"/>
            </c:manualLayout>
          </c:layout>
        </c:title>
        <c:numFmt formatCode="0%" sourceLinked="0"/>
        <c:tickLblPos val="nextTo"/>
        <c:crossAx val="75958912"/>
        <c:crosses val="autoZero"/>
        <c:crossBetween val="midCat"/>
      </c:valAx>
      <c:spPr>
        <a:ln>
          <a:solidFill>
            <a:schemeClr val="bg1">
              <a:lumMod val="50000"/>
            </a:schemeClr>
          </a:solidFill>
        </a:ln>
      </c:spPr>
    </c:plotArea>
    <c:legend>
      <c:legendPos val="t"/>
      <c:layout>
        <c:manualLayout>
          <c:xMode val="edge"/>
          <c:yMode val="edge"/>
          <c:x val="0.35980946153357346"/>
          <c:y val="0.10300157977883168"/>
          <c:w val="0.35307659269864333"/>
          <c:h val="5.8520755293937757E-2"/>
        </c:manualLayout>
      </c:layout>
    </c:legend>
    <c:plotVisOnly val="1"/>
  </c:chart>
  <c:spPr>
    <a:ln>
      <a:solidFill>
        <a:schemeClr val="accent1"/>
      </a:solidFill>
    </a:ln>
  </c:spPr>
  <c:printSettings>
    <c:headerFooter/>
    <c:pageMargins b="0.75000000000000377" l="0.70000000000000062" r="0.70000000000000062" t="0.7500000000000037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'Pacific Northwest-DT'!$B$10</c:f>
              <c:strCache>
                <c:ptCount val="1"/>
                <c:pt idx="0">
                  <c:v>Runoff</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Northwest-DT'!$X$11:$X$19</c:f>
              <c:numCache>
                <c:formatCode>0.0%</c:formatCode>
                <c:ptCount val="9"/>
                <c:pt idx="0">
                  <c:v>0.38325234087945953</c:v>
                </c:pt>
                <c:pt idx="1">
                  <c:v>0.6223776223776224</c:v>
                </c:pt>
                <c:pt idx="2">
                  <c:v>0.82357473035439133</c:v>
                </c:pt>
                <c:pt idx="3">
                  <c:v>0.91572833945715304</c:v>
                </c:pt>
                <c:pt idx="4">
                  <c:v>0.95733080478843191</c:v>
                </c:pt>
                <c:pt idx="5">
                  <c:v>0.97279838805262531</c:v>
                </c:pt>
                <c:pt idx="6">
                  <c:v>0.98115443878155739</c:v>
                </c:pt>
                <c:pt idx="7">
                  <c:v>0.99063648216190592</c:v>
                </c:pt>
                <c:pt idx="8">
                  <c:v>0.99490340168306268</c:v>
                </c:pt>
              </c:numCache>
            </c:numRef>
          </c:yVal>
          <c:smooth val="1"/>
        </c:ser>
        <c:ser>
          <c:idx val="1"/>
          <c:order val="1"/>
          <c:tx>
            <c:strRef>
              <c:f>'Pacific Northwest-DT'!$C$10</c:f>
              <c:strCache>
                <c:ptCount val="1"/>
                <c:pt idx="0">
                  <c:v>TSS</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Northwest-DT'!$Y$11:$Y$19</c:f>
              <c:numCache>
                <c:formatCode>0.0%</c:formatCode>
                <c:ptCount val="9"/>
                <c:pt idx="0">
                  <c:v>0.30205462743236827</c:v>
                </c:pt>
                <c:pt idx="1">
                  <c:v>0.49358999050783109</c:v>
                </c:pt>
                <c:pt idx="2">
                  <c:v>0.66096648789748458</c:v>
                </c:pt>
                <c:pt idx="3">
                  <c:v>0.74158248694826767</c:v>
                </c:pt>
                <c:pt idx="4">
                  <c:v>0.78070066445182729</c:v>
                </c:pt>
                <c:pt idx="5">
                  <c:v>0.79831158044613193</c:v>
                </c:pt>
                <c:pt idx="6">
                  <c:v>0.80955633602278132</c:v>
                </c:pt>
                <c:pt idx="7">
                  <c:v>0.82518618889416229</c:v>
                </c:pt>
                <c:pt idx="8">
                  <c:v>0.83427664926435685</c:v>
                </c:pt>
              </c:numCache>
            </c:numRef>
          </c:yVal>
          <c:smooth val="1"/>
        </c:ser>
        <c:axId val="93531136"/>
        <c:axId val="93545600"/>
      </c:scatterChart>
      <c:valAx>
        <c:axId val="93531136"/>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93545600"/>
        <c:crosses val="autoZero"/>
        <c:crossBetween val="midCat"/>
        <c:majorUnit val="0.2"/>
      </c:valAx>
      <c:valAx>
        <c:axId val="9354560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93531136"/>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'Pacific Northwest-DT'!$D$10</c:f>
              <c:strCache>
                <c:ptCount val="1"/>
                <c:pt idx="0">
                  <c:v>Clay</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Northwest-DT'!$Z$11:$Z$19</c:f>
              <c:numCache>
                <c:formatCode>0.0%</c:formatCode>
                <c:ptCount val="9"/>
                <c:pt idx="0">
                  <c:v>2.0740389178927386E-3</c:v>
                </c:pt>
                <c:pt idx="1">
                  <c:v>3.9915519696250594E-3</c:v>
                </c:pt>
                <c:pt idx="2">
                  <c:v>7.1987660180351208E-3</c:v>
                </c:pt>
                <c:pt idx="3">
                  <c:v>1.0320835310868534E-2</c:v>
                </c:pt>
                <c:pt idx="4">
                  <c:v>1.3282392026578074E-2</c:v>
                </c:pt>
                <c:pt idx="5">
                  <c:v>1.60749881347888E-2</c:v>
                </c:pt>
                <c:pt idx="6">
                  <c:v>1.8900806834361652E-2</c:v>
                </c:pt>
                <c:pt idx="7">
                  <c:v>2.4805885144755575E-2</c:v>
                </c:pt>
                <c:pt idx="8">
                  <c:v>2.9263407688656859E-2</c:v>
                </c:pt>
              </c:numCache>
            </c:numRef>
          </c:yVal>
          <c:smooth val="1"/>
        </c:ser>
        <c:ser>
          <c:idx val="1"/>
          <c:order val="1"/>
          <c:tx>
            <c:strRef>
              <c:f>'Pacific Northwest-DT'!$H$10</c:f>
              <c:strCache>
                <c:ptCount val="1"/>
                <c:pt idx="0">
                  <c:v>Silt</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Northwest-DT'!$AD$11:$AD$19</c:f>
              <c:numCache>
                <c:formatCode>0.0%</c:formatCode>
                <c:ptCount val="9"/>
                <c:pt idx="0">
                  <c:v>0.24546812213257396</c:v>
                </c:pt>
                <c:pt idx="1">
                  <c:v>0.4053826926119285</c:v>
                </c:pt>
                <c:pt idx="2">
                  <c:v>0.55338079417813635</c:v>
                </c:pt>
                <c:pt idx="3">
                  <c:v>0.62986552760639147</c:v>
                </c:pt>
                <c:pt idx="4">
                  <c:v>0.67039708906818551</c:v>
                </c:pt>
                <c:pt idx="5">
                  <c:v>0.6919253282708433</c:v>
                </c:pt>
                <c:pt idx="6">
                  <c:v>0.70731846226862849</c:v>
                </c:pt>
                <c:pt idx="7">
                  <c:v>0.73095396298054116</c:v>
                </c:pt>
                <c:pt idx="8">
                  <c:v>0.74591362126245853</c:v>
                </c:pt>
              </c:numCache>
            </c:numRef>
          </c:yVal>
          <c:smooth val="1"/>
        </c:ser>
        <c:ser>
          <c:idx val="2"/>
          <c:order val="2"/>
          <c:tx>
            <c:strRef>
              <c:f>'Pacific Northwest-DT'!$I$10</c:f>
              <c:strCache>
                <c:ptCount val="1"/>
                <c:pt idx="0">
                  <c:v>Sand</c:v>
                </c:pt>
              </c:strCache>
            </c:strRef>
          </c:tx>
          <c:xVal>
            <c:numRef>
              <c:f>'Pacific Northwest-DT'!$A$11:$A$19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'Pacific Northwest-DT'!$AE$11:$AE$19</c:f>
              <c:numCache>
                <c:formatCode>0.0%</c:formatCode>
                <c:ptCount val="9"/>
                <c:pt idx="0">
                  <c:v>0.38298054105363072</c:v>
                </c:pt>
                <c:pt idx="1">
                  <c:v>0.621936402467964</c:v>
                </c:pt>
                <c:pt idx="2">
                  <c:v>0.82317038443284296</c:v>
                </c:pt>
                <c:pt idx="3">
                  <c:v>0.91525391551969637</c:v>
                </c:pt>
                <c:pt idx="4">
                  <c:v>0.95671570953962981</c:v>
                </c:pt>
                <c:pt idx="5">
                  <c:v>0.97228286663502606</c:v>
                </c:pt>
                <c:pt idx="6">
                  <c:v>0.98063597532036073</c:v>
                </c:pt>
                <c:pt idx="7">
                  <c:v>0.99003322259136217</c:v>
                </c:pt>
                <c:pt idx="8">
                  <c:v>0.99430469862363546</c:v>
                </c:pt>
              </c:numCache>
            </c:numRef>
          </c:yVal>
          <c:smooth val="1"/>
        </c:ser>
        <c:axId val="93592192"/>
        <c:axId val="93598464"/>
      </c:scatterChart>
      <c:valAx>
        <c:axId val="93592192"/>
        <c:scaling>
          <c:orientation val="minMax"/>
          <c:max val="2"/>
          <c:min val="0"/>
        </c:scaling>
        <c:axPos val="b"/>
        <c:majorGridlines/>
        <c:title>
          <c:tx>
            <c:rich>
              <a:bodyPr/>
              <a:lstStyle/>
              <a:p>
                <a:pPr>
                  <a:defRPr/>
                </a:pPr>
                <a:r>
                  <a:rPr lang="en-US"/>
                  <a:t>Unit Basin Size (in)</a:t>
                </a:r>
              </a:p>
            </c:rich>
          </c:tx>
        </c:title>
        <c:numFmt formatCode="0.0" sourceLinked="0"/>
        <c:tickLblPos val="nextTo"/>
        <c:crossAx val="93598464"/>
        <c:crosses val="autoZero"/>
        <c:crossBetween val="midCat"/>
        <c:majorUnit val="0.2"/>
      </c:valAx>
      <c:valAx>
        <c:axId val="93598464"/>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93592192"/>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765632"/>
        <c:axId val="93767552"/>
      </c:scatterChart>
      <c:valAx>
        <c:axId val="9376563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767552"/>
        <c:crosses val="autoZero"/>
        <c:crossBetween val="midCat"/>
        <c:majorUnit val="0.2"/>
      </c:valAx>
      <c:valAx>
        <c:axId val="9376755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376563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662592"/>
        <c:axId val="93676672"/>
      </c:scatterChart>
      <c:valAx>
        <c:axId val="9366259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676672"/>
        <c:crosses val="autoZero"/>
        <c:crossBetween val="midCat"/>
        <c:majorUnit val="0.2"/>
      </c:valAx>
      <c:valAx>
        <c:axId val="93676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366259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702016"/>
        <c:axId val="93782016"/>
      </c:scatterChart>
      <c:valAx>
        <c:axId val="9370201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782016"/>
        <c:crosses val="autoZero"/>
        <c:crossBetween val="midCat"/>
        <c:majorUnit val="0.2"/>
      </c:valAx>
      <c:valAx>
        <c:axId val="9378201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370201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836800"/>
        <c:axId val="93838336"/>
      </c:scatterChart>
      <c:valAx>
        <c:axId val="9383680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838336"/>
        <c:crosses val="autoZero"/>
        <c:crossBetween val="midCat"/>
        <c:majorUnit val="0.2"/>
      </c:valAx>
      <c:valAx>
        <c:axId val="9383833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38368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900800"/>
        <c:axId val="93902720"/>
      </c:scatterChart>
      <c:valAx>
        <c:axId val="939008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902720"/>
        <c:crosses val="autoZero"/>
        <c:crossBetween val="midCat"/>
        <c:majorUnit val="0.2"/>
      </c:valAx>
      <c:valAx>
        <c:axId val="939027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390080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3982080"/>
        <c:axId val="93992064"/>
      </c:scatterChart>
      <c:valAx>
        <c:axId val="9398208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992064"/>
        <c:crosses val="autoZero"/>
        <c:crossBetween val="midCat"/>
        <c:majorUnit val="0.2"/>
      </c:valAx>
      <c:valAx>
        <c:axId val="9399206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398208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'Pacific Northwest-MF'!$A$30:$A$35</c:f>
              <c:numCache>
                <c:formatCode>0</c:formatCode>
                <c:ptCount val="6"/>
                <c:pt idx="0">
                  <c:v>100</c:v>
                </c:pt>
                <c:pt idx="1">
                  <c:v>200</c:v>
                </c:pt>
                <c:pt idx="2">
                  <c:v>400</c:v>
                </c:pt>
                <c:pt idx="3">
                  <c:v>600</c:v>
                </c:pt>
                <c:pt idx="4">
                  <c:v>800</c:v>
                </c:pt>
                <c:pt idx="5">
                  <c:v>1000</c:v>
                </c:pt>
              </c:numCache>
            </c:numRef>
          </c:xVal>
          <c:yVal>
            <c:numRef>
              <c:f>'Pacific Northwest-MF'!$B$30:$B$35</c:f>
              <c:numCache>
                <c:formatCode>0.0%</c:formatCode>
                <c:ptCount val="6"/>
                <c:pt idx="0">
                  <c:v>0.13329990561585653</c:v>
                </c:pt>
                <c:pt idx="1">
                  <c:v>0.2389747522416234</c:v>
                </c:pt>
                <c:pt idx="2">
                  <c:v>0.40814653138272772</c:v>
                </c:pt>
                <c:pt idx="3">
                  <c:v>0.53303445021236429</c:v>
                </c:pt>
                <c:pt idx="4">
                  <c:v>0.62859839546956109</c:v>
                </c:pt>
                <c:pt idx="5">
                  <c:v>0.70310287871637567</c:v>
                </c:pt>
              </c:numCache>
            </c:numRef>
          </c:yVal>
          <c:smooth val="1"/>
        </c:ser>
        <c:ser>
          <c:idx val="1"/>
          <c:order val="1"/>
          <c:tx>
            <c:v>%Treated_5 in/hr</c:v>
          </c:tx>
          <c:xVal>
            <c:numRef>
              <c:f>'Pacific Northwest-MF'!$A$30:$A$35</c:f>
              <c:numCache>
                <c:formatCode>0</c:formatCode>
                <c:ptCount val="6"/>
                <c:pt idx="0">
                  <c:v>100</c:v>
                </c:pt>
                <c:pt idx="1">
                  <c:v>200</c:v>
                </c:pt>
                <c:pt idx="2">
                  <c:v>400</c:v>
                </c:pt>
                <c:pt idx="3">
                  <c:v>600</c:v>
                </c:pt>
                <c:pt idx="4">
                  <c:v>800</c:v>
                </c:pt>
                <c:pt idx="5">
                  <c:v>1000</c:v>
                </c:pt>
              </c:numCache>
            </c:numRef>
          </c:xVal>
          <c:yVal>
            <c:numRef>
              <c:f>'Pacific Northwest-MF'!$C$30:$C$35</c:f>
              <c:numCache>
                <c:formatCode>0.0%</c:formatCode>
                <c:ptCount val="6"/>
                <c:pt idx="0">
                  <c:v>0.3167708824917414</c:v>
                </c:pt>
                <c:pt idx="1">
                  <c:v>0.51144997640396417</c:v>
                </c:pt>
                <c:pt idx="2">
                  <c:v>0.73873289287399713</c:v>
                </c:pt>
                <c:pt idx="3">
                  <c:v>0.85453043888626712</c:v>
                </c:pt>
                <c:pt idx="4">
                  <c:v>0.91593912222746576</c:v>
                </c:pt>
                <c:pt idx="5">
                  <c:v>0.94944549315714954</c:v>
                </c:pt>
              </c:numCache>
            </c:numRef>
          </c:yVal>
          <c:smooth val="1"/>
        </c:ser>
        <c:ser>
          <c:idx val="0"/>
          <c:order val="2"/>
          <c:tx>
            <c:v>%Treated_50 in/hr</c:v>
          </c:tx>
          <c:xVal>
            <c:numRef>
              <c:f>'Pacific Northwest-MF'!$A$30:$A$35</c:f>
              <c:numCache>
                <c:formatCode>0</c:formatCode>
                <c:ptCount val="6"/>
                <c:pt idx="0">
                  <c:v>100</c:v>
                </c:pt>
                <c:pt idx="1">
                  <c:v>200</c:v>
                </c:pt>
                <c:pt idx="2">
                  <c:v>400</c:v>
                </c:pt>
                <c:pt idx="3">
                  <c:v>600</c:v>
                </c:pt>
                <c:pt idx="4">
                  <c:v>800</c:v>
                </c:pt>
                <c:pt idx="5">
                  <c:v>1000</c:v>
                </c:pt>
              </c:numCache>
            </c:numRef>
          </c:xVal>
          <c:yVal>
            <c:numRef>
              <c:f>'Pacific Northwest-MF'!$D$30:$D$35</c:f>
              <c:numCache>
                <c:formatCode>0.0%</c:formatCode>
                <c:ptCount val="6"/>
                <c:pt idx="0">
                  <c:v>0.83848513449740447</c:v>
                </c:pt>
                <c:pt idx="1">
                  <c:v>0.94626002831524303</c:v>
                </c:pt>
                <c:pt idx="2">
                  <c:v>0.98749410099103352</c:v>
                </c:pt>
                <c:pt idx="3">
                  <c:v>0.9949268522888155</c:v>
                </c:pt>
                <c:pt idx="4">
                  <c:v>0.99769938650306744</c:v>
                </c:pt>
                <c:pt idx="5">
                  <c:v>0.99870221802737136</c:v>
                </c:pt>
              </c:numCache>
            </c:numRef>
          </c:yVal>
          <c:smooth val="1"/>
        </c:ser>
        <c:axId val="94042368"/>
        <c:axId val="93921664"/>
      </c:scatterChart>
      <c:scatterChart>
        <c:scatterStyle val="smoothMarker"/>
        <c:ser>
          <c:idx val="5"/>
          <c:order val="3"/>
          <c:tx>
            <c:v>Contact Time_1 in/hr</c:v>
          </c:tx>
          <c:spPr>
            <a:ln>
              <a:solidFill>
                <a:schemeClr val="accent3">
                  <a:lumMod val="75000"/>
                </a:schemeClr>
              </a:solidFill>
            </a:ln>
          </c:spPr>
          <c:marker>
            <c:symbol val="none"/>
          </c:marker>
          <c:xVal>
            <c:numRef>
              <c:f>'Pacific Northwest-MF'!$A$30:$A$35</c:f>
              <c:numCache>
                <c:formatCode>0</c:formatCode>
                <c:ptCount val="6"/>
                <c:pt idx="0">
                  <c:v>100</c:v>
                </c:pt>
                <c:pt idx="1">
                  <c:v>200</c:v>
                </c:pt>
                <c:pt idx="2">
                  <c:v>400</c:v>
                </c:pt>
                <c:pt idx="3">
                  <c:v>600</c:v>
                </c:pt>
                <c:pt idx="4">
                  <c:v>800</c:v>
                </c:pt>
                <c:pt idx="5">
                  <c:v>1000</c:v>
                </c:pt>
              </c:numCache>
            </c:numRef>
          </c:xVal>
          <c:yVal>
            <c:numRef>
              <c:f>'Pacific Northwest-MF'!$E$30:$E$35</c:f>
              <c:numCache>
                <c:formatCode>0.0</c:formatCode>
                <c:ptCount val="6"/>
                <c:pt idx="0">
                  <c:v>7.6073726308468084</c:v>
                </c:pt>
                <c:pt idx="1">
                  <c:v>8.5673442212039319</c:v>
                </c:pt>
                <c:pt idx="2">
                  <c:v>10.11559231850821</c:v>
                </c:pt>
                <c:pt idx="3">
                  <c:v>11.392116655274551</c:v>
                </c:pt>
                <c:pt idx="4">
                  <c:v>12.577260313353458</c:v>
                </c:pt>
                <c:pt idx="5">
                  <c:v>13.753320444507318</c:v>
                </c:pt>
              </c:numCache>
            </c:numRef>
          </c:yVal>
          <c:smooth val="1"/>
        </c:ser>
        <c:ser>
          <c:idx val="4"/>
          <c:order val="4"/>
          <c:tx>
            <c:v>Contact Time_5 in/hr</c:v>
          </c:tx>
          <c:spPr>
            <a:ln>
              <a:solidFill>
                <a:srgbClr val="8A0000"/>
              </a:solidFill>
            </a:ln>
          </c:spPr>
          <c:marker>
            <c:symbol val="none"/>
          </c:marker>
          <c:xVal>
            <c:numRef>
              <c:f>'Pacific Northwest-MF'!$A$30:$A$35</c:f>
              <c:numCache>
                <c:formatCode>0</c:formatCode>
                <c:ptCount val="6"/>
                <c:pt idx="0">
                  <c:v>100</c:v>
                </c:pt>
                <c:pt idx="1">
                  <c:v>200</c:v>
                </c:pt>
                <c:pt idx="2">
                  <c:v>400</c:v>
                </c:pt>
                <c:pt idx="3">
                  <c:v>600</c:v>
                </c:pt>
                <c:pt idx="4">
                  <c:v>800</c:v>
                </c:pt>
                <c:pt idx="5">
                  <c:v>1000</c:v>
                </c:pt>
              </c:numCache>
            </c:numRef>
          </c:xVal>
          <c:yVal>
            <c:numRef>
              <c:f>'Pacific Northwest-MF'!$F$30:$F$35</c:f>
              <c:numCache>
                <c:formatCode>0.0</c:formatCode>
                <c:ptCount val="6"/>
                <c:pt idx="0">
                  <c:v>2.1167937952540279</c:v>
                </c:pt>
                <c:pt idx="1">
                  <c:v>2.639756237366881</c:v>
                </c:pt>
                <c:pt idx="2">
                  <c:v>3.6698017258553257</c:v>
                </c:pt>
                <c:pt idx="3">
                  <c:v>4.7816167329262127</c:v>
                </c:pt>
                <c:pt idx="4">
                  <c:v>5.9592979946962243</c:v>
                </c:pt>
                <c:pt idx="5">
                  <c:v>7.1960491634078849</c:v>
                </c:pt>
              </c:numCache>
            </c:numRef>
          </c:yVal>
          <c:smooth val="1"/>
        </c:ser>
        <c:ser>
          <c:idx val="3"/>
          <c:order val="5"/>
          <c:tx>
            <c:v>Contact Time_50 in/hr</c:v>
          </c:tx>
          <c:spPr>
            <a:ln>
              <a:solidFill>
                <a:schemeClr val="accent1">
                  <a:lumMod val="75000"/>
                </a:schemeClr>
              </a:solidFill>
            </a:ln>
          </c:spPr>
          <c:marker>
            <c:symbol val="none"/>
          </c:marker>
          <c:xVal>
            <c:numRef>
              <c:f>'Pacific Northwest-MF'!$A$30:$A$35</c:f>
              <c:numCache>
                <c:formatCode>0</c:formatCode>
                <c:ptCount val="6"/>
                <c:pt idx="0">
                  <c:v>100</c:v>
                </c:pt>
                <c:pt idx="1">
                  <c:v>200</c:v>
                </c:pt>
                <c:pt idx="2">
                  <c:v>400</c:v>
                </c:pt>
                <c:pt idx="3">
                  <c:v>600</c:v>
                </c:pt>
                <c:pt idx="4">
                  <c:v>800</c:v>
                </c:pt>
                <c:pt idx="5">
                  <c:v>1000</c:v>
                </c:pt>
              </c:numCache>
            </c:numRef>
          </c:xVal>
          <c:yVal>
            <c:numRef>
              <c:f>'Pacific Northwest-MF'!$G$30:$G$35</c:f>
              <c:numCache>
                <c:formatCode>0.0</c:formatCode>
                <c:ptCount val="6"/>
                <c:pt idx="0">
                  <c:v>0.79501367423519698</c:v>
                </c:pt>
                <c:pt idx="1">
                  <c:v>1.4345379353310299</c:v>
                </c:pt>
                <c:pt idx="2">
                  <c:v>2.7774801906144977</c:v>
                </c:pt>
                <c:pt idx="3">
                  <c:v>4.1446114130756566</c:v>
                </c:pt>
                <c:pt idx="4">
                  <c:v>5.5161544523246651</c:v>
                </c:pt>
                <c:pt idx="5">
                  <c:v>6.8917716185030296</c:v>
                </c:pt>
              </c:numCache>
            </c:numRef>
          </c:yVal>
          <c:smooth val="1"/>
        </c:ser>
        <c:axId val="93942144"/>
        <c:axId val="93923584"/>
      </c:scatterChart>
      <c:valAx>
        <c:axId val="94042368"/>
        <c:scaling>
          <c:orientation val="minMax"/>
          <c:min val="0"/>
        </c:scaling>
        <c:axPos val="b"/>
        <c:title>
          <c:tx>
            <c:rich>
              <a:bodyPr/>
              <a:lstStyle/>
              <a:p>
                <a:pPr>
                  <a:defRPr/>
                </a:pPr>
                <a:r>
                  <a:rPr lang="en-US"/>
                  <a:t>Filter Area (SF)</a:t>
                </a:r>
              </a:p>
            </c:rich>
          </c:tx>
        </c:title>
        <c:numFmt formatCode="0" sourceLinked="1"/>
        <c:tickLblPos val="nextTo"/>
        <c:crossAx val="93921664"/>
        <c:crosses val="autoZero"/>
        <c:crossBetween val="midCat"/>
      </c:valAx>
      <c:valAx>
        <c:axId val="93921664"/>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94042368"/>
        <c:crosses val="autoZero"/>
        <c:crossBetween val="midCat"/>
      </c:valAx>
      <c:valAx>
        <c:axId val="93923584"/>
        <c:scaling>
          <c:orientation val="minMax"/>
          <c:max val="20"/>
        </c:scaling>
        <c:axPos val="r"/>
        <c:title>
          <c:tx>
            <c:rich>
              <a:bodyPr rot="-5400000" vert="horz"/>
              <a:lstStyle/>
              <a:p>
                <a:pPr>
                  <a:defRPr/>
                </a:pPr>
                <a:r>
                  <a:rPr lang="en-US"/>
                  <a:t>Contact Time (hrs)</a:t>
                </a:r>
              </a:p>
            </c:rich>
          </c:tx>
        </c:title>
        <c:numFmt formatCode="0.0" sourceLinked="1"/>
        <c:tickLblPos val="nextTo"/>
        <c:crossAx val="93942144"/>
        <c:crosses val="max"/>
        <c:crossBetween val="midCat"/>
      </c:valAx>
      <c:valAx>
        <c:axId val="93942144"/>
        <c:scaling>
          <c:orientation val="minMax"/>
        </c:scaling>
        <c:delete val="1"/>
        <c:axPos val="b"/>
        <c:numFmt formatCode="0" sourceLinked="1"/>
        <c:tickLblPos val="none"/>
        <c:crossAx val="93923584"/>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0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139520"/>
        <c:axId val="94141440"/>
      </c:scatterChart>
      <c:valAx>
        <c:axId val="9413952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141440"/>
        <c:crosses val="autoZero"/>
        <c:crossBetween val="midCat"/>
        <c:majorUnit val="0.2"/>
      </c:valAx>
      <c:valAx>
        <c:axId val="941414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413952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strRef>
          <c:f>'Media filter'!$G$17</c:f>
          <c:strCache>
            <c:ptCount val="1"/>
            <c:pt idx="0">
              <c:v>Media Filter - Runoff Capture
North Central Rain Zone</c:v>
            </c:pt>
          </c:strCache>
        </c:strRef>
      </c:tx>
      <c:layout/>
      <c:overlay val="1"/>
      <c:txPr>
        <a:bodyPr/>
        <a:lstStyle/>
        <a:p>
          <a:pPr>
            <a:defRPr sz="1200"/>
          </a:pPr>
          <a:endParaRPr lang="en-US"/>
        </a:p>
      </c:txPr>
    </c:title>
    <c:plotArea>
      <c:layout>
        <c:manualLayout>
          <c:layoutTarget val="inner"/>
          <c:xMode val="edge"/>
          <c:yMode val="edge"/>
          <c:x val="0.13769553805774279"/>
          <c:y val="0.16200617702959538"/>
          <c:w val="0.62902668416448115"/>
          <c:h val="0.67103668884061907"/>
        </c:manualLayout>
      </c:layout>
      <c:scatterChart>
        <c:scatterStyle val="smoothMarker"/>
        <c:ser>
          <c:idx val="0"/>
          <c:order val="0"/>
          <c:tx>
            <c:strRef>
              <c:f>'Media filter'!$F$42</c:f>
              <c:strCache>
                <c:ptCount val="1"/>
                <c:pt idx="0">
                  <c:v>K = 1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filter'!$F$43:$F$48</c:f>
              <c:numCache>
                <c:formatCode>0%</c:formatCode>
                <c:ptCount val="6"/>
                <c:pt idx="0">
                  <c:v>0.27261617900172119</c:v>
                </c:pt>
                <c:pt idx="1">
                  <c:v>0.44497418244406195</c:v>
                </c:pt>
                <c:pt idx="2">
                  <c:v>0.66088640275387267</c:v>
                </c:pt>
                <c:pt idx="3">
                  <c:v>0.7800602409638554</c:v>
                </c:pt>
                <c:pt idx="4">
                  <c:v>0.84684165232358</c:v>
                </c:pt>
                <c:pt idx="5">
                  <c:v>0.88907056798623063</c:v>
                </c:pt>
              </c:numCache>
            </c:numRef>
          </c:yVal>
          <c:smooth val="1"/>
        </c:ser>
        <c:ser>
          <c:idx val="1"/>
          <c:order val="1"/>
          <c:tx>
            <c:strRef>
              <c:f>'Media filter'!$G$42</c:f>
              <c:strCache>
                <c:ptCount val="1"/>
                <c:pt idx="0">
                  <c:v>K = 5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filter'!$G$43:$G$48</c:f>
              <c:numCache>
                <c:formatCode>0%</c:formatCode>
                <c:ptCount val="6"/>
                <c:pt idx="0">
                  <c:v>0.4535370051635112</c:v>
                </c:pt>
                <c:pt idx="1">
                  <c:v>0.6521256454388985</c:v>
                </c:pt>
                <c:pt idx="2">
                  <c:v>0.82241824440619626</c:v>
                </c:pt>
                <c:pt idx="3">
                  <c:v>0.8913080895008606</c:v>
                </c:pt>
                <c:pt idx="4">
                  <c:v>0.92951807228915662</c:v>
                </c:pt>
                <c:pt idx="5">
                  <c:v>0.95034423407917379</c:v>
                </c:pt>
              </c:numCache>
            </c:numRef>
          </c:yVal>
          <c:smooth val="1"/>
        </c:ser>
        <c:ser>
          <c:idx val="2"/>
          <c:order val="2"/>
          <c:tx>
            <c:strRef>
              <c:f>'Media filter'!$H$42</c:f>
              <c:strCache>
                <c:ptCount val="1"/>
                <c:pt idx="0">
                  <c:v>K = 50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filter'!$H$43:$H$48</c:f>
              <c:numCache>
                <c:formatCode>0%</c:formatCode>
                <c:ptCount val="6"/>
                <c:pt idx="0">
                  <c:v>0.80465576592082622</c:v>
                </c:pt>
                <c:pt idx="1">
                  <c:v>0.90963855421686746</c:v>
                </c:pt>
                <c:pt idx="2">
                  <c:v>0.97418244406196208</c:v>
                </c:pt>
                <c:pt idx="3">
                  <c:v>0.99087779690189326</c:v>
                </c:pt>
                <c:pt idx="4">
                  <c:v>0.99561101549053355</c:v>
                </c:pt>
                <c:pt idx="5">
                  <c:v>0.99759036144578317</c:v>
                </c:pt>
              </c:numCache>
            </c:numRef>
          </c:yVal>
          <c:smooth val="1"/>
        </c:ser>
        <c:ser>
          <c:idx val="3"/>
          <c:order val="3"/>
          <c:tx>
            <c:strRef>
              <c:f>'Media filter'!$I$42</c:f>
              <c:strCache>
                <c:ptCount val="1"/>
                <c:pt idx="0">
                  <c:v>K = 10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filter'!$I$43:$I$48</c:f>
              <c:numCache>
                <c:formatCode>0%</c:formatCode>
                <c:ptCount val="6"/>
                <c:pt idx="0">
                  <c:v>0.49255020080321288</c:v>
                </c:pt>
                <c:pt idx="1">
                  <c:v>0.68073819085867282</c:v>
                </c:pt>
                <c:pt idx="2">
                  <c:v>0.83928093325683695</c:v>
                </c:pt>
                <c:pt idx="3">
                  <c:v>0.90237139032319758</c:v>
                </c:pt>
                <c:pt idx="4">
                  <c:v>0.93686173264486516</c:v>
                </c:pt>
                <c:pt idx="5">
                  <c:v>0.95559380378657488</c:v>
                </c:pt>
              </c:numCache>
            </c:numRef>
          </c:yVal>
          <c:smooth val="1"/>
        </c:ser>
        <c:axId val="74171520"/>
        <c:axId val="74173440"/>
      </c:scatterChart>
      <c:valAx>
        <c:axId val="74171520"/>
        <c:scaling>
          <c:orientation val="minMax"/>
          <c:max val="2.5000000000000012E-2"/>
          <c:min val="0"/>
        </c:scaling>
        <c:axPos val="b"/>
        <c:majorGridlines>
          <c:spPr>
            <a:ln>
              <a:solidFill>
                <a:schemeClr val="bg1">
                  <a:lumMod val="85000"/>
                </a:schemeClr>
              </a:solidFill>
            </a:ln>
          </c:spPr>
        </c:majorGridlines>
        <c:title>
          <c:tx>
            <c:rich>
              <a:bodyPr/>
              <a:lstStyle/>
              <a:p>
                <a:pPr>
                  <a:defRPr sz="1200"/>
                </a:pPr>
                <a:r>
                  <a:rPr lang="en-US" sz="1200"/>
                  <a:t>Filter Area (%</a:t>
                </a:r>
                <a:r>
                  <a:rPr lang="en-US" sz="1200" baseline="0"/>
                  <a:t> of tributary watershed</a:t>
                </a:r>
                <a:r>
                  <a:rPr lang="en-US" sz="1200"/>
                  <a:t>)</a:t>
                </a:r>
              </a:p>
            </c:rich>
          </c:tx>
          <c:layout>
            <c:manualLayout>
              <c:xMode val="edge"/>
              <c:yMode val="edge"/>
              <c:x val="0.21970975503062162"/>
              <c:y val="0.92388834208223958"/>
            </c:manualLayout>
          </c:layout>
        </c:title>
        <c:numFmt formatCode="0.0%" sourceLinked="0"/>
        <c:tickLblPos val="nextTo"/>
        <c:txPr>
          <a:bodyPr/>
          <a:lstStyle/>
          <a:p>
            <a:pPr>
              <a:defRPr sz="1100"/>
            </a:pPr>
            <a:endParaRPr lang="en-US"/>
          </a:p>
        </c:txPr>
        <c:crossAx val="74173440"/>
        <c:crosses val="autoZero"/>
        <c:crossBetween val="midCat"/>
        <c:majorUnit val="5.0000000000000114E-3"/>
      </c:valAx>
      <c:valAx>
        <c:axId val="74173440"/>
        <c:scaling>
          <c:orientation val="minMax"/>
          <c:max val="1"/>
          <c:min val="0"/>
        </c:scaling>
        <c:axPos val="l"/>
        <c:majorGridlines>
          <c:spPr>
            <a:ln>
              <a:solidFill>
                <a:schemeClr val="bg1">
                  <a:lumMod val="85000"/>
                </a:schemeClr>
              </a:solidFill>
            </a:ln>
          </c:spPr>
        </c:majorGridlines>
        <c:title>
          <c:tx>
            <c:rich>
              <a:bodyPr rot="-5400000" vert="horz"/>
              <a:lstStyle/>
              <a:p>
                <a:pPr>
                  <a:defRPr sz="1200"/>
                </a:pPr>
                <a:r>
                  <a:rPr lang="en-US" sz="1200"/>
                  <a:t>Runoff Capture (%)</a:t>
                </a:r>
              </a:p>
            </c:rich>
          </c:tx>
          <c:layout/>
        </c:title>
        <c:numFmt formatCode="0%" sourceLinked="0"/>
        <c:tickLblPos val="nextTo"/>
        <c:txPr>
          <a:bodyPr/>
          <a:lstStyle/>
          <a:p>
            <a:pPr>
              <a:defRPr sz="1100"/>
            </a:pPr>
            <a:endParaRPr lang="en-US"/>
          </a:p>
        </c:txPr>
        <c:crossAx val="74171520"/>
        <c:crosses val="autoZero"/>
        <c:crossBetween val="midCat"/>
        <c:majorUnit val="0.1"/>
      </c:valAx>
    </c:plotArea>
    <c:legend>
      <c:legendPos val="r"/>
      <c:layout>
        <c:manualLayout>
          <c:xMode val="edge"/>
          <c:yMode val="edge"/>
          <c:x val="0.77294225721784948"/>
          <c:y val="0.37372265966754253"/>
          <c:w val="0.22425634295713082"/>
          <c:h val="0.29402641076115488"/>
        </c:manualLayout>
      </c:layout>
      <c:txPr>
        <a:bodyPr/>
        <a:lstStyle/>
        <a:p>
          <a:pPr>
            <a:defRPr sz="1100"/>
          </a:pPr>
          <a:endParaRPr lang="en-US"/>
        </a:p>
      </c:txPr>
    </c:legend>
    <c:plotVisOnly val="1"/>
  </c:chart>
  <c:printSettings>
    <c:headerFooter/>
    <c:pageMargins b="0.75000000000000178" l="0.70000000000000062" r="0.70000000000000062" t="0.75000000000000178"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695"/>
          <c:y val="0.15633502774178545"/>
          <c:w val="0.75286372987160177"/>
          <c:h val="0.68532068850509764"/>
        </c:manualLayout>
      </c:layout>
      <c:scatterChart>
        <c:scatterStyle val="smoothMarker"/>
        <c:ser>
          <c:idx val="0"/>
          <c:order val="0"/>
          <c:tx>
            <c:strRef>
              <c:f>'Northeast Coastal-DT'!$B$10</c:f>
              <c:strCache>
                <c:ptCount val="1"/>
                <c:pt idx="0">
                  <c:v>Runoff</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Coastal-DT'!$X$11:$X$19</c:f>
              <c:numCache>
                <c:formatCode>0.0%</c:formatCode>
                <c:ptCount val="9"/>
                <c:pt idx="0">
                  <c:v>0.36937783538561242</c:v>
                </c:pt>
                <c:pt idx="1">
                  <c:v>0.60831173039533382</c:v>
                </c:pt>
                <c:pt idx="2">
                  <c:v>0.8151328580686974</c:v>
                </c:pt>
                <c:pt idx="3">
                  <c:v>0.91169799092676607</c:v>
                </c:pt>
                <c:pt idx="4">
                  <c:v>0.95933246921581339</c:v>
                </c:pt>
                <c:pt idx="5">
                  <c:v>0.98185353208036297</c:v>
                </c:pt>
                <c:pt idx="6">
                  <c:v>0.99384316267012318</c:v>
                </c:pt>
                <c:pt idx="7">
                  <c:v>0.99943292287751129</c:v>
                </c:pt>
                <c:pt idx="8">
                  <c:v>1</c:v>
                </c:pt>
              </c:numCache>
            </c:numRef>
          </c:yVal>
          <c:smooth val="1"/>
        </c:ser>
        <c:ser>
          <c:idx val="1"/>
          <c:order val="1"/>
          <c:tx>
            <c:strRef>
              <c:f>'Northeast Coastal-DT'!$C$10</c:f>
              <c:strCache>
                <c:ptCount val="1"/>
                <c:pt idx="0">
                  <c:v>TSS</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Coastal-DT'!$Y$11:$Y$19</c:f>
              <c:numCache>
                <c:formatCode>0.0%</c:formatCode>
                <c:ptCount val="9"/>
                <c:pt idx="0">
                  <c:v>0.29016122356299467</c:v>
                </c:pt>
                <c:pt idx="1">
                  <c:v>0.48088662255092773</c:v>
                </c:pt>
                <c:pt idx="2">
                  <c:v>0.65195688984040479</c:v>
                </c:pt>
                <c:pt idx="3">
                  <c:v>0.73562401063967808</c:v>
                </c:pt>
                <c:pt idx="4">
                  <c:v>0.77926930063578559</c:v>
                </c:pt>
                <c:pt idx="5">
                  <c:v>0.80233780978331382</c:v>
                </c:pt>
                <c:pt idx="6">
                  <c:v>0.8165184896847022</c:v>
                </c:pt>
                <c:pt idx="7">
                  <c:v>0.82935779161800949</c:v>
                </c:pt>
                <c:pt idx="8">
                  <c:v>0.83559530297132478</c:v>
                </c:pt>
              </c:numCache>
            </c:numRef>
          </c:yVal>
          <c:smooth val="1"/>
        </c:ser>
        <c:axId val="75998720"/>
        <c:axId val="76000640"/>
      </c:scatterChart>
      <c:valAx>
        <c:axId val="75998720"/>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205"/>
            </c:manualLayout>
          </c:layout>
        </c:title>
        <c:numFmt formatCode="0.0" sourceLinked="0"/>
        <c:tickLblPos val="nextTo"/>
        <c:crossAx val="76000640"/>
        <c:crosses val="autoZero"/>
        <c:crossBetween val="midCat"/>
        <c:majorUnit val="0.2"/>
      </c:valAx>
      <c:valAx>
        <c:axId val="7600064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57"/>
            </c:manualLayout>
          </c:layout>
        </c:title>
        <c:numFmt formatCode="0%" sourceLinked="0"/>
        <c:tickLblPos val="nextTo"/>
        <c:crossAx val="75998720"/>
        <c:crosses val="autoZero"/>
        <c:crossBetween val="midCat"/>
      </c:valAx>
      <c:spPr>
        <a:ln>
          <a:solidFill>
            <a:schemeClr val="bg1">
              <a:lumMod val="50000"/>
            </a:schemeClr>
          </a:solidFill>
        </a:ln>
      </c:spPr>
    </c:plotArea>
    <c:legend>
      <c:legendPos val="t"/>
      <c:layout>
        <c:manualLayout>
          <c:xMode val="edge"/>
          <c:yMode val="edge"/>
          <c:x val="0.35385279568998468"/>
          <c:y val="9.1139240506329128E-2"/>
          <c:w val="0.26288245659980625"/>
          <c:h val="6.1039370078740163E-2"/>
        </c:manualLayout>
      </c:layout>
    </c:legend>
    <c:plotVisOnly val="1"/>
  </c:chart>
  <c:spPr>
    <a:ln>
      <a:solidFill>
        <a:schemeClr val="accent1"/>
      </a:solidFill>
    </a:ln>
  </c:spPr>
  <c:printSettings>
    <c:headerFooter/>
    <c:pageMargins b="0.75000000000000355" l="0.70000000000000062" r="0.70000000000000062" t="0.7500000000000035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188288"/>
        <c:axId val="94189824"/>
      </c:scatterChart>
      <c:valAx>
        <c:axId val="9418828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189824"/>
        <c:crosses val="autoZero"/>
        <c:crossBetween val="midCat"/>
        <c:majorUnit val="0.2"/>
      </c:valAx>
      <c:valAx>
        <c:axId val="9418982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418828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88" l="0.70000000000000062" r="0.70000000000000062" t="0.75000000000000588"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0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206976"/>
        <c:axId val="94237824"/>
      </c:scatterChart>
      <c:valAx>
        <c:axId val="942069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237824"/>
        <c:crosses val="autoZero"/>
        <c:crossBetween val="midCat"/>
        <c:majorUnit val="0.2"/>
      </c:valAx>
      <c:valAx>
        <c:axId val="9423782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42069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77" r="0.75000000000000477" t="1" header="0.5" footer="0.5"/>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075520"/>
        <c:axId val="94077312"/>
      </c:scatterChart>
      <c:valAx>
        <c:axId val="94075520"/>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077312"/>
        <c:crosses val="autoZero"/>
        <c:crossBetween val="midCat"/>
        <c:majorUnit val="0.2"/>
      </c:valAx>
      <c:valAx>
        <c:axId val="9407731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40755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77" r="0.75000000000000477" t="1" header="0.5" footer="0.5"/>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00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389376"/>
        <c:axId val="94391296"/>
      </c:scatterChart>
      <c:valAx>
        <c:axId val="943893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391296"/>
        <c:crosses val="autoZero"/>
        <c:crossBetween val="midCat"/>
        <c:majorUnit val="0.2"/>
      </c:valAx>
      <c:valAx>
        <c:axId val="9439129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943893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77" r="0.75000000000000477" t="1" header="0.5" footer="0.5"/>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94434048"/>
        <c:axId val="94435584"/>
      </c:scatterChart>
      <c:valAx>
        <c:axId val="9443404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435584"/>
        <c:crosses val="autoZero"/>
        <c:crossBetween val="midCat"/>
        <c:majorUnit val="0.2"/>
      </c:valAx>
      <c:valAx>
        <c:axId val="9443558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9443404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77" r="0.750000000000004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76"/>
          <c:w val="0.76058563966632964"/>
          <c:h val="0.6115858740406267"/>
        </c:manualLayout>
      </c:layout>
      <c:scatterChart>
        <c:scatterStyle val="smoothMarker"/>
        <c:ser>
          <c:idx val="0"/>
          <c:order val="0"/>
          <c:tx>
            <c:strRef>
              <c:f>'Northeast Coastal-DT'!$D$10</c:f>
              <c:strCache>
                <c:ptCount val="1"/>
                <c:pt idx="0">
                  <c:v>Clay</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Coastal-DT'!$Z$11:$Z$19</c:f>
              <c:numCache>
                <c:formatCode>0.0%</c:formatCode>
                <c:ptCount val="9"/>
                <c:pt idx="0">
                  <c:v>2.1189827429609447E-3</c:v>
                </c:pt>
                <c:pt idx="1">
                  <c:v>4.0656545997145455E-3</c:v>
                </c:pt>
                <c:pt idx="2">
                  <c:v>7.2862332944076819E-3</c:v>
                </c:pt>
                <c:pt idx="3">
                  <c:v>1.0360062281043208E-2</c:v>
                </c:pt>
                <c:pt idx="4">
                  <c:v>1.3243804333722589E-2</c:v>
                </c:pt>
                <c:pt idx="5">
                  <c:v>1.5953029713247698E-2</c:v>
                </c:pt>
                <c:pt idx="6">
                  <c:v>1.8666147657973274E-2</c:v>
                </c:pt>
                <c:pt idx="7">
                  <c:v>2.4316854807318024E-2</c:v>
                </c:pt>
                <c:pt idx="8">
                  <c:v>2.8501362397820165E-2</c:v>
                </c:pt>
              </c:numCache>
            </c:numRef>
          </c:yVal>
          <c:smooth val="1"/>
        </c:ser>
        <c:ser>
          <c:idx val="1"/>
          <c:order val="1"/>
          <c:tx>
            <c:strRef>
              <c:f>'Northeast Coastal-DT'!$H$10</c:f>
              <c:strCache>
                <c:ptCount val="1"/>
                <c:pt idx="0">
                  <c:v>Silt</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Coastal-DT'!$AD$11:$AD$19</c:f>
              <c:numCache>
                <c:formatCode>0.0%</c:formatCode>
                <c:ptCount val="9"/>
                <c:pt idx="0">
                  <c:v>0.23468016089269497</c:v>
                </c:pt>
                <c:pt idx="1">
                  <c:v>0.39295488949439911</c:v>
                </c:pt>
                <c:pt idx="2">
                  <c:v>0.5429765148566239</c:v>
                </c:pt>
                <c:pt idx="3">
                  <c:v>0.62121361532805663</c:v>
                </c:pt>
                <c:pt idx="4">
                  <c:v>0.66504476449980532</c:v>
                </c:pt>
                <c:pt idx="5">
                  <c:v>0.69096492366247131</c:v>
                </c:pt>
                <c:pt idx="6">
                  <c:v>0.70888369880195501</c:v>
                </c:pt>
                <c:pt idx="7">
                  <c:v>0.7306171878378962</c:v>
                </c:pt>
                <c:pt idx="8">
                  <c:v>0.7433502011158688</c:v>
                </c:pt>
              </c:numCache>
            </c:numRef>
          </c:yVal>
          <c:smooth val="1"/>
        </c:ser>
        <c:ser>
          <c:idx val="2"/>
          <c:order val="2"/>
          <c:tx>
            <c:strRef>
              <c:f>'Northeast Coastal-DT'!$I$10</c:f>
              <c:strCache>
                <c:ptCount val="1"/>
                <c:pt idx="0">
                  <c:v>Sand</c:v>
                </c:pt>
              </c:strCache>
            </c:strRef>
          </c:tx>
          <c:xVal>
            <c:numRef>
              <c:f>'Northeast Coastal-DT'!$A$11:$A$19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 Coastal-DT'!$AE$11:$AE$19</c:f>
              <c:numCache>
                <c:formatCode>0.0%</c:formatCode>
                <c:ptCount val="9"/>
                <c:pt idx="0">
                  <c:v>0.36889840404826779</c:v>
                </c:pt>
                <c:pt idx="1">
                  <c:v>0.6077072790969249</c:v>
                </c:pt>
                <c:pt idx="2">
                  <c:v>0.81450629298040733</c:v>
                </c:pt>
                <c:pt idx="3">
                  <c:v>0.91111976125600103</c:v>
                </c:pt>
                <c:pt idx="4">
                  <c:v>0.95867393278837421</c:v>
                </c:pt>
                <c:pt idx="5">
                  <c:v>0.98121188529907877</c:v>
                </c:pt>
                <c:pt idx="6">
                  <c:v>0.99317503568184762</c:v>
                </c:pt>
                <c:pt idx="7">
                  <c:v>0.99872842870118073</c:v>
                </c:pt>
                <c:pt idx="8">
                  <c:v>0.99932528869858572</c:v>
                </c:pt>
              </c:numCache>
            </c:numRef>
          </c:yVal>
          <c:smooth val="1"/>
        </c:ser>
        <c:axId val="75924608"/>
        <c:axId val="75926528"/>
      </c:scatterChart>
      <c:valAx>
        <c:axId val="75924608"/>
        <c:scaling>
          <c:orientation val="minMax"/>
          <c:max val="2"/>
          <c:min val="0"/>
        </c:scaling>
        <c:axPos val="b"/>
        <c:majorGridlines/>
        <c:title>
          <c:tx>
            <c:rich>
              <a:bodyPr/>
              <a:lstStyle/>
              <a:p>
                <a:pPr>
                  <a:defRPr/>
                </a:pPr>
                <a:r>
                  <a:rPr lang="en-US"/>
                  <a:t>Unit Basin Size (in)</a:t>
                </a:r>
              </a:p>
            </c:rich>
          </c:tx>
        </c:title>
        <c:numFmt formatCode="0.0" sourceLinked="0"/>
        <c:tickLblPos val="nextTo"/>
        <c:crossAx val="75926528"/>
        <c:crosses val="autoZero"/>
        <c:crossBetween val="midCat"/>
        <c:majorUnit val="0.2"/>
      </c:valAx>
      <c:valAx>
        <c:axId val="75926528"/>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197"/>
            </c:manualLayout>
          </c:layout>
        </c:title>
        <c:numFmt formatCode="0%" sourceLinked="0"/>
        <c:tickLblPos val="nextTo"/>
        <c:crossAx val="75924608"/>
        <c:crosses val="autoZero"/>
        <c:crossBetween val="midCat"/>
      </c:valAx>
      <c:spPr>
        <a:ln>
          <a:solidFill>
            <a:schemeClr val="bg1">
              <a:lumMod val="50000"/>
            </a:schemeClr>
          </a:solidFill>
        </a:ln>
      </c:spPr>
    </c:plotArea>
    <c:legend>
      <c:legendPos val="t"/>
      <c:layout>
        <c:manualLayout>
          <c:xMode val="edge"/>
          <c:yMode val="edge"/>
          <c:x val="0.35980946153357346"/>
          <c:y val="0.10300157977883168"/>
          <c:w val="0.35307659269864333"/>
          <c:h val="5.8520755293937757E-2"/>
        </c:manualLayout>
      </c:layout>
    </c:legend>
    <c:plotVisOnly val="1"/>
  </c:chart>
  <c:spPr>
    <a:ln>
      <a:solidFill>
        <a:schemeClr val="accent1"/>
      </a:solidFill>
    </a:ln>
  </c:spPr>
  <c:printSettings>
    <c:headerFooter/>
    <c:pageMargins b="0.75000000000000377" l="0.70000000000000062" r="0.70000000000000062" t="0.75000000000000377"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'Northeast Coastal-MF'!$AI$3</c:f>
              <c:strCache>
                <c:ptCount val="1"/>
                <c:pt idx="0">
                  <c:v>Runoff Treated</c:v>
                </c:pt>
              </c:strCache>
            </c:strRef>
          </c:tx>
          <c:xVal>
            <c:numRef>
              <c:f>'Northeast Coastal-MF'!$AH$10:$AH$12</c:f>
              <c:numCache>
                <c:formatCode>General</c:formatCode>
                <c:ptCount val="3"/>
              </c:numCache>
            </c:numRef>
          </c:xVal>
          <c:yVal>
            <c:numRef>
              <c:f>'Northeast Coastal-MF'!$AI$4:$AI$12</c:f>
              <c:numCache>
                <c:formatCode>0.0%</c:formatCode>
                <c:ptCount val="9"/>
                <c:pt idx="0">
                  <c:v>0.80209578387228819</c:v>
                </c:pt>
                <c:pt idx="1">
                  <c:v>0.91837904216127708</c:v>
                </c:pt>
                <c:pt idx="2">
                  <c:v>0.97298403602128536</c:v>
                </c:pt>
                <c:pt idx="3">
                  <c:v>0.98845681539091279</c:v>
                </c:pt>
                <c:pt idx="4">
                  <c:v>0.99418747441670074</c:v>
                </c:pt>
                <c:pt idx="5">
                  <c:v>0.99680720425706104</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105984"/>
        <c:axId val="76116352"/>
      </c:scatterChart>
      <c:valAx>
        <c:axId val="7610598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116352"/>
        <c:crosses val="autoZero"/>
        <c:crossBetween val="midCat"/>
        <c:majorUnit val="0.2"/>
      </c:valAx>
      <c:valAx>
        <c:axId val="7611635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10598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142464"/>
        <c:axId val="76144000"/>
      </c:scatterChart>
      <c:valAx>
        <c:axId val="7614246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144000"/>
        <c:crosses val="autoZero"/>
        <c:crossBetween val="midCat"/>
        <c:majorUnit val="0.2"/>
      </c:valAx>
      <c:valAx>
        <c:axId val="7614400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14246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'Northeast Coastal-MF'!$AI$3</c:f>
              <c:strCache>
                <c:ptCount val="1"/>
                <c:pt idx="0">
                  <c:v>Runoff Treated</c:v>
                </c:pt>
              </c:strCache>
            </c:strRef>
          </c:tx>
          <c:xVal>
            <c:numRef>
              <c:f>'Northeast Coastal-MF'!$AH$10:$AH$12</c:f>
              <c:numCache>
                <c:formatCode>General</c:formatCode>
                <c:ptCount val="3"/>
              </c:numCache>
            </c:numRef>
          </c:xVal>
          <c:yVal>
            <c:numRef>
              <c:f>'Northeast Coastal-MF'!$AI$4:$AI$12</c:f>
              <c:numCache>
                <c:formatCode>0.0%</c:formatCode>
                <c:ptCount val="9"/>
                <c:pt idx="0">
                  <c:v>0.80209578387228819</c:v>
                </c:pt>
                <c:pt idx="1">
                  <c:v>0.91837904216127708</c:v>
                </c:pt>
                <c:pt idx="2">
                  <c:v>0.97298403602128536</c:v>
                </c:pt>
                <c:pt idx="3">
                  <c:v>0.98845681539091279</c:v>
                </c:pt>
                <c:pt idx="4">
                  <c:v>0.99418747441670074</c:v>
                </c:pt>
                <c:pt idx="5">
                  <c:v>0.99680720425706104</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194176"/>
        <c:axId val="76196096"/>
      </c:scatterChart>
      <c:valAx>
        <c:axId val="7619417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196096"/>
        <c:crosses val="autoZero"/>
        <c:crossBetween val="midCat"/>
        <c:majorUnit val="0.2"/>
      </c:valAx>
      <c:valAx>
        <c:axId val="7619609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19417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251136"/>
        <c:axId val="76252672"/>
      </c:scatterChart>
      <c:valAx>
        <c:axId val="7625113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252672"/>
        <c:crosses val="autoZero"/>
        <c:crossBetween val="midCat"/>
        <c:majorUnit val="0.2"/>
      </c:valAx>
      <c:valAx>
        <c:axId val="76252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2511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'Northeast Coastal-MF'!$AI$3</c:f>
              <c:strCache>
                <c:ptCount val="1"/>
                <c:pt idx="0">
                  <c:v>Runoff Treated</c:v>
                </c:pt>
              </c:strCache>
            </c:strRef>
          </c:tx>
          <c:xVal>
            <c:numRef>
              <c:f>'Northeast Coastal-MF'!$AH$10:$AH$12</c:f>
              <c:numCache>
                <c:formatCode>General</c:formatCode>
                <c:ptCount val="3"/>
              </c:numCache>
            </c:numRef>
          </c:xVal>
          <c:yVal>
            <c:numRef>
              <c:f>'Northeast Coastal-MF'!$AI$4:$AI$12</c:f>
              <c:numCache>
                <c:formatCode>0.0%</c:formatCode>
                <c:ptCount val="9"/>
                <c:pt idx="0">
                  <c:v>0.80209578387228819</c:v>
                </c:pt>
                <c:pt idx="1">
                  <c:v>0.91837904216127708</c:v>
                </c:pt>
                <c:pt idx="2">
                  <c:v>0.97298403602128536</c:v>
                </c:pt>
                <c:pt idx="3">
                  <c:v>0.98845681539091279</c:v>
                </c:pt>
                <c:pt idx="4">
                  <c:v>0.99418747441670074</c:v>
                </c:pt>
                <c:pt idx="5">
                  <c:v>0.99680720425706104</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273920"/>
        <c:axId val="76284288"/>
      </c:scatterChart>
      <c:valAx>
        <c:axId val="7627392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284288"/>
        <c:crosses val="autoZero"/>
        <c:crossBetween val="midCat"/>
        <c:majorUnit val="0.2"/>
      </c:valAx>
      <c:valAx>
        <c:axId val="7628428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27392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'Northeast Coastal-MF'!$AH$10:$AH$12</c:f>
              <c:numCache>
                <c:formatCode>General</c:formatCode>
                <c:ptCount val="3"/>
              </c:numCache>
            </c:numRef>
          </c:xVal>
          <c:yVal>
            <c:numRef>
              <c:f>'3-ft'!#REF!</c:f>
              <c:numCache>
                <c:formatCode>General</c:formatCode>
                <c:ptCount val="1"/>
                <c:pt idx="0">
                  <c:v>1</c:v>
                </c:pt>
              </c:numCache>
            </c:numRef>
          </c:yVal>
          <c:smooth val="1"/>
        </c:ser>
        <c:axId val="76322688"/>
        <c:axId val="76324224"/>
      </c:scatterChart>
      <c:valAx>
        <c:axId val="7632268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324224"/>
        <c:crosses val="autoZero"/>
        <c:crossBetween val="midCat"/>
        <c:majorUnit val="0.2"/>
      </c:valAx>
      <c:valAx>
        <c:axId val="7632422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3226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'Northeast Coastal-MF'!$A$30:$A$35</c:f>
              <c:numCache>
                <c:formatCode>0</c:formatCode>
                <c:ptCount val="6"/>
                <c:pt idx="0">
                  <c:v>100</c:v>
                </c:pt>
                <c:pt idx="1">
                  <c:v>200</c:v>
                </c:pt>
                <c:pt idx="2">
                  <c:v>400</c:v>
                </c:pt>
                <c:pt idx="3">
                  <c:v>600</c:v>
                </c:pt>
                <c:pt idx="4">
                  <c:v>800</c:v>
                </c:pt>
                <c:pt idx="5">
                  <c:v>1000</c:v>
                </c:pt>
              </c:numCache>
            </c:numRef>
          </c:xVal>
          <c:yVal>
            <c:numRef>
              <c:f>'Northeast Coastal-MF'!$B$30:$B$35</c:f>
              <c:numCache>
                <c:formatCode>0.0%</c:formatCode>
                <c:ptCount val="6"/>
                <c:pt idx="0">
                  <c:v>0.13011051985264019</c:v>
                </c:pt>
                <c:pt idx="1">
                  <c:v>0.23302496930004094</c:v>
                </c:pt>
                <c:pt idx="2">
                  <c:v>0.39890298812934916</c:v>
                </c:pt>
                <c:pt idx="3">
                  <c:v>0.52485468686041747</c:v>
                </c:pt>
                <c:pt idx="4">
                  <c:v>0.62222677036430618</c:v>
                </c:pt>
                <c:pt idx="5">
                  <c:v>0.69816618911174788</c:v>
                </c:pt>
              </c:numCache>
            </c:numRef>
          </c:yVal>
          <c:smooth val="1"/>
        </c:ser>
        <c:ser>
          <c:idx val="1"/>
          <c:order val="1"/>
          <c:tx>
            <c:v>%Treated_5 in/hr</c:v>
          </c:tx>
          <c:xVal>
            <c:numRef>
              <c:f>'Northeast Coastal-MF'!$A$30:$A$35</c:f>
              <c:numCache>
                <c:formatCode>0</c:formatCode>
                <c:ptCount val="6"/>
                <c:pt idx="0">
                  <c:v>100</c:v>
                </c:pt>
                <c:pt idx="1">
                  <c:v>200</c:v>
                </c:pt>
                <c:pt idx="2">
                  <c:v>400</c:v>
                </c:pt>
                <c:pt idx="3">
                  <c:v>600</c:v>
                </c:pt>
                <c:pt idx="4">
                  <c:v>800</c:v>
                </c:pt>
                <c:pt idx="5">
                  <c:v>1000</c:v>
                </c:pt>
              </c:numCache>
            </c:numRef>
          </c:xVal>
          <c:yVal>
            <c:numRef>
              <c:f>'Northeast Coastal-MF'!$C$30:$C$35</c:f>
              <c:numCache>
                <c:formatCode>0.0%</c:formatCode>
                <c:ptCount val="6"/>
                <c:pt idx="0">
                  <c:v>0.2928776094965207</c:v>
                </c:pt>
                <c:pt idx="1">
                  <c:v>0.47652885796152272</c:v>
                </c:pt>
                <c:pt idx="2">
                  <c:v>0.69954973393368813</c:v>
                </c:pt>
                <c:pt idx="3">
                  <c:v>0.81716741711011054</c:v>
                </c:pt>
                <c:pt idx="4">
                  <c:v>0.88366762177650426</c:v>
                </c:pt>
                <c:pt idx="5">
                  <c:v>0.92345476872697507</c:v>
                </c:pt>
              </c:numCache>
            </c:numRef>
          </c:yVal>
          <c:smooth val="1"/>
        </c:ser>
        <c:ser>
          <c:idx val="0"/>
          <c:order val="2"/>
          <c:tx>
            <c:v>%Treated_50 in/hr</c:v>
          </c:tx>
          <c:xVal>
            <c:numRef>
              <c:f>'Northeast Coastal-MF'!$A$30:$A$35</c:f>
              <c:numCache>
                <c:formatCode>0</c:formatCode>
                <c:ptCount val="6"/>
                <c:pt idx="0">
                  <c:v>100</c:v>
                </c:pt>
                <c:pt idx="1">
                  <c:v>200</c:v>
                </c:pt>
                <c:pt idx="2">
                  <c:v>400</c:v>
                </c:pt>
                <c:pt idx="3">
                  <c:v>600</c:v>
                </c:pt>
                <c:pt idx="4">
                  <c:v>800</c:v>
                </c:pt>
                <c:pt idx="5">
                  <c:v>1000</c:v>
                </c:pt>
              </c:numCache>
            </c:numRef>
          </c:xVal>
          <c:yVal>
            <c:numRef>
              <c:f>'Northeast Coastal-MF'!$D$30:$D$35</c:f>
              <c:numCache>
                <c:formatCode>0.0%</c:formatCode>
                <c:ptCount val="6"/>
                <c:pt idx="0">
                  <c:v>0.80209578387228819</c:v>
                </c:pt>
                <c:pt idx="1">
                  <c:v>0.91837904216127708</c:v>
                </c:pt>
                <c:pt idx="2">
                  <c:v>0.97298403602128536</c:v>
                </c:pt>
                <c:pt idx="3">
                  <c:v>0.98845681539091279</c:v>
                </c:pt>
                <c:pt idx="4">
                  <c:v>0.99418747441670074</c:v>
                </c:pt>
                <c:pt idx="5">
                  <c:v>0.99680720425706104</c:v>
                </c:pt>
              </c:numCache>
            </c:numRef>
          </c:yVal>
          <c:smooth val="1"/>
        </c:ser>
        <c:axId val="76506240"/>
        <c:axId val="76508160"/>
      </c:scatterChart>
      <c:scatterChart>
        <c:scatterStyle val="smoothMarker"/>
        <c:ser>
          <c:idx val="5"/>
          <c:order val="3"/>
          <c:tx>
            <c:v>Contact Time_1 in/hr</c:v>
          </c:tx>
          <c:spPr>
            <a:ln>
              <a:solidFill>
                <a:schemeClr val="accent3">
                  <a:lumMod val="75000"/>
                </a:schemeClr>
              </a:solidFill>
            </a:ln>
          </c:spPr>
          <c:marker>
            <c:symbol val="none"/>
          </c:marker>
          <c:xVal>
            <c:numRef>
              <c:f>'Northeast Coastal-MF'!$A$30:$A$35</c:f>
              <c:numCache>
                <c:formatCode>0</c:formatCode>
                <c:ptCount val="6"/>
                <c:pt idx="0">
                  <c:v>100</c:v>
                </c:pt>
                <c:pt idx="1">
                  <c:v>200</c:v>
                </c:pt>
                <c:pt idx="2">
                  <c:v>400</c:v>
                </c:pt>
                <c:pt idx="3">
                  <c:v>600</c:v>
                </c:pt>
                <c:pt idx="4">
                  <c:v>800</c:v>
                </c:pt>
                <c:pt idx="5">
                  <c:v>1000</c:v>
                </c:pt>
              </c:numCache>
            </c:numRef>
          </c:xVal>
          <c:yVal>
            <c:numRef>
              <c:f>'Northeast Coastal-MF'!$E$30:$E$35</c:f>
              <c:numCache>
                <c:formatCode>0.0</c:formatCode>
                <c:ptCount val="6"/>
                <c:pt idx="0">
                  <c:v>7.7572985097121387</c:v>
                </c:pt>
                <c:pt idx="1">
                  <c:v>8.7349540416632365</c:v>
                </c:pt>
                <c:pt idx="2">
                  <c:v>10.161583697335777</c:v>
                </c:pt>
                <c:pt idx="3">
                  <c:v>11.313679855184898</c:v>
                </c:pt>
                <c:pt idx="4">
                  <c:v>12.304663467454166</c:v>
                </c:pt>
                <c:pt idx="5">
                  <c:v>13.308996881892162</c:v>
                </c:pt>
              </c:numCache>
            </c:numRef>
          </c:yVal>
          <c:smooth val="1"/>
        </c:ser>
        <c:ser>
          <c:idx val="4"/>
          <c:order val="4"/>
          <c:tx>
            <c:v>Contact Time_5 in/hr</c:v>
          </c:tx>
          <c:spPr>
            <a:ln>
              <a:solidFill>
                <a:srgbClr val="8A0000"/>
              </a:solidFill>
            </a:ln>
          </c:spPr>
          <c:marker>
            <c:symbol val="none"/>
          </c:marker>
          <c:xVal>
            <c:numRef>
              <c:f>'Northeast Coastal-MF'!$A$30:$A$35</c:f>
              <c:numCache>
                <c:formatCode>0</c:formatCode>
                <c:ptCount val="6"/>
                <c:pt idx="0">
                  <c:v>100</c:v>
                </c:pt>
                <c:pt idx="1">
                  <c:v>200</c:v>
                </c:pt>
                <c:pt idx="2">
                  <c:v>400</c:v>
                </c:pt>
                <c:pt idx="3">
                  <c:v>600</c:v>
                </c:pt>
                <c:pt idx="4">
                  <c:v>800</c:v>
                </c:pt>
                <c:pt idx="5">
                  <c:v>1000</c:v>
                </c:pt>
              </c:numCache>
            </c:numRef>
          </c:xVal>
          <c:yVal>
            <c:numRef>
              <c:f>'Northeast Coastal-MF'!$F$30:$F$35</c:f>
              <c:numCache>
                <c:formatCode>0.0</c:formatCode>
                <c:ptCount val="6"/>
                <c:pt idx="0">
                  <c:v>2.1018748723861682</c:v>
                </c:pt>
                <c:pt idx="1">
                  <c:v>2.5759348803662245</c:v>
                </c:pt>
                <c:pt idx="2">
                  <c:v>3.4104085669463204</c:v>
                </c:pt>
                <c:pt idx="3">
                  <c:v>4.257286040967255</c:v>
                </c:pt>
                <c:pt idx="4">
                  <c:v>5.1137629624759384</c:v>
                </c:pt>
                <c:pt idx="5">
                  <c:v>5.9915707159413438</c:v>
                </c:pt>
              </c:numCache>
            </c:numRef>
          </c:yVal>
          <c:smooth val="1"/>
        </c:ser>
        <c:ser>
          <c:idx val="3"/>
          <c:order val="5"/>
          <c:tx>
            <c:v>Contact Time_50 in/hr</c:v>
          </c:tx>
          <c:spPr>
            <a:ln>
              <a:solidFill>
                <a:schemeClr val="accent1">
                  <a:lumMod val="75000"/>
                </a:schemeClr>
              </a:solidFill>
            </a:ln>
          </c:spPr>
          <c:marker>
            <c:symbol val="none"/>
          </c:marker>
          <c:xVal>
            <c:numRef>
              <c:f>'Northeast Coastal-MF'!$A$30:$A$35</c:f>
              <c:numCache>
                <c:formatCode>0</c:formatCode>
                <c:ptCount val="6"/>
                <c:pt idx="0">
                  <c:v>100</c:v>
                </c:pt>
                <c:pt idx="1">
                  <c:v>200</c:v>
                </c:pt>
                <c:pt idx="2">
                  <c:v>400</c:v>
                </c:pt>
                <c:pt idx="3">
                  <c:v>600</c:v>
                </c:pt>
                <c:pt idx="4">
                  <c:v>800</c:v>
                </c:pt>
                <c:pt idx="5">
                  <c:v>1000</c:v>
                </c:pt>
              </c:numCache>
            </c:numRef>
          </c:xVal>
          <c:yVal>
            <c:numRef>
              <c:f>'Northeast Coastal-MF'!$G$30:$G$35</c:f>
              <c:numCache>
                <c:formatCode>0.0</c:formatCode>
                <c:ptCount val="6"/>
                <c:pt idx="0">
                  <c:v>0.67734156980682225</c:v>
                </c:pt>
                <c:pt idx="1">
                  <c:v>1.146319495619422</c:v>
                </c:pt>
                <c:pt idx="2">
                  <c:v>2.0910253193294381</c:v>
                </c:pt>
                <c:pt idx="3">
                  <c:v>3.0298308488720371</c:v>
                </c:pt>
                <c:pt idx="4">
                  <c:v>3.9690639813113791</c:v>
                </c:pt>
                <c:pt idx="5">
                  <c:v>4.9149295901229575</c:v>
                </c:pt>
              </c:numCache>
            </c:numRef>
          </c:yVal>
          <c:smooth val="1"/>
        </c:ser>
        <c:axId val="76528640"/>
        <c:axId val="76526720"/>
      </c:scatterChart>
      <c:valAx>
        <c:axId val="76506240"/>
        <c:scaling>
          <c:orientation val="minMax"/>
          <c:min val="0"/>
        </c:scaling>
        <c:axPos val="b"/>
        <c:title>
          <c:tx>
            <c:rich>
              <a:bodyPr/>
              <a:lstStyle/>
              <a:p>
                <a:pPr>
                  <a:defRPr/>
                </a:pPr>
                <a:r>
                  <a:rPr lang="en-US"/>
                  <a:t>Filter Area (SF)</a:t>
                </a:r>
              </a:p>
            </c:rich>
          </c:tx>
        </c:title>
        <c:numFmt formatCode="0" sourceLinked="1"/>
        <c:tickLblPos val="nextTo"/>
        <c:crossAx val="76508160"/>
        <c:crosses val="autoZero"/>
        <c:crossBetween val="midCat"/>
      </c:valAx>
      <c:valAx>
        <c:axId val="76508160"/>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76506240"/>
        <c:crosses val="autoZero"/>
        <c:crossBetween val="midCat"/>
      </c:valAx>
      <c:valAx>
        <c:axId val="76526720"/>
        <c:scaling>
          <c:orientation val="minMax"/>
          <c:max val="20"/>
        </c:scaling>
        <c:axPos val="r"/>
        <c:title>
          <c:tx>
            <c:rich>
              <a:bodyPr rot="-5400000" vert="horz"/>
              <a:lstStyle/>
              <a:p>
                <a:pPr>
                  <a:defRPr/>
                </a:pPr>
                <a:r>
                  <a:rPr lang="en-US"/>
                  <a:t>Contact Time (hrs)</a:t>
                </a:r>
              </a:p>
            </c:rich>
          </c:tx>
        </c:title>
        <c:numFmt formatCode="0.0" sourceLinked="1"/>
        <c:tickLblPos val="nextTo"/>
        <c:crossAx val="76528640"/>
        <c:crosses val="max"/>
        <c:crossBetween val="midCat"/>
      </c:valAx>
      <c:valAx>
        <c:axId val="76528640"/>
        <c:scaling>
          <c:orientation val="minMax"/>
        </c:scaling>
        <c:delete val="1"/>
        <c:axPos val="b"/>
        <c:numFmt formatCode="0" sourceLinked="1"/>
        <c:tickLblPos val="none"/>
        <c:crossAx val="76526720"/>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5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599296"/>
        <c:axId val="76601216"/>
      </c:scatterChart>
      <c:valAx>
        <c:axId val="7659929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601216"/>
        <c:crosses val="autoZero"/>
        <c:crossBetween val="midCat"/>
        <c:majorUnit val="0.2"/>
      </c:valAx>
      <c:valAx>
        <c:axId val="7660121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5992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strRef>
          <c:f>'Media filter'!$G$18</c:f>
          <c:strCache>
            <c:ptCount val="1"/>
            <c:pt idx="0">
              <c:v>Media Filter - Average Contact Time
North Central Rain Zone</c:v>
            </c:pt>
          </c:strCache>
        </c:strRef>
      </c:tx>
      <c:layout/>
      <c:overlay val="1"/>
      <c:txPr>
        <a:bodyPr/>
        <a:lstStyle/>
        <a:p>
          <a:pPr>
            <a:defRPr sz="1200"/>
          </a:pPr>
          <a:endParaRPr lang="en-US"/>
        </a:p>
      </c:txPr>
    </c:title>
    <c:plotArea>
      <c:layout>
        <c:manualLayout>
          <c:layoutTarget val="inner"/>
          <c:xMode val="edge"/>
          <c:yMode val="edge"/>
          <c:x val="0.13769553805774279"/>
          <c:y val="0.16200617702959538"/>
          <c:w val="0.64291557305336877"/>
          <c:h val="0.67103668884061907"/>
        </c:manualLayout>
      </c:layout>
      <c:scatterChart>
        <c:scatterStyle val="smoothMarker"/>
        <c:ser>
          <c:idx val="0"/>
          <c:order val="0"/>
          <c:tx>
            <c:strRef>
              <c:f>'Media filter'!$F$42</c:f>
              <c:strCache>
                <c:ptCount val="1"/>
                <c:pt idx="0">
                  <c:v>K = 1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filter'!$J$43:$J$48</c:f>
              <c:numCache>
                <c:formatCode>0.0</c:formatCode>
                <c:ptCount val="6"/>
                <c:pt idx="0">
                  <c:v>5.8915417659812279</c:v>
                </c:pt>
                <c:pt idx="1">
                  <c:v>6.9466773050067676</c:v>
                </c:pt>
                <c:pt idx="2">
                  <c:v>8.636409622440846</c:v>
                </c:pt>
                <c:pt idx="3">
                  <c:v>10.034115994380896</c:v>
                </c:pt>
                <c:pt idx="4">
                  <c:v>11.304909560723514</c:v>
                </c:pt>
                <c:pt idx="5">
                  <c:v>12.51815131941315</c:v>
                </c:pt>
              </c:numCache>
            </c:numRef>
          </c:yVal>
          <c:smooth val="1"/>
        </c:ser>
        <c:ser>
          <c:idx val="1"/>
          <c:order val="1"/>
          <c:tx>
            <c:strRef>
              <c:f>'Media filter'!$G$42</c:f>
              <c:strCache>
                <c:ptCount val="1"/>
                <c:pt idx="0">
                  <c:v>K = 5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filter'!$K$43:$K$48</c:f>
              <c:numCache>
                <c:formatCode>0.0</c:formatCode>
                <c:ptCount val="6"/>
                <c:pt idx="0">
                  <c:v>1.538813267208329</c:v>
                </c:pt>
                <c:pt idx="1">
                  <c:v>2.0198872325813579</c:v>
                </c:pt>
                <c:pt idx="2">
                  <c:v>2.8708761914136192</c:v>
                </c:pt>
                <c:pt idx="3">
                  <c:v>3.6790598425362382</c:v>
                </c:pt>
                <c:pt idx="4">
                  <c:v>4.4444444444444446</c:v>
                </c:pt>
                <c:pt idx="5">
                  <c:v>5.2037800258107483</c:v>
                </c:pt>
              </c:numCache>
            </c:numRef>
          </c:yVal>
          <c:smooth val="1"/>
        </c:ser>
        <c:ser>
          <c:idx val="2"/>
          <c:order val="2"/>
          <c:tx>
            <c:strRef>
              <c:f>'Media filter'!$H$42</c:f>
              <c:strCache>
                <c:ptCount val="1"/>
                <c:pt idx="0">
                  <c:v>K = 50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filter'!$L$43:$L$48</c:f>
              <c:numCache>
                <c:formatCode>0.0</c:formatCode>
                <c:ptCount val="6"/>
                <c:pt idx="0">
                  <c:v>0.50681448273065854</c:v>
                </c:pt>
                <c:pt idx="1">
                  <c:v>0.87569836944963608</c:v>
                </c:pt>
                <c:pt idx="2">
                  <c:v>1.6169007707996959</c:v>
                </c:pt>
                <c:pt idx="3">
                  <c:v>2.3624385765970088</c:v>
                </c:pt>
                <c:pt idx="4">
                  <c:v>3.1188458488161754</c:v>
                </c:pt>
                <c:pt idx="5">
                  <c:v>3.8784945235657324</c:v>
                </c:pt>
              </c:numCache>
            </c:numRef>
          </c:yVal>
          <c:smooth val="1"/>
        </c:ser>
        <c:ser>
          <c:idx val="3"/>
          <c:order val="3"/>
          <c:tx>
            <c:strRef>
              <c:f>'Media filter'!$I$42</c:f>
              <c:strCache>
                <c:ptCount val="1"/>
                <c:pt idx="0">
                  <c:v>K = 10 in/hr</c:v>
                </c:pt>
              </c:strCache>
            </c:strRef>
          </c:tx>
          <c:xVal>
            <c:numRef>
              <c:f>'Media filter'!$B$43:$B$48</c:f>
              <c:numCache>
                <c:formatCode>0.00%</c:formatCode>
                <c:ptCount val="6"/>
                <c:pt idx="0">
                  <c:v>2.295684113865932E-3</c:v>
                </c:pt>
                <c:pt idx="1">
                  <c:v>4.5913682277318639E-3</c:v>
                </c:pt>
                <c:pt idx="2">
                  <c:v>9.1827364554637279E-3</c:v>
                </c:pt>
                <c:pt idx="3">
                  <c:v>1.3774104683195593E-2</c:v>
                </c:pt>
                <c:pt idx="4">
                  <c:v>1.8365472910927456E-2</c:v>
                </c:pt>
                <c:pt idx="5">
                  <c:v>2.2956841138659319E-2</c:v>
                </c:pt>
              </c:numCache>
            </c:numRef>
          </c:xVal>
          <c:yVal>
            <c:numRef>
              <c:f>'Media filter'!$M$43:$M$48</c:f>
              <c:numCache>
                <c:formatCode>0.0</c:formatCode>
                <c:ptCount val="6"/>
                <c:pt idx="0">
                  <c:v>1.4241467355996988</c:v>
                </c:pt>
                <c:pt idx="1">
                  <c:v>1.8927551366778332</c:v>
                </c:pt>
                <c:pt idx="2">
                  <c:v>2.7315455891231832</c:v>
                </c:pt>
                <c:pt idx="3">
                  <c:v>3.5327685907652127</c:v>
                </c:pt>
                <c:pt idx="4">
                  <c:v>4.2971557115968588</c:v>
                </c:pt>
                <c:pt idx="5">
                  <c:v>5.056526081116858</c:v>
                </c:pt>
              </c:numCache>
            </c:numRef>
          </c:yVal>
          <c:smooth val="1"/>
        </c:ser>
        <c:axId val="74216960"/>
        <c:axId val="74218880"/>
      </c:scatterChart>
      <c:valAx>
        <c:axId val="74216960"/>
        <c:scaling>
          <c:orientation val="minMax"/>
        </c:scaling>
        <c:axPos val="b"/>
        <c:majorGridlines>
          <c:spPr>
            <a:ln>
              <a:solidFill>
                <a:schemeClr val="bg1">
                  <a:lumMod val="85000"/>
                </a:schemeClr>
              </a:solidFill>
            </a:ln>
          </c:spPr>
        </c:majorGridlines>
        <c:title>
          <c:tx>
            <c:rich>
              <a:bodyPr/>
              <a:lstStyle/>
              <a:p>
                <a:pPr>
                  <a:defRPr sz="1200"/>
                </a:pPr>
                <a:r>
                  <a:rPr lang="en-US" sz="1200"/>
                  <a:t>Filter Area </a:t>
                </a:r>
                <a:r>
                  <a:rPr lang="en-US" sz="1200" b="1" i="0" u="none" strike="noStrike" baseline="0"/>
                  <a:t>(% of tributary watershed)</a:t>
                </a:r>
                <a:endParaRPr lang="en-US" sz="1200"/>
              </a:p>
            </c:rich>
          </c:tx>
          <c:layout>
            <c:manualLayout>
              <c:xMode val="edge"/>
              <c:yMode val="edge"/>
              <c:x val="0.27902644922788739"/>
              <c:y val="0.92105124039680164"/>
            </c:manualLayout>
          </c:layout>
        </c:title>
        <c:numFmt formatCode="0.0%" sourceLinked="0"/>
        <c:tickLblPos val="nextTo"/>
        <c:txPr>
          <a:bodyPr/>
          <a:lstStyle/>
          <a:p>
            <a:pPr>
              <a:defRPr sz="1100"/>
            </a:pPr>
            <a:endParaRPr lang="en-US"/>
          </a:p>
        </c:txPr>
        <c:crossAx val="74218880"/>
        <c:crosses val="autoZero"/>
        <c:crossBetween val="midCat"/>
      </c:valAx>
      <c:valAx>
        <c:axId val="74218880"/>
        <c:scaling>
          <c:orientation val="minMax"/>
        </c:scaling>
        <c:axPos val="l"/>
        <c:majorGridlines>
          <c:spPr>
            <a:ln>
              <a:solidFill>
                <a:schemeClr val="bg1">
                  <a:lumMod val="85000"/>
                </a:schemeClr>
              </a:solidFill>
            </a:ln>
          </c:spPr>
        </c:majorGridlines>
        <c:title>
          <c:tx>
            <c:rich>
              <a:bodyPr rot="-5400000" vert="horz"/>
              <a:lstStyle/>
              <a:p>
                <a:pPr>
                  <a:defRPr sz="1200"/>
                </a:pPr>
                <a:r>
                  <a:rPr lang="en-US" sz="1200"/>
                  <a:t>Average Contact Time (hours)</a:t>
                </a:r>
              </a:p>
            </c:rich>
          </c:tx>
          <c:layout/>
        </c:title>
        <c:numFmt formatCode="#,##0" sourceLinked="0"/>
        <c:tickLblPos val="nextTo"/>
        <c:txPr>
          <a:bodyPr/>
          <a:lstStyle/>
          <a:p>
            <a:pPr>
              <a:defRPr sz="1100"/>
            </a:pPr>
            <a:endParaRPr lang="en-US"/>
          </a:p>
        </c:txPr>
        <c:crossAx val="74216960"/>
        <c:crosses val="autoZero"/>
        <c:crossBetween val="midCat"/>
        <c:majorUnit val="2"/>
      </c:valAx>
    </c:plotArea>
    <c:legend>
      <c:legendPos val="r"/>
      <c:layout>
        <c:manualLayout>
          <c:xMode val="edge"/>
          <c:yMode val="edge"/>
          <c:x val="0.76738670166229228"/>
          <c:y val="0.37684164479440152"/>
          <c:w val="0.22425634295713082"/>
          <c:h val="0.2945978237095363"/>
        </c:manualLayout>
      </c:layout>
      <c:txPr>
        <a:bodyPr/>
        <a:lstStyle/>
        <a:p>
          <a:pPr>
            <a:defRPr sz="1100"/>
          </a:pPr>
          <a:endParaRPr lang="en-US"/>
        </a:p>
      </c:txPr>
    </c:legend>
    <c:plotVisOnly val="1"/>
  </c:chart>
  <c:printSettings>
    <c:headerFooter/>
    <c:pageMargins b="0.750000000000002" l="0.70000000000000062" r="0.70000000000000062" t="0.750000000000002"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455296"/>
        <c:axId val="76465280"/>
      </c:scatterChart>
      <c:valAx>
        <c:axId val="7645529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465280"/>
        <c:crosses val="autoZero"/>
        <c:crossBetween val="midCat"/>
        <c:majorUnit val="0.2"/>
      </c:valAx>
      <c:valAx>
        <c:axId val="7646528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4552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55" l="0.70000000000000062" r="0.70000000000000062" t="0.7500000000000085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5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683136"/>
        <c:axId val="76693504"/>
      </c:scatterChart>
      <c:valAx>
        <c:axId val="7668313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693504"/>
        <c:crosses val="autoZero"/>
        <c:crossBetween val="midCat"/>
        <c:majorUnit val="0.2"/>
      </c:valAx>
      <c:valAx>
        <c:axId val="7669350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6831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44" r="0.75000000000000744"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727424"/>
        <c:axId val="76728960"/>
      </c:scatterChart>
      <c:valAx>
        <c:axId val="767274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728960"/>
        <c:crosses val="autoZero"/>
        <c:crossBetween val="midCat"/>
        <c:majorUnit val="0.2"/>
      </c:valAx>
      <c:valAx>
        <c:axId val="7672896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72742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44" r="0.75000000000000744"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59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770688"/>
        <c:axId val="76781056"/>
      </c:scatterChart>
      <c:valAx>
        <c:axId val="7677068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781056"/>
        <c:crosses val="autoZero"/>
        <c:crossBetween val="midCat"/>
        <c:majorUnit val="0.2"/>
      </c:valAx>
      <c:valAx>
        <c:axId val="767810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67706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44" r="0.75000000000000744"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6819456"/>
        <c:axId val="76854016"/>
      </c:scatterChart>
      <c:valAx>
        <c:axId val="7681945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6854016"/>
        <c:crosses val="autoZero"/>
        <c:crossBetween val="midCat"/>
        <c:majorUnit val="0.2"/>
      </c:valAx>
      <c:valAx>
        <c:axId val="7685401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681945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44" r="0.75000000000000744"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'Mid-Atlantic-DT'!$B$10</c:f>
              <c:strCache>
                <c:ptCount val="1"/>
                <c:pt idx="0">
                  <c:v>Runoff</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'Mid-Atlantic-DT'!$B$11:$B$19</c:f>
              <c:numCache>
                <c:formatCode>0.0%</c:formatCode>
                <c:ptCount val="9"/>
                <c:pt idx="0">
                  <c:v>0.56117732324045744</c:v>
                </c:pt>
                <c:pt idx="1">
                  <c:v>0.7756160412304719</c:v>
                </c:pt>
                <c:pt idx="2">
                  <c:v>0.91874698019004675</c:v>
                </c:pt>
                <c:pt idx="3">
                  <c:v>0.96730552423900784</c:v>
                </c:pt>
                <c:pt idx="4">
                  <c:v>0.98767917539056205</c:v>
                </c:pt>
                <c:pt idx="5">
                  <c:v>0.9964567563214688</c:v>
                </c:pt>
                <c:pt idx="6">
                  <c:v>0.99967788693831539</c:v>
                </c:pt>
                <c:pt idx="7">
                  <c:v>1</c:v>
                </c:pt>
                <c:pt idx="8">
                  <c:v>1</c:v>
                </c:pt>
              </c:numCache>
            </c:numRef>
          </c:yVal>
          <c:smooth val="1"/>
        </c:ser>
        <c:ser>
          <c:idx val="1"/>
          <c:order val="1"/>
          <c:tx>
            <c:strRef>
              <c:f>'Mid-Atlantic-DT'!$C$10</c:f>
              <c:strCache>
                <c:ptCount val="1"/>
                <c:pt idx="0">
                  <c:v>TSS</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'Mid-Atlantic-DT'!$C$11:$C$19</c:f>
              <c:numCache>
                <c:formatCode>0.0%</c:formatCode>
                <c:ptCount val="9"/>
                <c:pt idx="0">
                  <c:v>0.398942332546531</c:v>
                </c:pt>
                <c:pt idx="1">
                  <c:v>0.56142963923177136</c:v>
                </c:pt>
                <c:pt idx="2">
                  <c:v>0.68037144810329042</c:v>
                </c:pt>
                <c:pt idx="3">
                  <c:v>0.72962021953075629</c:v>
                </c:pt>
                <c:pt idx="4">
                  <c:v>0.75502597092700796</c:v>
                </c:pt>
                <c:pt idx="5">
                  <c:v>0.77009875014510698</c:v>
                </c:pt>
                <c:pt idx="6">
                  <c:v>0.78003512234131755</c:v>
                </c:pt>
                <c:pt idx="7">
                  <c:v>0.79201260173612464</c:v>
                </c:pt>
                <c:pt idx="8">
                  <c:v>0.80156193166428047</c:v>
                </c:pt>
              </c:numCache>
            </c:numRef>
          </c:yVal>
          <c:smooth val="1"/>
        </c:ser>
        <c:axId val="76965376"/>
        <c:axId val="76967296"/>
      </c:scatterChart>
      <c:valAx>
        <c:axId val="76965376"/>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76967296"/>
        <c:crosses val="autoZero"/>
        <c:crossBetween val="midCat"/>
        <c:majorUnit val="0.2"/>
      </c:valAx>
      <c:valAx>
        <c:axId val="76967296"/>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76965376"/>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'Mid-Atlantic-DT'!$D$10</c:f>
              <c:strCache>
                <c:ptCount val="1"/>
                <c:pt idx="0">
                  <c:v>Clay</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'Mid-Atlantic-DT'!$D$11:$D$19</c:f>
              <c:numCache>
                <c:formatCode>0.0%</c:formatCode>
                <c:ptCount val="9"/>
                <c:pt idx="0">
                  <c:v>1.1441138154754996E-3</c:v>
                </c:pt>
                <c:pt idx="1">
                  <c:v>2.2065291697300365E-3</c:v>
                </c:pt>
                <c:pt idx="2">
                  <c:v>4.2017825587844547E-3</c:v>
                </c:pt>
                <c:pt idx="3">
                  <c:v>6.1669826774497288E-3</c:v>
                </c:pt>
                <c:pt idx="4">
                  <c:v>8.07401101523301E-3</c:v>
                </c:pt>
                <c:pt idx="5">
                  <c:v>9.946213674882947E-3</c:v>
                </c:pt>
                <c:pt idx="6">
                  <c:v>1.1787331192199048E-2</c:v>
                </c:pt>
                <c:pt idx="7">
                  <c:v>1.5309110139431696E-2</c:v>
                </c:pt>
                <c:pt idx="8">
                  <c:v>1.8843271550000647E-2</c:v>
                </c:pt>
              </c:numCache>
            </c:numRef>
          </c:yVal>
          <c:smooth val="1"/>
        </c:ser>
        <c:ser>
          <c:idx val="1"/>
          <c:order val="1"/>
          <c:tx>
            <c:strRef>
              <c:f>'Mid-Atlantic-DT'!$H$10</c:f>
              <c:strCache>
                <c:ptCount val="1"/>
                <c:pt idx="0">
                  <c:v>Silt</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'Mid-Atlantic-DT'!$H$11:$H$19</c:f>
              <c:numCache>
                <c:formatCode>0.0%</c:formatCode>
                <c:ptCount val="9"/>
                <c:pt idx="0">
                  <c:v>0.2638199899392486</c:v>
                </c:pt>
                <c:pt idx="1">
                  <c:v>0.38701002205626289</c:v>
                </c:pt>
                <c:pt idx="2">
                  <c:v>0.49241015190014925</c:v>
                </c:pt>
                <c:pt idx="3">
                  <c:v>0.54804782726463652</c:v>
                </c:pt>
                <c:pt idx="4">
                  <c:v>0.58187860886464005</c:v>
                </c:pt>
                <c:pt idx="5">
                  <c:v>0.60552051490410042</c:v>
                </c:pt>
                <c:pt idx="6">
                  <c:v>0.62389987402563352</c:v>
                </c:pt>
                <c:pt idx="7">
                  <c:v>0.65005352835713104</c:v>
                </c:pt>
                <c:pt idx="8">
                  <c:v>0.67091024003921118</c:v>
                </c:pt>
              </c:numCache>
            </c:numRef>
          </c:yVal>
          <c:smooth val="1"/>
        </c:ser>
        <c:ser>
          <c:idx val="2"/>
          <c:order val="2"/>
          <c:tx>
            <c:strRef>
              <c:f>'Mid-Atlantic-DT'!$I$10</c:f>
              <c:strCache>
                <c:ptCount val="1"/>
                <c:pt idx="0">
                  <c:v>Sand</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'Mid-Atlantic-DT'!$I$11:$I$19</c:f>
              <c:numCache>
                <c:formatCode>0.0%</c:formatCode>
                <c:ptCount val="9"/>
                <c:pt idx="0">
                  <c:v>0.56033226276619075</c:v>
                </c:pt>
                <c:pt idx="1">
                  <c:v>0.77432960569593323</c:v>
                </c:pt>
                <c:pt idx="2">
                  <c:v>0.91715358124056812</c:v>
                </c:pt>
                <c:pt idx="3">
                  <c:v>0.96538069625559475</c:v>
                </c:pt>
                <c:pt idx="4">
                  <c:v>0.98555379277431676</c:v>
                </c:pt>
                <c:pt idx="5">
                  <c:v>0.99423441550903535</c:v>
                </c:pt>
                <c:pt idx="6">
                  <c:v>0.99738162494034499</c:v>
                </c:pt>
                <c:pt idx="7">
                  <c:v>0.99744611693688823</c:v>
                </c:pt>
                <c:pt idx="8">
                  <c:v>0.99742032013827087</c:v>
                </c:pt>
              </c:numCache>
            </c:numRef>
          </c:yVal>
          <c:smooth val="1"/>
        </c:ser>
        <c:axId val="77017088"/>
        <c:axId val="77019008"/>
      </c:scatterChart>
      <c:valAx>
        <c:axId val="77017088"/>
        <c:scaling>
          <c:orientation val="minMax"/>
          <c:max val="2"/>
          <c:min val="0"/>
        </c:scaling>
        <c:axPos val="b"/>
        <c:majorGridlines/>
        <c:title>
          <c:tx>
            <c:rich>
              <a:bodyPr/>
              <a:lstStyle/>
              <a:p>
                <a:pPr>
                  <a:defRPr/>
                </a:pPr>
                <a:r>
                  <a:rPr lang="en-US"/>
                  <a:t>Unit Basin Size (in)</a:t>
                </a:r>
              </a:p>
            </c:rich>
          </c:tx>
        </c:title>
        <c:numFmt formatCode="0.0" sourceLinked="0"/>
        <c:tickLblPos val="nextTo"/>
        <c:crossAx val="77019008"/>
        <c:crosses val="autoZero"/>
        <c:crossBetween val="midCat"/>
        <c:majorUnit val="0.2"/>
      </c:valAx>
      <c:valAx>
        <c:axId val="77019008"/>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77017088"/>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'Mid-Atlantic-DT'!$CD$17</c:f>
              <c:strCache>
                <c:ptCount val="1"/>
                <c:pt idx="0">
                  <c:v>Runoff, 3hr DT</c:v>
                </c:pt>
              </c:strCache>
            </c:strRef>
          </c:tx>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'Mid-Atlantic-DT'!$CE$17</c:f>
              <c:strCache>
                <c:ptCount val="1"/>
                <c:pt idx="0">
                  <c:v>Runoff, 6hr DT</c:v>
                </c:pt>
              </c:strCache>
            </c:strRef>
          </c:tx>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'Mid-Atlantic-DT'!$CF$17</c:f>
              <c:strCache>
                <c:ptCount val="1"/>
                <c:pt idx="0">
                  <c:v>Runoff, 12hr DT</c:v>
                </c:pt>
              </c:strCache>
            </c:strRef>
          </c:tx>
          <c:spPr>
            <a:ln w="31750"/>
          </c:spPr>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'Mid-Atlantic-DT'!$CG$17</c:f>
              <c:strCache>
                <c:ptCount val="1"/>
                <c:pt idx="0">
                  <c:v>TSS, 3hr DT</c:v>
                </c:pt>
              </c:strCache>
            </c:strRef>
          </c:tx>
          <c:spPr>
            <a:ln w="31750">
              <a:solidFill>
                <a:schemeClr val="accent1"/>
              </a:solidFill>
              <a:prstDash val="sysDash"/>
            </a:ln>
          </c:spPr>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'Mid-Atlantic-DT'!$CG$18:$CG$26</c:f>
              <c:numCache>
                <c:formatCode>0.0%</c:formatCode>
                <c:ptCount val="9"/>
                <c:pt idx="0">
                  <c:v>0.398942332546531</c:v>
                </c:pt>
                <c:pt idx="1">
                  <c:v>0.56142963923177136</c:v>
                </c:pt>
                <c:pt idx="2">
                  <c:v>0.68037144810329042</c:v>
                </c:pt>
                <c:pt idx="3">
                  <c:v>0.72962021953075629</c:v>
                </c:pt>
                <c:pt idx="4">
                  <c:v>0.75502597092700796</c:v>
                </c:pt>
                <c:pt idx="5">
                  <c:v>0.77009875014510698</c:v>
                </c:pt>
                <c:pt idx="6">
                  <c:v>0.78003512234131755</c:v>
                </c:pt>
                <c:pt idx="7">
                  <c:v>0.79201260173612464</c:v>
                </c:pt>
                <c:pt idx="8">
                  <c:v>0.80156193166428047</c:v>
                </c:pt>
              </c:numCache>
            </c:numRef>
          </c:yVal>
          <c:smooth val="1"/>
        </c:ser>
        <c:ser>
          <c:idx val="4"/>
          <c:order val="4"/>
          <c:tx>
            <c:strRef>
              <c:f>'Mid-Atlantic-DT'!$CH$17</c:f>
              <c:strCache>
                <c:ptCount val="1"/>
                <c:pt idx="0">
                  <c:v>TSS, 6hr DT</c:v>
                </c:pt>
              </c:strCache>
            </c:strRef>
          </c:tx>
          <c:spPr>
            <a:ln w="31750">
              <a:solidFill>
                <a:schemeClr val="accent2"/>
              </a:solidFill>
              <a:prstDash val="sysDash"/>
            </a:ln>
          </c:spPr>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'Mid-Atlantic-DT'!$CH$18:$CH$26</c:f>
              <c:numCache>
                <c:formatCode>0.0%</c:formatCode>
                <c:ptCount val="9"/>
                <c:pt idx="0">
                  <c:v>0.32795561015877928</c:v>
                </c:pt>
                <c:pt idx="1">
                  <c:v>0.50327289143417298</c:v>
                </c:pt>
                <c:pt idx="2">
                  <c:v>0.65891475447896919</c:v>
                </c:pt>
                <c:pt idx="3">
                  <c:v>0.72840804731132869</c:v>
                </c:pt>
                <c:pt idx="4">
                  <c:v>0.76632235679552174</c:v>
                </c:pt>
                <c:pt idx="5">
                  <c:v>0.78278597041107201</c:v>
                </c:pt>
                <c:pt idx="6">
                  <c:v>0.79556108036992623</c:v>
                </c:pt>
                <c:pt idx="7">
                  <c:v>0.80928201060248428</c:v>
                </c:pt>
                <c:pt idx="8">
                  <c:v>0.81783680945194703</c:v>
                </c:pt>
              </c:numCache>
            </c:numRef>
          </c:yVal>
          <c:smooth val="1"/>
        </c:ser>
        <c:ser>
          <c:idx val="5"/>
          <c:order val="5"/>
          <c:tx>
            <c:strRef>
              <c:f>'Mid-Atlantic-DT'!$CI$17</c:f>
              <c:strCache>
                <c:ptCount val="1"/>
                <c:pt idx="0">
                  <c:v>TSS, 12hr DT</c:v>
                </c:pt>
              </c:strCache>
            </c:strRef>
          </c:tx>
          <c:spPr>
            <a:ln w="31750">
              <a:solidFill>
                <a:schemeClr val="accent3"/>
              </a:solidFill>
              <a:prstDash val="sysDash"/>
            </a:ln>
          </c:spPr>
          <c:marker>
            <c:symbol val="none"/>
          </c:marker>
          <c:xVal>
            <c:numRef>
              <c:f>'Mid-Atlantic-DT'!$CC$18:$CC$26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'Mid-Atlantic-DT'!$CI$18:$CI$26</c:f>
              <c:numCache>
                <c:formatCode>0.0%</c:formatCode>
                <c:ptCount val="9"/>
                <c:pt idx="0">
                  <c:v>0.26164462975144787</c:v>
                </c:pt>
                <c:pt idx="1">
                  <c:v>0.44088283738987993</c:v>
                </c:pt>
                <c:pt idx="2">
                  <c:v>0.61647678288124452</c:v>
                </c:pt>
                <c:pt idx="3">
                  <c:v>0.71065073714352045</c:v>
                </c:pt>
                <c:pt idx="4">
                  <c:v>0.75890021798294827</c:v>
                </c:pt>
                <c:pt idx="5">
                  <c:v>0.78490139173728546</c:v>
                </c:pt>
                <c:pt idx="6">
                  <c:v>0.80455900372763733</c:v>
                </c:pt>
                <c:pt idx="7">
                  <c:v>0.82517954571837637</c:v>
                </c:pt>
                <c:pt idx="8">
                  <c:v>0.83293851333049562</c:v>
                </c:pt>
              </c:numCache>
            </c:numRef>
          </c:yVal>
          <c:smooth val="1"/>
        </c:ser>
        <c:axId val="77065216"/>
        <c:axId val="76891264"/>
      </c:scatterChart>
      <c:valAx>
        <c:axId val="7706521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76891264"/>
        <c:crosses val="autoZero"/>
        <c:crossBetween val="midCat"/>
        <c:majorUnit val="0.2"/>
      </c:valAx>
      <c:valAx>
        <c:axId val="7689126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77065216"/>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'Mid-Atlantic-DT'!$B$10</c:f>
              <c:strCache>
                <c:ptCount val="1"/>
                <c:pt idx="0">
                  <c:v>Runoff</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'Mid-Atlantic-DT'!$M$11:$M$19</c:f>
              <c:numCache>
                <c:formatCode>0.0%</c:formatCode>
                <c:ptCount val="9"/>
                <c:pt idx="0">
                  <c:v>0.43931389917861169</c:v>
                </c:pt>
                <c:pt idx="1">
                  <c:v>0.66322274118215496</c:v>
                </c:pt>
                <c:pt idx="2">
                  <c:v>0.85665968755033017</c:v>
                </c:pt>
                <c:pt idx="3">
                  <c:v>0.9338862940892253</c:v>
                </c:pt>
                <c:pt idx="4">
                  <c:v>0.9700434852633274</c:v>
                </c:pt>
                <c:pt idx="5">
                  <c:v>0.98566596875503298</c:v>
                </c:pt>
                <c:pt idx="6">
                  <c:v>0.99428249315509742</c:v>
                </c:pt>
                <c:pt idx="7">
                  <c:v>1</c:v>
                </c:pt>
                <c:pt idx="8">
                  <c:v>1</c:v>
                </c:pt>
              </c:numCache>
            </c:numRef>
          </c:yVal>
          <c:smooth val="1"/>
        </c:ser>
        <c:ser>
          <c:idx val="1"/>
          <c:order val="1"/>
          <c:tx>
            <c:strRef>
              <c:f>'Mid-Atlantic-DT'!$C$10</c:f>
              <c:strCache>
                <c:ptCount val="1"/>
                <c:pt idx="0">
                  <c:v>TSS</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'Mid-Atlantic-DT'!$N$11:$N$19</c:f>
              <c:numCache>
                <c:formatCode>0.0%</c:formatCode>
                <c:ptCount val="9"/>
                <c:pt idx="0">
                  <c:v>0.32795561015877928</c:v>
                </c:pt>
                <c:pt idx="1">
                  <c:v>0.50327289143417298</c:v>
                </c:pt>
                <c:pt idx="2">
                  <c:v>0.65891475447896919</c:v>
                </c:pt>
                <c:pt idx="3">
                  <c:v>0.72840804731132869</c:v>
                </c:pt>
                <c:pt idx="4">
                  <c:v>0.76632235679552174</c:v>
                </c:pt>
                <c:pt idx="5">
                  <c:v>0.78278597041107201</c:v>
                </c:pt>
                <c:pt idx="6">
                  <c:v>0.79556108036992623</c:v>
                </c:pt>
                <c:pt idx="7">
                  <c:v>0.80928201060248428</c:v>
                </c:pt>
                <c:pt idx="8">
                  <c:v>0.81783680945194703</c:v>
                </c:pt>
              </c:numCache>
            </c:numRef>
          </c:yVal>
          <c:smooth val="1"/>
        </c:ser>
        <c:axId val="76919552"/>
        <c:axId val="76921472"/>
      </c:scatterChart>
      <c:valAx>
        <c:axId val="76919552"/>
        <c:scaling>
          <c:orientation val="minMax"/>
          <c:max val="2"/>
          <c:min val="0"/>
        </c:scaling>
        <c:axPos val="b"/>
        <c:majorGridlines/>
        <c:title>
          <c:tx>
            <c:rich>
              <a:bodyPr/>
              <a:lstStyle/>
              <a:p>
                <a:pPr>
                  <a:defRPr/>
                </a:pPr>
                <a:r>
                  <a:rPr lang="en-US"/>
                  <a:t>Unit Basin Size (in)</a:t>
                </a:r>
              </a:p>
            </c:rich>
          </c:tx>
        </c:title>
        <c:numFmt formatCode="0.0" sourceLinked="0"/>
        <c:tickLblPos val="nextTo"/>
        <c:crossAx val="76921472"/>
        <c:crosses val="autoZero"/>
        <c:crossBetween val="midCat"/>
        <c:majorUnit val="0.2"/>
      </c:valAx>
      <c:valAx>
        <c:axId val="76921472"/>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7691955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'Mid-Atlantic-DT'!$D$10</c:f>
              <c:strCache>
                <c:ptCount val="1"/>
                <c:pt idx="0">
                  <c:v>Clay</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'Mid-Atlantic-DT'!$O$11:$O$19</c:f>
              <c:numCache>
                <c:formatCode>0.0%</c:formatCode>
                <c:ptCount val="9"/>
                <c:pt idx="0">
                  <c:v>1.3867069096725095E-3</c:v>
                </c:pt>
                <c:pt idx="1">
                  <c:v>3.0424744289233711E-3</c:v>
                </c:pt>
                <c:pt idx="2">
                  <c:v>5.0644275045466864E-3</c:v>
                </c:pt>
                <c:pt idx="3">
                  <c:v>7.5462085155232244E-3</c:v>
                </c:pt>
                <c:pt idx="4">
                  <c:v>9.9578222342607287E-3</c:v>
                </c:pt>
                <c:pt idx="5">
                  <c:v>1.174102593868101E-2</c:v>
                </c:pt>
                <c:pt idx="6">
                  <c:v>1.4021849888428846E-2</c:v>
                </c:pt>
                <c:pt idx="7">
                  <c:v>1.7986817835906565E-2</c:v>
                </c:pt>
                <c:pt idx="8">
                  <c:v>2.2229101368520167E-2</c:v>
                </c:pt>
              </c:numCache>
            </c:numRef>
          </c:yVal>
          <c:smooth val="1"/>
        </c:ser>
        <c:ser>
          <c:idx val="1"/>
          <c:order val="1"/>
          <c:tx>
            <c:strRef>
              <c:f>'Mid-Atlantic-DT'!$H$10</c:f>
              <c:strCache>
                <c:ptCount val="1"/>
                <c:pt idx="0">
                  <c:v>Silt</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'Mid-Atlantic-DT'!$S$11:$S$19</c:f>
              <c:numCache>
                <c:formatCode>0.0%</c:formatCode>
                <c:ptCount val="9"/>
                <c:pt idx="0">
                  <c:v>0.24107667238495706</c:v>
                </c:pt>
                <c:pt idx="1">
                  <c:v>0.38184851259958646</c:v>
                </c:pt>
                <c:pt idx="2">
                  <c:v>0.5127793040883627</c:v>
                </c:pt>
                <c:pt idx="3">
                  <c:v>0.58113007175809495</c:v>
                </c:pt>
                <c:pt idx="4">
                  <c:v>0.62501644545911861</c:v>
                </c:pt>
                <c:pt idx="5">
                  <c:v>0.64420625400387821</c:v>
                </c:pt>
                <c:pt idx="6">
                  <c:v>0.66275415220971079</c:v>
                </c:pt>
                <c:pt idx="7">
                  <c:v>0.68655599840059844</c:v>
                </c:pt>
                <c:pt idx="8">
                  <c:v>0.70509529767355872</c:v>
                </c:pt>
              </c:numCache>
            </c:numRef>
          </c:yVal>
          <c:smooth val="1"/>
        </c:ser>
        <c:ser>
          <c:idx val="2"/>
          <c:order val="2"/>
          <c:tx>
            <c:strRef>
              <c:f>'Mid-Atlantic-DT'!$I$10</c:f>
              <c:strCache>
                <c:ptCount val="1"/>
                <c:pt idx="0">
                  <c:v>Sand</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'Mid-Atlantic-DT'!$T$11:$T$19</c:f>
              <c:numCache>
                <c:formatCode>0.0%</c:formatCode>
                <c:ptCount val="9"/>
                <c:pt idx="0">
                  <c:v>0.43880354448013004</c:v>
                </c:pt>
                <c:pt idx="1">
                  <c:v>0.66257787408582591</c:v>
                </c:pt>
                <c:pt idx="2">
                  <c:v>0.85582169252795737</c:v>
                </c:pt>
                <c:pt idx="3">
                  <c:v>0.9330444091888197</c:v>
                </c:pt>
                <c:pt idx="4">
                  <c:v>0.96913413045441066</c:v>
                </c:pt>
                <c:pt idx="5">
                  <c:v>0.98461220962478568</c:v>
                </c:pt>
                <c:pt idx="6">
                  <c:v>0.99324123876226966</c:v>
                </c:pt>
                <c:pt idx="7">
                  <c:v>0.99886494086083921</c:v>
                </c:pt>
                <c:pt idx="8">
                  <c:v>0.99886494086083921</c:v>
                </c:pt>
              </c:numCache>
            </c:numRef>
          </c:yVal>
          <c:smooth val="1"/>
        </c:ser>
        <c:axId val="77152640"/>
        <c:axId val="77154560"/>
      </c:scatterChart>
      <c:valAx>
        <c:axId val="77152640"/>
        <c:scaling>
          <c:orientation val="minMax"/>
          <c:max val="2"/>
          <c:min val="0"/>
        </c:scaling>
        <c:axPos val="b"/>
        <c:majorGridlines/>
        <c:title>
          <c:tx>
            <c:rich>
              <a:bodyPr/>
              <a:lstStyle/>
              <a:p>
                <a:pPr>
                  <a:defRPr/>
                </a:pPr>
                <a:r>
                  <a:rPr lang="en-US"/>
                  <a:t>Unit Basin Size (in)</a:t>
                </a:r>
              </a:p>
            </c:rich>
          </c:tx>
        </c:title>
        <c:numFmt formatCode="0.0" sourceLinked="0"/>
        <c:tickLblPos val="nextTo"/>
        <c:crossAx val="77154560"/>
        <c:crosses val="autoZero"/>
        <c:crossBetween val="midCat"/>
        <c:majorUnit val="0.2"/>
      </c:valAx>
      <c:valAx>
        <c:axId val="7715456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77152640"/>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55"/>
        </c:manualLayout>
      </c:layout>
      <c:scatterChart>
        <c:scatterStyle val="smoothMarker"/>
        <c:ser>
          <c:idx val="0"/>
          <c:order val="0"/>
          <c:tx>
            <c:strRef>
              <c:f>'Northeast-DT'!$B$10</c:f>
              <c:strCache>
                <c:ptCount val="1"/>
                <c:pt idx="0">
                  <c:v>Runoff</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'Northeast-DT'!$B$11:$B$19</c:f>
              <c:numCache>
                <c:formatCode>0.0%</c:formatCode>
                <c:ptCount val="9"/>
                <c:pt idx="0">
                  <c:v>0.7216086037871885</c:v>
                </c:pt>
                <c:pt idx="1">
                  <c:v>0.88997927160209489</c:v>
                </c:pt>
                <c:pt idx="2">
                  <c:v>0.97043950211790153</c:v>
                </c:pt>
                <c:pt idx="3">
                  <c:v>0.99165857224397425</c:v>
                </c:pt>
                <c:pt idx="4">
                  <c:v>0.99692578833001211</c:v>
                </c:pt>
                <c:pt idx="5">
                  <c:v>0.99959945124821004</c:v>
                </c:pt>
                <c:pt idx="6">
                  <c:v>1</c:v>
                </c:pt>
                <c:pt idx="7">
                  <c:v>1</c:v>
                </c:pt>
                <c:pt idx="8">
                  <c:v>1</c:v>
                </c:pt>
              </c:numCache>
            </c:numRef>
          </c:yVal>
          <c:smooth val="1"/>
        </c:ser>
        <c:ser>
          <c:idx val="1"/>
          <c:order val="1"/>
          <c:tx>
            <c:strRef>
              <c:f>'Northeast-DT'!$C$10</c:f>
              <c:strCache>
                <c:ptCount val="1"/>
                <c:pt idx="0">
                  <c:v>TSS</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'Northeast-DT'!$C$11:$C$19</c:f>
              <c:numCache>
                <c:formatCode>0.0%</c:formatCode>
                <c:ptCount val="9"/>
                <c:pt idx="0">
                  <c:v>0.51256645655904665</c:v>
                </c:pt>
                <c:pt idx="1">
                  <c:v>0.64808613610482924</c:v>
                </c:pt>
                <c:pt idx="2">
                  <c:v>0.72784897111421198</c:v>
                </c:pt>
                <c:pt idx="3">
                  <c:v>0.75983502542141823</c:v>
                </c:pt>
                <c:pt idx="4">
                  <c:v>0.77543559640090465</c:v>
                </c:pt>
                <c:pt idx="5">
                  <c:v>0.78705734654926307</c:v>
                </c:pt>
                <c:pt idx="6">
                  <c:v>0.79530401449902977</c:v>
                </c:pt>
                <c:pt idx="7">
                  <c:v>0.8075857672135881</c:v>
                </c:pt>
                <c:pt idx="8">
                  <c:v>0.81755184525814362</c:v>
                </c:pt>
              </c:numCache>
            </c:numRef>
          </c:yVal>
          <c:smooth val="1"/>
        </c:ser>
        <c:axId val="74395648"/>
        <c:axId val="74399104"/>
      </c:scatterChart>
      <c:valAx>
        <c:axId val="74395648"/>
        <c:scaling>
          <c:orientation val="minMax"/>
          <c:max val="2"/>
          <c:min val="0"/>
        </c:scaling>
        <c:axPos val="b"/>
        <c:majorGridlines/>
        <c:title>
          <c:tx>
            <c:rich>
              <a:bodyPr/>
              <a:lstStyle/>
              <a:p>
                <a:pPr>
                  <a:defRPr/>
                </a:pPr>
                <a:r>
                  <a:rPr lang="en-US"/>
                  <a:t>Unit Basin Size (in)</a:t>
                </a:r>
              </a:p>
            </c:rich>
          </c:tx>
          <c:layout>
            <c:manualLayout>
              <c:xMode val="edge"/>
              <c:yMode val="edge"/>
              <c:x val="0.40806337796953607"/>
              <c:y val="0.91325133945033732"/>
            </c:manualLayout>
          </c:layout>
        </c:title>
        <c:numFmt formatCode="0.0" sourceLinked="0"/>
        <c:tickLblPos val="nextTo"/>
        <c:crossAx val="74399104"/>
        <c:crosses val="autoZero"/>
        <c:crossBetween val="midCat"/>
        <c:majorUnit val="0.2"/>
      </c:valAx>
      <c:valAx>
        <c:axId val="74399104"/>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74395648"/>
        <c:crosses val="autoZero"/>
        <c:crossBetween val="midCat"/>
      </c:valAx>
      <c:spPr>
        <a:ln>
          <a:solidFill>
            <a:schemeClr val="bg1">
              <a:lumMod val="50000"/>
            </a:schemeClr>
          </a:solidFill>
        </a:ln>
      </c:spPr>
    </c:plotArea>
    <c:legend>
      <c:legendPos val="t"/>
      <c:layout>
        <c:manualLayout>
          <c:xMode val="edge"/>
          <c:yMode val="edge"/>
          <c:x val="0.35385279568998468"/>
          <c:y val="9.1139240506329128E-2"/>
          <c:w val="0.26288245659980625"/>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55" l="0.70000000000000062" r="0.70000000000000062" t="0.750000000000003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'Mid-Atlantic-DT'!$B$10</c:f>
              <c:strCache>
                <c:ptCount val="1"/>
                <c:pt idx="0">
                  <c:v>Runoff</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'Mid-Atlantic-DT'!$X$11:$X$19</c:f>
              <c:numCache>
                <c:formatCode>0.0%</c:formatCode>
                <c:ptCount val="9"/>
                <c:pt idx="0">
                  <c:v>0.33213077790304396</c:v>
                </c:pt>
                <c:pt idx="1">
                  <c:v>0.5563536801417297</c:v>
                </c:pt>
                <c:pt idx="2">
                  <c:v>0.77004348526332744</c:v>
                </c:pt>
                <c:pt idx="3">
                  <c:v>0.8808986954421002</c:v>
                </c:pt>
                <c:pt idx="4">
                  <c:v>0.93485263327427925</c:v>
                </c:pt>
                <c:pt idx="5">
                  <c:v>0.96166854565952653</c:v>
                </c:pt>
                <c:pt idx="6">
                  <c:v>0.98107585762602678</c:v>
                </c:pt>
                <c:pt idx="7">
                  <c:v>0.99726203897568044</c:v>
                </c:pt>
                <c:pt idx="8">
                  <c:v>1</c:v>
                </c:pt>
              </c:numCache>
            </c:numRef>
          </c:yVal>
          <c:smooth val="1"/>
        </c:ser>
        <c:ser>
          <c:idx val="1"/>
          <c:order val="1"/>
          <c:tx>
            <c:strRef>
              <c:f>'Mid-Atlantic-DT'!$C$10</c:f>
              <c:strCache>
                <c:ptCount val="1"/>
                <c:pt idx="0">
                  <c:v>TSS</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'Mid-Atlantic-DT'!$Y$11:$Y$19</c:f>
              <c:numCache>
                <c:formatCode>0.0%</c:formatCode>
                <c:ptCount val="9"/>
                <c:pt idx="0">
                  <c:v>0.26164462975144787</c:v>
                </c:pt>
                <c:pt idx="1">
                  <c:v>0.44088283738987993</c:v>
                </c:pt>
                <c:pt idx="2">
                  <c:v>0.61647678288124452</c:v>
                </c:pt>
                <c:pt idx="3">
                  <c:v>0.71065073714352045</c:v>
                </c:pt>
                <c:pt idx="4">
                  <c:v>0.75890021798294827</c:v>
                </c:pt>
                <c:pt idx="5">
                  <c:v>0.78490139173728546</c:v>
                </c:pt>
                <c:pt idx="6">
                  <c:v>0.80455900372763733</c:v>
                </c:pt>
                <c:pt idx="7">
                  <c:v>0.82517954571837637</c:v>
                </c:pt>
                <c:pt idx="8">
                  <c:v>0.83293851333049562</c:v>
                </c:pt>
              </c:numCache>
            </c:numRef>
          </c:yVal>
          <c:smooth val="1"/>
        </c:ser>
        <c:axId val="77184000"/>
        <c:axId val="77190272"/>
      </c:scatterChart>
      <c:valAx>
        <c:axId val="77184000"/>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77190272"/>
        <c:crosses val="autoZero"/>
        <c:crossBetween val="midCat"/>
        <c:majorUnit val="0.2"/>
      </c:valAx>
      <c:valAx>
        <c:axId val="77190272"/>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77184000"/>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'Mid-Atlantic-DT'!$D$10</c:f>
              <c:strCache>
                <c:ptCount val="1"/>
                <c:pt idx="0">
                  <c:v>Clay</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'Mid-Atlantic-DT'!$Z$11:$Z$19</c:f>
              <c:numCache>
                <c:formatCode>0.0%</c:formatCode>
                <c:ptCount val="9"/>
                <c:pt idx="0">
                  <c:v>2.0783190806020974E-3</c:v>
                </c:pt>
                <c:pt idx="1">
                  <c:v>3.9754156509177211E-3</c:v>
                </c:pt>
                <c:pt idx="2">
                  <c:v>7.1195294663932212E-3</c:v>
                </c:pt>
                <c:pt idx="3">
                  <c:v>1.0097124946794102E-2</c:v>
                </c:pt>
                <c:pt idx="4">
                  <c:v>1.2840356511756891E-2</c:v>
                </c:pt>
                <c:pt idx="5">
                  <c:v>1.5405848134246541E-2</c:v>
                </c:pt>
                <c:pt idx="6">
                  <c:v>1.7955861677565816E-2</c:v>
                </c:pt>
                <c:pt idx="7">
                  <c:v>2.3267422512866152E-2</c:v>
                </c:pt>
                <c:pt idx="8">
                  <c:v>2.7135652465529028E-2</c:v>
                </c:pt>
              </c:numCache>
            </c:numRef>
          </c:yVal>
          <c:smooth val="1"/>
        </c:ser>
        <c:ser>
          <c:idx val="1"/>
          <c:order val="1"/>
          <c:tx>
            <c:strRef>
              <c:f>'Mid-Atlantic-DT'!$H$10</c:f>
              <c:strCache>
                <c:ptCount val="1"/>
                <c:pt idx="0">
                  <c:v>Silt</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'Mid-Atlantic-DT'!$AD$11:$AD$19</c:f>
              <c:numCache>
                <c:formatCode>0.0%</c:formatCode>
                <c:ptCount val="9"/>
                <c:pt idx="0">
                  <c:v>0.21267998641368607</c:v>
                </c:pt>
                <c:pt idx="1">
                  <c:v>0.36177989311526443</c:v>
                </c:pt>
                <c:pt idx="2">
                  <c:v>0.51420844673176069</c:v>
                </c:pt>
                <c:pt idx="3">
                  <c:v>0.59997334330809549</c:v>
                </c:pt>
                <c:pt idx="4">
                  <c:v>0.64706969865039743</c:v>
                </c:pt>
                <c:pt idx="5">
                  <c:v>0.67478405929824115</c:v>
                </c:pt>
                <c:pt idx="6">
                  <c:v>0.6965866535962888</c:v>
                </c:pt>
                <c:pt idx="7">
                  <c:v>0.72386246866763837</c:v>
                </c:pt>
                <c:pt idx="8">
                  <c:v>0.73769385219294292</c:v>
                </c:pt>
              </c:numCache>
            </c:numRef>
          </c:yVal>
          <c:smooth val="1"/>
        </c:ser>
        <c:ser>
          <c:idx val="2"/>
          <c:order val="2"/>
          <c:tx>
            <c:strRef>
              <c:f>'Mid-Atlantic-DT'!$I$10</c:f>
              <c:strCache>
                <c:ptCount val="1"/>
                <c:pt idx="0">
                  <c:v>Sand</c:v>
                </c:pt>
              </c:strCache>
            </c:strRef>
          </c:tx>
          <c:xVal>
            <c:numRef>
              <c:f>'Mid-Atlantic-DT'!$A$11:$A$19</c:f>
              <c:numCache>
                <c:formatCode>0.00</c:formatCode>
                <c:ptCount val="9"/>
                <c:pt idx="0">
                  <c:v>0.1</c:v>
                </c:pt>
                <c:pt idx="1">
                  <c:v>0.2</c:v>
                </c:pt>
                <c:pt idx="2">
                  <c:v>0.4</c:v>
                </c:pt>
                <c:pt idx="3">
                  <c:v>0.6</c:v>
                </c:pt>
                <c:pt idx="4">
                  <c:v>0.8</c:v>
                </c:pt>
                <c:pt idx="5">
                  <c:v>1</c:v>
                </c:pt>
                <c:pt idx="6">
                  <c:v>1.2</c:v>
                </c:pt>
                <c:pt idx="7">
                  <c:v>1.6</c:v>
                </c:pt>
                <c:pt idx="8">
                  <c:v>2</c:v>
                </c:pt>
              </c:numCache>
            </c:numRef>
          </c:xVal>
          <c:yVal>
            <c:numRef>
              <c:f>'Mid-Atlantic-DT'!$AE$11:$AE$19</c:f>
              <c:numCache>
                <c:formatCode>0.0%</c:formatCode>
                <c:ptCount val="9"/>
                <c:pt idx="0">
                  <c:v>0.33166943982251806</c:v>
                </c:pt>
                <c:pt idx="1">
                  <c:v>0.55576622941093012</c:v>
                </c:pt>
                <c:pt idx="2">
                  <c:v>0.76945401075726505</c:v>
                </c:pt>
                <c:pt idx="3">
                  <c:v>0.88031575281507568</c:v>
                </c:pt>
                <c:pt idx="4">
                  <c:v>0.93415367152936324</c:v>
                </c:pt>
                <c:pt idx="5">
                  <c:v>0.96095654529272923</c:v>
                </c:pt>
                <c:pt idx="6">
                  <c:v>0.98039443305085838</c:v>
                </c:pt>
                <c:pt idx="7">
                  <c:v>0.99655612738459165</c:v>
                </c:pt>
                <c:pt idx="8">
                  <c:v>0.9992389944407899</c:v>
                </c:pt>
              </c:numCache>
            </c:numRef>
          </c:yVal>
          <c:smooth val="1"/>
        </c:ser>
        <c:axId val="77081216"/>
        <c:axId val="77124352"/>
      </c:scatterChart>
      <c:valAx>
        <c:axId val="770812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7124352"/>
        <c:crosses val="autoZero"/>
        <c:crossBetween val="midCat"/>
        <c:majorUnit val="0.2"/>
      </c:valAx>
      <c:valAx>
        <c:axId val="77124352"/>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7708121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'Mid-Atlantic-MF'!$AI$3</c:f>
              <c:strCache>
                <c:ptCount val="1"/>
                <c:pt idx="0">
                  <c:v>Runoff Treated</c:v>
                </c:pt>
              </c:strCache>
            </c:strRef>
          </c:tx>
          <c:xVal>
            <c:numRef>
              <c:f>'Mid-Atlantic-MF'!$AH$10:$AH$12</c:f>
              <c:numCache>
                <c:formatCode>General</c:formatCode>
                <c:ptCount val="3"/>
              </c:numCache>
            </c:numRef>
          </c:xVal>
          <c:yVal>
            <c:numRef>
              <c:f>'Mid-Atlantic-MF'!$AI$4:$AI$12</c:f>
              <c:numCache>
                <c:formatCode>0.0%</c:formatCode>
                <c:ptCount val="9"/>
                <c:pt idx="0">
                  <c:v>0.6949918962722853</c:v>
                </c:pt>
                <c:pt idx="1">
                  <c:v>0.8294165316045381</c:v>
                </c:pt>
                <c:pt idx="2">
                  <c:v>0.92447325769854138</c:v>
                </c:pt>
                <c:pt idx="3">
                  <c:v>0.96458670988654782</c:v>
                </c:pt>
                <c:pt idx="4">
                  <c:v>0.98379254457050247</c:v>
                </c:pt>
                <c:pt idx="5">
                  <c:v>0.99343598055105353</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291520"/>
        <c:axId val="77293440"/>
      </c:scatterChart>
      <c:valAx>
        <c:axId val="7729152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293440"/>
        <c:crosses val="autoZero"/>
        <c:crossBetween val="midCat"/>
        <c:majorUnit val="0.2"/>
      </c:valAx>
      <c:valAx>
        <c:axId val="772934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29152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327744"/>
        <c:axId val="77333632"/>
      </c:scatterChart>
      <c:valAx>
        <c:axId val="7732774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333632"/>
        <c:crosses val="autoZero"/>
        <c:crossBetween val="midCat"/>
        <c:majorUnit val="0.2"/>
      </c:valAx>
      <c:valAx>
        <c:axId val="7733363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32774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'Mid-Atlantic-MF'!$AI$3</c:f>
              <c:strCache>
                <c:ptCount val="1"/>
                <c:pt idx="0">
                  <c:v>Runoff Treated</c:v>
                </c:pt>
              </c:strCache>
            </c:strRef>
          </c:tx>
          <c:xVal>
            <c:numRef>
              <c:f>'Mid-Atlantic-MF'!$AH$10:$AH$12</c:f>
              <c:numCache>
                <c:formatCode>General</c:formatCode>
                <c:ptCount val="3"/>
              </c:numCache>
            </c:numRef>
          </c:xVal>
          <c:yVal>
            <c:numRef>
              <c:f>'Mid-Atlantic-MF'!$AI$4:$AI$12</c:f>
              <c:numCache>
                <c:formatCode>0.0%</c:formatCode>
                <c:ptCount val="9"/>
                <c:pt idx="0">
                  <c:v>0.6949918962722853</c:v>
                </c:pt>
                <c:pt idx="1">
                  <c:v>0.8294165316045381</c:v>
                </c:pt>
                <c:pt idx="2">
                  <c:v>0.92447325769854138</c:v>
                </c:pt>
                <c:pt idx="3">
                  <c:v>0.96458670988654782</c:v>
                </c:pt>
                <c:pt idx="4">
                  <c:v>0.98379254457050247</c:v>
                </c:pt>
                <c:pt idx="5">
                  <c:v>0.99343598055105353</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367168"/>
        <c:axId val="77381632"/>
      </c:scatterChart>
      <c:valAx>
        <c:axId val="7736716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381632"/>
        <c:crosses val="autoZero"/>
        <c:crossBetween val="midCat"/>
        <c:majorUnit val="0.2"/>
      </c:valAx>
      <c:valAx>
        <c:axId val="7738163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3671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428224"/>
        <c:axId val="77429760"/>
      </c:scatterChart>
      <c:valAx>
        <c:axId val="774282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429760"/>
        <c:crosses val="autoZero"/>
        <c:crossBetween val="midCat"/>
        <c:majorUnit val="0.2"/>
      </c:valAx>
      <c:valAx>
        <c:axId val="7742976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42822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'Mid-Atlantic-MF'!$AI$3</c:f>
              <c:strCache>
                <c:ptCount val="1"/>
                <c:pt idx="0">
                  <c:v>Runoff Treated</c:v>
                </c:pt>
              </c:strCache>
            </c:strRef>
          </c:tx>
          <c:xVal>
            <c:numRef>
              <c:f>'Mid-Atlantic-MF'!$AH$10:$AH$12</c:f>
              <c:numCache>
                <c:formatCode>General</c:formatCode>
                <c:ptCount val="3"/>
              </c:numCache>
            </c:numRef>
          </c:xVal>
          <c:yVal>
            <c:numRef>
              <c:f>'Mid-Atlantic-MF'!$AI$4:$AI$12</c:f>
              <c:numCache>
                <c:formatCode>0.0%</c:formatCode>
                <c:ptCount val="9"/>
                <c:pt idx="0">
                  <c:v>0.6949918962722853</c:v>
                </c:pt>
                <c:pt idx="1">
                  <c:v>0.8294165316045381</c:v>
                </c:pt>
                <c:pt idx="2">
                  <c:v>0.92447325769854138</c:v>
                </c:pt>
                <c:pt idx="3">
                  <c:v>0.96458670988654782</c:v>
                </c:pt>
                <c:pt idx="4">
                  <c:v>0.98379254457050247</c:v>
                </c:pt>
                <c:pt idx="5">
                  <c:v>0.99343598055105353</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463552"/>
        <c:axId val="77465472"/>
      </c:scatterChart>
      <c:valAx>
        <c:axId val="774635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465472"/>
        <c:crosses val="autoZero"/>
        <c:crossBetween val="midCat"/>
        <c:majorUnit val="0.2"/>
      </c:valAx>
      <c:valAx>
        <c:axId val="774654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46355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'Mid-Atlantic-MF'!$AH$10:$AH$12</c:f>
              <c:numCache>
                <c:formatCode>General</c:formatCode>
                <c:ptCount val="3"/>
              </c:numCache>
            </c:numRef>
          </c:xVal>
          <c:yVal>
            <c:numRef>
              <c:f>'3-ft'!#REF!</c:f>
              <c:numCache>
                <c:formatCode>General</c:formatCode>
                <c:ptCount val="1"/>
                <c:pt idx="0">
                  <c:v>1</c:v>
                </c:pt>
              </c:numCache>
            </c:numRef>
          </c:yVal>
          <c:smooth val="1"/>
        </c:ser>
        <c:axId val="77507968"/>
        <c:axId val="77513856"/>
      </c:scatterChart>
      <c:valAx>
        <c:axId val="7750796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513856"/>
        <c:crosses val="autoZero"/>
        <c:crossBetween val="midCat"/>
        <c:majorUnit val="0.2"/>
      </c:valAx>
      <c:valAx>
        <c:axId val="7751385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5079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'Mid-Atlantic-MF'!$A$30:$A$35</c:f>
              <c:numCache>
                <c:formatCode>0</c:formatCode>
                <c:ptCount val="6"/>
                <c:pt idx="0">
                  <c:v>100</c:v>
                </c:pt>
                <c:pt idx="1">
                  <c:v>200</c:v>
                </c:pt>
                <c:pt idx="2">
                  <c:v>400</c:v>
                </c:pt>
                <c:pt idx="3">
                  <c:v>600</c:v>
                </c:pt>
                <c:pt idx="4">
                  <c:v>800</c:v>
                </c:pt>
                <c:pt idx="5">
                  <c:v>1000</c:v>
                </c:pt>
              </c:numCache>
            </c:numRef>
          </c:xVal>
          <c:yVal>
            <c:numRef>
              <c:f>'Mid-Atlantic-MF'!$B$30:$B$35</c:f>
              <c:numCache>
                <c:formatCode>0.0%</c:formatCode>
                <c:ptCount val="6"/>
                <c:pt idx="0">
                  <c:v>0.1140518638573744</c:v>
                </c:pt>
                <c:pt idx="1">
                  <c:v>0.20589951377633711</c:v>
                </c:pt>
                <c:pt idx="2">
                  <c:v>0.35672609400324151</c:v>
                </c:pt>
                <c:pt idx="3">
                  <c:v>0.47449756888168559</c:v>
                </c:pt>
                <c:pt idx="4">
                  <c:v>0.56834683954619125</c:v>
                </c:pt>
                <c:pt idx="5">
                  <c:v>0.64491896272285254</c:v>
                </c:pt>
              </c:numCache>
            </c:numRef>
          </c:yVal>
          <c:smooth val="1"/>
        </c:ser>
        <c:ser>
          <c:idx val="1"/>
          <c:order val="1"/>
          <c:tx>
            <c:v>%Treated_5 in/hr</c:v>
          </c:tx>
          <c:xVal>
            <c:numRef>
              <c:f>'Mid-Atlantic-MF'!$A$30:$A$35</c:f>
              <c:numCache>
                <c:formatCode>0</c:formatCode>
                <c:ptCount val="6"/>
                <c:pt idx="0">
                  <c:v>100</c:v>
                </c:pt>
                <c:pt idx="1">
                  <c:v>200</c:v>
                </c:pt>
                <c:pt idx="2">
                  <c:v>400</c:v>
                </c:pt>
                <c:pt idx="3">
                  <c:v>600</c:v>
                </c:pt>
                <c:pt idx="4">
                  <c:v>800</c:v>
                </c:pt>
                <c:pt idx="5">
                  <c:v>1000</c:v>
                </c:pt>
              </c:numCache>
            </c:numRef>
          </c:xVal>
          <c:yVal>
            <c:numRef>
              <c:f>'Mid-Atlantic-MF'!$C$30:$C$35</c:f>
              <c:numCache>
                <c:formatCode>0.0%</c:formatCode>
                <c:ptCount val="6"/>
                <c:pt idx="0">
                  <c:v>0.25292544570502429</c:v>
                </c:pt>
                <c:pt idx="1">
                  <c:v>0.41649108589951378</c:v>
                </c:pt>
                <c:pt idx="2">
                  <c:v>0.61908427876823335</c:v>
                </c:pt>
                <c:pt idx="3">
                  <c:v>0.74014586709886543</c:v>
                </c:pt>
                <c:pt idx="4">
                  <c:v>0.81580226904376008</c:v>
                </c:pt>
                <c:pt idx="5">
                  <c:v>0.86596434359805508</c:v>
                </c:pt>
              </c:numCache>
            </c:numRef>
          </c:yVal>
          <c:smooth val="1"/>
        </c:ser>
        <c:ser>
          <c:idx val="0"/>
          <c:order val="2"/>
          <c:tx>
            <c:v>%Treated_50 in/hr</c:v>
          </c:tx>
          <c:xVal>
            <c:numRef>
              <c:f>'Mid-Atlantic-MF'!$A$30:$A$35</c:f>
              <c:numCache>
                <c:formatCode>0</c:formatCode>
                <c:ptCount val="6"/>
                <c:pt idx="0">
                  <c:v>100</c:v>
                </c:pt>
                <c:pt idx="1">
                  <c:v>200</c:v>
                </c:pt>
                <c:pt idx="2">
                  <c:v>400</c:v>
                </c:pt>
                <c:pt idx="3">
                  <c:v>600</c:v>
                </c:pt>
                <c:pt idx="4">
                  <c:v>800</c:v>
                </c:pt>
                <c:pt idx="5">
                  <c:v>1000</c:v>
                </c:pt>
              </c:numCache>
            </c:numRef>
          </c:xVal>
          <c:yVal>
            <c:numRef>
              <c:f>'Mid-Atlantic-MF'!$D$30:$D$35</c:f>
              <c:numCache>
                <c:formatCode>0.0%</c:formatCode>
                <c:ptCount val="6"/>
                <c:pt idx="0">
                  <c:v>0.6949918962722853</c:v>
                </c:pt>
                <c:pt idx="1">
                  <c:v>0.8294165316045381</c:v>
                </c:pt>
                <c:pt idx="2">
                  <c:v>0.92447325769854138</c:v>
                </c:pt>
                <c:pt idx="3">
                  <c:v>0.96458670988654782</c:v>
                </c:pt>
                <c:pt idx="4">
                  <c:v>0.98379254457050247</c:v>
                </c:pt>
                <c:pt idx="5">
                  <c:v>0.99343598055105353</c:v>
                </c:pt>
              </c:numCache>
            </c:numRef>
          </c:yVal>
          <c:smooth val="1"/>
        </c:ser>
        <c:axId val="77556352"/>
        <c:axId val="77570816"/>
      </c:scatterChart>
      <c:scatterChart>
        <c:scatterStyle val="smoothMarker"/>
        <c:ser>
          <c:idx val="5"/>
          <c:order val="3"/>
          <c:tx>
            <c:v>Contact Time_1 in/hr</c:v>
          </c:tx>
          <c:spPr>
            <a:ln>
              <a:solidFill>
                <a:schemeClr val="accent3">
                  <a:lumMod val="75000"/>
                </a:schemeClr>
              </a:solidFill>
            </a:ln>
          </c:spPr>
          <c:marker>
            <c:symbol val="none"/>
          </c:marker>
          <c:xVal>
            <c:numRef>
              <c:f>'Mid-Atlantic-MF'!$A$30:$A$35</c:f>
              <c:numCache>
                <c:formatCode>0</c:formatCode>
                <c:ptCount val="6"/>
                <c:pt idx="0">
                  <c:v>100</c:v>
                </c:pt>
                <c:pt idx="1">
                  <c:v>200</c:v>
                </c:pt>
                <c:pt idx="2">
                  <c:v>400</c:v>
                </c:pt>
                <c:pt idx="3">
                  <c:v>600</c:v>
                </c:pt>
                <c:pt idx="4">
                  <c:v>800</c:v>
                </c:pt>
                <c:pt idx="5">
                  <c:v>1000</c:v>
                </c:pt>
              </c:numCache>
            </c:numRef>
          </c:xVal>
          <c:yVal>
            <c:numRef>
              <c:f>'Mid-Atlantic-MF'!$E$30:$E$35</c:f>
              <c:numCache>
                <c:formatCode>0.0</c:formatCode>
                <c:ptCount val="6"/>
                <c:pt idx="0">
                  <c:v>7.8471465533090292</c:v>
                </c:pt>
                <c:pt idx="1">
                  <c:v>8.8189420797081191</c:v>
                </c:pt>
                <c:pt idx="2">
                  <c:v>10.300873808409632</c:v>
                </c:pt>
                <c:pt idx="3">
                  <c:v>11.352210437546626</c:v>
                </c:pt>
                <c:pt idx="4">
                  <c:v>12.334910439739554</c:v>
                </c:pt>
                <c:pt idx="5">
                  <c:v>13.218521036332048</c:v>
                </c:pt>
              </c:numCache>
            </c:numRef>
          </c:yVal>
          <c:smooth val="1"/>
        </c:ser>
        <c:ser>
          <c:idx val="4"/>
          <c:order val="4"/>
          <c:tx>
            <c:v>Contact Time_5 in/hr</c:v>
          </c:tx>
          <c:spPr>
            <a:ln>
              <a:solidFill>
                <a:srgbClr val="8A0000"/>
              </a:solidFill>
            </a:ln>
          </c:spPr>
          <c:marker>
            <c:symbol val="none"/>
          </c:marker>
          <c:xVal>
            <c:numRef>
              <c:f>'Mid-Atlantic-MF'!$A$30:$A$35</c:f>
              <c:numCache>
                <c:formatCode>0</c:formatCode>
                <c:ptCount val="6"/>
                <c:pt idx="0">
                  <c:v>100</c:v>
                </c:pt>
                <c:pt idx="1">
                  <c:v>200</c:v>
                </c:pt>
                <c:pt idx="2">
                  <c:v>400</c:v>
                </c:pt>
                <c:pt idx="3">
                  <c:v>600</c:v>
                </c:pt>
                <c:pt idx="4">
                  <c:v>800</c:v>
                </c:pt>
                <c:pt idx="5">
                  <c:v>1000</c:v>
                </c:pt>
              </c:numCache>
            </c:numRef>
          </c:xVal>
          <c:yVal>
            <c:numRef>
              <c:f>'Mid-Atlantic-MF'!$F$30:$F$35</c:f>
              <c:numCache>
                <c:formatCode>0.0</c:formatCode>
                <c:ptCount val="6"/>
                <c:pt idx="0">
                  <c:v>2.1129753590850693</c:v>
                </c:pt>
                <c:pt idx="1">
                  <c:v>2.5449177991550873</c:v>
                </c:pt>
                <c:pt idx="2">
                  <c:v>3.2705848272897597</c:v>
                </c:pt>
                <c:pt idx="3">
                  <c:v>3.9529262948657138</c:v>
                </c:pt>
                <c:pt idx="4">
                  <c:v>4.6195930138554795</c:v>
                </c:pt>
                <c:pt idx="5">
                  <c:v>5.2895659533309143</c:v>
                </c:pt>
              </c:numCache>
            </c:numRef>
          </c:yVal>
          <c:smooth val="1"/>
        </c:ser>
        <c:ser>
          <c:idx val="3"/>
          <c:order val="5"/>
          <c:tx>
            <c:v>Contact Time_50 in/hr</c:v>
          </c:tx>
          <c:spPr>
            <a:ln>
              <a:solidFill>
                <a:schemeClr val="accent1">
                  <a:lumMod val="75000"/>
                </a:schemeClr>
              </a:solidFill>
            </a:ln>
          </c:spPr>
          <c:marker>
            <c:symbol val="none"/>
          </c:marker>
          <c:xVal>
            <c:numRef>
              <c:f>'Mid-Atlantic-MF'!$A$30:$A$35</c:f>
              <c:numCache>
                <c:formatCode>0</c:formatCode>
                <c:ptCount val="6"/>
                <c:pt idx="0">
                  <c:v>100</c:v>
                </c:pt>
                <c:pt idx="1">
                  <c:v>200</c:v>
                </c:pt>
                <c:pt idx="2">
                  <c:v>400</c:v>
                </c:pt>
                <c:pt idx="3">
                  <c:v>600</c:v>
                </c:pt>
                <c:pt idx="4">
                  <c:v>800</c:v>
                </c:pt>
                <c:pt idx="5">
                  <c:v>1000</c:v>
                </c:pt>
              </c:numCache>
            </c:numRef>
          </c:xVal>
          <c:yVal>
            <c:numRef>
              <c:f>'Mid-Atlantic-MF'!$G$30:$G$35</c:f>
              <c:numCache>
                <c:formatCode>0.0</c:formatCode>
                <c:ptCount val="6"/>
                <c:pt idx="0">
                  <c:v>0.63652103065485288</c:v>
                </c:pt>
                <c:pt idx="1">
                  <c:v>1.0027820037876507</c:v>
                </c:pt>
                <c:pt idx="2">
                  <c:v>1.6774743945515633</c:v>
                </c:pt>
                <c:pt idx="3">
                  <c:v>2.3356690023356688</c:v>
                </c:pt>
                <c:pt idx="4">
                  <c:v>3.0052075954475397</c:v>
                </c:pt>
                <c:pt idx="5">
                  <c:v>3.6802900489163122</c:v>
                </c:pt>
              </c:numCache>
            </c:numRef>
          </c:yVal>
          <c:smooth val="1"/>
        </c:ser>
        <c:axId val="77587200"/>
        <c:axId val="77572736"/>
      </c:scatterChart>
      <c:valAx>
        <c:axId val="77556352"/>
        <c:scaling>
          <c:orientation val="minMax"/>
          <c:min val="0"/>
        </c:scaling>
        <c:axPos val="b"/>
        <c:title>
          <c:tx>
            <c:rich>
              <a:bodyPr/>
              <a:lstStyle/>
              <a:p>
                <a:pPr>
                  <a:defRPr/>
                </a:pPr>
                <a:r>
                  <a:rPr lang="en-US"/>
                  <a:t>Filter Area (SF)</a:t>
                </a:r>
              </a:p>
            </c:rich>
          </c:tx>
        </c:title>
        <c:numFmt formatCode="0" sourceLinked="1"/>
        <c:tickLblPos val="nextTo"/>
        <c:crossAx val="77570816"/>
        <c:crosses val="autoZero"/>
        <c:crossBetween val="midCat"/>
      </c:valAx>
      <c:valAx>
        <c:axId val="77570816"/>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77556352"/>
        <c:crosses val="autoZero"/>
        <c:crossBetween val="midCat"/>
      </c:valAx>
      <c:valAx>
        <c:axId val="77572736"/>
        <c:scaling>
          <c:orientation val="minMax"/>
          <c:max val="20"/>
        </c:scaling>
        <c:axPos val="r"/>
        <c:title>
          <c:tx>
            <c:rich>
              <a:bodyPr rot="-5400000" vert="horz"/>
              <a:lstStyle/>
              <a:p>
                <a:pPr>
                  <a:defRPr/>
                </a:pPr>
                <a:r>
                  <a:rPr lang="en-US"/>
                  <a:t>Contact Time (hrs)</a:t>
                </a:r>
              </a:p>
            </c:rich>
          </c:tx>
        </c:title>
        <c:numFmt formatCode="0.0" sourceLinked="1"/>
        <c:tickLblPos val="nextTo"/>
        <c:crossAx val="77587200"/>
        <c:crosses val="max"/>
        <c:crossBetween val="midCat"/>
      </c:valAx>
      <c:valAx>
        <c:axId val="77587200"/>
        <c:scaling>
          <c:orientation val="minMax"/>
        </c:scaling>
        <c:delete val="1"/>
        <c:axPos val="b"/>
        <c:numFmt formatCode="0" sourceLinked="1"/>
        <c:tickLblPos val="none"/>
        <c:crossAx val="77572736"/>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657600"/>
        <c:axId val="77659520"/>
      </c:scatterChart>
      <c:valAx>
        <c:axId val="7765760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659520"/>
        <c:crosses val="autoZero"/>
        <c:crossBetween val="midCat"/>
        <c:majorUnit val="0.2"/>
      </c:valAx>
      <c:valAx>
        <c:axId val="7765952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65760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1" l="0.70000000000000062" r="0.70000000000000062" t="0.750000000000008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74"/>
          <c:y val="0.18721974766559096"/>
          <c:w val="0.76058563966632964"/>
          <c:h val="0.6115858740406267"/>
        </c:manualLayout>
      </c:layout>
      <c:scatterChart>
        <c:scatterStyle val="smoothMarker"/>
        <c:ser>
          <c:idx val="0"/>
          <c:order val="0"/>
          <c:tx>
            <c:strRef>
              <c:f>'Northeast-DT'!$D$10</c:f>
              <c:strCache>
                <c:ptCount val="1"/>
                <c:pt idx="0">
                  <c:v>Clay</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'Northeast-DT'!$D$11:$D$19</c:f>
              <c:numCache>
                <c:formatCode>0.0%</c:formatCode>
                <c:ptCount val="9"/>
                <c:pt idx="0">
                  <c:v>1.5929686121669956E-3</c:v>
                </c:pt>
                <c:pt idx="1">
                  <c:v>3.0048597411345811E-3</c:v>
                </c:pt>
                <c:pt idx="2">
                  <c:v>5.7580715007458025E-3</c:v>
                </c:pt>
                <c:pt idx="3">
                  <c:v>8.4424770244911716E-3</c:v>
                </c:pt>
                <c:pt idx="4">
                  <c:v>1.1047169962629715E-2</c:v>
                </c:pt>
                <c:pt idx="5">
                  <c:v>1.3635663763652986E-2</c:v>
                </c:pt>
                <c:pt idx="6">
                  <c:v>1.6138189866717993E-2</c:v>
                </c:pt>
                <c:pt idx="7">
                  <c:v>2.0919341128165649E-2</c:v>
                </c:pt>
                <c:pt idx="8">
                  <c:v>2.5722946639080018E-2</c:v>
                </c:pt>
              </c:numCache>
            </c:numRef>
          </c:yVal>
          <c:smooth val="1"/>
        </c:ser>
        <c:ser>
          <c:idx val="1"/>
          <c:order val="1"/>
          <c:tx>
            <c:strRef>
              <c:f>'Northeast-DT'!$H$10</c:f>
              <c:strCache>
                <c:ptCount val="1"/>
                <c:pt idx="0">
                  <c:v>Silt</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'Northeast-DT'!$H$11:$H$19</c:f>
              <c:numCache>
                <c:formatCode>0.0%</c:formatCode>
                <c:ptCount val="9"/>
                <c:pt idx="0">
                  <c:v>0.33827647596593369</c:v>
                </c:pt>
                <c:pt idx="1">
                  <c:v>0.4527616053719119</c:v>
                </c:pt>
                <c:pt idx="2">
                  <c:v>0.54053098953738909</c:v>
                </c:pt>
                <c:pt idx="3">
                  <c:v>0.58798537266034745</c:v>
                </c:pt>
                <c:pt idx="4">
                  <c:v>0.61675033547717961</c:v>
                </c:pt>
                <c:pt idx="5">
                  <c:v>0.6392949365667453</c:v>
                </c:pt>
                <c:pt idx="6">
                  <c:v>0.65696856939699655</c:v>
                </c:pt>
                <c:pt idx="7">
                  <c:v>0.68385486000844697</c:v>
                </c:pt>
                <c:pt idx="8">
                  <c:v>0.70548578699471265</c:v>
                </c:pt>
              </c:numCache>
            </c:numRef>
          </c:yVal>
          <c:smooth val="1"/>
        </c:ser>
        <c:ser>
          <c:idx val="2"/>
          <c:order val="2"/>
          <c:tx>
            <c:strRef>
              <c:f>'Northeast-DT'!$I$10</c:f>
              <c:strCache>
                <c:ptCount val="1"/>
                <c:pt idx="0">
                  <c:v>Sand</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'Northeast-DT'!$I$11:$I$19</c:f>
              <c:numCache>
                <c:formatCode>0.0%</c:formatCode>
                <c:ptCount val="9"/>
                <c:pt idx="0">
                  <c:v>0.72052478788753627</c:v>
                </c:pt>
                <c:pt idx="1">
                  <c:v>0.8883863414008244</c:v>
                </c:pt>
                <c:pt idx="2">
                  <c:v>0.96864424449469921</c:v>
                </c:pt>
                <c:pt idx="3">
                  <c:v>0.98963896774607463</c:v>
                </c:pt>
                <c:pt idx="4">
                  <c:v>0.99469117387608474</c:v>
                </c:pt>
                <c:pt idx="5">
                  <c:v>0.99738568381209014</c:v>
                </c:pt>
                <c:pt idx="6">
                  <c:v>0.9977224975540907</c:v>
                </c:pt>
                <c:pt idx="7">
                  <c:v>0.99761022630675722</c:v>
                </c:pt>
                <c:pt idx="8">
                  <c:v>0.99759418755713802</c:v>
                </c:pt>
              </c:numCache>
            </c:numRef>
          </c:yVal>
          <c:smooth val="1"/>
        </c:ser>
        <c:axId val="74448256"/>
        <c:axId val="74532352"/>
      </c:scatterChart>
      <c:valAx>
        <c:axId val="7444825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4532352"/>
        <c:crosses val="autoZero"/>
        <c:crossBetween val="midCat"/>
        <c:majorUnit val="0.2"/>
      </c:valAx>
      <c:valAx>
        <c:axId val="74532352"/>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65"/>
            </c:manualLayout>
          </c:layout>
        </c:title>
        <c:numFmt formatCode="0%" sourceLinked="0"/>
        <c:tickLblPos val="nextTo"/>
        <c:crossAx val="74448256"/>
        <c:crosses val="autoZero"/>
        <c:crossBetween val="midCat"/>
      </c:valAx>
      <c:spPr>
        <a:ln>
          <a:solidFill>
            <a:schemeClr val="bg1">
              <a:lumMod val="50000"/>
            </a:schemeClr>
          </a:solidFill>
        </a:ln>
      </c:spPr>
    </c:plotArea>
    <c:legend>
      <c:legendPos val="t"/>
      <c:layout>
        <c:manualLayout>
          <c:xMode val="edge"/>
          <c:yMode val="edge"/>
          <c:x val="0.35980946153357346"/>
          <c:y val="0.10300157977883168"/>
          <c:w val="0.35307659269864333"/>
          <c:h val="5.8520755293937757E-2"/>
        </c:manualLayout>
      </c:layout>
    </c:legend>
    <c:plotVisOnly val="1"/>
  </c:chart>
  <c:spPr>
    <a:ln>
      <a:solidFill>
        <a:schemeClr val="accent1"/>
      </a:solidFill>
    </a:ln>
  </c:spPr>
  <c:printSettings>
    <c:headerFooter/>
    <c:pageMargins b="0.75000000000000377" l="0.70000000000000062" r="0.70000000000000062" t="0.7500000000000037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698176"/>
        <c:axId val="77699712"/>
      </c:scatterChart>
      <c:valAx>
        <c:axId val="77698176"/>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699712"/>
        <c:crosses val="autoZero"/>
        <c:crossBetween val="midCat"/>
        <c:majorUnit val="0.2"/>
      </c:valAx>
      <c:valAx>
        <c:axId val="77699712"/>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69817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33" l="0.70000000000000062" r="0.70000000000000062" t="0.75000000000000833"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794688"/>
        <c:axId val="77821440"/>
      </c:scatterChart>
      <c:valAx>
        <c:axId val="7779468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821440"/>
        <c:crosses val="autoZero"/>
        <c:crossBetween val="midCat"/>
        <c:majorUnit val="0.2"/>
      </c:valAx>
      <c:valAx>
        <c:axId val="778214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7946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22" r="0.7500000000000072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728768"/>
        <c:axId val="77734656"/>
      </c:scatterChart>
      <c:valAx>
        <c:axId val="7772876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734656"/>
        <c:crosses val="autoZero"/>
        <c:crossBetween val="midCat"/>
        <c:majorUnit val="0.2"/>
      </c:valAx>
      <c:valAx>
        <c:axId val="77734656"/>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72876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22" r="0.7500000000000072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48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755904"/>
        <c:axId val="77757824"/>
      </c:scatterChart>
      <c:valAx>
        <c:axId val="7775590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757824"/>
        <c:crosses val="autoZero"/>
        <c:crossBetween val="midCat"/>
        <c:majorUnit val="0.2"/>
      </c:valAx>
      <c:valAx>
        <c:axId val="7775782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775590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22" r="0.7500000000000072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7886592"/>
        <c:axId val="77888128"/>
      </c:scatterChart>
      <c:valAx>
        <c:axId val="7788659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7888128"/>
        <c:crosses val="autoZero"/>
        <c:crossBetween val="midCat"/>
        <c:majorUnit val="0.2"/>
      </c:valAx>
      <c:valAx>
        <c:axId val="7788812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788659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722" r="0.7500000000000072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'Central-DT'!$B$10</c:f>
              <c:strCache>
                <c:ptCount val="1"/>
                <c:pt idx="0">
                  <c:v>Runoff</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'Central-DT'!$B$11:$B$19</c:f>
              <c:numCache>
                <c:formatCode>0.0%</c:formatCode>
                <c:ptCount val="9"/>
                <c:pt idx="0">
                  <c:v>0.51747465692021244</c:v>
                </c:pt>
                <c:pt idx="1">
                  <c:v>0.74608647679470386</c:v>
                </c:pt>
                <c:pt idx="2">
                  <c:v>0.89986897455347903</c:v>
                </c:pt>
                <c:pt idx="3">
                  <c:v>0.95703744569340043</c:v>
                </c:pt>
                <c:pt idx="4">
                  <c:v>0.97951865388593895</c:v>
                </c:pt>
                <c:pt idx="5">
                  <c:v>0.98944900351699883</c:v>
                </c:pt>
                <c:pt idx="6">
                  <c:v>0.99427625680987519</c:v>
                </c:pt>
                <c:pt idx="7">
                  <c:v>0.9971036480242742</c:v>
                </c:pt>
                <c:pt idx="8">
                  <c:v>0.99903454934142477</c:v>
                </c:pt>
              </c:numCache>
            </c:numRef>
          </c:yVal>
          <c:smooth val="1"/>
        </c:ser>
        <c:ser>
          <c:idx val="1"/>
          <c:order val="1"/>
          <c:tx>
            <c:strRef>
              <c:f>'Central-DT'!$C$10</c:f>
              <c:strCache>
                <c:ptCount val="1"/>
                <c:pt idx="0">
                  <c:v>TSS</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'Central-DT'!$C$11:$C$19</c:f>
              <c:numCache>
                <c:formatCode>0.0%</c:formatCode>
                <c:ptCount val="9"/>
                <c:pt idx="0">
                  <c:v>0.37408383590695204</c:v>
                </c:pt>
                <c:pt idx="1">
                  <c:v>0.54809201515452766</c:v>
                </c:pt>
                <c:pt idx="2">
                  <c:v>0.67503150197715778</c:v>
                </c:pt>
                <c:pt idx="3">
                  <c:v>0.72996525062407491</c:v>
                </c:pt>
                <c:pt idx="4">
                  <c:v>0.7562612002120751</c:v>
                </c:pt>
                <c:pt idx="5">
                  <c:v>0.77163869375041427</c:v>
                </c:pt>
                <c:pt idx="6">
                  <c:v>0.7821934853204322</c:v>
                </c:pt>
                <c:pt idx="7">
                  <c:v>0.79523587823359176</c:v>
                </c:pt>
                <c:pt idx="8">
                  <c:v>0.80562893498575128</c:v>
                </c:pt>
              </c:numCache>
            </c:numRef>
          </c:yVal>
          <c:smooth val="1"/>
        </c:ser>
        <c:axId val="78028160"/>
        <c:axId val="78030336"/>
      </c:scatterChart>
      <c:valAx>
        <c:axId val="78028160"/>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78030336"/>
        <c:crosses val="autoZero"/>
        <c:crossBetween val="midCat"/>
        <c:majorUnit val="0.2"/>
      </c:valAx>
      <c:valAx>
        <c:axId val="78030336"/>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78028160"/>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'Central-DT'!$D$10</c:f>
              <c:strCache>
                <c:ptCount val="1"/>
                <c:pt idx="0">
                  <c:v>Clay</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'Central-DT'!$D$11:$D$19</c:f>
              <c:numCache>
                <c:formatCode>0.0%</c:formatCode>
                <c:ptCount val="9"/>
                <c:pt idx="0">
                  <c:v>1.2483707778293239E-3</c:v>
                </c:pt>
                <c:pt idx="1">
                  <c:v>2.3963372876488393E-3</c:v>
                </c:pt>
                <c:pt idx="2">
                  <c:v>4.5136633750856034E-3</c:v>
                </c:pt>
                <c:pt idx="3">
                  <c:v>6.5950913468972982E-3</c:v>
                </c:pt>
                <c:pt idx="4">
                  <c:v>8.603728985795393E-3</c:v>
                </c:pt>
                <c:pt idx="5">
                  <c:v>1.0578898535356884E-2</c:v>
                </c:pt>
                <c:pt idx="6">
                  <c:v>1.2515739943004839E-2</c:v>
                </c:pt>
                <c:pt idx="7">
                  <c:v>1.6211589016281176E-2</c:v>
                </c:pt>
                <c:pt idx="8">
                  <c:v>1.9917379106192148E-2</c:v>
                </c:pt>
              </c:numCache>
            </c:numRef>
          </c:yVal>
          <c:smooth val="1"/>
        </c:ser>
        <c:ser>
          <c:idx val="1"/>
          <c:order val="1"/>
          <c:tx>
            <c:strRef>
              <c:f>'Central-DT'!$H$10</c:f>
              <c:strCache>
                <c:ptCount val="1"/>
                <c:pt idx="0">
                  <c:v>Silt</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'Central-DT'!$H$11:$H$19</c:f>
              <c:numCache>
                <c:formatCode>0.0%</c:formatCode>
                <c:ptCount val="9"/>
                <c:pt idx="0">
                  <c:v>0.25716931392257791</c:v>
                </c:pt>
                <c:pt idx="1">
                  <c:v>0.39018158923719271</c:v>
                </c:pt>
                <c:pt idx="2">
                  <c:v>0.50156405328384923</c:v>
                </c:pt>
                <c:pt idx="3">
                  <c:v>0.56019027842210301</c:v>
                </c:pt>
                <c:pt idx="4">
                  <c:v>0.59370954558508415</c:v>
                </c:pt>
                <c:pt idx="5">
                  <c:v>0.61667808042650651</c:v>
                </c:pt>
                <c:pt idx="6">
                  <c:v>0.63468972982525895</c:v>
                </c:pt>
                <c:pt idx="7">
                  <c:v>0.66034123460062899</c:v>
                </c:pt>
                <c:pt idx="8">
                  <c:v>0.68092650275034805</c:v>
                </c:pt>
              </c:numCache>
            </c:numRef>
          </c:yVal>
          <c:smooth val="1"/>
        </c:ser>
        <c:ser>
          <c:idx val="2"/>
          <c:order val="2"/>
          <c:tx>
            <c:strRef>
              <c:f>'Central-DT'!$I$10</c:f>
              <c:strCache>
                <c:ptCount val="1"/>
                <c:pt idx="0">
                  <c:v>Sand</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'Central-DT'!$I$11:$I$19</c:f>
              <c:numCache>
                <c:formatCode>0.0%</c:formatCode>
                <c:ptCount val="9"/>
                <c:pt idx="0">
                  <c:v>0.51659045220580113</c:v>
                </c:pt>
                <c:pt idx="1">
                  <c:v>0.74478096626681689</c:v>
                </c:pt>
                <c:pt idx="2">
                  <c:v>0.89820398966134274</c:v>
                </c:pt>
                <c:pt idx="3">
                  <c:v>0.95509974153356747</c:v>
                </c:pt>
                <c:pt idx="4">
                  <c:v>0.97732343649899489</c:v>
                </c:pt>
                <c:pt idx="5">
                  <c:v>0.98720922526343702</c:v>
                </c:pt>
                <c:pt idx="6">
                  <c:v>0.99191463980383077</c:v>
                </c:pt>
                <c:pt idx="7">
                  <c:v>0.99454348642498958</c:v>
                </c:pt>
                <c:pt idx="8">
                  <c:v>0.99643227958557012</c:v>
                </c:pt>
              </c:numCache>
            </c:numRef>
          </c:yVal>
          <c:smooth val="1"/>
        </c:ser>
        <c:axId val="78046720"/>
        <c:axId val="77950976"/>
      </c:scatterChart>
      <c:valAx>
        <c:axId val="78046720"/>
        <c:scaling>
          <c:orientation val="minMax"/>
          <c:max val="2"/>
          <c:min val="0"/>
        </c:scaling>
        <c:axPos val="b"/>
        <c:majorGridlines/>
        <c:title>
          <c:tx>
            <c:rich>
              <a:bodyPr/>
              <a:lstStyle/>
              <a:p>
                <a:pPr>
                  <a:defRPr/>
                </a:pPr>
                <a:r>
                  <a:rPr lang="en-US"/>
                  <a:t>Unit Basin Size (in)</a:t>
                </a:r>
              </a:p>
            </c:rich>
          </c:tx>
        </c:title>
        <c:numFmt formatCode="0.0" sourceLinked="0"/>
        <c:tickLblPos val="nextTo"/>
        <c:crossAx val="77950976"/>
        <c:crosses val="autoZero"/>
        <c:crossBetween val="midCat"/>
        <c:majorUnit val="0.2"/>
      </c:valAx>
      <c:valAx>
        <c:axId val="77950976"/>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78046720"/>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'Central-DT'!$CD$17</c:f>
              <c:strCache>
                <c:ptCount val="1"/>
                <c:pt idx="0">
                  <c:v>Runoff, 3hr DT</c:v>
                </c:pt>
              </c:strCache>
            </c:strRef>
          </c:tx>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'Central-DT'!$CE$17</c:f>
              <c:strCache>
                <c:ptCount val="1"/>
                <c:pt idx="0">
                  <c:v>Runoff, 6hr DT</c:v>
                </c:pt>
              </c:strCache>
            </c:strRef>
          </c:tx>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'Central-DT'!$CF$17</c:f>
              <c:strCache>
                <c:ptCount val="1"/>
                <c:pt idx="0">
                  <c:v>Runoff, 12hr DT</c:v>
                </c:pt>
              </c:strCache>
            </c:strRef>
          </c:tx>
          <c:spPr>
            <a:ln w="31750"/>
          </c:spPr>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'Central-DT'!$CG$17</c:f>
              <c:strCache>
                <c:ptCount val="1"/>
                <c:pt idx="0">
                  <c:v>TSS, 3hr DT</c:v>
                </c:pt>
              </c:strCache>
            </c:strRef>
          </c:tx>
          <c:spPr>
            <a:ln w="31750">
              <a:solidFill>
                <a:schemeClr val="accent1"/>
              </a:solidFill>
              <a:prstDash val="sysDash"/>
            </a:ln>
          </c:spPr>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'Central-DT'!$CG$18:$CG$26</c:f>
              <c:numCache>
                <c:formatCode>0.0%</c:formatCode>
                <c:ptCount val="9"/>
                <c:pt idx="0">
                  <c:v>0.37408383590695204</c:v>
                </c:pt>
                <c:pt idx="1">
                  <c:v>0.54809201515452766</c:v>
                </c:pt>
                <c:pt idx="2">
                  <c:v>0.67503150197715778</c:v>
                </c:pt>
                <c:pt idx="3">
                  <c:v>0.72996525062407491</c:v>
                </c:pt>
                <c:pt idx="4">
                  <c:v>0.7562612002120751</c:v>
                </c:pt>
                <c:pt idx="5">
                  <c:v>0.77163869375041427</c:v>
                </c:pt>
                <c:pt idx="6">
                  <c:v>0.7821934853204322</c:v>
                </c:pt>
                <c:pt idx="7">
                  <c:v>0.79523587823359176</c:v>
                </c:pt>
                <c:pt idx="8">
                  <c:v>0.80562893498575128</c:v>
                </c:pt>
              </c:numCache>
            </c:numRef>
          </c:yVal>
          <c:smooth val="1"/>
        </c:ser>
        <c:ser>
          <c:idx val="4"/>
          <c:order val="4"/>
          <c:tx>
            <c:strRef>
              <c:f>'Central-DT'!$CH$17</c:f>
              <c:strCache>
                <c:ptCount val="1"/>
                <c:pt idx="0">
                  <c:v>TSS, 6hr DT</c:v>
                </c:pt>
              </c:strCache>
            </c:strRef>
          </c:tx>
          <c:spPr>
            <a:ln w="31750">
              <a:solidFill>
                <a:schemeClr val="accent2"/>
              </a:solidFill>
              <a:prstDash val="sysDash"/>
            </a:ln>
          </c:spPr>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'Central-DT'!$CH$18:$CH$26</c:f>
              <c:numCache>
                <c:formatCode>0.0%</c:formatCode>
                <c:ptCount val="9"/>
                <c:pt idx="0">
                  <c:v>0.30521273223319417</c:v>
                </c:pt>
                <c:pt idx="1">
                  <c:v>0.48642424393045702</c:v>
                </c:pt>
                <c:pt idx="2">
                  <c:v>0.65397259040802347</c:v>
                </c:pt>
                <c:pt idx="3">
                  <c:v>0.72664064881701895</c:v>
                </c:pt>
                <c:pt idx="4">
                  <c:v>0.76619362339010766</c:v>
                </c:pt>
                <c:pt idx="5">
                  <c:v>0.78281319725186127</c:v>
                </c:pt>
                <c:pt idx="6">
                  <c:v>0.79625400402058899</c:v>
                </c:pt>
                <c:pt idx="7">
                  <c:v>0.81147077341109419</c:v>
                </c:pt>
                <c:pt idx="8">
                  <c:v>0.82128360615901208</c:v>
                </c:pt>
              </c:numCache>
            </c:numRef>
          </c:yVal>
          <c:smooth val="1"/>
        </c:ser>
        <c:ser>
          <c:idx val="5"/>
          <c:order val="5"/>
          <c:tx>
            <c:strRef>
              <c:f>'Central-DT'!$CI$17</c:f>
              <c:strCache>
                <c:ptCount val="1"/>
                <c:pt idx="0">
                  <c:v>TSS, 12hr DT</c:v>
                </c:pt>
              </c:strCache>
            </c:strRef>
          </c:tx>
          <c:spPr>
            <a:ln w="31750">
              <a:solidFill>
                <a:schemeClr val="accent3"/>
              </a:solidFill>
              <a:prstDash val="sysDash"/>
            </a:ln>
          </c:spPr>
          <c:marker>
            <c:symbol val="none"/>
          </c:marker>
          <c:xVal>
            <c:numRef>
              <c:f>'Central-DT'!$CC$18:$CC$26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'Central-DT'!$CI$18:$CI$26</c:f>
              <c:numCache>
                <c:formatCode>0.0%</c:formatCode>
                <c:ptCount val="9"/>
                <c:pt idx="0">
                  <c:v>0.24179200079528135</c:v>
                </c:pt>
                <c:pt idx="1">
                  <c:v>0.41953427441624142</c:v>
                </c:pt>
                <c:pt idx="2">
                  <c:v>0.60354622020456405</c:v>
                </c:pt>
                <c:pt idx="3">
                  <c:v>0.70640383723242106</c:v>
                </c:pt>
                <c:pt idx="4">
                  <c:v>0.75875019329754578</c:v>
                </c:pt>
                <c:pt idx="5">
                  <c:v>0.78713985905847528</c:v>
                </c:pt>
                <c:pt idx="6">
                  <c:v>0.80401998144343567</c:v>
                </c:pt>
                <c:pt idx="7">
                  <c:v>0.82429115028608035</c:v>
                </c:pt>
                <c:pt idx="8">
                  <c:v>0.8342750789758544</c:v>
                </c:pt>
              </c:numCache>
            </c:numRef>
          </c:yVal>
          <c:smooth val="1"/>
        </c:ser>
        <c:axId val="77984896"/>
        <c:axId val="77986816"/>
      </c:scatterChart>
      <c:valAx>
        <c:axId val="7798489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77986816"/>
        <c:crosses val="autoZero"/>
        <c:crossBetween val="midCat"/>
        <c:majorUnit val="0.2"/>
      </c:valAx>
      <c:valAx>
        <c:axId val="77986816"/>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77984896"/>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'Central-DT'!$B$10</c:f>
              <c:strCache>
                <c:ptCount val="1"/>
                <c:pt idx="0">
                  <c:v>Runoff</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'Central-DT'!$M$11:$M$19</c:f>
              <c:numCache>
                <c:formatCode>0.0%</c:formatCode>
                <c:ptCount val="9"/>
                <c:pt idx="0">
                  <c:v>0.39979311771601961</c:v>
                </c:pt>
                <c:pt idx="1">
                  <c:v>0.62902558444245227</c:v>
                </c:pt>
                <c:pt idx="2">
                  <c:v>0.83718364250741328</c:v>
                </c:pt>
                <c:pt idx="3">
                  <c:v>0.91979863457692568</c:v>
                </c:pt>
                <c:pt idx="4">
                  <c:v>0.95938211157851183</c:v>
                </c:pt>
                <c:pt idx="5">
                  <c:v>0.97613957658092543</c:v>
                </c:pt>
                <c:pt idx="6">
                  <c:v>0.9866905730639266</c:v>
                </c:pt>
                <c:pt idx="7">
                  <c:v>0.99544858975243089</c:v>
                </c:pt>
                <c:pt idx="8">
                  <c:v>0.99779325563754229</c:v>
                </c:pt>
              </c:numCache>
            </c:numRef>
          </c:yVal>
          <c:smooth val="1"/>
        </c:ser>
        <c:ser>
          <c:idx val="1"/>
          <c:order val="1"/>
          <c:tx>
            <c:strRef>
              <c:f>'Central-DT'!$C$10</c:f>
              <c:strCache>
                <c:ptCount val="1"/>
                <c:pt idx="0">
                  <c:v>TSS</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'Central-DT'!$N$11:$N$19</c:f>
              <c:numCache>
                <c:formatCode>0.0%</c:formatCode>
                <c:ptCount val="9"/>
                <c:pt idx="0">
                  <c:v>0.30521273223319417</c:v>
                </c:pt>
                <c:pt idx="1">
                  <c:v>0.48642424393045702</c:v>
                </c:pt>
                <c:pt idx="2">
                  <c:v>0.65397259040802347</c:v>
                </c:pt>
                <c:pt idx="3">
                  <c:v>0.72664064881701895</c:v>
                </c:pt>
                <c:pt idx="4">
                  <c:v>0.76619362339010766</c:v>
                </c:pt>
                <c:pt idx="5">
                  <c:v>0.78281319725186127</c:v>
                </c:pt>
                <c:pt idx="6">
                  <c:v>0.79625400402058899</c:v>
                </c:pt>
                <c:pt idx="7">
                  <c:v>0.81147077341109419</c:v>
                </c:pt>
                <c:pt idx="8">
                  <c:v>0.82128360615901208</c:v>
                </c:pt>
              </c:numCache>
            </c:numRef>
          </c:yVal>
          <c:smooth val="1"/>
        </c:ser>
        <c:axId val="74967680"/>
        <c:axId val="78123776"/>
      </c:scatterChart>
      <c:valAx>
        <c:axId val="74967680"/>
        <c:scaling>
          <c:orientation val="minMax"/>
          <c:max val="2"/>
          <c:min val="0"/>
        </c:scaling>
        <c:axPos val="b"/>
        <c:majorGridlines/>
        <c:title>
          <c:tx>
            <c:rich>
              <a:bodyPr/>
              <a:lstStyle/>
              <a:p>
                <a:pPr>
                  <a:defRPr/>
                </a:pPr>
                <a:r>
                  <a:rPr lang="en-US"/>
                  <a:t>Unit Basin Size (in)</a:t>
                </a:r>
              </a:p>
            </c:rich>
          </c:tx>
        </c:title>
        <c:numFmt formatCode="0.0" sourceLinked="0"/>
        <c:tickLblPos val="nextTo"/>
        <c:crossAx val="78123776"/>
        <c:crosses val="autoZero"/>
        <c:crossBetween val="midCat"/>
        <c:majorUnit val="0.2"/>
      </c:valAx>
      <c:valAx>
        <c:axId val="78123776"/>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74967680"/>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'Central-DT'!$D$10</c:f>
              <c:strCache>
                <c:ptCount val="1"/>
                <c:pt idx="0">
                  <c:v>Clay</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'Central-DT'!$O$11:$O$19</c:f>
              <c:numCache>
                <c:formatCode>0.0%</c:formatCode>
                <c:ptCount val="9"/>
                <c:pt idx="0">
                  <c:v>1.548479024454901E-3</c:v>
                </c:pt>
                <c:pt idx="1">
                  <c:v>3.341838425342965E-3</c:v>
                </c:pt>
                <c:pt idx="2">
                  <c:v>5.5513950560010603E-3</c:v>
                </c:pt>
                <c:pt idx="3">
                  <c:v>8.1868690215830524E-3</c:v>
                </c:pt>
                <c:pt idx="4">
                  <c:v>1.074148938520335E-2</c:v>
                </c:pt>
                <c:pt idx="5">
                  <c:v>1.2627300240793515E-2</c:v>
                </c:pt>
                <c:pt idx="6">
                  <c:v>1.5035235381182762E-2</c:v>
                </c:pt>
                <c:pt idx="7">
                  <c:v>1.9207148695517706E-2</c:v>
                </c:pt>
                <c:pt idx="8">
                  <c:v>2.3701592771776352E-2</c:v>
                </c:pt>
              </c:numCache>
            </c:numRef>
          </c:yVal>
          <c:smooth val="1"/>
        </c:ser>
        <c:ser>
          <c:idx val="1"/>
          <c:order val="1"/>
          <c:tx>
            <c:strRef>
              <c:f>'Central-DT'!$H$10</c:f>
              <c:strCache>
                <c:ptCount val="1"/>
                <c:pt idx="0">
                  <c:v>Silt</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'Central-DT'!$S$11:$S$19</c:f>
              <c:numCache>
                <c:formatCode>0.0%</c:formatCode>
                <c:ptCount val="9"/>
                <c:pt idx="0">
                  <c:v>0.23442684516314316</c:v>
                </c:pt>
                <c:pt idx="1">
                  <c:v>0.38231934963660069</c:v>
                </c:pt>
                <c:pt idx="2">
                  <c:v>0.52336691187841045</c:v>
                </c:pt>
                <c:pt idx="3">
                  <c:v>0.59280675400033878</c:v>
                </c:pt>
                <c:pt idx="4">
                  <c:v>0.63645702167141627</c:v>
                </c:pt>
                <c:pt idx="5">
                  <c:v>0.65473376484709245</c:v>
                </c:pt>
                <c:pt idx="6">
                  <c:v>0.67263864036347309</c:v>
                </c:pt>
                <c:pt idx="7">
                  <c:v>0.69633139667601873</c:v>
                </c:pt>
                <c:pt idx="8">
                  <c:v>0.71502418980714433</c:v>
                </c:pt>
              </c:numCache>
            </c:numRef>
          </c:yVal>
          <c:smooth val="1"/>
        </c:ser>
        <c:ser>
          <c:idx val="2"/>
          <c:order val="2"/>
          <c:tx>
            <c:strRef>
              <c:f>'Central-DT'!$I$10</c:f>
              <c:strCache>
                <c:ptCount val="1"/>
                <c:pt idx="0">
                  <c:v>Sand</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'Central-DT'!$T$11:$T$19</c:f>
              <c:numCache>
                <c:formatCode>0.0%</c:formatCode>
                <c:ptCount val="9"/>
                <c:pt idx="0">
                  <c:v>0.39928645591711404</c:v>
                </c:pt>
                <c:pt idx="1">
                  <c:v>0.62842688934543922</c:v>
                </c:pt>
                <c:pt idx="2">
                  <c:v>0.83635982061987757</c:v>
                </c:pt>
                <c:pt idx="3">
                  <c:v>0.91893653213157489</c:v>
                </c:pt>
                <c:pt idx="4">
                  <c:v>0.95850177833742034</c:v>
                </c:pt>
                <c:pt idx="5">
                  <c:v>0.97510327611725989</c:v>
                </c:pt>
                <c:pt idx="6">
                  <c:v>0.98562970817593387</c:v>
                </c:pt>
                <c:pt idx="7">
                  <c:v>0.99432257494421994</c:v>
                </c:pt>
                <c:pt idx="8">
                  <c:v>0.99667528221441659</c:v>
                </c:pt>
              </c:numCache>
            </c:numRef>
          </c:yVal>
          <c:smooth val="1"/>
        </c:ser>
        <c:axId val="78153984"/>
        <c:axId val="78160256"/>
      </c:scatterChart>
      <c:valAx>
        <c:axId val="78153984"/>
        <c:scaling>
          <c:orientation val="minMax"/>
          <c:max val="2"/>
          <c:min val="0"/>
        </c:scaling>
        <c:axPos val="b"/>
        <c:majorGridlines/>
        <c:title>
          <c:tx>
            <c:rich>
              <a:bodyPr/>
              <a:lstStyle/>
              <a:p>
                <a:pPr>
                  <a:defRPr/>
                </a:pPr>
                <a:r>
                  <a:rPr lang="en-US"/>
                  <a:t>Unit Basin Size (in)</a:t>
                </a:r>
              </a:p>
            </c:rich>
          </c:tx>
        </c:title>
        <c:numFmt formatCode="0.0" sourceLinked="0"/>
        <c:tickLblPos val="nextTo"/>
        <c:crossAx val="78160256"/>
        <c:crosses val="autoZero"/>
        <c:crossBetween val="midCat"/>
        <c:majorUnit val="0.2"/>
      </c:valAx>
      <c:valAx>
        <c:axId val="7816025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78153984"/>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76"/>
          <c:w val="0.54938999479322437"/>
          <c:h val="0.60480936066198066"/>
        </c:manualLayout>
      </c:layout>
      <c:scatterChart>
        <c:scatterStyle val="smoothMarker"/>
        <c:ser>
          <c:idx val="0"/>
          <c:order val="0"/>
          <c:tx>
            <c:strRef>
              <c:f>'Northeast-DT'!$CD$17</c:f>
              <c:strCache>
                <c:ptCount val="1"/>
                <c:pt idx="0">
                  <c:v>Runoff, 3hr DT</c:v>
                </c:pt>
              </c:strCache>
            </c:strRef>
          </c:tx>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'Northeast-DT'!$CE$17</c:f>
              <c:strCache>
                <c:ptCount val="1"/>
                <c:pt idx="0">
                  <c:v>Runoff, 6hr DT</c:v>
                </c:pt>
              </c:strCache>
            </c:strRef>
          </c:tx>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'Northeast-DT'!$CF$17</c:f>
              <c:strCache>
                <c:ptCount val="1"/>
                <c:pt idx="0">
                  <c:v>Runoff, 12hr DT</c:v>
                </c:pt>
              </c:strCache>
            </c:strRef>
          </c:tx>
          <c:spPr>
            <a:ln w="31750"/>
          </c:spPr>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'Northeast-DT'!$CG$17</c:f>
              <c:strCache>
                <c:ptCount val="1"/>
                <c:pt idx="0">
                  <c:v>TSS, 3hr DT</c:v>
                </c:pt>
              </c:strCache>
            </c:strRef>
          </c:tx>
          <c:spPr>
            <a:ln w="31750">
              <a:solidFill>
                <a:schemeClr val="accent1"/>
              </a:solidFill>
              <a:prstDash val="sysDash"/>
            </a:ln>
          </c:spPr>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'Northeast-DT'!$CG$18:$CG$26</c:f>
              <c:numCache>
                <c:formatCode>0.0%</c:formatCode>
                <c:ptCount val="9"/>
                <c:pt idx="0">
                  <c:v>0.51256645655904665</c:v>
                </c:pt>
                <c:pt idx="1">
                  <c:v>0.64808613610482924</c:v>
                </c:pt>
                <c:pt idx="2">
                  <c:v>0.72784897111421198</c:v>
                </c:pt>
                <c:pt idx="3">
                  <c:v>0.75983502542141823</c:v>
                </c:pt>
                <c:pt idx="4">
                  <c:v>0.77543559640090465</c:v>
                </c:pt>
                <c:pt idx="5">
                  <c:v>0.78705734654926307</c:v>
                </c:pt>
                <c:pt idx="6">
                  <c:v>0.79530401449902977</c:v>
                </c:pt>
                <c:pt idx="7">
                  <c:v>0.8075857672135881</c:v>
                </c:pt>
                <c:pt idx="8">
                  <c:v>0.81755184525814362</c:v>
                </c:pt>
              </c:numCache>
            </c:numRef>
          </c:yVal>
          <c:smooth val="1"/>
        </c:ser>
        <c:ser>
          <c:idx val="4"/>
          <c:order val="4"/>
          <c:tx>
            <c:strRef>
              <c:f>'Northeast-DT'!$CH$17</c:f>
              <c:strCache>
                <c:ptCount val="1"/>
                <c:pt idx="0">
                  <c:v>TSS, 6hr DT</c:v>
                </c:pt>
              </c:strCache>
            </c:strRef>
          </c:tx>
          <c:spPr>
            <a:ln w="31750">
              <a:solidFill>
                <a:schemeClr val="accent2"/>
              </a:solidFill>
              <a:prstDash val="sysDash"/>
            </a:ln>
          </c:spPr>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'Northeast-DT'!$CH$18:$CH$26</c:f>
              <c:numCache>
                <c:formatCode>0.0%</c:formatCode>
                <c:ptCount val="9"/>
                <c:pt idx="0">
                  <c:v>0.44681963624115867</c:v>
                </c:pt>
                <c:pt idx="1">
                  <c:v>0.62106848546087345</c:v>
                </c:pt>
                <c:pt idx="2">
                  <c:v>0.72602834848995168</c:v>
                </c:pt>
                <c:pt idx="3">
                  <c:v>0.77072690019086121</c:v>
                </c:pt>
                <c:pt idx="4">
                  <c:v>0.79370628237822594</c:v>
                </c:pt>
                <c:pt idx="5">
                  <c:v>0.80264326613097259</c:v>
                </c:pt>
                <c:pt idx="6">
                  <c:v>0.81160483728688515</c:v>
                </c:pt>
                <c:pt idx="7">
                  <c:v>0.82237148951867711</c:v>
                </c:pt>
                <c:pt idx="8">
                  <c:v>0.8316779739851482</c:v>
                </c:pt>
              </c:numCache>
            </c:numRef>
          </c:yVal>
          <c:smooth val="1"/>
        </c:ser>
        <c:ser>
          <c:idx val="5"/>
          <c:order val="5"/>
          <c:tx>
            <c:strRef>
              <c:f>'Northeast-DT'!$CI$17</c:f>
              <c:strCache>
                <c:ptCount val="1"/>
                <c:pt idx="0">
                  <c:v>TSS, 12hr DT</c:v>
                </c:pt>
              </c:strCache>
            </c:strRef>
          </c:tx>
          <c:spPr>
            <a:ln w="31750">
              <a:solidFill>
                <a:schemeClr val="accent3"/>
              </a:solidFill>
              <a:prstDash val="sysDash"/>
            </a:ln>
          </c:spPr>
          <c:marker>
            <c:symbol val="none"/>
          </c:marker>
          <c:xVal>
            <c:numRef>
              <c:f>'Northeast-DT'!$CC$18:$CC$26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'Northeast-DT'!$CI$18:$CI$26</c:f>
              <c:numCache>
                <c:formatCode>0.0%</c:formatCode>
                <c:ptCount val="9"/>
                <c:pt idx="0">
                  <c:v>0.37735859436398339</c:v>
                </c:pt>
                <c:pt idx="1">
                  <c:v>0.57495549246980715</c:v>
                </c:pt>
                <c:pt idx="2">
                  <c:v>0.71860575951498817</c:v>
                </c:pt>
                <c:pt idx="3">
                  <c:v>0.77248890920463842</c:v>
                </c:pt>
                <c:pt idx="4">
                  <c:v>0.79908354584676577</c:v>
                </c:pt>
                <c:pt idx="5">
                  <c:v>0.81336476928258683</c:v>
                </c:pt>
                <c:pt idx="6">
                  <c:v>0.82458555870984318</c:v>
                </c:pt>
                <c:pt idx="7">
                  <c:v>0.83832475260228723</c:v>
                </c:pt>
                <c:pt idx="8">
                  <c:v>0.84456214213539926</c:v>
                </c:pt>
              </c:numCache>
            </c:numRef>
          </c:yVal>
          <c:smooth val="1"/>
        </c:ser>
        <c:axId val="74578560"/>
        <c:axId val="74593024"/>
      </c:scatterChart>
      <c:valAx>
        <c:axId val="74578560"/>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74593024"/>
        <c:crosses val="autoZero"/>
        <c:crossBetween val="midCat"/>
        <c:majorUnit val="0.2"/>
      </c:valAx>
      <c:valAx>
        <c:axId val="74593024"/>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74578560"/>
        <c:crosses val="autoZero"/>
        <c:crossBetween val="midCat"/>
        <c:majorUnit val="0.1"/>
      </c:valAx>
    </c:plotArea>
    <c:legend>
      <c:legendPos val="t"/>
      <c:layout>
        <c:manualLayout>
          <c:xMode val="edge"/>
          <c:yMode val="edge"/>
          <c:x val="0.73869385137407184"/>
          <c:y val="0.24825140100730753"/>
          <c:w val="0.25400001130106331"/>
          <c:h val="0.43908299220944297"/>
        </c:manualLayout>
      </c:layout>
      <c:txPr>
        <a:bodyPr/>
        <a:lstStyle/>
        <a:p>
          <a:pPr>
            <a:defRPr sz="1400"/>
          </a:pPr>
          <a:endParaRPr lang="en-US"/>
        </a:p>
      </c:txPr>
    </c:legend>
    <c:plotVisOnly val="1"/>
  </c:chart>
  <c:txPr>
    <a:bodyPr/>
    <a:lstStyle/>
    <a:p>
      <a:pPr>
        <a:defRPr sz="1100"/>
      </a:pPr>
      <a:endParaRPr lang="en-US"/>
    </a:p>
  </c:txPr>
  <c:printSettings>
    <c:headerFooter/>
    <c:pageMargins b="0.75000000000000355" l="0.70000000000000062" r="0.70000000000000062" t="0.7500000000000035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'Central-DT'!$B$10</c:f>
              <c:strCache>
                <c:ptCount val="1"/>
                <c:pt idx="0">
                  <c:v>Runoff</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'Central-DT'!$X$11:$X$19</c:f>
              <c:numCache>
                <c:formatCode>0.0%</c:formatCode>
                <c:ptCount val="9"/>
                <c:pt idx="0">
                  <c:v>0.30248948348389765</c:v>
                </c:pt>
                <c:pt idx="1">
                  <c:v>0.52240535135507893</c:v>
                </c:pt>
                <c:pt idx="2">
                  <c:v>0.74539686918143577</c:v>
                </c:pt>
                <c:pt idx="3">
                  <c:v>0.86725053444590028</c:v>
                </c:pt>
                <c:pt idx="4">
                  <c:v>0.9266257499482794</c:v>
                </c:pt>
                <c:pt idx="5">
                  <c:v>0.95683056340942008</c:v>
                </c:pt>
                <c:pt idx="6">
                  <c:v>0.97296738155989237</c:v>
                </c:pt>
                <c:pt idx="7">
                  <c:v>0.98910419971036478</c:v>
                </c:pt>
                <c:pt idx="8">
                  <c:v>0.99496586442314328</c:v>
                </c:pt>
              </c:numCache>
            </c:numRef>
          </c:yVal>
          <c:smooth val="1"/>
        </c:ser>
        <c:ser>
          <c:idx val="1"/>
          <c:order val="1"/>
          <c:tx>
            <c:strRef>
              <c:f>'Central-DT'!$C$10</c:f>
              <c:strCache>
                <c:ptCount val="1"/>
                <c:pt idx="0">
                  <c:v>TSS</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'Central-DT'!$Y$11:$Y$19</c:f>
              <c:numCache>
                <c:formatCode>0.0%</c:formatCode>
                <c:ptCount val="9"/>
                <c:pt idx="0">
                  <c:v>0.24179200079528135</c:v>
                </c:pt>
                <c:pt idx="1">
                  <c:v>0.41953427441624142</c:v>
                </c:pt>
                <c:pt idx="2">
                  <c:v>0.60354622020456405</c:v>
                </c:pt>
                <c:pt idx="3">
                  <c:v>0.70640383723242106</c:v>
                </c:pt>
                <c:pt idx="4">
                  <c:v>0.75875019329754578</c:v>
                </c:pt>
                <c:pt idx="5">
                  <c:v>0.78713985905847528</c:v>
                </c:pt>
                <c:pt idx="6">
                  <c:v>0.80401998144343567</c:v>
                </c:pt>
                <c:pt idx="7">
                  <c:v>0.82429115028608035</c:v>
                </c:pt>
                <c:pt idx="8">
                  <c:v>0.8342750789758544</c:v>
                </c:pt>
              </c:numCache>
            </c:numRef>
          </c:yVal>
          <c:smooth val="1"/>
        </c:ser>
        <c:axId val="78255232"/>
        <c:axId val="78257152"/>
      </c:scatterChart>
      <c:valAx>
        <c:axId val="78255232"/>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78257152"/>
        <c:crosses val="autoZero"/>
        <c:crossBetween val="midCat"/>
        <c:majorUnit val="0.2"/>
      </c:valAx>
      <c:valAx>
        <c:axId val="78257152"/>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78255232"/>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'Central-DT'!$D$10</c:f>
              <c:strCache>
                <c:ptCount val="1"/>
                <c:pt idx="0">
                  <c:v>Clay</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'Central-DT'!$Z$11:$Z$19</c:f>
              <c:numCache>
                <c:formatCode>0.0%</c:formatCode>
                <c:ptCount val="9"/>
                <c:pt idx="0">
                  <c:v>2.3012348951775025E-3</c:v>
                </c:pt>
                <c:pt idx="1">
                  <c:v>4.4350188879316065E-3</c:v>
                </c:pt>
                <c:pt idx="2">
                  <c:v>7.9049859721209703E-3</c:v>
                </c:pt>
                <c:pt idx="3">
                  <c:v>1.1137252303002188E-2</c:v>
                </c:pt>
                <c:pt idx="4">
                  <c:v>1.4091943358296331E-2</c:v>
                </c:pt>
                <c:pt idx="5">
                  <c:v>1.683787306426315E-2</c:v>
                </c:pt>
                <c:pt idx="6">
                  <c:v>1.9549561490710674E-2</c:v>
                </c:pt>
                <c:pt idx="7">
                  <c:v>2.5200477168798464E-2</c:v>
                </c:pt>
                <c:pt idx="8">
                  <c:v>2.9295071464864032E-2</c:v>
                </c:pt>
              </c:numCache>
            </c:numRef>
          </c:yVal>
          <c:smooth val="1"/>
        </c:ser>
        <c:ser>
          <c:idx val="1"/>
          <c:order val="1"/>
          <c:tx>
            <c:strRef>
              <c:f>'Central-DT'!$H$10</c:f>
              <c:strCache>
                <c:ptCount val="1"/>
                <c:pt idx="0">
                  <c:v>Silt</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'Central-DT'!$AD$11:$AD$19</c:f>
              <c:numCache>
                <c:formatCode>0.0%</c:formatCode>
                <c:ptCount val="9"/>
                <c:pt idx="0">
                  <c:v>0.20140941524731043</c:v>
                </c:pt>
                <c:pt idx="1">
                  <c:v>0.35192524355490762</c:v>
                </c:pt>
                <c:pt idx="2">
                  <c:v>0.51269062819861422</c:v>
                </c:pt>
                <c:pt idx="3">
                  <c:v>0.60552205064763898</c:v>
                </c:pt>
                <c:pt idx="4">
                  <c:v>0.65561372891215841</c:v>
                </c:pt>
                <c:pt idx="5">
                  <c:v>0.68485504525003504</c:v>
                </c:pt>
                <c:pt idx="6">
                  <c:v>0.70419584539141844</c:v>
                </c:pt>
                <c:pt idx="7">
                  <c:v>0.73070890494178986</c:v>
                </c:pt>
                <c:pt idx="8">
                  <c:v>0.74594811525688332</c:v>
                </c:pt>
              </c:numCache>
            </c:numRef>
          </c:yVal>
          <c:smooth val="1"/>
        </c:ser>
        <c:ser>
          <c:idx val="2"/>
          <c:order val="2"/>
          <c:tx>
            <c:strRef>
              <c:f>'Central-DT'!$I$10</c:f>
              <c:strCache>
                <c:ptCount val="1"/>
                <c:pt idx="0">
                  <c:v>Sand</c:v>
                </c:pt>
              </c:strCache>
            </c:strRef>
          </c:tx>
          <c:xVal>
            <c:numRef>
              <c:f>'Central-DT'!$A$11:$A$19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'Central-DT'!$AE$11:$AE$19</c:f>
              <c:numCache>
                <c:formatCode>0.0%</c:formatCode>
                <c:ptCount val="9"/>
                <c:pt idx="0">
                  <c:v>0.30208540437846559</c:v>
                </c:pt>
                <c:pt idx="1">
                  <c:v>0.52189232774427285</c:v>
                </c:pt>
                <c:pt idx="2">
                  <c:v>0.74488037643316329</c:v>
                </c:pt>
                <c:pt idx="3">
                  <c:v>0.86672410365166686</c:v>
                </c:pt>
                <c:pt idx="4">
                  <c:v>0.92603883623831929</c:v>
                </c:pt>
                <c:pt idx="5">
                  <c:v>0.95622639008549282</c:v>
                </c:pt>
                <c:pt idx="6">
                  <c:v>0.97230874588552374</c:v>
                </c:pt>
                <c:pt idx="7">
                  <c:v>0.98842423840767013</c:v>
                </c:pt>
                <c:pt idx="8">
                  <c:v>0.99426734707402753</c:v>
                </c:pt>
              </c:numCache>
            </c:numRef>
          </c:yVal>
          <c:smooth val="1"/>
        </c:ser>
        <c:axId val="78287616"/>
        <c:axId val="78289536"/>
      </c:scatterChart>
      <c:valAx>
        <c:axId val="782876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8289536"/>
        <c:crosses val="autoZero"/>
        <c:crossBetween val="midCat"/>
        <c:majorUnit val="0.2"/>
      </c:valAx>
      <c:valAx>
        <c:axId val="7828953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7828761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'Central-MF'!$AI$3</c:f>
              <c:strCache>
                <c:ptCount val="1"/>
                <c:pt idx="0">
                  <c:v>Runoff Treated</c:v>
                </c:pt>
              </c:strCache>
            </c:strRef>
          </c:tx>
          <c:xVal>
            <c:numRef>
              <c:f>'Central-MF'!$AH$10:$AH$12</c:f>
              <c:numCache>
                <c:formatCode>General</c:formatCode>
                <c:ptCount val="3"/>
              </c:numCache>
            </c:numRef>
          </c:xVal>
          <c:yVal>
            <c:numRef>
              <c:f>'Central-MF'!$AI$4:$AI$12</c:f>
              <c:numCache>
                <c:formatCode>0.0%</c:formatCode>
                <c:ptCount val="9"/>
                <c:pt idx="0">
                  <c:v>0.65775360310421283</c:v>
                </c:pt>
                <c:pt idx="1">
                  <c:v>0.80647172949002222</c:v>
                </c:pt>
                <c:pt idx="2">
                  <c:v>0.91366407982261644</c:v>
                </c:pt>
                <c:pt idx="3">
                  <c:v>0.95988082039911304</c:v>
                </c:pt>
                <c:pt idx="4">
                  <c:v>0.98018292682926833</c:v>
                </c:pt>
                <c:pt idx="5">
                  <c:v>0.99036862527716185</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362496"/>
        <c:axId val="78364672"/>
      </c:scatterChart>
      <c:valAx>
        <c:axId val="7836249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364672"/>
        <c:crosses val="autoZero"/>
        <c:crossBetween val="midCat"/>
        <c:majorUnit val="0.2"/>
      </c:valAx>
      <c:valAx>
        <c:axId val="78364672"/>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362496"/>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468608"/>
        <c:axId val="78470144"/>
      </c:scatterChart>
      <c:valAx>
        <c:axId val="7846860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470144"/>
        <c:crosses val="autoZero"/>
        <c:crossBetween val="midCat"/>
        <c:majorUnit val="0.2"/>
      </c:valAx>
      <c:valAx>
        <c:axId val="7847014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46860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'Central-MF'!$AI$3</c:f>
              <c:strCache>
                <c:ptCount val="1"/>
                <c:pt idx="0">
                  <c:v>Runoff Treated</c:v>
                </c:pt>
              </c:strCache>
            </c:strRef>
          </c:tx>
          <c:xVal>
            <c:numRef>
              <c:f>'Central-MF'!$AH$10:$AH$12</c:f>
              <c:numCache>
                <c:formatCode>General</c:formatCode>
                <c:ptCount val="3"/>
              </c:numCache>
            </c:numRef>
          </c:xVal>
          <c:yVal>
            <c:numRef>
              <c:f>'Central-MF'!$AI$4:$AI$12</c:f>
              <c:numCache>
                <c:formatCode>0.0%</c:formatCode>
                <c:ptCount val="9"/>
                <c:pt idx="0">
                  <c:v>0.65775360310421283</c:v>
                </c:pt>
                <c:pt idx="1">
                  <c:v>0.80647172949002222</c:v>
                </c:pt>
                <c:pt idx="2">
                  <c:v>0.91366407982261644</c:v>
                </c:pt>
                <c:pt idx="3">
                  <c:v>0.95988082039911304</c:v>
                </c:pt>
                <c:pt idx="4">
                  <c:v>0.98018292682926833</c:v>
                </c:pt>
                <c:pt idx="5">
                  <c:v>0.99036862527716185</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503936"/>
        <c:axId val="78505856"/>
      </c:scatterChart>
      <c:valAx>
        <c:axId val="7850393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505856"/>
        <c:crosses val="autoZero"/>
        <c:crossBetween val="midCat"/>
        <c:majorUnit val="0.2"/>
      </c:valAx>
      <c:valAx>
        <c:axId val="785058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5039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413184"/>
        <c:axId val="78423168"/>
      </c:scatterChart>
      <c:valAx>
        <c:axId val="7841318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423168"/>
        <c:crosses val="autoZero"/>
        <c:crossBetween val="midCat"/>
        <c:majorUnit val="0.2"/>
      </c:valAx>
      <c:valAx>
        <c:axId val="7842316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41318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'Central-MF'!$AI$3</c:f>
              <c:strCache>
                <c:ptCount val="1"/>
                <c:pt idx="0">
                  <c:v>Runoff Treated</c:v>
                </c:pt>
              </c:strCache>
            </c:strRef>
          </c:tx>
          <c:xVal>
            <c:numRef>
              <c:f>'Central-MF'!$AH$10:$AH$12</c:f>
              <c:numCache>
                <c:formatCode>General</c:formatCode>
                <c:ptCount val="3"/>
              </c:numCache>
            </c:numRef>
          </c:xVal>
          <c:yVal>
            <c:numRef>
              <c:f>'Central-MF'!$AI$4:$AI$12</c:f>
              <c:numCache>
                <c:formatCode>0.0%</c:formatCode>
                <c:ptCount val="9"/>
                <c:pt idx="0">
                  <c:v>0.65775360310421283</c:v>
                </c:pt>
                <c:pt idx="1">
                  <c:v>0.80647172949002222</c:v>
                </c:pt>
                <c:pt idx="2">
                  <c:v>0.91366407982261644</c:v>
                </c:pt>
                <c:pt idx="3">
                  <c:v>0.95988082039911304</c:v>
                </c:pt>
                <c:pt idx="4">
                  <c:v>0.98018292682926833</c:v>
                </c:pt>
                <c:pt idx="5">
                  <c:v>0.99036862527716185</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649216"/>
        <c:axId val="78659584"/>
      </c:scatterChart>
      <c:valAx>
        <c:axId val="7864921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659584"/>
        <c:crosses val="autoZero"/>
        <c:crossBetween val="midCat"/>
        <c:majorUnit val="0.2"/>
      </c:valAx>
      <c:valAx>
        <c:axId val="7865958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64921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'Central-MF'!$AH$10:$AH$12</c:f>
              <c:numCache>
                <c:formatCode>General</c:formatCode>
                <c:ptCount val="3"/>
              </c:numCache>
            </c:numRef>
          </c:xVal>
          <c:yVal>
            <c:numRef>
              <c:f>'3-ft'!#REF!</c:f>
              <c:numCache>
                <c:formatCode>General</c:formatCode>
                <c:ptCount val="1"/>
                <c:pt idx="0">
                  <c:v>1</c:v>
                </c:pt>
              </c:numCache>
            </c:numRef>
          </c:yVal>
          <c:smooth val="1"/>
        </c:ser>
        <c:axId val="78697984"/>
        <c:axId val="78699520"/>
      </c:scatterChart>
      <c:valAx>
        <c:axId val="7869798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699520"/>
        <c:crosses val="autoZero"/>
        <c:crossBetween val="midCat"/>
        <c:majorUnit val="0.2"/>
      </c:valAx>
      <c:valAx>
        <c:axId val="7869952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69798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'Central-MF'!$A$30:$A$35</c:f>
              <c:numCache>
                <c:formatCode>0</c:formatCode>
                <c:ptCount val="6"/>
                <c:pt idx="0">
                  <c:v>100</c:v>
                </c:pt>
                <c:pt idx="1">
                  <c:v>200</c:v>
                </c:pt>
                <c:pt idx="2">
                  <c:v>400</c:v>
                </c:pt>
                <c:pt idx="3">
                  <c:v>600</c:v>
                </c:pt>
                <c:pt idx="4">
                  <c:v>800</c:v>
                </c:pt>
                <c:pt idx="5">
                  <c:v>1000</c:v>
                </c:pt>
              </c:numCache>
            </c:numRef>
          </c:xVal>
          <c:yVal>
            <c:numRef>
              <c:f>'Central-MF'!$B$30:$B$35</c:f>
              <c:numCache>
                <c:formatCode>0.0%</c:formatCode>
                <c:ptCount val="6"/>
                <c:pt idx="0">
                  <c:v>0.10047117516629711</c:v>
                </c:pt>
                <c:pt idx="1">
                  <c:v>0.1850609756097561</c:v>
                </c:pt>
                <c:pt idx="2">
                  <c:v>0.32662832594235031</c:v>
                </c:pt>
                <c:pt idx="3">
                  <c:v>0.44065271618625279</c:v>
                </c:pt>
                <c:pt idx="4">
                  <c:v>0.53514412416851442</c:v>
                </c:pt>
                <c:pt idx="5">
                  <c:v>0.61317904656319289</c:v>
                </c:pt>
              </c:numCache>
            </c:numRef>
          </c:yVal>
          <c:smooth val="1"/>
        </c:ser>
        <c:ser>
          <c:idx val="1"/>
          <c:order val="1"/>
          <c:tx>
            <c:v>%Treated_5 in/hr</c:v>
          </c:tx>
          <c:xVal>
            <c:numRef>
              <c:f>'Central-MF'!$A$30:$A$35</c:f>
              <c:numCache>
                <c:formatCode>0</c:formatCode>
                <c:ptCount val="6"/>
                <c:pt idx="0">
                  <c:v>100</c:v>
                </c:pt>
                <c:pt idx="1">
                  <c:v>200</c:v>
                </c:pt>
                <c:pt idx="2">
                  <c:v>400</c:v>
                </c:pt>
                <c:pt idx="3">
                  <c:v>600</c:v>
                </c:pt>
                <c:pt idx="4">
                  <c:v>800</c:v>
                </c:pt>
                <c:pt idx="5">
                  <c:v>1000</c:v>
                </c:pt>
              </c:numCache>
            </c:numRef>
          </c:xVal>
          <c:yVal>
            <c:numRef>
              <c:f>'Central-MF'!$C$30:$C$35</c:f>
              <c:numCache>
                <c:formatCode>0.0%</c:formatCode>
                <c:ptCount val="6"/>
                <c:pt idx="0">
                  <c:v>0.21989329268292682</c:v>
                </c:pt>
                <c:pt idx="1">
                  <c:v>0.3720690133037694</c:v>
                </c:pt>
                <c:pt idx="2">
                  <c:v>0.57910892461197339</c:v>
                </c:pt>
                <c:pt idx="3">
                  <c:v>0.70697062084257212</c:v>
                </c:pt>
                <c:pt idx="4">
                  <c:v>0.78914911308203994</c:v>
                </c:pt>
                <c:pt idx="5">
                  <c:v>0.84222560975609762</c:v>
                </c:pt>
              </c:numCache>
            </c:numRef>
          </c:yVal>
          <c:smooth val="1"/>
        </c:ser>
        <c:ser>
          <c:idx val="0"/>
          <c:order val="2"/>
          <c:tx>
            <c:v>%Treated_50 in/hr</c:v>
          </c:tx>
          <c:xVal>
            <c:numRef>
              <c:f>'Central-MF'!$A$30:$A$35</c:f>
              <c:numCache>
                <c:formatCode>0</c:formatCode>
                <c:ptCount val="6"/>
                <c:pt idx="0">
                  <c:v>100</c:v>
                </c:pt>
                <c:pt idx="1">
                  <c:v>200</c:v>
                </c:pt>
                <c:pt idx="2">
                  <c:v>400</c:v>
                </c:pt>
                <c:pt idx="3">
                  <c:v>600</c:v>
                </c:pt>
                <c:pt idx="4">
                  <c:v>800</c:v>
                </c:pt>
                <c:pt idx="5">
                  <c:v>1000</c:v>
                </c:pt>
              </c:numCache>
            </c:numRef>
          </c:xVal>
          <c:yVal>
            <c:numRef>
              <c:f>'Central-MF'!$D$30:$D$35</c:f>
              <c:numCache>
                <c:formatCode>0.0%</c:formatCode>
                <c:ptCount val="6"/>
                <c:pt idx="0">
                  <c:v>0.65775360310421283</c:v>
                </c:pt>
                <c:pt idx="1">
                  <c:v>0.80647172949002222</c:v>
                </c:pt>
                <c:pt idx="2">
                  <c:v>0.91366407982261644</c:v>
                </c:pt>
                <c:pt idx="3">
                  <c:v>0.95988082039911304</c:v>
                </c:pt>
                <c:pt idx="4">
                  <c:v>0.98018292682926833</c:v>
                </c:pt>
                <c:pt idx="5">
                  <c:v>0.99036862527716185</c:v>
                </c:pt>
              </c:numCache>
            </c:numRef>
          </c:yVal>
          <c:smooth val="1"/>
        </c:ser>
        <c:axId val="78623488"/>
        <c:axId val="78625408"/>
      </c:scatterChart>
      <c:scatterChart>
        <c:scatterStyle val="smoothMarker"/>
        <c:ser>
          <c:idx val="5"/>
          <c:order val="3"/>
          <c:tx>
            <c:v>Contact Time_1 in/hr</c:v>
          </c:tx>
          <c:spPr>
            <a:ln>
              <a:solidFill>
                <a:schemeClr val="accent3">
                  <a:lumMod val="75000"/>
                </a:schemeClr>
              </a:solidFill>
            </a:ln>
          </c:spPr>
          <c:marker>
            <c:symbol val="none"/>
          </c:marker>
          <c:xVal>
            <c:numRef>
              <c:f>'Central-MF'!$A$30:$A$35</c:f>
              <c:numCache>
                <c:formatCode>0</c:formatCode>
                <c:ptCount val="6"/>
                <c:pt idx="0">
                  <c:v>100</c:v>
                </c:pt>
                <c:pt idx="1">
                  <c:v>200</c:v>
                </c:pt>
                <c:pt idx="2">
                  <c:v>400</c:v>
                </c:pt>
                <c:pt idx="3">
                  <c:v>600</c:v>
                </c:pt>
                <c:pt idx="4">
                  <c:v>800</c:v>
                </c:pt>
                <c:pt idx="5">
                  <c:v>1000</c:v>
                </c:pt>
              </c:numCache>
            </c:numRef>
          </c:xVal>
          <c:yVal>
            <c:numRef>
              <c:f>'Central-MF'!$E$30:$E$35</c:f>
              <c:numCache>
                <c:formatCode>0.0</c:formatCode>
                <c:ptCount val="6"/>
                <c:pt idx="0">
                  <c:v>7.6613256282287008</c:v>
                </c:pt>
                <c:pt idx="1">
                  <c:v>8.4377810082425064</c:v>
                </c:pt>
                <c:pt idx="2">
                  <c:v>9.5633510528566408</c:v>
                </c:pt>
                <c:pt idx="3">
                  <c:v>10.441838957009455</c:v>
                </c:pt>
                <c:pt idx="4">
                  <c:v>11.191047162270184</c:v>
                </c:pt>
                <c:pt idx="5">
                  <c:v>11.891899238238912</c:v>
                </c:pt>
              </c:numCache>
            </c:numRef>
          </c:yVal>
          <c:smooth val="1"/>
        </c:ser>
        <c:ser>
          <c:idx val="4"/>
          <c:order val="4"/>
          <c:tx>
            <c:v>Contact Time_5 in/hr</c:v>
          </c:tx>
          <c:spPr>
            <a:ln>
              <a:solidFill>
                <a:srgbClr val="8A0000"/>
              </a:solidFill>
            </a:ln>
          </c:spPr>
          <c:marker>
            <c:symbol val="none"/>
          </c:marker>
          <c:xVal>
            <c:numRef>
              <c:f>'Central-MF'!$A$30:$A$35</c:f>
              <c:numCache>
                <c:formatCode>0</c:formatCode>
                <c:ptCount val="6"/>
                <c:pt idx="0">
                  <c:v>100</c:v>
                </c:pt>
                <c:pt idx="1">
                  <c:v>200</c:v>
                </c:pt>
                <c:pt idx="2">
                  <c:v>400</c:v>
                </c:pt>
                <c:pt idx="3">
                  <c:v>600</c:v>
                </c:pt>
                <c:pt idx="4">
                  <c:v>800</c:v>
                </c:pt>
                <c:pt idx="5">
                  <c:v>1000</c:v>
                </c:pt>
              </c:numCache>
            </c:numRef>
          </c:xVal>
          <c:yVal>
            <c:numRef>
              <c:f>'Central-MF'!$F$30:$F$35</c:f>
              <c:numCache>
                <c:formatCode>0.0</c:formatCode>
                <c:ptCount val="6"/>
                <c:pt idx="0">
                  <c:v>1.9925648864522665</c:v>
                </c:pt>
                <c:pt idx="1">
                  <c:v>2.3144015288275241</c:v>
                </c:pt>
                <c:pt idx="2">
                  <c:v>2.8447305430590606</c:v>
                </c:pt>
                <c:pt idx="3">
                  <c:v>3.3564448536110554</c:v>
                </c:pt>
                <c:pt idx="4">
                  <c:v>3.8691561923081177</c:v>
                </c:pt>
                <c:pt idx="5">
                  <c:v>4.3707166976363174</c:v>
                </c:pt>
              </c:numCache>
            </c:numRef>
          </c:yVal>
          <c:smooth val="1"/>
        </c:ser>
        <c:ser>
          <c:idx val="3"/>
          <c:order val="5"/>
          <c:tx>
            <c:v>Contact Time_50 in/hr</c:v>
          </c:tx>
          <c:spPr>
            <a:ln>
              <a:solidFill>
                <a:schemeClr val="accent1">
                  <a:lumMod val="75000"/>
                </a:schemeClr>
              </a:solidFill>
            </a:ln>
          </c:spPr>
          <c:marker>
            <c:symbol val="none"/>
          </c:marker>
          <c:xVal>
            <c:numRef>
              <c:f>'Central-MF'!$A$30:$A$35</c:f>
              <c:numCache>
                <c:formatCode>0</c:formatCode>
                <c:ptCount val="6"/>
                <c:pt idx="0">
                  <c:v>100</c:v>
                </c:pt>
                <c:pt idx="1">
                  <c:v>200</c:v>
                </c:pt>
                <c:pt idx="2">
                  <c:v>400</c:v>
                </c:pt>
                <c:pt idx="3">
                  <c:v>600</c:v>
                </c:pt>
                <c:pt idx="4">
                  <c:v>800</c:v>
                </c:pt>
                <c:pt idx="5">
                  <c:v>1000</c:v>
                </c:pt>
              </c:numCache>
            </c:numRef>
          </c:xVal>
          <c:yVal>
            <c:numRef>
              <c:f>'Central-MF'!$G$30:$G$35</c:f>
              <c:numCache>
                <c:formatCode>0.0</c:formatCode>
                <c:ptCount val="6"/>
                <c:pt idx="0">
                  <c:v>0.52458977079923497</c:v>
                </c:pt>
                <c:pt idx="1">
                  <c:v>0.81502439251574743</c:v>
                </c:pt>
                <c:pt idx="2">
                  <c:v>1.3551552039895769</c:v>
                </c:pt>
                <c:pt idx="3">
                  <c:v>1.8853085980845263</c:v>
                </c:pt>
                <c:pt idx="4">
                  <c:v>2.4329124394813029</c:v>
                </c:pt>
                <c:pt idx="5">
                  <c:v>2.9870872485512625</c:v>
                </c:pt>
              </c:numCache>
            </c:numRef>
          </c:yVal>
          <c:smooth val="1"/>
        </c:ser>
        <c:axId val="78686848"/>
        <c:axId val="78684928"/>
      </c:scatterChart>
      <c:valAx>
        <c:axId val="78623488"/>
        <c:scaling>
          <c:orientation val="minMax"/>
          <c:min val="0"/>
        </c:scaling>
        <c:axPos val="b"/>
        <c:title>
          <c:tx>
            <c:rich>
              <a:bodyPr/>
              <a:lstStyle/>
              <a:p>
                <a:pPr>
                  <a:defRPr/>
                </a:pPr>
                <a:r>
                  <a:rPr lang="en-US"/>
                  <a:t>Filter Area (SF)</a:t>
                </a:r>
              </a:p>
            </c:rich>
          </c:tx>
        </c:title>
        <c:numFmt formatCode="0" sourceLinked="1"/>
        <c:tickLblPos val="nextTo"/>
        <c:crossAx val="78625408"/>
        <c:crosses val="autoZero"/>
        <c:crossBetween val="midCat"/>
      </c:valAx>
      <c:valAx>
        <c:axId val="7862540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78623488"/>
        <c:crosses val="autoZero"/>
        <c:crossBetween val="midCat"/>
      </c:valAx>
      <c:valAx>
        <c:axId val="78684928"/>
        <c:scaling>
          <c:orientation val="minMax"/>
          <c:max val="20"/>
        </c:scaling>
        <c:axPos val="r"/>
        <c:title>
          <c:tx>
            <c:rich>
              <a:bodyPr rot="-5400000" vert="horz"/>
              <a:lstStyle/>
              <a:p>
                <a:pPr>
                  <a:defRPr/>
                </a:pPr>
                <a:r>
                  <a:rPr lang="en-US"/>
                  <a:t>Contact Time (hrs)</a:t>
                </a:r>
              </a:p>
            </c:rich>
          </c:tx>
        </c:title>
        <c:numFmt formatCode="0.0" sourceLinked="1"/>
        <c:tickLblPos val="nextTo"/>
        <c:crossAx val="78686848"/>
        <c:crosses val="max"/>
        <c:crossBetween val="midCat"/>
      </c:valAx>
      <c:valAx>
        <c:axId val="78686848"/>
        <c:scaling>
          <c:orientation val="minMax"/>
        </c:scaling>
        <c:delete val="1"/>
        <c:axPos val="b"/>
        <c:numFmt formatCode="0" sourceLinked="1"/>
        <c:tickLblPos val="none"/>
        <c:crossAx val="78684928"/>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34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8740864"/>
        <c:axId val="78849536"/>
      </c:scatterChart>
      <c:valAx>
        <c:axId val="78740864"/>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849536"/>
        <c:crosses val="autoZero"/>
        <c:crossBetween val="midCat"/>
        <c:majorUnit val="0.2"/>
      </c:valAx>
      <c:valAx>
        <c:axId val="7884953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740864"/>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88" l="0.70000000000000062" r="0.70000000000000062" t="0.750000000000007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'Northeast-DT'!$B$10</c:f>
              <c:strCache>
                <c:ptCount val="1"/>
                <c:pt idx="0">
                  <c:v>Runoff</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'Northeast-DT'!$M$11:$M$19</c:f>
              <c:numCache>
                <c:formatCode>0.0%</c:formatCode>
                <c:ptCount val="9"/>
                <c:pt idx="0">
                  <c:v>0.60177443097042949</c:v>
                </c:pt>
                <c:pt idx="1">
                  <c:v>0.81807075693700371</c:v>
                </c:pt>
                <c:pt idx="2">
                  <c:v>0.93662317374803483</c:v>
                </c:pt>
                <c:pt idx="3">
                  <c:v>0.97734896808627825</c:v>
                </c:pt>
                <c:pt idx="4">
                  <c:v>0.99163854480638469</c:v>
                </c:pt>
                <c:pt idx="5">
                  <c:v>0.9965452670158117</c:v>
                </c:pt>
                <c:pt idx="6">
                  <c:v>0.99913882018365163</c:v>
                </c:pt>
                <c:pt idx="7">
                  <c:v>1</c:v>
                </c:pt>
                <c:pt idx="8">
                  <c:v>1</c:v>
                </c:pt>
              </c:numCache>
            </c:numRef>
          </c:yVal>
          <c:smooth val="1"/>
        </c:ser>
        <c:ser>
          <c:idx val="1"/>
          <c:order val="1"/>
          <c:tx>
            <c:strRef>
              <c:f>'Northeast-DT'!$C$10</c:f>
              <c:strCache>
                <c:ptCount val="1"/>
                <c:pt idx="0">
                  <c:v>TSS</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'Northeast-DT'!$N$11:$N$19</c:f>
              <c:numCache>
                <c:formatCode>0.0%</c:formatCode>
                <c:ptCount val="9"/>
                <c:pt idx="0">
                  <c:v>0.44681963624115867</c:v>
                </c:pt>
                <c:pt idx="1">
                  <c:v>0.62106848546087345</c:v>
                </c:pt>
                <c:pt idx="2">
                  <c:v>0.72602834848995168</c:v>
                </c:pt>
                <c:pt idx="3">
                  <c:v>0.77072690019086121</c:v>
                </c:pt>
                <c:pt idx="4">
                  <c:v>0.79370628237822594</c:v>
                </c:pt>
                <c:pt idx="5">
                  <c:v>0.80264326613097259</c:v>
                </c:pt>
                <c:pt idx="6">
                  <c:v>0.81160483728688515</c:v>
                </c:pt>
                <c:pt idx="7">
                  <c:v>0.82237148951867711</c:v>
                </c:pt>
                <c:pt idx="8">
                  <c:v>0.8316779739851482</c:v>
                </c:pt>
              </c:numCache>
            </c:numRef>
          </c:yVal>
          <c:smooth val="1"/>
        </c:ser>
        <c:axId val="74617216"/>
        <c:axId val="74619136"/>
      </c:scatterChart>
      <c:valAx>
        <c:axId val="746172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4619136"/>
        <c:crosses val="autoZero"/>
        <c:crossBetween val="midCat"/>
        <c:majorUnit val="0.2"/>
      </c:valAx>
      <c:valAx>
        <c:axId val="74619136"/>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74617216"/>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printSettings>
    <c:headerFooter/>
    <c:pageMargins b="0.75000000000000377" l="0.70000000000000062" r="0.70000000000000062" t="0.75000000000000377"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8896128"/>
        <c:axId val="78897920"/>
      </c:scatterChart>
      <c:valAx>
        <c:axId val="7889612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897920"/>
        <c:crosses val="autoZero"/>
        <c:crossBetween val="midCat"/>
        <c:majorUnit val="0.2"/>
      </c:valAx>
      <c:valAx>
        <c:axId val="7889792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896128"/>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81" l="0.70000000000000062" r="0.70000000000000062" t="0.750000000000008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34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8931840"/>
        <c:axId val="78942208"/>
      </c:scatterChart>
      <c:valAx>
        <c:axId val="7893184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942208"/>
        <c:crosses val="autoZero"/>
        <c:crossBetween val="midCat"/>
        <c:majorUnit val="0.2"/>
      </c:valAx>
      <c:valAx>
        <c:axId val="78942208"/>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8931840"/>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99" r="0.75000000000000699"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8976512"/>
        <c:axId val="78978048"/>
      </c:scatterChart>
      <c:valAx>
        <c:axId val="7897651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8978048"/>
        <c:crosses val="autoZero"/>
        <c:crossBetween val="midCat"/>
        <c:majorUnit val="0.2"/>
      </c:valAx>
      <c:valAx>
        <c:axId val="7897804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897651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99" r="0.75000000000000699"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34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9020416"/>
        <c:axId val="79022336"/>
      </c:scatterChart>
      <c:valAx>
        <c:axId val="7902041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022336"/>
        <c:crosses val="autoZero"/>
        <c:crossBetween val="midCat"/>
        <c:majorUnit val="0.2"/>
      </c:valAx>
      <c:valAx>
        <c:axId val="7902233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7902041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99" r="0.75000000000000699"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79065088"/>
        <c:axId val="79066624"/>
      </c:scatterChart>
      <c:valAx>
        <c:axId val="79065088"/>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066624"/>
        <c:crosses val="autoZero"/>
        <c:crossBetween val="midCat"/>
        <c:majorUnit val="0.2"/>
      </c:valAx>
      <c:valAx>
        <c:axId val="79066624"/>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7906508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699" r="0.75000000000000699"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Volume Limited BMP Sizing - 3hr Drain Time</a:t>
            </a:r>
          </a:p>
        </c:rich>
      </c:tx>
      <c:layout>
        <c:manualLayout>
          <c:xMode val="edge"/>
          <c:yMode val="edge"/>
          <c:x val="0.25359671653606675"/>
          <c:y val="3.0379746835443051E-2"/>
        </c:manualLayout>
      </c:layout>
      <c:overlay val="1"/>
    </c:title>
    <c:plotArea>
      <c:layout>
        <c:manualLayout>
          <c:layoutTarget val="inner"/>
          <c:xMode val="edge"/>
          <c:yMode val="edge"/>
          <c:x val="0.1325492626646172"/>
          <c:y val="0.15633502774178545"/>
          <c:w val="0.76058563966632964"/>
          <c:h val="0.66699579907883899"/>
        </c:manualLayout>
      </c:layout>
      <c:scatterChart>
        <c:scatterStyle val="smoothMarker"/>
        <c:ser>
          <c:idx val="0"/>
          <c:order val="0"/>
          <c:tx>
            <c:strRef>
              <c:f>'North Central-DT'!$B$10</c:f>
              <c:strCache>
                <c:ptCount val="1"/>
                <c:pt idx="0">
                  <c:v>Runoff</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Central-DT'!$B$11:$B$19</c:f>
              <c:numCache>
                <c:formatCode>0.0%</c:formatCode>
                <c:ptCount val="9"/>
                <c:pt idx="0">
                  <c:v>0.52075407608695656</c:v>
                </c:pt>
                <c:pt idx="1">
                  <c:v>0.71933593750000002</c:v>
                </c:pt>
                <c:pt idx="2">
                  <c:v>0.85606317934782605</c:v>
                </c:pt>
                <c:pt idx="3">
                  <c:v>0.91686480978260865</c:v>
                </c:pt>
                <c:pt idx="4">
                  <c:v>0.94913383152173914</c:v>
                </c:pt>
                <c:pt idx="5">
                  <c:v>0.96730638586956519</c:v>
                </c:pt>
                <c:pt idx="6">
                  <c:v>0.98004415760869568</c:v>
                </c:pt>
                <c:pt idx="7">
                  <c:v>0.98930027173913049</c:v>
                </c:pt>
                <c:pt idx="8">
                  <c:v>0.99498980978260865</c:v>
                </c:pt>
              </c:numCache>
            </c:numRef>
          </c:yVal>
          <c:smooth val="1"/>
        </c:ser>
        <c:ser>
          <c:idx val="1"/>
          <c:order val="1"/>
          <c:tx>
            <c:strRef>
              <c:f>'North Central-DT'!$C$10</c:f>
              <c:strCache>
                <c:ptCount val="1"/>
                <c:pt idx="0">
                  <c:v>TSS</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Central-DT'!$C$11:$C$19</c:f>
              <c:numCache>
                <c:formatCode>0.0%</c:formatCode>
                <c:ptCount val="9"/>
                <c:pt idx="0">
                  <c:v>0.36944860727643658</c:v>
                </c:pt>
                <c:pt idx="1">
                  <c:v>0.5192903366201973</c:v>
                </c:pt>
                <c:pt idx="2">
                  <c:v>0.6316253315198912</c:v>
                </c:pt>
                <c:pt idx="3">
                  <c:v>0.68769689901394082</c:v>
                </c:pt>
                <c:pt idx="4">
                  <c:v>0.72014157769466158</c:v>
                </c:pt>
                <c:pt idx="5">
                  <c:v>0.74107038422305327</c:v>
                </c:pt>
                <c:pt idx="6">
                  <c:v>0.75707666780006799</c:v>
                </c:pt>
                <c:pt idx="7">
                  <c:v>0.77479122747364837</c:v>
                </c:pt>
                <c:pt idx="8">
                  <c:v>0.78803461407684461</c:v>
                </c:pt>
              </c:numCache>
            </c:numRef>
          </c:yVal>
          <c:smooth val="1"/>
        </c:ser>
        <c:axId val="79226752"/>
        <c:axId val="79228928"/>
      </c:scatterChart>
      <c:valAx>
        <c:axId val="79226752"/>
        <c:scaling>
          <c:orientation val="minMax"/>
          <c:max val="2"/>
          <c:min val="0"/>
        </c:scaling>
        <c:axPos val="b"/>
        <c:majorGridlines/>
        <c:title>
          <c:tx>
            <c:rich>
              <a:bodyPr/>
              <a:lstStyle/>
              <a:p>
                <a:pPr>
                  <a:defRPr/>
                </a:pPr>
                <a:r>
                  <a:rPr lang="en-US"/>
                  <a:t>Unit Basin Size (in)</a:t>
                </a:r>
              </a:p>
            </c:rich>
          </c:tx>
          <c:layout>
            <c:manualLayout>
              <c:xMode val="edge"/>
              <c:yMode val="edge"/>
              <c:x val="0.40806337796953618"/>
              <c:y val="0.91325133945033732"/>
            </c:manualLayout>
          </c:layout>
        </c:title>
        <c:numFmt formatCode="0.0" sourceLinked="0"/>
        <c:tickLblPos val="nextTo"/>
        <c:crossAx val="79228928"/>
        <c:crosses val="autoZero"/>
        <c:crossBetween val="midCat"/>
        <c:majorUnit val="0.2"/>
      </c:valAx>
      <c:valAx>
        <c:axId val="79228928"/>
        <c:scaling>
          <c:orientation val="minMax"/>
          <c:max val="1"/>
          <c:min val="0"/>
        </c:scaling>
        <c:axPos val="l"/>
        <c:majorGridlines/>
        <c:title>
          <c:tx>
            <c:rich>
              <a:bodyPr rot="-5400000" vert="horz"/>
              <a:lstStyle/>
              <a:p>
                <a:pPr>
                  <a:defRPr/>
                </a:pPr>
                <a:r>
                  <a:rPr lang="en-US"/>
                  <a:t>% Captured</a:t>
                </a:r>
              </a:p>
            </c:rich>
          </c:tx>
          <c:layout>
            <c:manualLayout>
              <c:xMode val="edge"/>
              <c:yMode val="edge"/>
              <c:x val="6.6625815741903766E-3"/>
              <c:y val="0.32768125295813433"/>
            </c:manualLayout>
          </c:layout>
        </c:title>
        <c:numFmt formatCode="0%" sourceLinked="0"/>
        <c:tickLblPos val="nextTo"/>
        <c:crossAx val="79226752"/>
        <c:crosses val="autoZero"/>
        <c:crossBetween val="midCat"/>
      </c:valAx>
      <c:spPr>
        <a:ln>
          <a:solidFill>
            <a:schemeClr val="bg1">
              <a:lumMod val="50000"/>
            </a:schemeClr>
          </a:solidFill>
        </a:ln>
      </c:spPr>
    </c:plotArea>
    <c:legend>
      <c:legendPos val="t"/>
      <c:layout>
        <c:manualLayout>
          <c:xMode val="edge"/>
          <c:yMode val="edge"/>
          <c:x val="0.35385279568998496"/>
          <c:y val="9.1139240506329128E-2"/>
          <c:w val="0.26288245659980641"/>
          <c:h val="6.1039370078740163E-2"/>
        </c:manualLayout>
      </c:layout>
    </c:legend>
    <c:plotVisOnly val="1"/>
  </c:chart>
  <c:spPr>
    <a:ln>
      <a:solidFill>
        <a:schemeClr val="accent1"/>
      </a:solidFill>
    </a:ln>
  </c:spPr>
  <c:txPr>
    <a:bodyPr/>
    <a:lstStyle/>
    <a:p>
      <a:pPr>
        <a:defRPr sz="1000"/>
      </a:pPr>
      <a:endParaRPr lang="en-US"/>
    </a:p>
  </c:txPr>
  <c:printSettings>
    <c:headerFooter/>
    <c:pageMargins b="0.75000000000000377" l="0.70000000000000062" r="0.70000000000000062" t="0.75000000000000377"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title>
    <c:plotArea>
      <c:layout>
        <c:manualLayout>
          <c:layoutTarget val="inner"/>
          <c:xMode val="edge"/>
          <c:yMode val="edge"/>
          <c:x val="0.15043759880892182"/>
          <c:y val="0.18721974766559102"/>
          <c:w val="0.76058563966632964"/>
          <c:h val="0.6115858740406267"/>
        </c:manualLayout>
      </c:layout>
      <c:scatterChart>
        <c:scatterStyle val="smoothMarker"/>
        <c:ser>
          <c:idx val="0"/>
          <c:order val="0"/>
          <c:tx>
            <c:strRef>
              <c:f>'North Central-DT'!$D$10</c:f>
              <c:strCache>
                <c:ptCount val="1"/>
                <c:pt idx="0">
                  <c:v>Clay</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Central-DT'!$D$11:$D$19</c:f>
              <c:numCache>
                <c:formatCode>0.0%</c:formatCode>
                <c:ptCount val="9"/>
                <c:pt idx="0">
                  <c:v>1.0551105066303977E-3</c:v>
                </c:pt>
                <c:pt idx="1">
                  <c:v>2.0189051343080583E-3</c:v>
                </c:pt>
                <c:pt idx="2">
                  <c:v>3.841550493029582E-3</c:v>
                </c:pt>
                <c:pt idx="3">
                  <c:v>5.6292417545052709E-3</c:v>
                </c:pt>
                <c:pt idx="4">
                  <c:v>7.3633458007480454E-3</c:v>
                </c:pt>
                <c:pt idx="5">
                  <c:v>9.079904794287658E-3</c:v>
                </c:pt>
                <c:pt idx="6">
                  <c:v>1.0751989119347161E-2</c:v>
                </c:pt>
                <c:pt idx="7">
                  <c:v>1.3947636858211493E-2</c:v>
                </c:pt>
                <c:pt idx="8">
                  <c:v>1.716286977218633E-2</c:v>
                </c:pt>
              </c:numCache>
            </c:numRef>
          </c:yVal>
          <c:smooth val="1"/>
        </c:ser>
        <c:ser>
          <c:idx val="1"/>
          <c:order val="1"/>
          <c:tx>
            <c:strRef>
              <c:f>'North Central-DT'!$H$10</c:f>
              <c:strCache>
                <c:ptCount val="1"/>
                <c:pt idx="0">
                  <c:v>Silt</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Central-DT'!$H$11:$H$19</c:f>
              <c:numCache>
                <c:formatCode>0.0%</c:formatCode>
                <c:ptCount val="9"/>
                <c:pt idx="0">
                  <c:v>0.24323790094072315</c:v>
                </c:pt>
                <c:pt idx="1">
                  <c:v>0.35605122974045117</c:v>
                </c:pt>
                <c:pt idx="2">
                  <c:v>0.45387827269636177</c:v>
                </c:pt>
                <c:pt idx="3">
                  <c:v>0.51104975631871252</c:v>
                </c:pt>
                <c:pt idx="4">
                  <c:v>0.54736756205372317</c:v>
                </c:pt>
                <c:pt idx="5">
                  <c:v>0.573586308511844</c:v>
                </c:pt>
                <c:pt idx="6">
                  <c:v>0.59493097585855148</c:v>
                </c:pt>
                <c:pt idx="7">
                  <c:v>0.62389210019267827</c:v>
                </c:pt>
                <c:pt idx="8">
                  <c:v>0.64667800068004078</c:v>
                </c:pt>
              </c:numCache>
            </c:numRef>
          </c:yVal>
          <c:smooth val="1"/>
        </c:ser>
        <c:ser>
          <c:idx val="2"/>
          <c:order val="2"/>
          <c:tx>
            <c:strRef>
              <c:f>'North Central-DT'!$I$10</c:f>
              <c:strCache>
                <c:ptCount val="1"/>
                <c:pt idx="0">
                  <c:v>Sand</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Central-DT'!$I$11:$I$19</c:f>
              <c:numCache>
                <c:formatCode>0.0%</c:formatCode>
                <c:ptCount val="9"/>
                <c:pt idx="0">
                  <c:v>0.51987759265555933</c:v>
                </c:pt>
                <c:pt idx="1">
                  <c:v>0.71793267596055765</c:v>
                </c:pt>
                <c:pt idx="2">
                  <c:v>0.85437606256375387</c:v>
                </c:pt>
                <c:pt idx="3">
                  <c:v>0.91488609316558989</c:v>
                </c:pt>
                <c:pt idx="4">
                  <c:v>0.94691601496089761</c:v>
                </c:pt>
                <c:pt idx="5">
                  <c:v>0.96500510030601838</c:v>
                </c:pt>
                <c:pt idx="6">
                  <c:v>0.97764025841550495</c:v>
                </c:pt>
                <c:pt idx="7">
                  <c:v>0.98668480108806533</c:v>
                </c:pt>
                <c:pt idx="8">
                  <c:v>0.99234274056443383</c:v>
                </c:pt>
              </c:numCache>
            </c:numRef>
          </c:yVal>
          <c:smooth val="1"/>
        </c:ser>
        <c:axId val="81416576"/>
        <c:axId val="81418496"/>
      </c:scatterChart>
      <c:valAx>
        <c:axId val="8141657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1418496"/>
        <c:crosses val="autoZero"/>
        <c:crossBetween val="midCat"/>
        <c:majorUnit val="0.2"/>
      </c:valAx>
      <c:valAx>
        <c:axId val="81418496"/>
        <c:scaling>
          <c:orientation val="minMax"/>
          <c:max val="1"/>
          <c:min val="0"/>
        </c:scaling>
        <c:axPos val="l"/>
        <c:majorGridlines/>
        <c:title>
          <c:tx>
            <c:rich>
              <a:bodyPr rot="-5400000" vert="horz"/>
              <a:lstStyle/>
              <a:p>
                <a:pPr>
                  <a:defRPr/>
                </a:pPr>
                <a:r>
                  <a:rPr lang="en-US"/>
                  <a:t>% Captured</a:t>
                </a:r>
              </a:p>
            </c:rich>
          </c:tx>
          <c:layout>
            <c:manualLayout>
              <c:xMode val="edge"/>
              <c:yMode val="edge"/>
              <c:x val="1.6204202544857341E-2"/>
              <c:y val="0.34248013904428387"/>
            </c:manualLayout>
          </c:layout>
        </c:title>
        <c:numFmt formatCode="0%" sourceLinked="0"/>
        <c:tickLblPos val="nextTo"/>
        <c:crossAx val="81416576"/>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2000"/>
            </a:pPr>
            <a:r>
              <a:rPr lang="en-US" sz="2000"/>
              <a:t>Runoff and Sediment Capture as a Function of Basin Size and Drawdown Time</a:t>
            </a:r>
          </a:p>
        </c:rich>
      </c:tx>
      <c:layout>
        <c:manualLayout>
          <c:xMode val="edge"/>
          <c:yMode val="edge"/>
          <c:x val="8.5588396662166208E-2"/>
          <c:y val="2.9146793852676205E-2"/>
        </c:manualLayout>
      </c:layout>
      <c:overlay val="1"/>
    </c:title>
    <c:plotArea>
      <c:layout>
        <c:manualLayout>
          <c:layoutTarget val="inner"/>
          <c:xMode val="edge"/>
          <c:yMode val="edge"/>
          <c:x val="0.1780259236826166"/>
          <c:y val="0.21984673418207587"/>
          <c:w val="0.54938999479322437"/>
          <c:h val="0.60480936066198088"/>
        </c:manualLayout>
      </c:layout>
      <c:scatterChart>
        <c:scatterStyle val="smoothMarker"/>
        <c:ser>
          <c:idx val="0"/>
          <c:order val="0"/>
          <c:tx>
            <c:strRef>
              <c:f>'North Central-DT'!$CD$17</c:f>
              <c:strCache>
                <c:ptCount val="1"/>
                <c:pt idx="0">
                  <c:v>Runoff, 3hr DT</c:v>
                </c:pt>
              </c:strCache>
            </c:strRef>
          </c:tx>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Central-DT'!$CD$18:$CD$26</c:f>
              <c:numCache>
                <c:formatCode>0.0%</c:formatCode>
                <c:ptCount val="9"/>
                <c:pt idx="0">
                  <c:v>0.54083835902017718</c:v>
                </c:pt>
                <c:pt idx="1">
                  <c:v>0.77280172734718189</c:v>
                </c:pt>
                <c:pt idx="2">
                  <c:v>0.93740227831136924</c:v>
                </c:pt>
                <c:pt idx="3">
                  <c:v>0.98157248157248156</c:v>
                </c:pt>
                <c:pt idx="4">
                  <c:v>0.99348522075794798</c:v>
                </c:pt>
                <c:pt idx="5">
                  <c:v>0.99677983768892864</c:v>
                </c:pt>
                <c:pt idx="6">
                  <c:v>0.9987156578065669</c:v>
                </c:pt>
                <c:pt idx="7">
                  <c:v>1</c:v>
                </c:pt>
                <c:pt idx="8">
                  <c:v>1</c:v>
                </c:pt>
              </c:numCache>
            </c:numRef>
          </c:yVal>
          <c:smooth val="1"/>
        </c:ser>
        <c:ser>
          <c:idx val="1"/>
          <c:order val="1"/>
          <c:tx>
            <c:strRef>
              <c:f>'North Central-DT'!$CE$17</c:f>
              <c:strCache>
                <c:ptCount val="1"/>
                <c:pt idx="0">
                  <c:v>Runoff, 6hr DT</c:v>
                </c:pt>
              </c:strCache>
            </c:strRef>
          </c:tx>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Central-DT'!$CE$18:$CE$26</c:f>
              <c:numCache>
                <c:formatCode>0.0%</c:formatCode>
                <c:ptCount val="9"/>
                <c:pt idx="0">
                  <c:v>0.39045864045864048</c:v>
                </c:pt>
                <c:pt idx="1">
                  <c:v>0.62134241679696223</c:v>
                </c:pt>
                <c:pt idx="2">
                  <c:v>0.83551113096567642</c:v>
                </c:pt>
                <c:pt idx="3">
                  <c:v>0.93494527585436671</c:v>
                </c:pt>
                <c:pt idx="4">
                  <c:v>0.97371751917206462</c:v>
                </c:pt>
                <c:pt idx="5">
                  <c:v>0.98808726081453357</c:v>
                </c:pt>
                <c:pt idx="6">
                  <c:v>0.99434144888690346</c:v>
                </c:pt>
                <c:pt idx="7">
                  <c:v>0.9992554538009083</c:v>
                </c:pt>
                <c:pt idx="8">
                  <c:v>1</c:v>
                </c:pt>
              </c:numCache>
            </c:numRef>
          </c:yVal>
          <c:smooth val="1"/>
        </c:ser>
        <c:ser>
          <c:idx val="2"/>
          <c:order val="2"/>
          <c:tx>
            <c:strRef>
              <c:f>'North Central-DT'!$CF$17</c:f>
              <c:strCache>
                <c:ptCount val="1"/>
                <c:pt idx="0">
                  <c:v>Runoff, 12hr DT</c:v>
                </c:pt>
              </c:strCache>
            </c:strRef>
          </c:tx>
          <c:spPr>
            <a:ln w="31750"/>
          </c:spPr>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Central-DT'!$CF$18:$CF$26</c:f>
              <c:numCache>
                <c:formatCode>0.0%</c:formatCode>
                <c:ptCount val="9"/>
                <c:pt idx="0">
                  <c:v>0.27551932097386644</c:v>
                </c:pt>
                <c:pt idx="1">
                  <c:v>0.48760330578512395</c:v>
                </c:pt>
                <c:pt idx="2">
                  <c:v>0.7119350755714392</c:v>
                </c:pt>
                <c:pt idx="3">
                  <c:v>0.84556250465341376</c:v>
                </c:pt>
                <c:pt idx="4">
                  <c:v>0.92195294468021738</c:v>
                </c:pt>
                <c:pt idx="5">
                  <c:v>0.95769116223661677</c:v>
                </c:pt>
                <c:pt idx="6">
                  <c:v>0.97799865981684164</c:v>
                </c:pt>
                <c:pt idx="7">
                  <c:v>0.99447174447174447</c:v>
                </c:pt>
                <c:pt idx="8">
                  <c:v>1</c:v>
                </c:pt>
              </c:numCache>
            </c:numRef>
          </c:yVal>
          <c:smooth val="1"/>
        </c:ser>
        <c:ser>
          <c:idx val="3"/>
          <c:order val="3"/>
          <c:tx>
            <c:strRef>
              <c:f>'North Central-DT'!$CG$17</c:f>
              <c:strCache>
                <c:ptCount val="1"/>
                <c:pt idx="0">
                  <c:v>TSS, 3hr DT</c:v>
                </c:pt>
              </c:strCache>
            </c:strRef>
          </c:tx>
          <c:spPr>
            <a:ln w="31750">
              <a:solidFill>
                <a:schemeClr val="accent1"/>
              </a:solidFill>
              <a:prstDash val="sysDash"/>
            </a:ln>
          </c:spPr>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Central-DT'!$CG$18:$CG$26</c:f>
              <c:numCache>
                <c:formatCode>0.0%</c:formatCode>
                <c:ptCount val="9"/>
                <c:pt idx="0">
                  <c:v>0.36944860727643658</c:v>
                </c:pt>
                <c:pt idx="1">
                  <c:v>0.5192903366201973</c:v>
                </c:pt>
                <c:pt idx="2">
                  <c:v>0.6316253315198912</c:v>
                </c:pt>
                <c:pt idx="3">
                  <c:v>0.68769689901394082</c:v>
                </c:pt>
                <c:pt idx="4">
                  <c:v>0.72014157769466158</c:v>
                </c:pt>
                <c:pt idx="5">
                  <c:v>0.74107038422305327</c:v>
                </c:pt>
                <c:pt idx="6">
                  <c:v>0.75707666780006799</c:v>
                </c:pt>
                <c:pt idx="7">
                  <c:v>0.77479122747364837</c:v>
                </c:pt>
                <c:pt idx="8">
                  <c:v>0.78803461407684461</c:v>
                </c:pt>
              </c:numCache>
            </c:numRef>
          </c:yVal>
          <c:smooth val="1"/>
        </c:ser>
        <c:ser>
          <c:idx val="4"/>
          <c:order val="4"/>
          <c:tx>
            <c:strRef>
              <c:f>'North Central-DT'!$CH$17</c:f>
              <c:strCache>
                <c:ptCount val="1"/>
                <c:pt idx="0">
                  <c:v>TSS, 6hr DT</c:v>
                </c:pt>
              </c:strCache>
            </c:strRef>
          </c:tx>
          <c:spPr>
            <a:ln w="31750">
              <a:solidFill>
                <a:schemeClr val="accent2"/>
              </a:solidFill>
              <a:prstDash val="sysDash"/>
            </a:ln>
          </c:spPr>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Central-DT'!$CH$18:$CH$26</c:f>
              <c:numCache>
                <c:formatCode>0.0%</c:formatCode>
                <c:ptCount val="9"/>
                <c:pt idx="0">
                  <c:v>0.3069575770146209</c:v>
                </c:pt>
                <c:pt idx="1">
                  <c:v>0.46815385923155389</c:v>
                </c:pt>
                <c:pt idx="2">
                  <c:v>0.61076970418225085</c:v>
                </c:pt>
                <c:pt idx="3">
                  <c:v>0.67843188031281876</c:v>
                </c:pt>
                <c:pt idx="4">
                  <c:v>0.72099591295477727</c:v>
                </c:pt>
                <c:pt idx="5">
                  <c:v>0.74257494729683782</c:v>
                </c:pt>
                <c:pt idx="6">
                  <c:v>0.76052721523291389</c:v>
                </c:pt>
                <c:pt idx="7">
                  <c:v>0.78485562733764025</c:v>
                </c:pt>
                <c:pt idx="8">
                  <c:v>0.80012036722203328</c:v>
                </c:pt>
              </c:numCache>
            </c:numRef>
          </c:yVal>
          <c:smooth val="1"/>
        </c:ser>
        <c:ser>
          <c:idx val="5"/>
          <c:order val="5"/>
          <c:tx>
            <c:strRef>
              <c:f>'North Central-DT'!$CI$17</c:f>
              <c:strCache>
                <c:ptCount val="1"/>
                <c:pt idx="0">
                  <c:v>TSS, 12hr DT</c:v>
                </c:pt>
              </c:strCache>
            </c:strRef>
          </c:tx>
          <c:spPr>
            <a:ln w="31750">
              <a:solidFill>
                <a:schemeClr val="accent3"/>
              </a:solidFill>
              <a:prstDash val="sysDash"/>
            </a:ln>
          </c:spPr>
          <c:marker>
            <c:symbol val="none"/>
          </c:marker>
          <c:xVal>
            <c:numRef>
              <c:f>'North Central-DT'!$CC$18:$CC$26</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Central-DT'!$CI$18:$CI$26</c:f>
              <c:numCache>
                <c:formatCode>0.0%</c:formatCode>
                <c:ptCount val="9"/>
                <c:pt idx="0">
                  <c:v>0.2497170010200612</c:v>
                </c:pt>
                <c:pt idx="1">
                  <c:v>0.41382575314518877</c:v>
                </c:pt>
                <c:pt idx="2">
                  <c:v>0.57718930975858551</c:v>
                </c:pt>
                <c:pt idx="3">
                  <c:v>0.66310937096225775</c:v>
                </c:pt>
                <c:pt idx="4">
                  <c:v>0.7108914858891533</c:v>
                </c:pt>
                <c:pt idx="5">
                  <c:v>0.73964889493369601</c:v>
                </c:pt>
                <c:pt idx="6">
                  <c:v>0.76081128867732062</c:v>
                </c:pt>
                <c:pt idx="7">
                  <c:v>0.7893565453927236</c:v>
                </c:pt>
                <c:pt idx="8">
                  <c:v>0.8072153689221353</c:v>
                </c:pt>
              </c:numCache>
            </c:numRef>
          </c:yVal>
          <c:smooth val="1"/>
        </c:ser>
        <c:axId val="79117696"/>
        <c:axId val="79132160"/>
      </c:scatterChart>
      <c:valAx>
        <c:axId val="79117696"/>
        <c:scaling>
          <c:orientation val="minMax"/>
          <c:max val="2"/>
        </c:scaling>
        <c:axPos val="b"/>
        <c:majorGridlines>
          <c:spPr>
            <a:ln>
              <a:solidFill>
                <a:schemeClr val="bg1">
                  <a:lumMod val="75000"/>
                </a:schemeClr>
              </a:solidFill>
            </a:ln>
          </c:spPr>
        </c:majorGridlines>
        <c:title>
          <c:tx>
            <c:rich>
              <a:bodyPr/>
              <a:lstStyle/>
              <a:p>
                <a:pPr>
                  <a:defRPr sz="1800"/>
                </a:pPr>
                <a:r>
                  <a:rPr lang="en-US" sz="1800"/>
                  <a:t>Unit Basin Size (in)</a:t>
                </a:r>
              </a:p>
            </c:rich>
          </c:tx>
        </c:title>
        <c:numFmt formatCode="0.0" sourceLinked="0"/>
        <c:tickLblPos val="nextTo"/>
        <c:txPr>
          <a:bodyPr/>
          <a:lstStyle/>
          <a:p>
            <a:pPr>
              <a:defRPr sz="1600"/>
            </a:pPr>
            <a:endParaRPr lang="en-US"/>
          </a:p>
        </c:txPr>
        <c:crossAx val="79132160"/>
        <c:crosses val="autoZero"/>
        <c:crossBetween val="midCat"/>
        <c:majorUnit val="0.2"/>
      </c:valAx>
      <c:valAx>
        <c:axId val="79132160"/>
        <c:scaling>
          <c:orientation val="minMax"/>
          <c:max val="1"/>
          <c:min val="0"/>
        </c:scaling>
        <c:axPos val="l"/>
        <c:majorGridlines>
          <c:spPr>
            <a:ln>
              <a:solidFill>
                <a:schemeClr val="bg1">
                  <a:lumMod val="85000"/>
                </a:schemeClr>
              </a:solidFill>
            </a:ln>
          </c:spPr>
        </c:majorGridlines>
        <c:title>
          <c:tx>
            <c:rich>
              <a:bodyPr rot="-5400000" vert="horz"/>
              <a:lstStyle/>
              <a:p>
                <a:pPr>
                  <a:defRPr sz="1800"/>
                </a:pPr>
                <a:r>
                  <a:rPr lang="en-US" sz="1800"/>
                  <a:t>% Captured</a:t>
                </a:r>
              </a:p>
            </c:rich>
          </c:tx>
        </c:title>
        <c:numFmt formatCode="0%" sourceLinked="0"/>
        <c:tickLblPos val="nextTo"/>
        <c:txPr>
          <a:bodyPr/>
          <a:lstStyle/>
          <a:p>
            <a:pPr>
              <a:defRPr sz="1600"/>
            </a:pPr>
            <a:endParaRPr lang="en-US"/>
          </a:p>
        </c:txPr>
        <c:crossAx val="79117696"/>
        <c:crosses val="autoZero"/>
        <c:crossBetween val="midCat"/>
        <c:majorUnit val="0.1"/>
      </c:valAx>
    </c:plotArea>
    <c:legend>
      <c:legendPos val="t"/>
      <c:layout>
        <c:manualLayout>
          <c:xMode val="edge"/>
          <c:yMode val="edge"/>
          <c:x val="0.7386938513740724"/>
          <c:y val="0.24825140100730764"/>
          <c:w val="0.25400001130106331"/>
          <c:h val="0.43908299220944336"/>
        </c:manualLayout>
      </c:layout>
      <c:txPr>
        <a:bodyPr/>
        <a:lstStyle/>
        <a:p>
          <a:pPr>
            <a:defRPr sz="1400"/>
          </a:pPr>
          <a:endParaRPr lang="en-US"/>
        </a:p>
      </c:txPr>
    </c:legend>
    <c:plotVisOnly val="1"/>
  </c:chart>
  <c:txPr>
    <a:bodyPr/>
    <a:lstStyle/>
    <a:p>
      <a:pPr>
        <a:defRPr sz="1100"/>
      </a:pPr>
      <a:endParaRPr lang="en-US"/>
    </a:p>
  </c:txPr>
  <c:printSettings>
    <c:headerFooter/>
    <c:pageMargins b="0.75000000000000377" l="0.70000000000000062" r="0.70000000000000062" t="0.75000000000000377"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 - 6hr Drain Time</a:t>
            </a:r>
          </a:p>
        </c:rich>
      </c:tx>
      <c:overlay val="1"/>
    </c:title>
    <c:plotArea>
      <c:layout>
        <c:manualLayout>
          <c:layoutTarget val="inner"/>
          <c:xMode val="edge"/>
          <c:yMode val="edge"/>
          <c:x val="0.1325492626646172"/>
          <c:y val="0.15633502774178545"/>
          <c:w val="0.76058563966632964"/>
          <c:h val="0.70005358705161858"/>
        </c:manualLayout>
      </c:layout>
      <c:scatterChart>
        <c:scatterStyle val="smoothMarker"/>
        <c:ser>
          <c:idx val="0"/>
          <c:order val="0"/>
          <c:tx>
            <c:strRef>
              <c:f>'North Central-DT'!$B$10</c:f>
              <c:strCache>
                <c:ptCount val="1"/>
                <c:pt idx="0">
                  <c:v>Runoff</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Central-DT'!$M$11:$M$19</c:f>
              <c:numCache>
                <c:formatCode>0.0%</c:formatCode>
                <c:ptCount val="9"/>
                <c:pt idx="0">
                  <c:v>0.41191406250000001</c:v>
                </c:pt>
                <c:pt idx="1">
                  <c:v>0.61817255434782614</c:v>
                </c:pt>
                <c:pt idx="2">
                  <c:v>0.79567764945652175</c:v>
                </c:pt>
                <c:pt idx="3">
                  <c:v>0.87202785326086951</c:v>
                </c:pt>
                <c:pt idx="4">
                  <c:v>0.91593070652173914</c:v>
                </c:pt>
                <c:pt idx="5">
                  <c:v>0.93919836956521741</c:v>
                </c:pt>
                <c:pt idx="6">
                  <c:v>0.95558763586956519</c:v>
                </c:pt>
                <c:pt idx="7">
                  <c:v>0.9765625</c:v>
                </c:pt>
                <c:pt idx="8">
                  <c:v>0.98615828804347827</c:v>
                </c:pt>
              </c:numCache>
            </c:numRef>
          </c:yVal>
          <c:smooth val="1"/>
        </c:ser>
        <c:ser>
          <c:idx val="1"/>
          <c:order val="1"/>
          <c:tx>
            <c:strRef>
              <c:f>'North Central-DT'!$C$10</c:f>
              <c:strCache>
                <c:ptCount val="1"/>
                <c:pt idx="0">
                  <c:v>TSS</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Central-DT'!$N$11:$N$19</c:f>
              <c:numCache>
                <c:formatCode>0.0%</c:formatCode>
                <c:ptCount val="9"/>
                <c:pt idx="0">
                  <c:v>0.3069575770146209</c:v>
                </c:pt>
                <c:pt idx="1">
                  <c:v>0.46815385923155389</c:v>
                </c:pt>
                <c:pt idx="2">
                  <c:v>0.61076970418225085</c:v>
                </c:pt>
                <c:pt idx="3">
                  <c:v>0.67843188031281876</c:v>
                </c:pt>
                <c:pt idx="4">
                  <c:v>0.72099591295477727</c:v>
                </c:pt>
                <c:pt idx="5">
                  <c:v>0.74257494729683782</c:v>
                </c:pt>
                <c:pt idx="6">
                  <c:v>0.76052721523291389</c:v>
                </c:pt>
                <c:pt idx="7">
                  <c:v>0.78485562733764025</c:v>
                </c:pt>
                <c:pt idx="8">
                  <c:v>0.80012036722203328</c:v>
                </c:pt>
              </c:numCache>
            </c:numRef>
          </c:yVal>
          <c:smooth val="1"/>
        </c:ser>
        <c:axId val="79164544"/>
        <c:axId val="79166464"/>
      </c:scatterChart>
      <c:valAx>
        <c:axId val="79164544"/>
        <c:scaling>
          <c:orientation val="minMax"/>
          <c:max val="2"/>
          <c:min val="0"/>
        </c:scaling>
        <c:axPos val="b"/>
        <c:majorGridlines/>
        <c:title>
          <c:tx>
            <c:rich>
              <a:bodyPr/>
              <a:lstStyle/>
              <a:p>
                <a:pPr>
                  <a:defRPr/>
                </a:pPr>
                <a:r>
                  <a:rPr lang="en-US"/>
                  <a:t>Unit Basin Size (in)</a:t>
                </a:r>
              </a:p>
            </c:rich>
          </c:tx>
        </c:title>
        <c:numFmt formatCode="0.0" sourceLinked="0"/>
        <c:tickLblPos val="nextTo"/>
        <c:crossAx val="79166464"/>
        <c:crosses val="autoZero"/>
        <c:crossBetween val="midCat"/>
        <c:majorUnit val="0.2"/>
      </c:valAx>
      <c:valAx>
        <c:axId val="79166464"/>
        <c:scaling>
          <c:orientation val="minMax"/>
          <c:max val="1"/>
          <c:min val="0"/>
        </c:scaling>
        <c:axPos val="l"/>
        <c:majorGridlines/>
        <c:title>
          <c:tx>
            <c:rich>
              <a:bodyPr rot="-5400000" vert="horz"/>
              <a:lstStyle/>
              <a:p>
                <a:pPr>
                  <a:defRPr/>
                </a:pPr>
                <a:r>
                  <a:rPr lang="en-US"/>
                  <a:t>% Captured</a:t>
                </a:r>
              </a:p>
            </c:rich>
          </c:tx>
          <c:layout>
            <c:manualLayout>
              <c:xMode val="edge"/>
              <c:yMode val="edge"/>
              <c:x val="8.5430018922053527E-3"/>
              <c:y val="0.34962943067839974"/>
            </c:manualLayout>
          </c:layout>
        </c:title>
        <c:numFmt formatCode="0%" sourceLinked="0"/>
        <c:tickLblPos val="nextTo"/>
        <c:crossAx val="79164544"/>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'North Central-DT'!$D$10</c:f>
              <c:strCache>
                <c:ptCount val="1"/>
                <c:pt idx="0">
                  <c:v>Clay</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Central-DT'!$O$11:$O$19</c:f>
              <c:numCache>
                <c:formatCode>0.0%</c:formatCode>
                <c:ptCount val="9"/>
                <c:pt idx="0">
                  <c:v>1.2923087385243114E-3</c:v>
                </c:pt>
                <c:pt idx="1">
                  <c:v>2.8418905134308058E-3</c:v>
                </c:pt>
                <c:pt idx="2">
                  <c:v>4.6916014960897649E-3</c:v>
                </c:pt>
                <c:pt idx="3">
                  <c:v>6.9959877592655562E-3</c:v>
                </c:pt>
                <c:pt idx="4">
                  <c:v>9.2416184971098256E-3</c:v>
                </c:pt>
                <c:pt idx="5">
                  <c:v>1.0869228153689221E-2</c:v>
                </c:pt>
                <c:pt idx="6">
                  <c:v>1.2992451547092826E-2</c:v>
                </c:pt>
                <c:pt idx="7">
                  <c:v>1.6650119007140429E-2</c:v>
                </c:pt>
                <c:pt idx="8">
                  <c:v>2.0591635498129889E-2</c:v>
                </c:pt>
              </c:numCache>
            </c:numRef>
          </c:yVal>
          <c:smooth val="1"/>
        </c:ser>
        <c:ser>
          <c:idx val="1"/>
          <c:order val="1"/>
          <c:tx>
            <c:strRef>
              <c:f>'North Central-DT'!$H$10</c:f>
              <c:strCache>
                <c:ptCount val="1"/>
                <c:pt idx="0">
                  <c:v>Silt</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Central-DT'!$S$11:$S$19</c:f>
              <c:numCache>
                <c:formatCode>0.0%</c:formatCode>
                <c:ptCount val="9"/>
                <c:pt idx="0">
                  <c:v>0.22490626770939592</c:v>
                </c:pt>
                <c:pt idx="1">
                  <c:v>0.35388008613850169</c:v>
                </c:pt>
                <c:pt idx="2">
                  <c:v>0.47356817409044544</c:v>
                </c:pt>
                <c:pt idx="3">
                  <c:v>0.53890921455287322</c:v>
                </c:pt>
                <c:pt idx="4">
                  <c:v>0.58449506970418219</c:v>
                </c:pt>
                <c:pt idx="5">
                  <c:v>0.6065469794854359</c:v>
                </c:pt>
                <c:pt idx="6">
                  <c:v>0.62799501303411553</c:v>
                </c:pt>
                <c:pt idx="7">
                  <c:v>0.65842457214099503</c:v>
                </c:pt>
                <c:pt idx="8">
                  <c:v>0.68122407344440672</c:v>
                </c:pt>
              </c:numCache>
            </c:numRef>
          </c:yVal>
          <c:smooth val="1"/>
        </c:ser>
        <c:ser>
          <c:idx val="2"/>
          <c:order val="2"/>
          <c:tx>
            <c:strRef>
              <c:f>'North Central-DT'!$I$10</c:f>
              <c:strCache>
                <c:ptCount val="1"/>
                <c:pt idx="0">
                  <c:v>Sand</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Central-DT'!$T$11:$T$19</c:f>
              <c:numCache>
                <c:formatCode>0.0%</c:formatCode>
                <c:ptCount val="9"/>
                <c:pt idx="0">
                  <c:v>0.411370282216933</c:v>
                </c:pt>
                <c:pt idx="1">
                  <c:v>0.61753145188711323</c:v>
                </c:pt>
                <c:pt idx="2">
                  <c:v>0.79485889153349198</c:v>
                </c:pt>
                <c:pt idx="3">
                  <c:v>0.87114586875212519</c:v>
                </c:pt>
                <c:pt idx="4">
                  <c:v>0.91502210132607953</c:v>
                </c:pt>
                <c:pt idx="5">
                  <c:v>0.93817069024141442</c:v>
                </c:pt>
                <c:pt idx="6">
                  <c:v>0.95455967358041482</c:v>
                </c:pt>
                <c:pt idx="7">
                  <c:v>0.97546412784767089</c:v>
                </c:pt>
                <c:pt idx="8">
                  <c:v>0.98507990479428764</c:v>
                </c:pt>
              </c:numCache>
            </c:numRef>
          </c:yVal>
          <c:smooth val="1"/>
        </c:ser>
        <c:axId val="81498880"/>
        <c:axId val="81500800"/>
      </c:scatterChart>
      <c:valAx>
        <c:axId val="81498880"/>
        <c:scaling>
          <c:orientation val="minMax"/>
          <c:max val="2"/>
          <c:min val="0"/>
        </c:scaling>
        <c:axPos val="b"/>
        <c:majorGridlines/>
        <c:title>
          <c:tx>
            <c:rich>
              <a:bodyPr/>
              <a:lstStyle/>
              <a:p>
                <a:pPr>
                  <a:defRPr/>
                </a:pPr>
                <a:r>
                  <a:rPr lang="en-US"/>
                  <a:t>Unit Basin Size (in)</a:t>
                </a:r>
              </a:p>
            </c:rich>
          </c:tx>
        </c:title>
        <c:numFmt formatCode="0.0" sourceLinked="0"/>
        <c:tickLblPos val="nextTo"/>
        <c:crossAx val="81500800"/>
        <c:crosses val="autoZero"/>
        <c:crossBetween val="midCat"/>
        <c:majorUnit val="0.2"/>
      </c:valAx>
      <c:valAx>
        <c:axId val="81500800"/>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1498880"/>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Volume-Limited BMP Sizing-6hr</a:t>
            </a:r>
            <a:r>
              <a:rPr lang="en-US" sz="1200" baseline="0"/>
              <a:t> Drain Time</a:t>
            </a:r>
            <a:endParaRPr lang="en-US" sz="1200"/>
          </a:p>
        </c:rich>
      </c:tx>
      <c:overlay val="1"/>
    </c:title>
    <c:plotArea>
      <c:layout>
        <c:manualLayout>
          <c:layoutTarget val="inner"/>
          <c:xMode val="edge"/>
          <c:yMode val="edge"/>
          <c:x val="0.16603206777370647"/>
          <c:y val="0.19079424313667082"/>
          <c:w val="0.76058563966632964"/>
          <c:h val="0.6115858740406267"/>
        </c:manualLayout>
      </c:layout>
      <c:scatterChart>
        <c:scatterStyle val="smoothMarker"/>
        <c:ser>
          <c:idx val="0"/>
          <c:order val="0"/>
          <c:tx>
            <c:strRef>
              <c:f>'Northeast-DT'!$D$10</c:f>
              <c:strCache>
                <c:ptCount val="1"/>
                <c:pt idx="0">
                  <c:v>Clay</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'Northeast-DT'!$O$11:$O$19</c:f>
              <c:numCache>
                <c:formatCode>0.0%</c:formatCode>
                <c:ptCount val="9"/>
                <c:pt idx="0">
                  <c:v>1.9607371409324928E-3</c:v>
                </c:pt>
                <c:pt idx="1">
                  <c:v>4.2451362491780142E-3</c:v>
                </c:pt>
                <c:pt idx="2">
                  <c:v>6.9019551235785662E-3</c:v>
                </c:pt>
                <c:pt idx="3">
                  <c:v>1.0375948291071229E-2</c:v>
                </c:pt>
                <c:pt idx="4">
                  <c:v>1.3762209498147524E-2</c:v>
                </c:pt>
                <c:pt idx="5">
                  <c:v>1.6168663490994245E-2</c:v>
                </c:pt>
                <c:pt idx="6">
                  <c:v>1.9374809539848274E-2</c:v>
                </c:pt>
                <c:pt idx="7">
                  <c:v>2.4856854159649715E-2</c:v>
                </c:pt>
                <c:pt idx="8">
                  <c:v>3.0743075269851965E-2</c:v>
                </c:pt>
              </c:numCache>
            </c:numRef>
          </c:yVal>
          <c:smooth val="1"/>
        </c:ser>
        <c:ser>
          <c:idx val="1"/>
          <c:order val="1"/>
          <c:tx>
            <c:strRef>
              <c:f>'Northeast-DT'!$H$10</c:f>
              <c:strCache>
                <c:ptCount val="1"/>
                <c:pt idx="0">
                  <c:v>Silt</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'Northeast-DT'!$S$11:$S$19</c:f>
              <c:numCache>
                <c:formatCode>0.0%</c:formatCode>
                <c:ptCount val="9"/>
                <c:pt idx="0">
                  <c:v>0.32486113115954818</c:v>
                </c:pt>
                <c:pt idx="1">
                  <c:v>0.47161996717402582</c:v>
                </c:pt>
                <c:pt idx="2">
                  <c:v>0.57299769576630477</c:v>
                </c:pt>
                <c:pt idx="3">
                  <c:v>0.62671253749057731</c:v>
                </c:pt>
                <c:pt idx="4">
                  <c:v>0.66155885953797711</c:v>
                </c:pt>
                <c:pt idx="5">
                  <c:v>0.67578736895005009</c:v>
                </c:pt>
                <c:pt idx="6">
                  <c:v>0.69244093730452783</c:v>
                </c:pt>
                <c:pt idx="7">
                  <c:v>0.71488449427149325</c:v>
                </c:pt>
                <c:pt idx="8">
                  <c:v>0.73485808379712059</c:v>
                </c:pt>
              </c:numCache>
            </c:numRef>
          </c:yVal>
          <c:smooth val="1"/>
        </c:ser>
        <c:ser>
          <c:idx val="2"/>
          <c:order val="2"/>
          <c:tx>
            <c:strRef>
              <c:f>'Northeast-DT'!$I$10</c:f>
              <c:strCache>
                <c:ptCount val="1"/>
                <c:pt idx="0">
                  <c:v>Sand</c:v>
                </c:pt>
              </c:strCache>
            </c:strRef>
          </c:tx>
          <c:xVal>
            <c:numRef>
              <c:f>'Northeast-DT'!$A$11:$A$19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'Northeast-DT'!$T$11:$T$19</c:f>
              <c:numCache>
                <c:formatCode>0.0%</c:formatCode>
                <c:ptCount val="9"/>
                <c:pt idx="0">
                  <c:v>0.60106818072463075</c:v>
                </c:pt>
                <c:pt idx="1">
                  <c:v>0.81725448684020596</c:v>
                </c:pt>
                <c:pt idx="2">
                  <c:v>0.93566857527787139</c:v>
                </c:pt>
                <c:pt idx="3">
                  <c:v>0.97637492181109575</c:v>
                </c:pt>
                <c:pt idx="4">
                  <c:v>0.99063337022245757</c:v>
                </c:pt>
                <c:pt idx="5">
                  <c:v>0.9954610338578006</c:v>
                </c:pt>
                <c:pt idx="6">
                  <c:v>0.99807535004571046</c:v>
                </c:pt>
                <c:pt idx="7">
                  <c:v>0.99886124877704541</c:v>
                </c:pt>
                <c:pt idx="8">
                  <c:v>0.99890936502590266</c:v>
                </c:pt>
              </c:numCache>
            </c:numRef>
          </c:yVal>
          <c:smooth val="1"/>
        </c:ser>
        <c:axId val="74674176"/>
        <c:axId val="74676096"/>
      </c:scatterChart>
      <c:valAx>
        <c:axId val="74674176"/>
        <c:scaling>
          <c:orientation val="minMax"/>
          <c:max val="2"/>
          <c:min val="0"/>
        </c:scaling>
        <c:axPos val="b"/>
        <c:majorGridlines/>
        <c:title>
          <c:tx>
            <c:rich>
              <a:bodyPr/>
              <a:lstStyle/>
              <a:p>
                <a:pPr>
                  <a:defRPr/>
                </a:pPr>
                <a:r>
                  <a:rPr lang="en-US"/>
                  <a:t>Unit Basin Size (in)</a:t>
                </a:r>
              </a:p>
            </c:rich>
          </c:tx>
        </c:title>
        <c:numFmt formatCode="0.0" sourceLinked="0"/>
        <c:tickLblPos val="nextTo"/>
        <c:crossAx val="74676096"/>
        <c:crosses val="autoZero"/>
        <c:crossBetween val="midCat"/>
        <c:majorUnit val="0.2"/>
      </c:valAx>
      <c:valAx>
        <c:axId val="74676096"/>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14"/>
            </c:manualLayout>
          </c:layout>
        </c:title>
        <c:numFmt formatCode="0%" sourceLinked="0"/>
        <c:tickLblPos val="nextTo"/>
        <c:crossAx val="74674176"/>
        <c:crosses val="autoZero"/>
        <c:crossBetween val="midCat"/>
      </c:valAx>
      <c:spPr>
        <a:ln>
          <a:solidFill>
            <a:schemeClr val="bg1">
              <a:lumMod val="50000"/>
            </a:schemeClr>
          </a:solidFill>
        </a:ln>
      </c:spPr>
    </c:plotArea>
    <c:legend>
      <c:legendPos val="t"/>
      <c:layout>
        <c:manualLayout>
          <c:xMode val="edge"/>
          <c:yMode val="edge"/>
          <c:x val="0.35980946153357357"/>
          <c:y val="0.10300157977883172"/>
          <c:w val="0.35307659269864355"/>
          <c:h val="5.8520755293937757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- 12</a:t>
            </a:r>
            <a:r>
              <a:rPr lang="en-US" sz="1200" baseline="0"/>
              <a:t> </a:t>
            </a:r>
            <a:r>
              <a:rPr lang="en-US" sz="1200"/>
              <a:t>hr Drain Time</a:t>
            </a:r>
          </a:p>
        </c:rich>
      </c:tx>
      <c:layout>
        <c:manualLayout>
          <c:xMode val="edge"/>
          <c:yMode val="edge"/>
          <c:x val="0.25359671653606675"/>
          <c:y val="3.0379746835443051E-2"/>
        </c:manualLayout>
      </c:layout>
      <c:overlay val="1"/>
    </c:title>
    <c:plotArea>
      <c:layout>
        <c:manualLayout>
          <c:layoutTarget val="inner"/>
          <c:xMode val="edge"/>
          <c:yMode val="edge"/>
          <c:x val="0.14027118231842706"/>
          <c:y val="0.15633502774178545"/>
          <c:w val="0.75286372987160133"/>
          <c:h val="0.68532068850509764"/>
        </c:manualLayout>
      </c:layout>
      <c:scatterChart>
        <c:scatterStyle val="smoothMarker"/>
        <c:ser>
          <c:idx val="0"/>
          <c:order val="0"/>
          <c:tx>
            <c:strRef>
              <c:f>'North Central-DT'!$B$10</c:f>
              <c:strCache>
                <c:ptCount val="1"/>
                <c:pt idx="0">
                  <c:v>Runoff</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Central-DT'!$X$11:$X$19</c:f>
              <c:numCache>
                <c:formatCode>0.0%</c:formatCode>
                <c:ptCount val="9"/>
                <c:pt idx="0">
                  <c:v>0.31757812499999999</c:v>
                </c:pt>
                <c:pt idx="1">
                  <c:v>0.5228345788043478</c:v>
                </c:pt>
                <c:pt idx="2">
                  <c:v>0.72200237771739129</c:v>
                </c:pt>
                <c:pt idx="3">
                  <c:v>0.82321671195652169</c:v>
                </c:pt>
                <c:pt idx="4">
                  <c:v>0.87746263586956519</c:v>
                </c:pt>
                <c:pt idx="5">
                  <c:v>0.90828804347826086</c:v>
                </c:pt>
                <c:pt idx="6">
                  <c:v>0.93002717391304346</c:v>
                </c:pt>
                <c:pt idx="7">
                  <c:v>0.95720108695652173</c:v>
                </c:pt>
                <c:pt idx="8">
                  <c:v>0.97333559782608692</c:v>
                </c:pt>
              </c:numCache>
            </c:numRef>
          </c:yVal>
          <c:smooth val="1"/>
        </c:ser>
        <c:ser>
          <c:idx val="1"/>
          <c:order val="1"/>
          <c:tx>
            <c:strRef>
              <c:f>'North Central-DT'!$C$10</c:f>
              <c:strCache>
                <c:ptCount val="1"/>
                <c:pt idx="0">
                  <c:v>TSS</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Central-DT'!$Y$11:$Y$19</c:f>
              <c:numCache>
                <c:formatCode>0.0%</c:formatCode>
                <c:ptCount val="9"/>
                <c:pt idx="0">
                  <c:v>0.2497170010200612</c:v>
                </c:pt>
                <c:pt idx="1">
                  <c:v>0.41382575314518877</c:v>
                </c:pt>
                <c:pt idx="2">
                  <c:v>0.57718930975858551</c:v>
                </c:pt>
                <c:pt idx="3">
                  <c:v>0.66310937096225775</c:v>
                </c:pt>
                <c:pt idx="4">
                  <c:v>0.7108914858891533</c:v>
                </c:pt>
                <c:pt idx="5">
                  <c:v>0.73964889493369601</c:v>
                </c:pt>
                <c:pt idx="6">
                  <c:v>0.76081128867732062</c:v>
                </c:pt>
                <c:pt idx="7">
                  <c:v>0.7893565453927236</c:v>
                </c:pt>
                <c:pt idx="8">
                  <c:v>0.8072153689221353</c:v>
                </c:pt>
              </c:numCache>
            </c:numRef>
          </c:yVal>
          <c:smooth val="1"/>
        </c:ser>
        <c:axId val="81522048"/>
        <c:axId val="81528320"/>
      </c:scatterChart>
      <c:valAx>
        <c:axId val="81522048"/>
        <c:scaling>
          <c:orientation val="minMax"/>
          <c:max val="2"/>
          <c:min val="0"/>
        </c:scaling>
        <c:axPos val="b"/>
        <c:majorGridlines/>
        <c:title>
          <c:tx>
            <c:rich>
              <a:bodyPr/>
              <a:lstStyle/>
              <a:p>
                <a:pPr>
                  <a:defRPr/>
                </a:pPr>
                <a:r>
                  <a:rPr lang="en-US"/>
                  <a:t>Unit Basin Size (in)</a:t>
                </a:r>
              </a:p>
            </c:rich>
          </c:tx>
          <c:layout>
            <c:manualLayout>
              <c:xMode val="edge"/>
              <c:yMode val="edge"/>
              <c:x val="0.40473947092355272"/>
              <c:y val="0.92814141326257305"/>
            </c:manualLayout>
          </c:layout>
        </c:title>
        <c:numFmt formatCode="0.0" sourceLinked="0"/>
        <c:tickLblPos val="nextTo"/>
        <c:crossAx val="81528320"/>
        <c:crosses val="autoZero"/>
        <c:crossBetween val="midCat"/>
        <c:majorUnit val="0.2"/>
      </c:valAx>
      <c:valAx>
        <c:axId val="81528320"/>
        <c:scaling>
          <c:orientation val="minMax"/>
          <c:max val="1"/>
          <c:min val="0"/>
        </c:scaling>
        <c:axPos val="l"/>
        <c:majorGridlines/>
        <c:title>
          <c:tx>
            <c:rich>
              <a:bodyPr rot="-5400000" vert="horz"/>
              <a:lstStyle/>
              <a:p>
                <a:pPr>
                  <a:defRPr/>
                </a:pPr>
                <a:r>
                  <a:rPr lang="en-US"/>
                  <a:t>% Captured</a:t>
                </a:r>
              </a:p>
            </c:rich>
          </c:tx>
          <c:layout>
            <c:manualLayout>
              <c:xMode val="edge"/>
              <c:yMode val="edge"/>
              <c:x val="2.1502650006587007E-2"/>
              <c:y val="0.3568561855781579"/>
            </c:manualLayout>
          </c:layout>
        </c:title>
        <c:numFmt formatCode="0%" sourceLinked="0"/>
        <c:tickLblPos val="nextTo"/>
        <c:crossAx val="81522048"/>
        <c:crosses val="autoZero"/>
        <c:crossBetween val="midCat"/>
      </c:valAx>
      <c:spPr>
        <a:ln>
          <a:solidFill>
            <a:schemeClr val="bg1">
              <a:lumMod val="50000"/>
            </a:schemeClr>
          </a:solidFill>
        </a:ln>
      </c:spPr>
    </c:plotArea>
    <c:legend>
      <c:legendPos val="t"/>
      <c:layout>
        <c:manualLayout>
          <c:xMode val="edge"/>
          <c:yMode val="edge"/>
          <c:x val="0.35385279568998518"/>
          <c:y val="9.1139240506329128E-2"/>
          <c:w val="0.26288245659980652"/>
          <c:h val="6.1039370078740163E-2"/>
        </c:manualLayout>
      </c:layout>
    </c:legend>
    <c:plotVisOnly val="1"/>
  </c:chart>
  <c:spPr>
    <a:ln>
      <a:solidFill>
        <a:schemeClr val="accent1"/>
      </a:solidFill>
    </a:ln>
  </c:spPr>
  <c:printSettings>
    <c:headerFooter/>
    <c:pageMargins b="0.750000000000004" l="0.70000000000000062" r="0.70000000000000062" t="0.750000000000004"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- 12 hr Drain Time</a:t>
            </a:r>
            <a:endParaRPr lang="en-US" sz="1200"/>
          </a:p>
        </c:rich>
      </c:tx>
      <c:overlay val="1"/>
    </c:title>
    <c:plotArea>
      <c:layout>
        <c:manualLayout>
          <c:layoutTarget val="inner"/>
          <c:xMode val="edge"/>
          <c:yMode val="edge"/>
          <c:x val="0.16603206777370647"/>
          <c:y val="0.19079424313667093"/>
          <c:w val="0.76058563966632964"/>
          <c:h val="0.6115858740406267"/>
        </c:manualLayout>
      </c:layout>
      <c:scatterChart>
        <c:scatterStyle val="smoothMarker"/>
        <c:ser>
          <c:idx val="0"/>
          <c:order val="0"/>
          <c:tx>
            <c:strRef>
              <c:f>'North Central-DT'!$D$10</c:f>
              <c:strCache>
                <c:ptCount val="1"/>
                <c:pt idx="0">
                  <c:v>Clay</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Central-DT'!$Z$11:$Z$19</c:f>
              <c:numCache>
                <c:formatCode>0.0%</c:formatCode>
                <c:ptCount val="9"/>
                <c:pt idx="0">
                  <c:v>1.9483168990139408E-3</c:v>
                </c:pt>
                <c:pt idx="1">
                  <c:v>3.7343760625637538E-3</c:v>
                </c:pt>
                <c:pt idx="2">
                  <c:v>6.6926895613736818E-3</c:v>
                </c:pt>
                <c:pt idx="3">
                  <c:v>9.4815368922135327E-3</c:v>
                </c:pt>
                <c:pt idx="4">
                  <c:v>1.2062971778306697E-2</c:v>
                </c:pt>
                <c:pt idx="5">
                  <c:v>1.4480788847330841E-2</c:v>
                </c:pt>
                <c:pt idx="6">
                  <c:v>1.6878612716763004E-2</c:v>
                </c:pt>
                <c:pt idx="7">
                  <c:v>2.1894593675620536E-2</c:v>
                </c:pt>
                <c:pt idx="8">
                  <c:v>2.5490649438966336E-2</c:v>
                </c:pt>
              </c:numCache>
            </c:numRef>
          </c:yVal>
          <c:smooth val="1"/>
        </c:ser>
        <c:ser>
          <c:idx val="1"/>
          <c:order val="1"/>
          <c:tx>
            <c:strRef>
              <c:f>'North Central-DT'!$H$10</c:f>
              <c:strCache>
                <c:ptCount val="1"/>
                <c:pt idx="0">
                  <c:v>Silt</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Central-DT'!$AD$11:$AD$19</c:f>
              <c:numCache>
                <c:formatCode>0.0%</c:formatCode>
                <c:ptCount val="9"/>
                <c:pt idx="0">
                  <c:v>0.20240371755638673</c:v>
                </c:pt>
                <c:pt idx="1">
                  <c:v>0.33891148135554805</c:v>
                </c:pt>
                <c:pt idx="2">
                  <c:v>0.48034274056443393</c:v>
                </c:pt>
                <c:pt idx="3">
                  <c:v>0.5585329253088519</c:v>
                </c:pt>
                <c:pt idx="4">
                  <c:v>0.60425252181797573</c:v>
                </c:pt>
                <c:pt idx="5">
                  <c:v>0.63363028448373571</c:v>
                </c:pt>
                <c:pt idx="6">
                  <c:v>0.65621217273036392</c:v>
                </c:pt>
                <c:pt idx="7">
                  <c:v>0.68894026974951839</c:v>
                </c:pt>
                <c:pt idx="8">
                  <c:v>0.71028901734104055</c:v>
                </c:pt>
              </c:numCache>
            </c:numRef>
          </c:yVal>
          <c:smooth val="1"/>
        </c:ser>
        <c:ser>
          <c:idx val="2"/>
          <c:order val="2"/>
          <c:tx>
            <c:strRef>
              <c:f>'North Central-DT'!$I$10</c:f>
              <c:strCache>
                <c:ptCount val="1"/>
                <c:pt idx="0">
                  <c:v>Sand</c:v>
                </c:pt>
              </c:strCache>
            </c:strRef>
          </c:tx>
          <c:xVal>
            <c:numRef>
              <c:f>'North Central-DT'!$A$11:$A$19</c:f>
              <c:numCache>
                <c:formatCode>0.00</c:formatCode>
                <c:ptCount val="9"/>
                <c:pt idx="0">
                  <c:v>0.1</c:v>
                </c:pt>
                <c:pt idx="1">
                  <c:v>0.2</c:v>
                </c:pt>
                <c:pt idx="2">
                  <c:v>0.4</c:v>
                </c:pt>
                <c:pt idx="3">
                  <c:v>0.6</c:v>
                </c:pt>
                <c:pt idx="4">
                  <c:v>0.8</c:v>
                </c:pt>
                <c:pt idx="5">
                  <c:v>1</c:v>
                </c:pt>
                <c:pt idx="6">
                  <c:v>1.2</c:v>
                </c:pt>
                <c:pt idx="7">
                  <c:v>1.6</c:v>
                </c:pt>
                <c:pt idx="8">
                  <c:v>2</c:v>
                </c:pt>
              </c:numCache>
            </c:numRef>
          </c:xVal>
          <c:yVal>
            <c:numRef>
              <c:f>'North Central-DT'!$AE$11:$AE$19</c:f>
              <c:numCache>
                <c:formatCode>0.0%</c:formatCode>
                <c:ptCount val="9"/>
                <c:pt idx="0">
                  <c:v>0.31707582454947297</c:v>
                </c:pt>
                <c:pt idx="1">
                  <c:v>0.5222577354641279</c:v>
                </c:pt>
                <c:pt idx="2">
                  <c:v>0.72140088405304326</c:v>
                </c:pt>
                <c:pt idx="3">
                  <c:v>0.82259095545732752</c:v>
                </c:pt>
                <c:pt idx="4">
                  <c:v>0.87674940496429787</c:v>
                </c:pt>
                <c:pt idx="5">
                  <c:v>0.90758245494729684</c:v>
                </c:pt>
                <c:pt idx="6">
                  <c:v>0.9293437606256375</c:v>
                </c:pt>
                <c:pt idx="7">
                  <c:v>0.95647738864331855</c:v>
                </c:pt>
                <c:pt idx="8">
                  <c:v>0.97262155729343758</c:v>
                </c:pt>
              </c:numCache>
            </c:numRef>
          </c:yVal>
          <c:smooth val="1"/>
        </c:ser>
        <c:axId val="81570816"/>
        <c:axId val="81577088"/>
      </c:scatterChart>
      <c:valAx>
        <c:axId val="81570816"/>
        <c:scaling>
          <c:orientation val="minMax"/>
          <c:max val="2"/>
          <c:min val="0"/>
        </c:scaling>
        <c:axPos val="b"/>
        <c:majorGridlines/>
        <c:title>
          <c:tx>
            <c:rich>
              <a:bodyPr/>
              <a:lstStyle/>
              <a:p>
                <a:pPr>
                  <a:defRPr/>
                </a:pPr>
                <a:r>
                  <a:rPr lang="en-US"/>
                  <a:t>Unit Basin Size (in)</a:t>
                </a:r>
              </a:p>
            </c:rich>
          </c:tx>
        </c:title>
        <c:numFmt formatCode="0.0" sourceLinked="0"/>
        <c:tickLblPos val="nextTo"/>
        <c:crossAx val="81577088"/>
        <c:crosses val="autoZero"/>
        <c:crossBetween val="midCat"/>
        <c:majorUnit val="0.2"/>
      </c:valAx>
      <c:valAx>
        <c:axId val="81577088"/>
        <c:scaling>
          <c:orientation val="minMax"/>
          <c:max val="1"/>
          <c:min val="0"/>
        </c:scaling>
        <c:axPos val="l"/>
        <c:majorGridlines/>
        <c:title>
          <c:tx>
            <c:rich>
              <a:bodyPr rot="-5400000" vert="horz"/>
              <a:lstStyle/>
              <a:p>
                <a:pPr>
                  <a:defRPr/>
                </a:pPr>
                <a:r>
                  <a:rPr lang="en-US"/>
                  <a:t>% Captured</a:t>
                </a:r>
              </a:p>
            </c:rich>
          </c:tx>
          <c:layout>
            <c:manualLayout>
              <c:xMode val="edge"/>
              <c:yMode val="edge"/>
              <c:x val="3.1798757828538762E-2"/>
              <c:y val="0.34962939632546236"/>
            </c:manualLayout>
          </c:layout>
        </c:title>
        <c:numFmt formatCode="0%" sourceLinked="0"/>
        <c:tickLblPos val="nextTo"/>
        <c:crossAx val="81570816"/>
        <c:crosses val="autoZero"/>
        <c:crossBetween val="midCat"/>
      </c:valAx>
      <c:spPr>
        <a:ln>
          <a:solidFill>
            <a:schemeClr val="bg1">
              <a:lumMod val="50000"/>
            </a:schemeClr>
          </a:solidFill>
        </a:ln>
      </c:spPr>
    </c:plotArea>
    <c:legend>
      <c:legendPos val="t"/>
      <c:layout>
        <c:manualLayout>
          <c:xMode val="edge"/>
          <c:yMode val="edge"/>
          <c:x val="0.35980946153357374"/>
          <c:y val="0.10300157977883174"/>
          <c:w val="0.35307659269864378"/>
          <c:h val="5.8520755293937757E-2"/>
        </c:manualLayout>
      </c:layout>
    </c:legend>
    <c:plotVisOnly val="1"/>
  </c:chart>
  <c:spPr>
    <a:ln>
      <a:solidFill>
        <a:schemeClr val="accent1"/>
      </a:solidFill>
    </a:ln>
  </c:spPr>
  <c:printSettings>
    <c:headerFooter/>
    <c:pageMargins b="0.75000000000000422" l="0.70000000000000062" r="0.70000000000000062" t="0.75000000000000422"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 Central-MF'!$AI$3</c:f>
              <c:strCache>
                <c:ptCount val="1"/>
                <c:pt idx="0">
                  <c:v>Runoff Treated</c:v>
                </c:pt>
              </c:strCache>
            </c:strRef>
          </c:tx>
          <c:xVal>
            <c:numRef>
              <c:f>'North Central-MF'!$AH$10:$AH$12</c:f>
              <c:numCache>
                <c:formatCode>General</c:formatCode>
                <c:ptCount val="3"/>
              </c:numCache>
            </c:numRef>
          </c:xVal>
          <c:yVal>
            <c:numRef>
              <c:f>'North Central-MF'!$AI$4:$AI$12</c:f>
              <c:numCache>
                <c:formatCode>0.0%</c:formatCode>
                <c:ptCount val="9"/>
                <c:pt idx="0">
                  <c:v>0.64185025817555941</c:v>
                </c:pt>
                <c:pt idx="1">
                  <c:v>0.77913941480206539</c:v>
                </c:pt>
                <c:pt idx="2">
                  <c:v>0.8866609294320138</c:v>
                </c:pt>
                <c:pt idx="3">
                  <c:v>0.93760757314974186</c:v>
                </c:pt>
                <c:pt idx="4">
                  <c:v>0.96402753872633395</c:v>
                </c:pt>
                <c:pt idx="5">
                  <c:v>0.9771944922547332</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781120"/>
        <c:axId val="81783040"/>
      </c:scatterChart>
      <c:valAx>
        <c:axId val="81781120"/>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783040"/>
        <c:crosses val="autoZero"/>
        <c:crossBetween val="midCat"/>
        <c:majorUnit val="0.2"/>
      </c:valAx>
      <c:valAx>
        <c:axId val="8178304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1781120"/>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44" l="0.70000000000000062" r="0.70000000000000062" t="0.75000000000000544"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682432"/>
        <c:axId val="81683968"/>
      </c:scatterChart>
      <c:valAx>
        <c:axId val="8168243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683968"/>
        <c:crosses val="autoZero"/>
        <c:crossBetween val="midCat"/>
        <c:majorUnit val="0.2"/>
      </c:valAx>
      <c:valAx>
        <c:axId val="8168396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168243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566" l="0.70000000000000062" r="0.70000000000000062" t="0.75000000000000566"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 Central-MF'!$AI$3</c:f>
              <c:strCache>
                <c:ptCount val="1"/>
                <c:pt idx="0">
                  <c:v>Runoff Treated</c:v>
                </c:pt>
              </c:strCache>
            </c:strRef>
          </c:tx>
          <c:xVal>
            <c:numRef>
              <c:f>'North Central-MF'!$AH$10:$AH$12</c:f>
              <c:numCache>
                <c:formatCode>General</c:formatCode>
                <c:ptCount val="3"/>
              </c:numCache>
            </c:numRef>
          </c:xVal>
          <c:yVal>
            <c:numRef>
              <c:f>'North Central-MF'!$AI$4:$AI$12</c:f>
              <c:numCache>
                <c:formatCode>0.0%</c:formatCode>
                <c:ptCount val="9"/>
                <c:pt idx="0">
                  <c:v>0.64185025817555941</c:v>
                </c:pt>
                <c:pt idx="1">
                  <c:v>0.77913941480206539</c:v>
                </c:pt>
                <c:pt idx="2">
                  <c:v>0.8866609294320138</c:v>
                </c:pt>
                <c:pt idx="3">
                  <c:v>0.93760757314974186</c:v>
                </c:pt>
                <c:pt idx="4">
                  <c:v>0.96402753872633395</c:v>
                </c:pt>
                <c:pt idx="5">
                  <c:v>0.9771944922547332</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713408"/>
        <c:axId val="81801600"/>
      </c:scatterChart>
      <c:valAx>
        <c:axId val="81713408"/>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801600"/>
        <c:crosses val="autoZero"/>
        <c:crossBetween val="midCat"/>
        <c:majorUnit val="0.2"/>
      </c:valAx>
      <c:valAx>
        <c:axId val="81801600"/>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1713408"/>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827712"/>
        <c:axId val="81829248"/>
      </c:scatterChart>
      <c:valAx>
        <c:axId val="81827712"/>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829248"/>
        <c:crosses val="autoZero"/>
        <c:crossBetween val="midCat"/>
        <c:majorUnit val="0.2"/>
      </c:valAx>
      <c:valAx>
        <c:axId val="81829248"/>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1827712"/>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4999E-2"/>
        </c:manualLayout>
      </c:layout>
      <c:overlay val="1"/>
      <c:spPr>
        <a:noFill/>
        <a:ln w="25400">
          <a:noFill/>
        </a:ln>
      </c:spPr>
    </c:title>
    <c:plotArea>
      <c:layout/>
      <c:scatterChart>
        <c:scatterStyle val="smoothMarker"/>
        <c:ser>
          <c:idx val="0"/>
          <c:order val="0"/>
          <c:tx>
            <c:strRef>
              <c:f>'North Central-MF'!$AI$3</c:f>
              <c:strCache>
                <c:ptCount val="1"/>
                <c:pt idx="0">
                  <c:v>Runoff Treated</c:v>
                </c:pt>
              </c:strCache>
            </c:strRef>
          </c:tx>
          <c:xVal>
            <c:numRef>
              <c:f>'North Central-MF'!$AH$10:$AH$12</c:f>
              <c:numCache>
                <c:formatCode>General</c:formatCode>
                <c:ptCount val="3"/>
              </c:numCache>
            </c:numRef>
          </c:xVal>
          <c:yVal>
            <c:numRef>
              <c:f>'North Central-MF'!$AI$4:$AI$12</c:f>
              <c:numCache>
                <c:formatCode>0.0%</c:formatCode>
                <c:ptCount val="9"/>
                <c:pt idx="0">
                  <c:v>0.64185025817555941</c:v>
                </c:pt>
                <c:pt idx="1">
                  <c:v>0.77913941480206539</c:v>
                </c:pt>
                <c:pt idx="2">
                  <c:v>0.8866609294320138</c:v>
                </c:pt>
                <c:pt idx="3">
                  <c:v>0.93760757314974186</c:v>
                </c:pt>
                <c:pt idx="4">
                  <c:v>0.96402753872633395</c:v>
                </c:pt>
                <c:pt idx="5">
                  <c:v>0.9771944922547332</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867136"/>
        <c:axId val="81869056"/>
      </c:scatterChart>
      <c:valAx>
        <c:axId val="81867136"/>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869056"/>
        <c:crosses val="autoZero"/>
        <c:crossBetween val="midCat"/>
        <c:majorUnit val="0.2"/>
      </c:valAx>
      <c:valAx>
        <c:axId val="81869056"/>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1867136"/>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a:t>
            </a:r>
            <a:r>
              <a:rPr lang="en-US" sz="1200" baseline="0"/>
              <a:t> BMP Sizing - 3hr Drain Time</a:t>
            </a:r>
            <a:endParaRPr lang="en-US" sz="1200"/>
          </a:p>
        </c:rich>
      </c:tx>
      <c:overlay val="1"/>
      <c:spPr>
        <a:noFill/>
        <a:ln w="25400">
          <a:noFill/>
        </a:ln>
      </c:spPr>
    </c:title>
    <c:plotArea>
      <c:layout/>
      <c:scatterChart>
        <c:scatterStyle val="smoothMarker"/>
        <c:ser>
          <c:idx val="0"/>
          <c:order val="0"/>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1"/>
          <c:order val="1"/>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ser>
          <c:idx val="2"/>
          <c:order val="2"/>
          <c:tx>
            <c:strRef>
              <c:f>'3-ft'!#REF!</c:f>
              <c:strCache>
                <c:ptCount val="1"/>
                <c:pt idx="0">
                  <c:v>#REF!</c:v>
                </c:pt>
              </c:strCache>
            </c:strRef>
          </c:tx>
          <c:xVal>
            <c:numRef>
              <c:f>'North Central-MF'!$AH$10:$AH$12</c:f>
              <c:numCache>
                <c:formatCode>General</c:formatCode>
                <c:ptCount val="3"/>
              </c:numCache>
            </c:numRef>
          </c:xVal>
          <c:yVal>
            <c:numRef>
              <c:f>'3-ft'!#REF!</c:f>
              <c:numCache>
                <c:formatCode>General</c:formatCode>
                <c:ptCount val="1"/>
                <c:pt idx="0">
                  <c:v>1</c:v>
                </c:pt>
              </c:numCache>
            </c:numRef>
          </c:yVal>
          <c:smooth val="1"/>
        </c:ser>
        <c:axId val="81997824"/>
        <c:axId val="81999360"/>
      </c:scatterChart>
      <c:valAx>
        <c:axId val="81997824"/>
        <c:scaling>
          <c:orientation val="minMax"/>
          <c:max val="2"/>
          <c:min val="0"/>
        </c:scaling>
        <c:axPos val="b"/>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1999360"/>
        <c:crosses val="autoZero"/>
        <c:crossBetween val="midCat"/>
        <c:majorUnit val="0.2"/>
      </c:valAx>
      <c:valAx>
        <c:axId val="81999360"/>
        <c:scaling>
          <c:orientation val="minMax"/>
          <c:max val="1"/>
          <c:min val="0"/>
        </c:scaling>
        <c:axPos val="l"/>
        <c:majorGridlines/>
        <c:title>
          <c:tx>
            <c:rich>
              <a:bodyPr rot="-5400000" vert="horz"/>
              <a:lstStyle/>
              <a:p>
                <a:pPr>
                  <a:defRPr/>
                </a:pPr>
                <a:r>
                  <a:rPr lang="en-US"/>
                  <a:t>% Captured</a:t>
                </a:r>
              </a:p>
            </c:rich>
          </c:tx>
          <c:layout>
            <c:manualLayout>
              <c:xMode val="edge"/>
              <c:yMode val="edge"/>
              <c:x val="3.1798777874383212E-2"/>
              <c:y val="0.34962951746416332"/>
            </c:manualLayout>
          </c:layout>
          <c:spPr>
            <a:noFill/>
            <a:ln w="25400">
              <a:noFill/>
            </a:ln>
          </c:spPr>
        </c:title>
        <c:numFmt formatCode="0%" sourceLinked="0"/>
        <c:tickLblPos val="nextTo"/>
        <c:crossAx val="81997824"/>
        <c:crosses val="autoZero"/>
        <c:crossBetween val="midCat"/>
      </c:valAx>
      <c:spPr>
        <a:ln>
          <a:solidFill>
            <a:schemeClr val="bg1">
              <a:lumMod val="50000"/>
            </a:schemeClr>
          </a:solidFill>
        </a:ln>
      </c:spPr>
    </c:plotArea>
    <c:legend>
      <c:legendPos val="r"/>
    </c:legend>
    <c:plotVisOnly val="1"/>
    <c:dispBlanksAs val="gap"/>
  </c:chart>
  <c:spPr>
    <a:solidFill>
      <a:srgbClr val="FFFFFF"/>
    </a:solidFill>
    <a:ln w="12700">
      <a:solidFill>
        <a:srgbClr val="000000"/>
      </a:solidFill>
      <a:prstDash val="solid"/>
    </a:ln>
  </c:spPr>
  <c:printSettings>
    <c:headerFooter/>
    <c:pageMargins b="1" l="0.75000000000000455" r="0.7500000000000045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684331212495085"/>
          <c:y val="0.1803045805714987"/>
          <c:w val="0.70400843589565953"/>
          <c:h val="0.62871198243076765"/>
        </c:manualLayout>
      </c:layout>
      <c:scatterChart>
        <c:scatterStyle val="smoothMarker"/>
        <c:ser>
          <c:idx val="2"/>
          <c:order val="0"/>
          <c:tx>
            <c:v>%Treated_1 in/hr</c:v>
          </c:tx>
          <c:xVal>
            <c:numRef>
              <c:f>'North Central-MF'!$A$30:$A$35</c:f>
              <c:numCache>
                <c:formatCode>0</c:formatCode>
                <c:ptCount val="6"/>
                <c:pt idx="0">
                  <c:v>100</c:v>
                </c:pt>
                <c:pt idx="1">
                  <c:v>200</c:v>
                </c:pt>
                <c:pt idx="2">
                  <c:v>400</c:v>
                </c:pt>
                <c:pt idx="3">
                  <c:v>600</c:v>
                </c:pt>
                <c:pt idx="4">
                  <c:v>800</c:v>
                </c:pt>
                <c:pt idx="5">
                  <c:v>1000</c:v>
                </c:pt>
              </c:numCache>
            </c:numRef>
          </c:xVal>
          <c:yVal>
            <c:numRef>
              <c:f>'North Central-MF'!$B$30:$B$35</c:f>
              <c:numCache>
                <c:formatCode>0.0%</c:formatCode>
                <c:ptCount val="6"/>
                <c:pt idx="0">
                  <c:v>0.11419965576592082</c:v>
                </c:pt>
                <c:pt idx="1">
                  <c:v>0.20292598967297762</c:v>
                </c:pt>
                <c:pt idx="2">
                  <c:v>0.34438898450946642</c:v>
                </c:pt>
                <c:pt idx="3">
                  <c:v>0.45223752151462993</c:v>
                </c:pt>
                <c:pt idx="4">
                  <c:v>0.53729776247848537</c:v>
                </c:pt>
                <c:pt idx="5">
                  <c:v>0.60621342512908782</c:v>
                </c:pt>
              </c:numCache>
            </c:numRef>
          </c:yVal>
          <c:smooth val="1"/>
        </c:ser>
        <c:ser>
          <c:idx val="1"/>
          <c:order val="1"/>
          <c:tx>
            <c:v>%Treated_5 in/hr</c:v>
          </c:tx>
          <c:xVal>
            <c:numRef>
              <c:f>'North Central-MF'!$A$30:$A$35</c:f>
              <c:numCache>
                <c:formatCode>0</c:formatCode>
                <c:ptCount val="6"/>
                <c:pt idx="0">
                  <c:v>100</c:v>
                </c:pt>
                <c:pt idx="1">
                  <c:v>200</c:v>
                </c:pt>
                <c:pt idx="2">
                  <c:v>400</c:v>
                </c:pt>
                <c:pt idx="3">
                  <c:v>600</c:v>
                </c:pt>
                <c:pt idx="4">
                  <c:v>800</c:v>
                </c:pt>
                <c:pt idx="5">
                  <c:v>1000</c:v>
                </c:pt>
              </c:numCache>
            </c:numRef>
          </c:xVal>
          <c:yVal>
            <c:numRef>
              <c:f>'North Central-MF'!$C$30:$C$35</c:f>
              <c:numCache>
                <c:formatCode>0.0%</c:formatCode>
                <c:ptCount val="6"/>
                <c:pt idx="0">
                  <c:v>0.23796901893287437</c:v>
                </c:pt>
                <c:pt idx="1">
                  <c:v>0.38921686746987949</c:v>
                </c:pt>
                <c:pt idx="2">
                  <c:v>0.57873493975903612</c:v>
                </c:pt>
                <c:pt idx="3">
                  <c:v>0.68919104991394153</c:v>
                </c:pt>
                <c:pt idx="4">
                  <c:v>0.7577194492254733</c:v>
                </c:pt>
                <c:pt idx="5">
                  <c:v>0.80352839931153186</c:v>
                </c:pt>
              </c:numCache>
            </c:numRef>
          </c:yVal>
          <c:smooth val="1"/>
        </c:ser>
        <c:ser>
          <c:idx val="0"/>
          <c:order val="2"/>
          <c:tx>
            <c:v>%Treated_50 in/hr</c:v>
          </c:tx>
          <c:xVal>
            <c:numRef>
              <c:f>'North Central-MF'!$A$30:$A$35</c:f>
              <c:numCache>
                <c:formatCode>0</c:formatCode>
                <c:ptCount val="6"/>
                <c:pt idx="0">
                  <c:v>100</c:v>
                </c:pt>
                <c:pt idx="1">
                  <c:v>200</c:v>
                </c:pt>
                <c:pt idx="2">
                  <c:v>400</c:v>
                </c:pt>
                <c:pt idx="3">
                  <c:v>600</c:v>
                </c:pt>
                <c:pt idx="4">
                  <c:v>800</c:v>
                </c:pt>
                <c:pt idx="5">
                  <c:v>1000</c:v>
                </c:pt>
              </c:numCache>
            </c:numRef>
          </c:xVal>
          <c:yVal>
            <c:numRef>
              <c:f>'North Central-MF'!$D$30:$D$35</c:f>
              <c:numCache>
                <c:formatCode>0.0%</c:formatCode>
                <c:ptCount val="6"/>
                <c:pt idx="0">
                  <c:v>0.64185025817555941</c:v>
                </c:pt>
                <c:pt idx="1">
                  <c:v>0.77913941480206539</c:v>
                </c:pt>
                <c:pt idx="2">
                  <c:v>0.8866609294320138</c:v>
                </c:pt>
                <c:pt idx="3">
                  <c:v>0.93760757314974186</c:v>
                </c:pt>
                <c:pt idx="4">
                  <c:v>0.96402753872633395</c:v>
                </c:pt>
                <c:pt idx="5">
                  <c:v>0.9771944922547332</c:v>
                </c:pt>
              </c:numCache>
            </c:numRef>
          </c:yVal>
          <c:smooth val="1"/>
        </c:ser>
        <c:axId val="82037760"/>
        <c:axId val="82048128"/>
      </c:scatterChart>
      <c:scatterChart>
        <c:scatterStyle val="smoothMarker"/>
        <c:ser>
          <c:idx val="5"/>
          <c:order val="3"/>
          <c:tx>
            <c:v>Contact Time_1 in/hr</c:v>
          </c:tx>
          <c:spPr>
            <a:ln>
              <a:solidFill>
                <a:schemeClr val="accent3">
                  <a:lumMod val="75000"/>
                </a:schemeClr>
              </a:solidFill>
            </a:ln>
          </c:spPr>
          <c:marker>
            <c:symbol val="none"/>
          </c:marker>
          <c:xVal>
            <c:numRef>
              <c:f>'North Central-MF'!$A$30:$A$35</c:f>
              <c:numCache>
                <c:formatCode>0</c:formatCode>
                <c:ptCount val="6"/>
                <c:pt idx="0">
                  <c:v>100</c:v>
                </c:pt>
                <c:pt idx="1">
                  <c:v>200</c:v>
                </c:pt>
                <c:pt idx="2">
                  <c:v>400</c:v>
                </c:pt>
                <c:pt idx="3">
                  <c:v>600</c:v>
                </c:pt>
                <c:pt idx="4">
                  <c:v>800</c:v>
                </c:pt>
                <c:pt idx="5">
                  <c:v>1000</c:v>
                </c:pt>
              </c:numCache>
            </c:numRef>
          </c:xVal>
          <c:yVal>
            <c:numRef>
              <c:f>'North Central-MF'!$E$30:$E$35</c:f>
              <c:numCache>
                <c:formatCode>0.0</c:formatCode>
                <c:ptCount val="6"/>
                <c:pt idx="0">
                  <c:v>7.9268016487747444</c:v>
                </c:pt>
                <c:pt idx="1">
                  <c:v>8.9260211368180506</c:v>
                </c:pt>
                <c:pt idx="2">
                  <c:v>10.484441089423294</c:v>
                </c:pt>
                <c:pt idx="3">
                  <c:v>11.652683446530828</c:v>
                </c:pt>
                <c:pt idx="4">
                  <c:v>12.684951117634801</c:v>
                </c:pt>
                <c:pt idx="5">
                  <c:v>13.703886422189331</c:v>
                </c:pt>
              </c:numCache>
            </c:numRef>
          </c:yVal>
          <c:smooth val="1"/>
        </c:ser>
        <c:ser>
          <c:idx val="4"/>
          <c:order val="4"/>
          <c:tx>
            <c:v>Contact Time_5 in/hr</c:v>
          </c:tx>
          <c:spPr>
            <a:ln>
              <a:solidFill>
                <a:srgbClr val="8A0000"/>
              </a:solidFill>
            </a:ln>
          </c:spPr>
          <c:marker>
            <c:symbol val="none"/>
          </c:marker>
          <c:xVal>
            <c:numRef>
              <c:f>'North Central-MF'!$A$30:$A$35</c:f>
              <c:numCache>
                <c:formatCode>0</c:formatCode>
                <c:ptCount val="6"/>
                <c:pt idx="0">
                  <c:v>100</c:v>
                </c:pt>
                <c:pt idx="1">
                  <c:v>200</c:v>
                </c:pt>
                <c:pt idx="2">
                  <c:v>400</c:v>
                </c:pt>
                <c:pt idx="3">
                  <c:v>600</c:v>
                </c:pt>
                <c:pt idx="4">
                  <c:v>800</c:v>
                </c:pt>
                <c:pt idx="5">
                  <c:v>1000</c:v>
                </c:pt>
              </c:numCache>
            </c:numRef>
          </c:xVal>
          <c:yVal>
            <c:numRef>
              <c:f>'North Central-MF'!$F$30:$F$35</c:f>
              <c:numCache>
                <c:formatCode>0.0</c:formatCode>
                <c:ptCount val="6"/>
                <c:pt idx="0">
                  <c:v>2.1393381499003676</c:v>
                </c:pt>
                <c:pt idx="1">
                  <c:v>2.6052715809532314</c:v>
                </c:pt>
                <c:pt idx="2">
                  <c:v>3.3950752009157004</c:v>
                </c:pt>
                <c:pt idx="3">
                  <c:v>4.1556837880838735</c:v>
                </c:pt>
                <c:pt idx="4">
                  <c:v>4.9071153172099544</c:v>
                </c:pt>
                <c:pt idx="5">
                  <c:v>5.652290469592292</c:v>
                </c:pt>
              </c:numCache>
            </c:numRef>
          </c:yVal>
          <c:smooth val="1"/>
        </c:ser>
        <c:ser>
          <c:idx val="3"/>
          <c:order val="5"/>
          <c:tx>
            <c:v>Contact Time_50 in/hr</c:v>
          </c:tx>
          <c:spPr>
            <a:ln>
              <a:solidFill>
                <a:schemeClr val="accent1">
                  <a:lumMod val="75000"/>
                </a:schemeClr>
              </a:solidFill>
            </a:ln>
          </c:spPr>
          <c:marker>
            <c:symbol val="none"/>
          </c:marker>
          <c:xVal>
            <c:numRef>
              <c:f>'North Central-MF'!$A$30:$A$35</c:f>
              <c:numCache>
                <c:formatCode>0</c:formatCode>
                <c:ptCount val="6"/>
                <c:pt idx="0">
                  <c:v>100</c:v>
                </c:pt>
                <c:pt idx="1">
                  <c:v>200</c:v>
                </c:pt>
                <c:pt idx="2">
                  <c:v>400</c:v>
                </c:pt>
                <c:pt idx="3">
                  <c:v>600</c:v>
                </c:pt>
                <c:pt idx="4">
                  <c:v>800</c:v>
                </c:pt>
                <c:pt idx="5">
                  <c:v>1000</c:v>
                </c:pt>
              </c:numCache>
            </c:numRef>
          </c:xVal>
          <c:yVal>
            <c:numRef>
              <c:f>'North Central-MF'!$G$30:$G$35</c:f>
              <c:numCache>
                <c:formatCode>0.0</c:formatCode>
                <c:ptCount val="6"/>
                <c:pt idx="0">
                  <c:v>0.66061168867447329</c:v>
                </c:pt>
                <c:pt idx="1">
                  <c:v>1.0604807310651163</c:v>
                </c:pt>
                <c:pt idx="2">
                  <c:v>1.8157529538409658</c:v>
                </c:pt>
                <c:pt idx="3">
                  <c:v>2.5422559252722028</c:v>
                </c:pt>
                <c:pt idx="4">
                  <c:v>3.2812089848876891</c:v>
                </c:pt>
                <c:pt idx="5">
                  <c:v>4.0311898920792872</c:v>
                </c:pt>
              </c:numCache>
            </c:numRef>
          </c:yVal>
          <c:smooth val="1"/>
        </c:ser>
        <c:axId val="81929344"/>
        <c:axId val="82050048"/>
      </c:scatterChart>
      <c:valAx>
        <c:axId val="82037760"/>
        <c:scaling>
          <c:orientation val="minMax"/>
          <c:min val="0"/>
        </c:scaling>
        <c:axPos val="b"/>
        <c:title>
          <c:tx>
            <c:rich>
              <a:bodyPr/>
              <a:lstStyle/>
              <a:p>
                <a:pPr>
                  <a:defRPr/>
                </a:pPr>
                <a:r>
                  <a:rPr lang="en-US"/>
                  <a:t>Filter Area (SF)</a:t>
                </a:r>
              </a:p>
            </c:rich>
          </c:tx>
        </c:title>
        <c:numFmt formatCode="0" sourceLinked="1"/>
        <c:tickLblPos val="nextTo"/>
        <c:crossAx val="82048128"/>
        <c:crosses val="autoZero"/>
        <c:crossBetween val="midCat"/>
      </c:valAx>
      <c:valAx>
        <c:axId val="82048128"/>
        <c:scaling>
          <c:orientation val="minMax"/>
          <c:max val="1"/>
          <c:min val="0"/>
        </c:scaling>
        <c:axPos val="l"/>
        <c:majorGridlines/>
        <c:title>
          <c:tx>
            <c:rich>
              <a:bodyPr rot="-5400000" vert="horz"/>
              <a:lstStyle/>
              <a:p>
                <a:pPr>
                  <a:defRPr/>
                </a:pPr>
                <a:r>
                  <a:rPr lang="en-US"/>
                  <a:t>%Runoff  Treated</a:t>
                </a:r>
              </a:p>
            </c:rich>
          </c:tx>
        </c:title>
        <c:numFmt formatCode="0%" sourceLinked="0"/>
        <c:tickLblPos val="nextTo"/>
        <c:crossAx val="82037760"/>
        <c:crosses val="autoZero"/>
        <c:crossBetween val="midCat"/>
      </c:valAx>
      <c:valAx>
        <c:axId val="82050048"/>
        <c:scaling>
          <c:orientation val="minMax"/>
          <c:max val="20"/>
        </c:scaling>
        <c:axPos val="r"/>
        <c:title>
          <c:tx>
            <c:rich>
              <a:bodyPr rot="-5400000" vert="horz"/>
              <a:lstStyle/>
              <a:p>
                <a:pPr>
                  <a:defRPr/>
                </a:pPr>
                <a:r>
                  <a:rPr lang="en-US"/>
                  <a:t>Contact Time (hrs)</a:t>
                </a:r>
              </a:p>
            </c:rich>
          </c:tx>
        </c:title>
        <c:numFmt formatCode="0.0" sourceLinked="1"/>
        <c:tickLblPos val="nextTo"/>
        <c:crossAx val="81929344"/>
        <c:crosses val="max"/>
        <c:crossBetween val="midCat"/>
      </c:valAx>
      <c:valAx>
        <c:axId val="81929344"/>
        <c:scaling>
          <c:orientation val="minMax"/>
        </c:scaling>
        <c:delete val="1"/>
        <c:axPos val="b"/>
        <c:numFmt formatCode="0" sourceLinked="1"/>
        <c:tickLblPos val="none"/>
        <c:crossAx val="82050048"/>
        <c:crosses val="autoZero"/>
        <c:crossBetween val="midCat"/>
      </c:valAx>
    </c:plotArea>
    <c:legend>
      <c:legendPos val="t"/>
      <c:layout>
        <c:manualLayout>
          <c:xMode val="edge"/>
          <c:yMode val="edge"/>
          <c:x val="6.2969804727488282E-2"/>
          <c:y val="2.8128341100219608E-2"/>
          <c:w val="0.82942973037461265"/>
          <c:h val="0.12203192115109994"/>
        </c:manualLayout>
      </c:layout>
    </c:legend>
    <c:plotVisOnly val="1"/>
  </c:chart>
  <c:txPr>
    <a:bodyPr/>
    <a:lstStyle/>
    <a:p>
      <a:pPr>
        <a:defRPr sz="1100"/>
      </a:pPr>
      <a:endParaRPr lang="en-US"/>
    </a:p>
  </c:txPr>
  <c:printSettings>
    <c:headerFooter/>
    <c:pageMargins b="0.75000000000000444" l="0.70000000000000062" r="0.70000000000000062" t="0.75000000000000444"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pPr>
            <a:r>
              <a:rPr lang="en-US" sz="1200"/>
              <a:t>Volume Limited BMP Sizing</a:t>
            </a:r>
            <a:r>
              <a:rPr lang="en-US" sz="1200" baseline="0"/>
              <a:t> </a:t>
            </a:r>
            <a:r>
              <a:rPr lang="en-US" sz="1200"/>
              <a:t>- 6hr Drain Time (hourly data)</a:t>
            </a:r>
          </a:p>
        </c:rich>
      </c:tx>
      <c:layout>
        <c:manualLayout>
          <c:xMode val="edge"/>
          <c:yMode val="edge"/>
          <c:x val="0.25359679409159025"/>
          <c:y val="3.0379729665575117E-2"/>
        </c:manualLayout>
      </c:layout>
      <c:overlay val="1"/>
      <c:spPr>
        <a:noFill/>
        <a:ln w="25400">
          <a:noFill/>
        </a:ln>
      </c:spPr>
    </c:title>
    <c:plotArea>
      <c:layout/>
      <c:scatterChart>
        <c:scatterStyle val="smoothMarker"/>
        <c:ser>
          <c:idx val="0"/>
          <c:order val="0"/>
          <c:tx>
            <c:strRef>
              <c:f>'Pacific Northwest-MF'!$AI$3</c:f>
              <c:strCache>
                <c:ptCount val="1"/>
                <c:pt idx="0">
                  <c:v>Runoff Treated</c:v>
                </c:pt>
              </c:strCache>
            </c:strRef>
          </c:tx>
          <c:xVal>
            <c:numRef>
              <c:f>'Pacific Northwest-MF'!$AH$10:$AH$12</c:f>
              <c:numCache>
                <c:formatCode>General</c:formatCode>
                <c:ptCount val="3"/>
              </c:numCache>
            </c:numRef>
          </c:xVal>
          <c:yVal>
            <c:numRef>
              <c:f>'Pacific Northwest-MF'!$AI$4:$AI$12</c:f>
              <c:numCache>
                <c:formatCode>0.0%</c:formatCode>
                <c:ptCount val="9"/>
                <c:pt idx="0">
                  <c:v>0.83848513449740447</c:v>
                </c:pt>
                <c:pt idx="1">
                  <c:v>0.94626002831524303</c:v>
                </c:pt>
                <c:pt idx="2">
                  <c:v>0.98749410099103352</c:v>
                </c:pt>
                <c:pt idx="3">
                  <c:v>0.9949268522888155</c:v>
                </c:pt>
                <c:pt idx="4">
                  <c:v>0.99769938650306744</c:v>
                </c:pt>
                <c:pt idx="5">
                  <c:v>0.99870221802737136</c:v>
                </c:pt>
              </c:numCache>
            </c:numRef>
          </c:yVal>
          <c:smooth val="1"/>
        </c:ser>
        <c:ser>
          <c:idx val="1"/>
          <c:order val="1"/>
          <c:tx>
            <c:strRef>
              <c:f>'3-ft'!#REF!</c:f>
              <c:strCache>
                <c:ptCount val="1"/>
                <c:pt idx="0">
                  <c:v>#REF!</c:v>
                </c:pt>
              </c:strCache>
            </c:strRef>
          </c:tx>
          <c:xVal>
            <c:numRef>
              <c:f>'Pacific Northwest-MF'!$AH$10:$AH$12</c:f>
              <c:numCache>
                <c:formatCode>General</c:formatCode>
                <c:ptCount val="3"/>
              </c:numCache>
            </c:numRef>
          </c:xVal>
          <c:yVal>
            <c:numRef>
              <c:f>'3-ft'!#REF!</c:f>
              <c:numCache>
                <c:formatCode>General</c:formatCode>
                <c:ptCount val="1"/>
                <c:pt idx="0">
                  <c:v>1</c:v>
                </c:pt>
              </c:numCache>
            </c:numRef>
          </c:yVal>
          <c:smooth val="1"/>
        </c:ser>
        <c:axId val="82196352"/>
        <c:axId val="82202624"/>
      </c:scatterChart>
      <c:valAx>
        <c:axId val="82196352"/>
        <c:scaling>
          <c:orientation val="minMax"/>
          <c:max val="2"/>
          <c:min val="0"/>
        </c:scaling>
        <c:axPos val="b"/>
        <c:title>
          <c:tx>
            <c:rich>
              <a:bodyPr/>
              <a:lstStyle/>
              <a:p>
                <a:pPr>
                  <a:defRPr/>
                </a:pPr>
                <a:r>
                  <a:rPr lang="en-US"/>
                  <a:t>Unit Basin Size (in)</a:t>
                </a:r>
              </a:p>
            </c:rich>
          </c:tx>
          <c:spPr>
            <a:noFill/>
            <a:ln w="25400">
              <a:noFill/>
            </a:ln>
          </c:spPr>
        </c:title>
        <c:numFmt formatCode="0.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202624"/>
        <c:crosses val="autoZero"/>
        <c:crossBetween val="midCat"/>
        <c:majorUnit val="0.2"/>
      </c:valAx>
      <c:valAx>
        <c:axId val="82202624"/>
        <c:scaling>
          <c:orientation val="minMax"/>
          <c:max val="1"/>
          <c:min val="0"/>
        </c:scaling>
        <c:axPos val="l"/>
        <c:majorGridlines/>
        <c:title>
          <c:tx>
            <c:rich>
              <a:bodyPr rot="-5400000" vert="horz"/>
              <a:lstStyle/>
              <a:p>
                <a:pPr>
                  <a:defRPr/>
                </a:pPr>
                <a:r>
                  <a:rPr lang="en-US"/>
                  <a:t>% Captured</a:t>
                </a:r>
              </a:p>
            </c:rich>
          </c:tx>
          <c:layout>
            <c:manualLayout>
              <c:xMode val="edge"/>
              <c:yMode val="edge"/>
              <c:x val="3.1798769633291105E-2"/>
              <c:y val="0.34962935834571068"/>
            </c:manualLayout>
          </c:layout>
          <c:spPr>
            <a:noFill/>
            <a:ln w="25400">
              <a:noFill/>
            </a:ln>
          </c:spPr>
        </c:title>
        <c:numFmt formatCode="0%" sourceLinked="0"/>
        <c:tickLblPos val="nextTo"/>
        <c:crossAx val="82196352"/>
        <c:crosses val="autoZero"/>
        <c:crossBetween val="midCat"/>
      </c:valAx>
      <c:spPr>
        <a:ln>
          <a:solidFill>
            <a:schemeClr val="bg1">
              <a:lumMod val="50000"/>
            </a:schemeClr>
          </a:solidFill>
        </a:ln>
      </c:spPr>
    </c:plotArea>
    <c:legend>
      <c:legendPos val="r"/>
    </c:legend>
    <c:plotVisOnly val="1"/>
    <c:dispBlanksAs val="gap"/>
  </c:chart>
  <c:spPr>
    <a:ln>
      <a:solidFill>
        <a:schemeClr val="accent1"/>
      </a:solidFill>
    </a:ln>
  </c:spPr>
  <c:printSettings>
    <c:headerFooter/>
    <c:pageMargins b="0.75000000000000766" l="0.70000000000000062" r="0.70000000000000062" t="0.75000000000000766"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s>
</file>

<file path=xl/drawings/_rels/drawing1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9.xml"/><Relationship Id="rId13" Type="http://schemas.openxmlformats.org/officeDocument/2006/relationships/chart" Target="../charts/chart84.xml"/><Relationship Id="rId3" Type="http://schemas.openxmlformats.org/officeDocument/2006/relationships/chart" Target="../charts/chart74.xml"/><Relationship Id="rId7" Type="http://schemas.openxmlformats.org/officeDocument/2006/relationships/chart" Target="../charts/chart78.xml"/><Relationship Id="rId12" Type="http://schemas.openxmlformats.org/officeDocument/2006/relationships/chart" Target="../charts/chart83.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11" Type="http://schemas.openxmlformats.org/officeDocument/2006/relationships/chart" Target="../charts/chart82.xml"/><Relationship Id="rId5" Type="http://schemas.openxmlformats.org/officeDocument/2006/relationships/chart" Target="../charts/chart76.xml"/><Relationship Id="rId10" Type="http://schemas.openxmlformats.org/officeDocument/2006/relationships/chart" Target="../charts/chart81.xml"/><Relationship Id="rId4" Type="http://schemas.openxmlformats.org/officeDocument/2006/relationships/chart" Target="../charts/chart75.xml"/><Relationship Id="rId9" Type="http://schemas.openxmlformats.org/officeDocument/2006/relationships/chart" Target="../charts/chart80.xml"/></Relationships>
</file>

<file path=xl/drawings/_rels/drawing1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99.xml"/><Relationship Id="rId13" Type="http://schemas.openxmlformats.org/officeDocument/2006/relationships/chart" Target="../charts/chart104.xml"/><Relationship Id="rId3" Type="http://schemas.openxmlformats.org/officeDocument/2006/relationships/chart" Target="../charts/chart94.xml"/><Relationship Id="rId7" Type="http://schemas.openxmlformats.org/officeDocument/2006/relationships/chart" Target="../charts/chart98.xml"/><Relationship Id="rId12" Type="http://schemas.openxmlformats.org/officeDocument/2006/relationships/chart" Target="../charts/chart103.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11" Type="http://schemas.openxmlformats.org/officeDocument/2006/relationships/chart" Target="../charts/chart102.xml"/><Relationship Id="rId5" Type="http://schemas.openxmlformats.org/officeDocument/2006/relationships/chart" Target="../charts/chart96.xml"/><Relationship Id="rId10" Type="http://schemas.openxmlformats.org/officeDocument/2006/relationships/chart" Target="../charts/chart101.xml"/><Relationship Id="rId4" Type="http://schemas.openxmlformats.org/officeDocument/2006/relationships/chart" Target="../charts/chart95.xml"/><Relationship Id="rId9" Type="http://schemas.openxmlformats.org/officeDocument/2006/relationships/chart" Target="../charts/chart100.xml"/></Relationships>
</file>

<file path=xl/drawings/_rels/drawing1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107.xml"/><Relationship Id="rId7" Type="http://schemas.openxmlformats.org/officeDocument/2006/relationships/chart" Target="../charts/chart111.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5" Type="http://schemas.openxmlformats.org/officeDocument/2006/relationships/chart" Target="../charts/chart109.xml"/><Relationship Id="rId4" Type="http://schemas.openxmlformats.org/officeDocument/2006/relationships/chart" Target="../charts/chart108.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3" Type="http://schemas.openxmlformats.org/officeDocument/2006/relationships/chart" Target="../charts/chart114.xml"/><Relationship Id="rId7" Type="http://schemas.openxmlformats.org/officeDocument/2006/relationships/chart" Target="../charts/chart118.xml"/><Relationship Id="rId12" Type="http://schemas.openxmlformats.org/officeDocument/2006/relationships/chart" Target="../charts/chart123.xml"/><Relationship Id="rId2" Type="http://schemas.openxmlformats.org/officeDocument/2006/relationships/chart" Target="../charts/chart113.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5" Type="http://schemas.openxmlformats.org/officeDocument/2006/relationships/chart" Target="../charts/chart116.xml"/><Relationship Id="rId10" Type="http://schemas.openxmlformats.org/officeDocument/2006/relationships/chart" Target="../charts/chart121.xml"/><Relationship Id="rId4" Type="http://schemas.openxmlformats.org/officeDocument/2006/relationships/chart" Target="../charts/chart115.xml"/><Relationship Id="rId9" Type="http://schemas.openxmlformats.org/officeDocument/2006/relationships/chart" Target="../charts/chart120.xml"/></Relationships>
</file>

<file path=xl/drawings/_rels/drawing1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127.xml"/><Relationship Id="rId7" Type="http://schemas.openxmlformats.org/officeDocument/2006/relationships/chart" Target="../charts/chart131.xml"/><Relationship Id="rId2" Type="http://schemas.openxmlformats.org/officeDocument/2006/relationships/chart" Target="../charts/chart126.xml"/><Relationship Id="rId1" Type="http://schemas.openxmlformats.org/officeDocument/2006/relationships/chart" Target="../charts/chart125.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chart" Target="../charts/chart128.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39.xml"/><Relationship Id="rId13" Type="http://schemas.openxmlformats.org/officeDocument/2006/relationships/chart" Target="../charts/chart144.xml"/><Relationship Id="rId3" Type="http://schemas.openxmlformats.org/officeDocument/2006/relationships/chart" Target="../charts/chart134.xml"/><Relationship Id="rId7" Type="http://schemas.openxmlformats.org/officeDocument/2006/relationships/chart" Target="../charts/chart138.xml"/><Relationship Id="rId12" Type="http://schemas.openxmlformats.org/officeDocument/2006/relationships/chart" Target="../charts/chart143.xml"/><Relationship Id="rId2" Type="http://schemas.openxmlformats.org/officeDocument/2006/relationships/chart" Target="../charts/chart133.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5" Type="http://schemas.openxmlformats.org/officeDocument/2006/relationships/chart" Target="../charts/chart136.xml"/><Relationship Id="rId10" Type="http://schemas.openxmlformats.org/officeDocument/2006/relationships/chart" Target="../charts/chart141.xml"/><Relationship Id="rId4" Type="http://schemas.openxmlformats.org/officeDocument/2006/relationships/chart" Target="../charts/chart135.xml"/><Relationship Id="rId9" Type="http://schemas.openxmlformats.org/officeDocument/2006/relationships/chart" Target="../charts/chart14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7.emf"/></Relationships>
</file>

<file path=xl/drawings/_rels/drawing2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147.xml"/><Relationship Id="rId7" Type="http://schemas.openxmlformats.org/officeDocument/2006/relationships/chart" Target="../charts/chart151.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59.xml"/><Relationship Id="rId13" Type="http://schemas.openxmlformats.org/officeDocument/2006/relationships/chart" Target="../charts/chart164.xml"/><Relationship Id="rId3" Type="http://schemas.openxmlformats.org/officeDocument/2006/relationships/chart" Target="../charts/chart154.xml"/><Relationship Id="rId7" Type="http://schemas.openxmlformats.org/officeDocument/2006/relationships/chart" Target="../charts/chart158.xml"/><Relationship Id="rId12" Type="http://schemas.openxmlformats.org/officeDocument/2006/relationships/chart" Target="../charts/chart163.xml"/><Relationship Id="rId2" Type="http://schemas.openxmlformats.org/officeDocument/2006/relationships/chart" Target="../charts/chart153.xml"/><Relationship Id="rId1" Type="http://schemas.openxmlformats.org/officeDocument/2006/relationships/chart" Target="../charts/chart152.xml"/><Relationship Id="rId6" Type="http://schemas.openxmlformats.org/officeDocument/2006/relationships/chart" Target="../charts/chart157.xml"/><Relationship Id="rId11" Type="http://schemas.openxmlformats.org/officeDocument/2006/relationships/chart" Target="../charts/chart162.xml"/><Relationship Id="rId5" Type="http://schemas.openxmlformats.org/officeDocument/2006/relationships/chart" Target="../charts/chart156.xml"/><Relationship Id="rId10" Type="http://schemas.openxmlformats.org/officeDocument/2006/relationships/chart" Target="../charts/chart161.xml"/><Relationship Id="rId4" Type="http://schemas.openxmlformats.org/officeDocument/2006/relationships/chart" Target="../charts/chart155.xml"/><Relationship Id="rId9" Type="http://schemas.openxmlformats.org/officeDocument/2006/relationships/chart" Target="../charts/chart160.xml"/></Relationships>
</file>

<file path=xl/drawings/_rels/drawing2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167.xml"/><Relationship Id="rId7" Type="http://schemas.openxmlformats.org/officeDocument/2006/relationships/chart" Target="../charts/chart171.xml"/><Relationship Id="rId2" Type="http://schemas.openxmlformats.org/officeDocument/2006/relationships/chart" Target="../charts/chart166.xml"/><Relationship Id="rId1" Type="http://schemas.openxmlformats.org/officeDocument/2006/relationships/chart" Target="../charts/chart165.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chart" Target="../charts/chart168.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179.xml"/><Relationship Id="rId13" Type="http://schemas.openxmlformats.org/officeDocument/2006/relationships/chart" Target="../charts/chart184.xml"/><Relationship Id="rId3" Type="http://schemas.openxmlformats.org/officeDocument/2006/relationships/chart" Target="../charts/chart174.xml"/><Relationship Id="rId7" Type="http://schemas.openxmlformats.org/officeDocument/2006/relationships/chart" Target="../charts/chart178.xml"/><Relationship Id="rId12" Type="http://schemas.openxmlformats.org/officeDocument/2006/relationships/chart" Target="../charts/chart183.xml"/><Relationship Id="rId2" Type="http://schemas.openxmlformats.org/officeDocument/2006/relationships/chart" Target="../charts/chart173.xml"/><Relationship Id="rId1" Type="http://schemas.openxmlformats.org/officeDocument/2006/relationships/chart" Target="../charts/chart172.xml"/><Relationship Id="rId6" Type="http://schemas.openxmlformats.org/officeDocument/2006/relationships/chart" Target="../charts/chart177.xml"/><Relationship Id="rId11" Type="http://schemas.openxmlformats.org/officeDocument/2006/relationships/chart" Target="../charts/chart182.xml"/><Relationship Id="rId5" Type="http://schemas.openxmlformats.org/officeDocument/2006/relationships/chart" Target="../charts/chart176.xml"/><Relationship Id="rId10" Type="http://schemas.openxmlformats.org/officeDocument/2006/relationships/chart" Target="../charts/chart181.xml"/><Relationship Id="rId4" Type="http://schemas.openxmlformats.org/officeDocument/2006/relationships/chart" Target="../charts/chart175.xml"/><Relationship Id="rId9" Type="http://schemas.openxmlformats.org/officeDocument/2006/relationships/chart" Target="../charts/chart180.xml"/></Relationships>
</file>

<file path=xl/drawings/_rels/drawing2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187.xml"/><Relationship Id="rId7" Type="http://schemas.openxmlformats.org/officeDocument/2006/relationships/chart" Target="../charts/chart191.xml"/><Relationship Id="rId2" Type="http://schemas.openxmlformats.org/officeDocument/2006/relationships/chart" Target="../charts/chart186.xml"/><Relationship Id="rId1" Type="http://schemas.openxmlformats.org/officeDocument/2006/relationships/chart" Target="../charts/chart185.xml"/><Relationship Id="rId6" Type="http://schemas.openxmlformats.org/officeDocument/2006/relationships/chart" Target="../charts/chart190.xml"/><Relationship Id="rId5" Type="http://schemas.openxmlformats.org/officeDocument/2006/relationships/chart" Target="../charts/chart189.xml"/><Relationship Id="rId4" Type="http://schemas.openxmlformats.org/officeDocument/2006/relationships/chart" Target="../charts/chart188.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99.xml"/><Relationship Id="rId13" Type="http://schemas.openxmlformats.org/officeDocument/2006/relationships/chart" Target="../charts/chart204.xml"/><Relationship Id="rId3" Type="http://schemas.openxmlformats.org/officeDocument/2006/relationships/chart" Target="../charts/chart194.xml"/><Relationship Id="rId7" Type="http://schemas.openxmlformats.org/officeDocument/2006/relationships/chart" Target="../charts/chart198.xml"/><Relationship Id="rId12" Type="http://schemas.openxmlformats.org/officeDocument/2006/relationships/chart" Target="../charts/chart203.xml"/><Relationship Id="rId2" Type="http://schemas.openxmlformats.org/officeDocument/2006/relationships/chart" Target="../charts/chart193.xml"/><Relationship Id="rId1" Type="http://schemas.openxmlformats.org/officeDocument/2006/relationships/chart" Target="../charts/chart192.xml"/><Relationship Id="rId6" Type="http://schemas.openxmlformats.org/officeDocument/2006/relationships/chart" Target="../charts/chart197.xml"/><Relationship Id="rId11" Type="http://schemas.openxmlformats.org/officeDocument/2006/relationships/chart" Target="../charts/chart202.xml"/><Relationship Id="rId5" Type="http://schemas.openxmlformats.org/officeDocument/2006/relationships/chart" Target="../charts/chart196.xml"/><Relationship Id="rId10" Type="http://schemas.openxmlformats.org/officeDocument/2006/relationships/chart" Target="../charts/chart201.xml"/><Relationship Id="rId4" Type="http://schemas.openxmlformats.org/officeDocument/2006/relationships/chart" Target="../charts/chart195.xml"/><Relationship Id="rId9" Type="http://schemas.openxmlformats.org/officeDocument/2006/relationships/chart" Target="../charts/chart200.xml"/></Relationships>
</file>

<file path=xl/drawings/_rels/drawing2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07.xml"/><Relationship Id="rId7" Type="http://schemas.openxmlformats.org/officeDocument/2006/relationships/chart" Target="../charts/chart211.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219.xml"/><Relationship Id="rId13" Type="http://schemas.openxmlformats.org/officeDocument/2006/relationships/chart" Target="../charts/chart224.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s>
</file>

<file path=xl/drawings/_rels/drawing2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27.xml"/><Relationship Id="rId7" Type="http://schemas.openxmlformats.org/officeDocument/2006/relationships/chart" Target="../charts/chart231.xml"/><Relationship Id="rId2" Type="http://schemas.openxmlformats.org/officeDocument/2006/relationships/chart" Target="../charts/chart226.xml"/><Relationship Id="rId1" Type="http://schemas.openxmlformats.org/officeDocument/2006/relationships/chart" Target="../charts/chart225.xml"/><Relationship Id="rId6" Type="http://schemas.openxmlformats.org/officeDocument/2006/relationships/chart" Target="../charts/chart230.xml"/><Relationship Id="rId5" Type="http://schemas.openxmlformats.org/officeDocument/2006/relationships/chart" Target="../charts/chart229.xml"/><Relationship Id="rId4" Type="http://schemas.openxmlformats.org/officeDocument/2006/relationships/chart" Target="../charts/chart228.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39.xml"/><Relationship Id="rId13" Type="http://schemas.openxmlformats.org/officeDocument/2006/relationships/chart" Target="../charts/chart244.xml"/><Relationship Id="rId3" Type="http://schemas.openxmlformats.org/officeDocument/2006/relationships/chart" Target="../charts/chart234.xml"/><Relationship Id="rId7" Type="http://schemas.openxmlformats.org/officeDocument/2006/relationships/chart" Target="../charts/chart238.xml"/><Relationship Id="rId12" Type="http://schemas.openxmlformats.org/officeDocument/2006/relationships/chart" Target="../charts/chart243.xml"/><Relationship Id="rId2" Type="http://schemas.openxmlformats.org/officeDocument/2006/relationships/chart" Target="../charts/chart233.xml"/><Relationship Id="rId1" Type="http://schemas.openxmlformats.org/officeDocument/2006/relationships/chart" Target="../charts/chart232.xml"/><Relationship Id="rId6" Type="http://schemas.openxmlformats.org/officeDocument/2006/relationships/chart" Target="../charts/chart237.xml"/><Relationship Id="rId11" Type="http://schemas.openxmlformats.org/officeDocument/2006/relationships/chart" Target="../charts/chart242.xml"/><Relationship Id="rId5" Type="http://schemas.openxmlformats.org/officeDocument/2006/relationships/chart" Target="../charts/chart236.xml"/><Relationship Id="rId10" Type="http://schemas.openxmlformats.org/officeDocument/2006/relationships/chart" Target="../charts/chart241.xml"/><Relationship Id="rId4" Type="http://schemas.openxmlformats.org/officeDocument/2006/relationships/chart" Target="../charts/chart235.xml"/><Relationship Id="rId9" Type="http://schemas.openxmlformats.org/officeDocument/2006/relationships/chart" Target="../charts/chart24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7.emf"/></Relationships>
</file>

<file path=xl/drawings/_rels/drawing30.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47.xml"/><Relationship Id="rId7" Type="http://schemas.openxmlformats.org/officeDocument/2006/relationships/chart" Target="../charts/chart251.xml"/><Relationship Id="rId2" Type="http://schemas.openxmlformats.org/officeDocument/2006/relationships/chart" Target="../charts/chart246.xml"/><Relationship Id="rId1" Type="http://schemas.openxmlformats.org/officeDocument/2006/relationships/chart" Target="../charts/chart245.xml"/><Relationship Id="rId6" Type="http://schemas.openxmlformats.org/officeDocument/2006/relationships/chart" Target="../charts/chart250.xml"/><Relationship Id="rId5" Type="http://schemas.openxmlformats.org/officeDocument/2006/relationships/chart" Target="../charts/chart249.xml"/><Relationship Id="rId4" Type="http://schemas.openxmlformats.org/officeDocument/2006/relationships/chart" Target="../charts/chart248.xml"/></Relationships>
</file>

<file path=xl/drawings/_rels/drawing31.xml.rels><?xml version="1.0" encoding="UTF-8" standalone="yes"?>
<Relationships xmlns="http://schemas.openxmlformats.org/package/2006/relationships"><Relationship Id="rId8" Type="http://schemas.openxmlformats.org/officeDocument/2006/relationships/chart" Target="../charts/chart259.xml"/><Relationship Id="rId13" Type="http://schemas.openxmlformats.org/officeDocument/2006/relationships/chart" Target="../charts/chart264.xml"/><Relationship Id="rId3" Type="http://schemas.openxmlformats.org/officeDocument/2006/relationships/chart" Target="../charts/chart254.xml"/><Relationship Id="rId7" Type="http://schemas.openxmlformats.org/officeDocument/2006/relationships/chart" Target="../charts/chart258.xml"/><Relationship Id="rId12" Type="http://schemas.openxmlformats.org/officeDocument/2006/relationships/chart" Target="../charts/chart263.xml"/><Relationship Id="rId2" Type="http://schemas.openxmlformats.org/officeDocument/2006/relationships/chart" Target="../charts/chart253.xml"/><Relationship Id="rId1" Type="http://schemas.openxmlformats.org/officeDocument/2006/relationships/chart" Target="../charts/chart252.xml"/><Relationship Id="rId6" Type="http://schemas.openxmlformats.org/officeDocument/2006/relationships/chart" Target="../charts/chart257.xml"/><Relationship Id="rId11" Type="http://schemas.openxmlformats.org/officeDocument/2006/relationships/chart" Target="../charts/chart262.xml"/><Relationship Id="rId5" Type="http://schemas.openxmlformats.org/officeDocument/2006/relationships/chart" Target="../charts/chart256.xml"/><Relationship Id="rId10" Type="http://schemas.openxmlformats.org/officeDocument/2006/relationships/chart" Target="../charts/chart261.xml"/><Relationship Id="rId4" Type="http://schemas.openxmlformats.org/officeDocument/2006/relationships/chart" Target="../charts/chart255.xml"/><Relationship Id="rId9" Type="http://schemas.openxmlformats.org/officeDocument/2006/relationships/chart" Target="../charts/chart260.xml"/></Relationships>
</file>

<file path=xl/drawings/_rels/drawing3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67.xml"/><Relationship Id="rId7" Type="http://schemas.openxmlformats.org/officeDocument/2006/relationships/chart" Target="../charts/chart271.xml"/><Relationship Id="rId2" Type="http://schemas.openxmlformats.org/officeDocument/2006/relationships/chart" Target="../charts/chart266.xml"/><Relationship Id="rId1" Type="http://schemas.openxmlformats.org/officeDocument/2006/relationships/chart" Target="../charts/chart265.xml"/><Relationship Id="rId6" Type="http://schemas.openxmlformats.org/officeDocument/2006/relationships/chart" Target="../charts/chart270.xml"/><Relationship Id="rId5" Type="http://schemas.openxmlformats.org/officeDocument/2006/relationships/chart" Target="../charts/chart269.xml"/><Relationship Id="rId4" Type="http://schemas.openxmlformats.org/officeDocument/2006/relationships/chart" Target="../charts/chart268.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79.xml"/><Relationship Id="rId13" Type="http://schemas.openxmlformats.org/officeDocument/2006/relationships/chart" Target="../charts/chart284.xml"/><Relationship Id="rId3" Type="http://schemas.openxmlformats.org/officeDocument/2006/relationships/chart" Target="../charts/chart274.xml"/><Relationship Id="rId7" Type="http://schemas.openxmlformats.org/officeDocument/2006/relationships/chart" Target="../charts/chart278.xml"/><Relationship Id="rId12" Type="http://schemas.openxmlformats.org/officeDocument/2006/relationships/chart" Target="../charts/chart283.xml"/><Relationship Id="rId2" Type="http://schemas.openxmlformats.org/officeDocument/2006/relationships/chart" Target="../charts/chart273.xml"/><Relationship Id="rId1" Type="http://schemas.openxmlformats.org/officeDocument/2006/relationships/chart" Target="../charts/chart272.xml"/><Relationship Id="rId6" Type="http://schemas.openxmlformats.org/officeDocument/2006/relationships/chart" Target="../charts/chart277.xml"/><Relationship Id="rId11" Type="http://schemas.openxmlformats.org/officeDocument/2006/relationships/chart" Target="../charts/chart282.xml"/><Relationship Id="rId5" Type="http://schemas.openxmlformats.org/officeDocument/2006/relationships/chart" Target="../charts/chart276.xml"/><Relationship Id="rId10" Type="http://schemas.openxmlformats.org/officeDocument/2006/relationships/chart" Target="../charts/chart281.xml"/><Relationship Id="rId4" Type="http://schemas.openxmlformats.org/officeDocument/2006/relationships/chart" Target="../charts/chart275.xml"/><Relationship Id="rId9" Type="http://schemas.openxmlformats.org/officeDocument/2006/relationships/chart" Target="../charts/chart280.xml"/></Relationships>
</file>

<file path=xl/drawings/_rels/drawing34.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87.xml"/><Relationship Id="rId7" Type="http://schemas.openxmlformats.org/officeDocument/2006/relationships/chart" Target="../charts/chart291.xml"/><Relationship Id="rId2" Type="http://schemas.openxmlformats.org/officeDocument/2006/relationships/chart" Target="../charts/chart286.xml"/><Relationship Id="rId1" Type="http://schemas.openxmlformats.org/officeDocument/2006/relationships/chart" Target="../charts/chart285.xml"/><Relationship Id="rId6" Type="http://schemas.openxmlformats.org/officeDocument/2006/relationships/chart" Target="../charts/chart290.xml"/><Relationship Id="rId5" Type="http://schemas.openxmlformats.org/officeDocument/2006/relationships/chart" Target="../charts/chart289.xml"/><Relationship Id="rId4" Type="http://schemas.openxmlformats.org/officeDocument/2006/relationships/chart" Target="../charts/chart288.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299.xml"/><Relationship Id="rId13" Type="http://schemas.openxmlformats.org/officeDocument/2006/relationships/chart" Target="../charts/chart304.xml"/><Relationship Id="rId3" Type="http://schemas.openxmlformats.org/officeDocument/2006/relationships/chart" Target="../charts/chart294.xml"/><Relationship Id="rId7" Type="http://schemas.openxmlformats.org/officeDocument/2006/relationships/chart" Target="../charts/chart298.xml"/><Relationship Id="rId12" Type="http://schemas.openxmlformats.org/officeDocument/2006/relationships/chart" Target="../charts/chart303.xml"/><Relationship Id="rId2" Type="http://schemas.openxmlformats.org/officeDocument/2006/relationships/chart" Target="../charts/chart293.xml"/><Relationship Id="rId1" Type="http://schemas.openxmlformats.org/officeDocument/2006/relationships/chart" Target="../charts/chart292.xml"/><Relationship Id="rId6" Type="http://schemas.openxmlformats.org/officeDocument/2006/relationships/chart" Target="../charts/chart297.xml"/><Relationship Id="rId11" Type="http://schemas.openxmlformats.org/officeDocument/2006/relationships/chart" Target="../charts/chart302.xml"/><Relationship Id="rId5" Type="http://schemas.openxmlformats.org/officeDocument/2006/relationships/chart" Target="../charts/chart296.xml"/><Relationship Id="rId10" Type="http://schemas.openxmlformats.org/officeDocument/2006/relationships/chart" Target="../charts/chart301.xml"/><Relationship Id="rId4" Type="http://schemas.openxmlformats.org/officeDocument/2006/relationships/chart" Target="../charts/chart295.xml"/><Relationship Id="rId9" Type="http://schemas.openxmlformats.org/officeDocument/2006/relationships/chart" Target="../charts/chart300.xml"/></Relationships>
</file>

<file path=xl/drawings/_rels/drawing36.xml.rels><?xml version="1.0" encoding="UTF-8" standalone="yes"?>
<Relationships xmlns="http://schemas.openxmlformats.org/package/2006/relationships"><Relationship Id="rId1"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10</xdr:col>
      <xdr:colOff>38099</xdr:colOff>
      <xdr:row>8</xdr:row>
      <xdr:rowOff>167640</xdr:rowOff>
    </xdr:from>
    <xdr:to>
      <xdr:col>15</xdr:col>
      <xdr:colOff>518160</xdr:colOff>
      <xdr:row>18</xdr:row>
      <xdr:rowOff>160912</xdr:rowOff>
    </xdr:to>
    <xdr:pic>
      <xdr:nvPicPr>
        <xdr:cNvPr id="2" name="Picture 2"/>
        <xdr:cNvPicPr>
          <a:picLocks noChangeAspect="1" noChangeArrowheads="1"/>
        </xdr:cNvPicPr>
      </xdr:nvPicPr>
      <xdr:blipFill>
        <a:blip xmlns:r="http://schemas.openxmlformats.org/officeDocument/2006/relationships" r:embed="rId1" cstate="print"/>
        <a:srcRect l="23361" r="23497" b="9375"/>
        <a:stretch>
          <a:fillRect/>
        </a:stretch>
      </xdr:blipFill>
      <xdr:spPr bwMode="auto">
        <a:xfrm>
          <a:off x="6134099" y="1173480"/>
          <a:ext cx="3528061" cy="1841122"/>
        </a:xfrm>
        <a:prstGeom prst="rect">
          <a:avLst/>
        </a:prstGeom>
        <a:solidFill>
          <a:schemeClr val="bg1"/>
        </a:solidFill>
      </xdr:spPr>
    </xdr:pic>
    <xdr:clientData/>
  </xdr:twoCellAnchor>
  <xdr:twoCellAnchor editAs="oneCell">
    <xdr:from>
      <xdr:col>10</xdr:col>
      <xdr:colOff>506890</xdr:colOff>
      <xdr:row>30</xdr:row>
      <xdr:rowOff>182880</xdr:rowOff>
    </xdr:from>
    <xdr:to>
      <xdr:col>18</xdr:col>
      <xdr:colOff>15240</xdr:colOff>
      <xdr:row>43</xdr:row>
      <xdr:rowOff>125730</xdr:rowOff>
    </xdr:to>
    <xdr:pic>
      <xdr:nvPicPr>
        <xdr:cNvPr id="3" name="Picture 4"/>
        <xdr:cNvPicPr>
          <a:picLocks noChangeAspect="1" noChangeArrowheads="1"/>
        </xdr:cNvPicPr>
      </xdr:nvPicPr>
      <xdr:blipFill>
        <a:blip xmlns:r="http://schemas.openxmlformats.org/officeDocument/2006/relationships" r:embed="rId2" cstate="print"/>
        <a:srcRect l="16485" r="16349" b="5735"/>
        <a:stretch>
          <a:fillRect/>
        </a:stretch>
      </xdr:blipFill>
      <xdr:spPr bwMode="auto">
        <a:xfrm>
          <a:off x="6861970" y="6400800"/>
          <a:ext cx="4385150" cy="2335530"/>
        </a:xfrm>
        <a:prstGeom prst="rect">
          <a:avLst/>
        </a:prstGeom>
        <a:solidFill>
          <a:schemeClr val="bg1"/>
        </a:solidFill>
      </xdr:spPr>
    </xdr:pic>
    <xdr:clientData/>
  </xdr:twoCellAnchor>
  <xdr:twoCellAnchor editAs="oneCell">
    <xdr:from>
      <xdr:col>0</xdr:col>
      <xdr:colOff>144780</xdr:colOff>
      <xdr:row>9</xdr:row>
      <xdr:rowOff>99060</xdr:rowOff>
    </xdr:from>
    <xdr:to>
      <xdr:col>7</xdr:col>
      <xdr:colOff>541020</xdr:colOff>
      <xdr:row>25</xdr:row>
      <xdr:rowOff>60679</xdr:rowOff>
    </xdr:to>
    <xdr:pic>
      <xdr:nvPicPr>
        <xdr:cNvPr id="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44780" y="922020"/>
          <a:ext cx="4922520" cy="2887699"/>
        </a:xfrm>
        <a:prstGeom prst="rect">
          <a:avLst/>
        </a:prstGeom>
        <a:solidFill>
          <a:schemeClr val="bg1"/>
        </a:solidFill>
      </xdr:spPr>
    </xdr:pic>
    <xdr:clientData/>
  </xdr:twoCellAnchor>
  <xdr:twoCellAnchor editAs="oneCell">
    <xdr:from>
      <xdr:col>0</xdr:col>
      <xdr:colOff>297180</xdr:colOff>
      <xdr:row>50</xdr:row>
      <xdr:rowOff>121920</xdr:rowOff>
    </xdr:from>
    <xdr:to>
      <xdr:col>9</xdr:col>
      <xdr:colOff>152400</xdr:colOff>
      <xdr:row>64</xdr:row>
      <xdr:rowOff>129540</xdr:rowOff>
    </xdr:to>
    <xdr:pic>
      <xdr:nvPicPr>
        <xdr:cNvPr id="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97180" y="8473440"/>
          <a:ext cx="5600700" cy="2567940"/>
        </a:xfrm>
        <a:prstGeom prst="rect">
          <a:avLst/>
        </a:prstGeom>
        <a:solidFill>
          <a:schemeClr val="bg1"/>
        </a:solidFill>
      </xdr:spPr>
    </xdr:pic>
    <xdr:clientData/>
  </xdr:twoCellAnchor>
  <xdr:twoCellAnchor editAs="oneCell">
    <xdr:from>
      <xdr:col>0</xdr:col>
      <xdr:colOff>0</xdr:colOff>
      <xdr:row>32</xdr:row>
      <xdr:rowOff>0</xdr:rowOff>
    </xdr:from>
    <xdr:to>
      <xdr:col>8</xdr:col>
      <xdr:colOff>520455</xdr:colOff>
      <xdr:row>44</xdr:row>
      <xdr:rowOff>15240</xdr:rowOff>
    </xdr:to>
    <xdr:pic>
      <xdr:nvPicPr>
        <xdr:cNvPr id="7"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5044440"/>
          <a:ext cx="5656335" cy="2209800"/>
        </a:xfrm>
        <a:prstGeom prst="rect">
          <a:avLst/>
        </a:prstGeom>
        <a:solidFill>
          <a:schemeClr val="bg1"/>
        </a:solidFill>
      </xdr:spPr>
    </xdr:pic>
    <xdr:clientData/>
  </xdr:twoCellAnchor>
  <xdr:twoCellAnchor editAs="oneCell">
    <xdr:from>
      <xdr:col>11</xdr:col>
      <xdr:colOff>0</xdr:colOff>
      <xdr:row>49</xdr:row>
      <xdr:rowOff>7620</xdr:rowOff>
    </xdr:from>
    <xdr:to>
      <xdr:col>19</xdr:col>
      <xdr:colOff>563880</xdr:colOff>
      <xdr:row>66</xdr:row>
      <xdr:rowOff>181656</xdr:rowOff>
    </xdr:to>
    <xdr:pic>
      <xdr:nvPicPr>
        <xdr:cNvPr id="2049" name="Picture 1"/>
        <xdr:cNvPicPr>
          <a:picLocks noChangeAspect="1" noChangeArrowheads="1"/>
        </xdr:cNvPicPr>
      </xdr:nvPicPr>
      <xdr:blipFill>
        <a:blip xmlns:r="http://schemas.openxmlformats.org/officeDocument/2006/relationships" r:embed="rId6" cstate="print"/>
        <a:srcRect l="10280" r="10362" b="5455"/>
        <a:stretch>
          <a:fillRect/>
        </a:stretch>
      </xdr:blipFill>
      <xdr:spPr bwMode="auto">
        <a:xfrm>
          <a:off x="6964680" y="9715500"/>
          <a:ext cx="5440680" cy="3298236"/>
        </a:xfrm>
        <a:prstGeom prst="rect">
          <a:avLst/>
        </a:prstGeom>
        <a:solidFill>
          <a:schemeClr val="bg1"/>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10449"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716281</xdr:colOff>
      <xdr:row>3</xdr:row>
      <xdr:rowOff>129115</xdr:rowOff>
    </xdr:from>
    <xdr:to>
      <xdr:col>10</xdr:col>
      <xdr:colOff>274321</xdr:colOff>
      <xdr:row>9</xdr:row>
      <xdr:rowOff>228600</xdr:rowOff>
    </xdr:to>
    <xdr:pic>
      <xdr:nvPicPr>
        <xdr:cNvPr id="2" name="Picture 1"/>
        <xdr:cNvPicPr/>
      </xdr:nvPicPr>
      <xdr:blipFill>
        <a:blip xmlns:r="http://schemas.openxmlformats.org/officeDocument/2006/relationships" r:embed="rId1" cstate="print"/>
        <a:srcRect/>
        <a:stretch>
          <a:fillRect/>
        </a:stretch>
      </xdr:blipFill>
      <xdr:spPr bwMode="auto">
        <a:xfrm>
          <a:off x="5791201" y="769195"/>
          <a:ext cx="4053840" cy="2865545"/>
        </a:xfrm>
        <a:prstGeom prst="rect">
          <a:avLst/>
        </a:prstGeom>
        <a:noFill/>
        <a:ln w="15875">
          <a:solidFill>
            <a:srgbClr val="000000"/>
          </a:solidFill>
          <a:miter lim="800000"/>
          <a:headEnd/>
          <a:tailEnd/>
        </a:ln>
      </xdr:spPr>
    </xdr:pic>
    <xdr:clientData/>
  </xdr:twoCellAnchor>
  <xdr:twoCellAnchor>
    <xdr:from>
      <xdr:col>0</xdr:col>
      <xdr:colOff>166368</xdr:colOff>
      <xdr:row>23</xdr:row>
      <xdr:rowOff>92285</xdr:rowOff>
    </xdr:from>
    <xdr:to>
      <xdr:col>4</xdr:col>
      <xdr:colOff>577848</xdr:colOff>
      <xdr:row>43</xdr:row>
      <xdr:rowOff>92285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53764</xdr:colOff>
      <xdr:row>23</xdr:row>
      <xdr:rowOff>89743</xdr:rowOff>
    </xdr:from>
    <xdr:to>
      <xdr:col>12</xdr:col>
      <xdr:colOff>366184</xdr:colOff>
      <xdr:row>43</xdr:row>
      <xdr:rowOff>89743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30969585" y="12626340"/>
          <a:ext cx="6219825" cy="35147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1988819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381000</xdr:colOff>
      <xdr:row>7</xdr:row>
      <xdr:rowOff>160021</xdr:rowOff>
    </xdr:from>
    <xdr:to>
      <xdr:col>9</xdr:col>
      <xdr:colOff>129540</xdr:colOff>
      <xdr:row>11</xdr:row>
      <xdr:rowOff>358141</xdr:rowOff>
    </xdr:to>
    <xdr:pic>
      <xdr:nvPicPr>
        <xdr:cNvPr id="2" name="Picture 1"/>
        <xdr:cNvPicPr/>
      </xdr:nvPicPr>
      <xdr:blipFill>
        <a:blip xmlns:r="http://schemas.openxmlformats.org/officeDocument/2006/relationships" r:embed="rId1" cstate="print"/>
        <a:srcRect/>
        <a:stretch>
          <a:fillRect/>
        </a:stretch>
      </xdr:blipFill>
      <xdr:spPr bwMode="auto">
        <a:xfrm>
          <a:off x="5730240" y="2720341"/>
          <a:ext cx="4175760" cy="2880360"/>
        </a:xfrm>
        <a:prstGeom prst="rect">
          <a:avLst/>
        </a:prstGeom>
        <a:noFill/>
        <a:ln w="15875">
          <a:solidFill>
            <a:srgbClr val="000000"/>
          </a:solidFill>
          <a:miter lim="800000"/>
          <a:headEnd/>
          <a:tailEnd/>
        </a:ln>
      </xdr:spPr>
    </xdr:pic>
    <xdr:clientData/>
  </xdr:twoCellAnchor>
  <xdr:twoCellAnchor>
    <xdr:from>
      <xdr:col>0</xdr:col>
      <xdr:colOff>367665</xdr:colOff>
      <xdr:row>16</xdr:row>
      <xdr:rowOff>0</xdr:rowOff>
    </xdr:from>
    <xdr:to>
      <xdr:col>4</xdr:col>
      <xdr:colOff>504825</xdr:colOff>
      <xdr:row>38</xdr:row>
      <xdr:rowOff>1905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40005</xdr:colOff>
      <xdr:row>18</xdr:row>
      <xdr:rowOff>17145</xdr:rowOff>
    </xdr:from>
    <xdr:to>
      <xdr:col>11</xdr:col>
      <xdr:colOff>344805</xdr:colOff>
      <xdr:row>38</xdr:row>
      <xdr:rowOff>17145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3</xdr:col>
      <xdr:colOff>579120</xdr:colOff>
      <xdr:row>40</xdr:row>
      <xdr:rowOff>114300</xdr:rowOff>
    </xdr:to>
    <xdr:pic>
      <xdr:nvPicPr>
        <xdr:cNvPr id="2" name="Picture 1"/>
        <xdr:cNvPicPr/>
      </xdr:nvPicPr>
      <xdr:blipFill>
        <a:blip xmlns:r="http://schemas.openxmlformats.org/officeDocument/2006/relationships" r:embed="rId1" cstate="print"/>
        <a:srcRect/>
        <a:stretch>
          <a:fillRect/>
        </a:stretch>
      </xdr:blipFill>
      <xdr:spPr bwMode="auto">
        <a:xfrm>
          <a:off x="0" y="4305300"/>
          <a:ext cx="5288280" cy="3589020"/>
        </a:xfrm>
        <a:prstGeom prst="rect">
          <a:avLst/>
        </a:prstGeom>
        <a:noFill/>
        <a:ln w="15875">
          <a:solidFill>
            <a:srgbClr val="000000"/>
          </a:solid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83820</xdr:colOff>
      <xdr:row>6</xdr:row>
      <xdr:rowOff>129540</xdr:rowOff>
    </xdr:from>
    <xdr:to>
      <xdr:col>12</xdr:col>
      <xdr:colOff>457200</xdr:colOff>
      <xdr:row>28</xdr:row>
      <xdr:rowOff>160020</xdr:rowOff>
    </xdr:to>
    <xdr:sp macro="" textlink="">
      <xdr:nvSpPr>
        <xdr:cNvPr id="2" name="TextBox 1"/>
        <xdr:cNvSpPr txBox="1"/>
      </xdr:nvSpPr>
      <xdr:spPr>
        <a:xfrm>
          <a:off x="83820" y="1836420"/>
          <a:ext cx="7688580" cy="405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Courier New" pitchFamily="49" charset="0"/>
              <a:cs typeface="Courier New" pitchFamily="49" charset="0"/>
            </a:rPr>
            <a:t>*============================================================================ </a:t>
          </a:r>
        </a:p>
        <a:p>
          <a:r>
            <a:rPr lang="en-US" sz="900">
              <a:latin typeface="Courier New" pitchFamily="49" charset="0"/>
              <a:cs typeface="Courier New" pitchFamily="49" charset="0"/>
            </a:rPr>
            <a:t>*    SWMM 4.4 RAIN INPUT DATA FILE TEMPLATE (ALL DATA LINES)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To create your own custom templates  simply save your standard </a:t>
          </a:r>
        </a:p>
        <a:p>
          <a:r>
            <a:rPr lang="en-US" sz="900">
              <a:latin typeface="Courier New" pitchFamily="49" charset="0"/>
              <a:cs typeface="Courier New" pitchFamily="49" charset="0"/>
            </a:rPr>
            <a:t>*    input data file (*.dat) in the template sub-folder of PCSWMM. </a:t>
          </a:r>
        </a:p>
        <a:p>
          <a:r>
            <a:rPr lang="en-US" sz="900">
              <a:latin typeface="Courier New" pitchFamily="49" charset="0"/>
              <a:cs typeface="Courier New" pitchFamily="49" charset="0"/>
            </a:rPr>
            <a:t>*    The template folder can also be reassigned in the New dialog box </a:t>
          </a:r>
        </a:p>
        <a:p>
          <a:r>
            <a:rPr lang="en-US" sz="900">
              <a:latin typeface="Courier New" pitchFamily="49" charset="0"/>
              <a:cs typeface="Courier New" pitchFamily="49" charset="0"/>
            </a:rPr>
            <a:t>*    of PCSWMM (From the File menu  choose New...).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This file will not run as is - some or all of the optional lines </a:t>
          </a:r>
        </a:p>
        <a:p>
          <a:r>
            <a:rPr lang="en-US" sz="900">
              <a:latin typeface="Courier New" pitchFamily="49" charset="0"/>
              <a:cs typeface="Courier New" pitchFamily="49" charset="0"/>
            </a:rPr>
            <a:t>*    may need to be removed depending on the purpose of the file. You </a:t>
          </a:r>
        </a:p>
        <a:p>
          <a:r>
            <a:rPr lang="en-US" sz="900">
              <a:latin typeface="Courier New" pitchFamily="49" charset="0"/>
              <a:cs typeface="Courier New" pitchFamily="49" charset="0"/>
            </a:rPr>
            <a:t>*    also must replace all parameter values with ones relevant to your </a:t>
          </a:r>
        </a:p>
        <a:p>
          <a:r>
            <a:rPr lang="en-US" sz="900">
              <a:latin typeface="Courier New" pitchFamily="49" charset="0"/>
              <a:cs typeface="Courier New" pitchFamily="49" charset="0"/>
            </a:rPr>
            <a:t>*    model. </a:t>
          </a:r>
        </a:p>
        <a:p>
          <a:r>
            <a:rPr lang="en-US" sz="900">
              <a:latin typeface="Courier New" pitchFamily="49" charset="0"/>
              <a:cs typeface="Courier New" pitchFamily="49" charset="0"/>
            </a:rPr>
            <a:t>*    See the SWMM manuals for additional notes on input format.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#blocks RAIN </a:t>
          </a:r>
        </a:p>
        <a:p>
          <a:r>
            <a:rPr lang="en-US" sz="900">
              <a:latin typeface="Courier New" pitchFamily="49" charset="0"/>
              <a:cs typeface="Courier New" pitchFamily="49" charset="0"/>
            </a:rPr>
            <a:t>SW   1       8       9       </a:t>
          </a:r>
        </a:p>
        <a:p>
          <a:r>
            <a:rPr lang="en-US" sz="900">
              <a:latin typeface="Courier New" pitchFamily="49" charset="0"/>
              <a:cs typeface="Courier New" pitchFamily="49" charset="0"/>
            </a:rPr>
            <a:t>MM   5       11      12      13      14      15      </a:t>
          </a:r>
        </a:p>
        <a:p>
          <a:r>
            <a:rPr lang="en-US" sz="900">
              <a:latin typeface="Courier New" pitchFamily="49" charset="0"/>
              <a:cs typeface="Courier New" pitchFamily="49" charset="0"/>
            </a:rPr>
            <a:t>     @       8       KORD5.txt </a:t>
          </a:r>
        </a:p>
        <a:p>
          <a:r>
            <a:rPr lang="en-US" sz="900">
              <a:latin typeface="Courier New" pitchFamily="49" charset="0"/>
              <a:cs typeface="Courier New" pitchFamily="49" charset="0"/>
            </a:rPr>
            <a:t>     @       9       KORD5.int </a:t>
          </a:r>
        </a:p>
        <a:p>
          <a:r>
            <a:rPr lang="en-US" sz="900">
              <a:latin typeface="Courier New" pitchFamily="49" charset="0"/>
              <a:cs typeface="Courier New" pitchFamily="49" charset="0"/>
            </a:rPr>
            <a:t>$RAIN </a:t>
          </a:r>
        </a:p>
        <a:p>
          <a:r>
            <a:rPr lang="en-US" sz="900">
              <a:latin typeface="Courier New" pitchFamily="49" charset="0"/>
              <a:cs typeface="Courier New" pitchFamily="49" charset="0"/>
            </a:rPr>
            <a:t>A1   'rainfall' </a:t>
          </a:r>
        </a:p>
        <a:p>
          <a:r>
            <a:rPr lang="en-US" sz="900">
              <a:latin typeface="Courier New" pitchFamily="49" charset="0"/>
              <a:cs typeface="Courier New" pitchFamily="49" charset="0"/>
            </a:rPr>
            <a:t>A1   '2000-2010' </a:t>
          </a:r>
        </a:p>
        <a:p>
          <a:r>
            <a:rPr lang="en-US" sz="900">
              <a:latin typeface="Courier New" pitchFamily="49" charset="0"/>
              <a:cs typeface="Courier New" pitchFamily="49" charset="0"/>
            </a:rPr>
            <a:t>B0   0       0       1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IFORM      ISTA    IDECID  IYBEG    IYEND    IYEAR   ISUM    MIT     NPTS    IFILE   A       NOSTAT </a:t>
          </a:r>
        </a:p>
        <a:p>
          <a:r>
            <a:rPr lang="en-US" sz="900">
              <a:latin typeface="Courier New" pitchFamily="49" charset="0"/>
              <a:cs typeface="Courier New" pitchFamily="49" charset="0"/>
            </a:rPr>
            <a:t>B1   3       5       1       20000101 20100228 0       0       6       0       0       0.4     1111    0.1     </a:t>
          </a:r>
        </a:p>
        <a:p>
          <a:r>
            <a:rPr lang="en-US" sz="900">
              <a:latin typeface="Courier New" pitchFamily="49" charset="0"/>
              <a:cs typeface="Courier New" pitchFamily="49" charset="0"/>
            </a:rPr>
            <a:t>* THISTO METRIC KUNIT FIRMAT CONV F1 - F7 </a:t>
          </a:r>
        </a:p>
        <a:p>
          <a:r>
            <a:rPr lang="en-US" sz="900">
              <a:latin typeface="Courier New" pitchFamily="49" charset="0"/>
              <a:cs typeface="Courier New" pitchFamily="49" charset="0"/>
            </a:rPr>
            <a:t>B2   5       0       1       '(I2,I5,4I3,F4.2)' 1       1       2       3       4       5       6       7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$ENDPROGRAM </a:t>
          </a:r>
        </a:p>
      </xdr:txBody>
    </xdr:sp>
    <xdr:clientData/>
  </xdr:twoCellAnchor>
  <xdr:twoCellAnchor>
    <xdr:from>
      <xdr:col>0</xdr:col>
      <xdr:colOff>114300</xdr:colOff>
      <xdr:row>31</xdr:row>
      <xdr:rowOff>45720</xdr:rowOff>
    </xdr:from>
    <xdr:to>
      <xdr:col>18</xdr:col>
      <xdr:colOff>22860</xdr:colOff>
      <xdr:row>69</xdr:row>
      <xdr:rowOff>0</xdr:rowOff>
    </xdr:to>
    <xdr:sp macro="" textlink="">
      <xdr:nvSpPr>
        <xdr:cNvPr id="3" name="TextBox 2"/>
        <xdr:cNvSpPr txBox="1"/>
      </xdr:nvSpPr>
      <xdr:spPr>
        <a:xfrm>
          <a:off x="114300" y="5844540"/>
          <a:ext cx="10881360" cy="6903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Courier New" pitchFamily="49" charset="0"/>
              <a:cs typeface="Courier New" pitchFamily="49" charset="0"/>
            </a:rPr>
            <a:t>$RUNOFF </a:t>
          </a:r>
        </a:p>
        <a:p>
          <a:r>
            <a:rPr lang="en-US" sz="900">
              <a:latin typeface="Courier New" pitchFamily="49" charset="0"/>
              <a:cs typeface="Courier New" pitchFamily="49" charset="0"/>
            </a:rPr>
            <a:t>A1   'NCHRP 25-31' </a:t>
          </a:r>
        </a:p>
        <a:p>
          <a:r>
            <a:rPr lang="en-US" sz="900">
              <a:latin typeface="Courier New" pitchFamily="49" charset="0"/>
              <a:cs typeface="Courier New" pitchFamily="49" charset="0"/>
            </a:rPr>
            <a:t>A2   'Chicago Highway Catchment Runoff'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COMMENT LINE </a:t>
          </a:r>
        </a:p>
        <a:p>
          <a:r>
            <a:rPr lang="en-US" sz="900">
              <a:latin typeface="Courier New" pitchFamily="49" charset="0"/>
              <a:cs typeface="Courier New" pitchFamily="49" charset="0"/>
            </a:rPr>
            <a:t>*    METRIC  ISNOW   NRGAG   INFILM  KWALTY  IVAP    NHR     NMN     NDAY    MONTH   IYRSTR  IVCHAN </a:t>
          </a:r>
        </a:p>
        <a:p>
          <a:r>
            <a:rPr lang="en-US" sz="900">
              <a:latin typeface="Courier New" pitchFamily="49" charset="0"/>
              <a:cs typeface="Courier New" pitchFamily="49" charset="0"/>
            </a:rPr>
            <a:t>B1   0       0       1       0       1       2       00      0       1       1       2000    1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IPRN1   IPRN2   IPRN3   IRPNGW  NOHEAD  LANDUPR </a:t>
          </a:r>
        </a:p>
        <a:p>
          <a:r>
            <a:rPr lang="en-US" sz="900">
              <a:latin typeface="Courier New" pitchFamily="49" charset="0"/>
              <a:cs typeface="Courier New" pitchFamily="49" charset="0"/>
            </a:rPr>
            <a:t>B2   2       1       1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WET     WETDRY  DRY     LUNIT   LONG </a:t>
          </a:r>
        </a:p>
        <a:p>
          <a:r>
            <a:rPr lang="en-US" sz="900">
              <a:latin typeface="Courier New" pitchFamily="49" charset="0"/>
              <a:cs typeface="Courier New" pitchFamily="49" charset="0"/>
            </a:rPr>
            <a:t>B3   60      60      1800    4       20100228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ROPT </a:t>
          </a:r>
        </a:p>
        <a:p>
          <a:r>
            <a:rPr lang="en-US" sz="900">
              <a:latin typeface="Courier New" pitchFamily="49" charset="0"/>
              <a:cs typeface="Courier New" pitchFamily="49" charset="0"/>
            </a:rPr>
            <a:t>D1   1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VAP(1)  VAP(2)  VAP(3)  VAP(4)  VAP(5)  VAP(6)  VAP(7)  VAP(8)  VAP(9)  VAP(10) VAP(11) VAP(12) </a:t>
          </a:r>
        </a:p>
        <a:p>
          <a:r>
            <a:rPr lang="en-US" sz="900">
              <a:latin typeface="Courier New" pitchFamily="49" charset="0"/>
              <a:cs typeface="Courier New" pitchFamily="49" charset="0"/>
            </a:rPr>
            <a:t>F1   1.86    2.24    3.41    4.5     5.27    5.7     5.89    5.27    4.2     3.41    2.4     1.86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JK     NAMEW   NGTO    WIDTH   WAREA   IMPERV  WSLOPE  IMPER_N PERV_N  WSTORE1 WSTORE2 INFIL1  INFIL2  INFIL3  RMAXINF IFLOWP  PZ </a:t>
          </a:r>
        </a:p>
        <a:p>
          <a:r>
            <a:rPr lang="en-US" sz="900">
              <a:latin typeface="Courier New" pitchFamily="49" charset="0"/>
              <a:cs typeface="Courier New" pitchFamily="49" charset="0"/>
            </a:rPr>
            <a:t>H1   1       100     1       500     1       100     .0200   .013    .013    0.020   .050    0       0       0       0       0       0.0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NQS     JLAND   IROS    IROSAD  DRYDAY  CBVOL   DRYBSN  RAINIT  REFFDD  KLNBGN  KLNEND </a:t>
          </a:r>
        </a:p>
        <a:p>
          <a:r>
            <a:rPr lang="en-US" sz="900">
              <a:latin typeface="Courier New" pitchFamily="49" charset="0"/>
              <a:cs typeface="Courier New" pitchFamily="49" charset="0"/>
            </a:rPr>
            <a:t>J1   5       1       0       0       0       0       1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LNAME   METHOD  JACGUT  DDLIM   DDPOW   DDFACT  CLFREQ  AVSWP   DSLCL </a:t>
          </a:r>
        </a:p>
        <a:p>
          <a:r>
            <a:rPr lang="en-US" sz="900">
              <a:latin typeface="Courier New" pitchFamily="49" charset="0"/>
              <a:cs typeface="Courier New" pitchFamily="49" charset="0"/>
            </a:rPr>
            <a:t>J2   'Highway' 0       0       0       0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PNAME   PUNIT   NDIM    KALC    KWASH   KACGUT  LINKUP  QFACT1  QFACT2  QFACT3  QFACT4  QFACT5  WASHPO  RCOEF   CBFACT  CONCRN  REFF    REMOVE  QDECAY </a:t>
          </a:r>
        </a:p>
        <a:p>
          <a:r>
            <a:rPr lang="en-US" sz="900">
              <a:latin typeface="Courier New" pitchFamily="49" charset="0"/>
              <a:cs typeface="Courier New" pitchFamily="49" charset="0"/>
            </a:rPr>
            <a:t>J3   'Clay'  'mg/l'  0       4       0       0       0       0       0       0       0       0       0       0       0       100     0       0       0       </a:t>
          </a:r>
        </a:p>
        <a:p>
          <a:r>
            <a:rPr lang="en-US" sz="900">
              <a:latin typeface="Courier New" pitchFamily="49" charset="0"/>
              <a:cs typeface="Courier New" pitchFamily="49" charset="0"/>
            </a:rPr>
            <a:t>J3   'Silt1' 'mg/l'  0       4       0       0       0       0       0       0       0       0       0       0       0       100     0       0       0       </a:t>
          </a:r>
        </a:p>
        <a:p>
          <a:r>
            <a:rPr lang="en-US" sz="900">
              <a:latin typeface="Courier New" pitchFamily="49" charset="0"/>
              <a:cs typeface="Courier New" pitchFamily="49" charset="0"/>
            </a:rPr>
            <a:t>J3   'Silt2' 'mg/l'  0       4       0       0       0       0       0       0       0       0       0       0       0       100     0       0       0       </a:t>
          </a:r>
        </a:p>
        <a:p>
          <a:r>
            <a:rPr lang="en-US" sz="900">
              <a:latin typeface="Courier New" pitchFamily="49" charset="0"/>
              <a:cs typeface="Courier New" pitchFamily="49" charset="0"/>
            </a:rPr>
            <a:t>J3   'Silt3' 'mg/l'  0       4       0       0       0       0       0       0       0       0       0       0       0       100     0       0       0       </a:t>
          </a:r>
        </a:p>
        <a:p>
          <a:r>
            <a:rPr lang="en-US" sz="900">
              <a:latin typeface="Courier New" pitchFamily="49" charset="0"/>
              <a:cs typeface="Courier New" pitchFamily="49" charset="0"/>
            </a:rPr>
            <a:t>J3   'Sand'  'mg/l'  0       4       0       0       0       0       0       0       0       0       0       0       0       100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NAMEW   KL      BASINS  GQLEN   PSHED </a:t>
          </a:r>
        </a:p>
        <a:p>
          <a:r>
            <a:rPr lang="en-US" sz="900">
              <a:latin typeface="Courier New" pitchFamily="49" charset="0"/>
              <a:cs typeface="Courier New" pitchFamily="49" charset="0"/>
            </a:rPr>
            <a:t>L1   100     1       1       0       0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NPRNT   INTERV </a:t>
          </a:r>
        </a:p>
        <a:p>
          <a:r>
            <a:rPr lang="en-US" sz="900">
              <a:latin typeface="Courier New" pitchFamily="49" charset="0"/>
              <a:cs typeface="Courier New" pitchFamily="49" charset="0"/>
            </a:rPr>
            <a:t>M1   1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NDET    STARTP1 STOPPR1 </a:t>
          </a:r>
        </a:p>
        <a:p>
          <a:r>
            <a:rPr lang="en-US" sz="900">
              <a:latin typeface="Courier New" pitchFamily="49" charset="0"/>
              <a:cs typeface="Courier New" pitchFamily="49" charset="0"/>
            </a:rPr>
            <a:t>M2   1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IPRNT </a:t>
          </a:r>
        </a:p>
        <a:p>
          <a:r>
            <a:rPr lang="en-US" sz="900">
              <a:latin typeface="Courier New" pitchFamily="49" charset="0"/>
              <a:cs typeface="Courier New" pitchFamily="49" charset="0"/>
            </a:rPr>
            <a:t>M3   1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$ENDPROGRAM </a:t>
          </a:r>
        </a:p>
      </xdr:txBody>
    </xdr:sp>
    <xdr:clientData/>
  </xdr:twoCellAnchor>
  <xdr:twoCellAnchor>
    <xdr:from>
      <xdr:col>0</xdr:col>
      <xdr:colOff>137160</xdr:colOff>
      <xdr:row>71</xdr:row>
      <xdr:rowOff>137160</xdr:rowOff>
    </xdr:from>
    <xdr:to>
      <xdr:col>24</xdr:col>
      <xdr:colOff>441960</xdr:colOff>
      <xdr:row>144</xdr:row>
      <xdr:rowOff>60960</xdr:rowOff>
    </xdr:to>
    <xdr:sp macro="" textlink="">
      <xdr:nvSpPr>
        <xdr:cNvPr id="4" name="TextBox 3"/>
        <xdr:cNvSpPr txBox="1"/>
      </xdr:nvSpPr>
      <xdr:spPr>
        <a:xfrm>
          <a:off x="137160" y="13251180"/>
          <a:ext cx="14935200" cy="13274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Courier New" pitchFamily="49" charset="0"/>
              <a:cs typeface="Courier New" pitchFamily="49" charset="0"/>
            </a:rPr>
            <a:t>*============================================================================ </a:t>
          </a:r>
        </a:p>
        <a:p>
          <a:r>
            <a:rPr lang="en-US" sz="900">
              <a:latin typeface="Courier New" pitchFamily="49" charset="0"/>
              <a:cs typeface="Courier New" pitchFamily="49" charset="0"/>
            </a:rPr>
            <a:t>*    SWMM 4.4 STORAGE INPUT DATA FILE TEMPLATE (ALL DATA LINES)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To create your own custom templates  simply save your standard </a:t>
          </a:r>
        </a:p>
        <a:p>
          <a:r>
            <a:rPr lang="en-US" sz="900">
              <a:latin typeface="Courier New" pitchFamily="49" charset="0"/>
              <a:cs typeface="Courier New" pitchFamily="49" charset="0"/>
            </a:rPr>
            <a:t>*    input data file (*.dat) in the template sub-folder of PCSWMM. </a:t>
          </a:r>
        </a:p>
        <a:p>
          <a:r>
            <a:rPr lang="en-US" sz="900">
              <a:latin typeface="Courier New" pitchFamily="49" charset="0"/>
              <a:cs typeface="Courier New" pitchFamily="49" charset="0"/>
            </a:rPr>
            <a:t>*    The template folder can also be reassigned in the New dialog box </a:t>
          </a:r>
        </a:p>
        <a:p>
          <a:r>
            <a:rPr lang="en-US" sz="900">
              <a:latin typeface="Courier New" pitchFamily="49" charset="0"/>
              <a:cs typeface="Courier New" pitchFamily="49" charset="0"/>
            </a:rPr>
            <a:t>*    of PCSWMM (From the File menu  choose New...).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This file will not run as is - some or all of the optional lines </a:t>
          </a:r>
        </a:p>
        <a:p>
          <a:r>
            <a:rPr lang="en-US" sz="900">
              <a:latin typeface="Courier New" pitchFamily="49" charset="0"/>
              <a:cs typeface="Courier New" pitchFamily="49" charset="0"/>
            </a:rPr>
            <a:t>*    may need to be removed depending on the purpose of the file. You </a:t>
          </a:r>
        </a:p>
        <a:p>
          <a:r>
            <a:rPr lang="en-US" sz="900">
              <a:latin typeface="Courier New" pitchFamily="49" charset="0"/>
              <a:cs typeface="Courier New" pitchFamily="49" charset="0"/>
            </a:rPr>
            <a:t>*    also must replace all parameter values with ones relevant to your </a:t>
          </a:r>
        </a:p>
        <a:p>
          <a:r>
            <a:rPr lang="en-US" sz="900">
              <a:latin typeface="Courier New" pitchFamily="49" charset="0"/>
              <a:cs typeface="Courier New" pitchFamily="49" charset="0"/>
            </a:rPr>
            <a:t>*    model. </a:t>
          </a:r>
        </a:p>
        <a:p>
          <a:r>
            <a:rPr lang="en-US" sz="900">
              <a:latin typeface="Courier New" pitchFamily="49" charset="0"/>
              <a:cs typeface="Courier New" pitchFamily="49" charset="0"/>
            </a:rPr>
            <a:t>*    See the SWMM manuals for additional notes on input format.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$STORAGE/TREATMENT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Title Lines </a:t>
          </a:r>
        </a:p>
        <a:p>
          <a:r>
            <a:rPr lang="en-US" sz="900">
              <a:latin typeface="Courier New" pitchFamily="49" charset="0"/>
              <a:cs typeface="Courier New" pitchFamily="49" charset="0"/>
            </a:rPr>
            <a:t>A1   'UU BMP' </a:t>
          </a:r>
        </a:p>
        <a:p>
          <a:r>
            <a:rPr lang="en-US" sz="900">
              <a:latin typeface="Courier New" pitchFamily="49" charset="0"/>
              <a:cs typeface="Courier New" pitchFamily="49" charset="0"/>
            </a:rPr>
            <a:t>A2   'TSS Removal by Particle Settling Theory'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NOTAPE  JNS     NDT     DS      NU      NP      ICOST   METRIC  SAREA </a:t>
          </a:r>
        </a:p>
        <a:p>
          <a:r>
            <a:rPr lang="en-US" sz="900">
              <a:latin typeface="Courier New" pitchFamily="49" charset="0"/>
              <a:cs typeface="Courier New" pitchFamily="49" charset="0"/>
            </a:rPr>
            <a:t>B1   0       1       1068768 300     1       5       0       0       0       </a:t>
          </a:r>
        </a:p>
        <a:p>
          <a:r>
            <a:rPr lang="en-US" sz="900">
              <a:latin typeface="Courier New" pitchFamily="49" charset="0"/>
              <a:cs typeface="Courier New" pitchFamily="49" charset="0"/>
            </a:rPr>
            <a:t>*    IDATE   TIME    ISUM    IDET    NPR </a:t>
          </a:r>
        </a:p>
        <a:p>
          <a:r>
            <a:rPr lang="en-US" sz="900">
              <a:latin typeface="Courier New" pitchFamily="49" charset="0"/>
              <a:cs typeface="Courier New" pitchFamily="49" charset="0"/>
            </a:rPr>
            <a:t>C1   20000101 0.0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JAN     FEB     MAR     APR     MAY     JUN     JUL     AUG     SEP     OCT     NOV     DEC </a:t>
          </a:r>
        </a:p>
        <a:p>
          <a:r>
            <a:rPr lang="en-US" sz="900">
              <a:latin typeface="Courier New" pitchFamily="49" charset="0"/>
              <a:cs typeface="Courier New" pitchFamily="49" charset="0"/>
            </a:rPr>
            <a:t>D1   0.0    0.0    0.0    0.0     0.0    0.0    0.0    0.0    0.0    0.0    0.0    0.0    </a:t>
          </a:r>
        </a:p>
        <a:p>
          <a:r>
            <a:rPr lang="en-US" sz="900">
              <a:latin typeface="Courier New" pitchFamily="49" charset="0"/>
              <a:cs typeface="Courier New" pitchFamily="49" charset="0"/>
            </a:rPr>
            <a:t>*    IPOLL1  NDIMI1  IPART1  PNAME1  PUNIT1  IPOLL2  NDIMI2  IPART2  PNAME2  PUNIT2  IPOLL3  NDIMI3  IPART3  PNAME3  PUNIT3  IPOLL4  NDIMI4  IPART4  PNAME4  PUNIT4  IPOLL5  NDIMI5  IPART5  PNAME5  PUNIT5 </a:t>
          </a:r>
        </a:p>
        <a:p>
          <a:r>
            <a:rPr lang="en-US" sz="900">
              <a:latin typeface="Courier New" pitchFamily="49" charset="0"/>
              <a:cs typeface="Courier New" pitchFamily="49" charset="0"/>
            </a:rPr>
            <a:t>E1   1       0       1       0       0       2       0       1       0       0       3       0       1       0       0       4       0       1       0       0       5       0       1       0       0</a:t>
          </a:r>
        </a:p>
        <a:p>
          <a:r>
            <a:rPr lang="en-US" sz="900">
              <a:latin typeface="Courier New" pitchFamily="49" charset="0"/>
              <a:cs typeface="Courier New" pitchFamily="49" charset="0"/>
            </a:rPr>
            <a:t>*    NVS     NNR </a:t>
          </a:r>
        </a:p>
        <a:p>
          <a:r>
            <a:rPr lang="en-US" sz="900">
              <a:latin typeface="Courier New" pitchFamily="49" charset="0"/>
              <a:cs typeface="Courier New" pitchFamily="49" charset="0"/>
            </a:rPr>
            <a:t>E2   0       5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RAN(L1) RAN(U1) RAN(1)  RAN(2)  RAN(1)  RAN(2)  RAN(1)  RAN(2)  RAN(1)  RAN(2)  RAN(1)  RAN(2) </a:t>
          </a:r>
        </a:p>
        <a:p>
          <a:r>
            <a:rPr lang="en-US" sz="900">
              <a:latin typeface="Courier New" pitchFamily="49" charset="0"/>
              <a:cs typeface="Courier New" pitchFamily="49" charset="0"/>
            </a:rPr>
            <a:t>E3   1       2       2       8       8       32      32      75      75      200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SPG(X) </a:t>
          </a:r>
        </a:p>
        <a:p>
          <a:r>
            <a:rPr lang="en-US" sz="900">
              <a:latin typeface="Courier New" pitchFamily="49" charset="0"/>
              <a:cs typeface="Courier New" pitchFamily="49" charset="0"/>
            </a:rPr>
            <a:t>E4   1.20    1.30    1.30    1.35    1.35    1.40    1.40    1.45    1.45    1.45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JAN     FEB     MAR     APR     MAY     JUN     JUL     AUG     SEP     OCT     NOV     DEC </a:t>
          </a:r>
        </a:p>
        <a:p>
          <a:r>
            <a:rPr lang="en-US" sz="900">
              <a:latin typeface="Courier New" pitchFamily="49" charset="0"/>
              <a:cs typeface="Courier New" pitchFamily="49" charset="0"/>
            </a:rPr>
            <a:t>E5   39	     39	     42	     49	     56	     69	     75	     75	     70	     58	     50	     44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PSD(X)... </a:t>
          </a:r>
        </a:p>
        <a:p>
          <a:r>
            <a:rPr lang="en-US" sz="900">
              <a:latin typeface="Courier New" pitchFamily="49" charset="0"/>
              <a:cs typeface="Courier New" pitchFamily="49" charset="0"/>
            </a:rPr>
            <a:t>E6   1.0     0       0       0       0       </a:t>
          </a:r>
        </a:p>
        <a:p>
          <a:r>
            <a:rPr lang="en-US" sz="900">
              <a:latin typeface="Courier New" pitchFamily="49" charset="0"/>
              <a:cs typeface="Courier New" pitchFamily="49" charset="0"/>
            </a:rPr>
            <a:t>E6   0       1.0     0       0       0       </a:t>
          </a:r>
        </a:p>
        <a:p>
          <a:r>
            <a:rPr lang="en-US" sz="900">
              <a:latin typeface="Courier New" pitchFamily="49" charset="0"/>
              <a:cs typeface="Courier New" pitchFamily="49" charset="0"/>
            </a:rPr>
            <a:t>E6   0       0       1.0     0       0       </a:t>
          </a:r>
        </a:p>
        <a:p>
          <a:r>
            <a:rPr lang="en-US" sz="900">
              <a:latin typeface="Courier New" pitchFamily="49" charset="0"/>
              <a:cs typeface="Courier New" pitchFamily="49" charset="0"/>
            </a:rPr>
            <a:t>E6   0       0       0       1.0     0       </a:t>
          </a:r>
        </a:p>
        <a:p>
          <a:r>
            <a:rPr lang="en-US" sz="900">
              <a:latin typeface="Courier New" pitchFamily="49" charset="0"/>
              <a:cs typeface="Courier New" pitchFamily="49" charset="0"/>
            </a:rPr>
            <a:t>E6   0       0       0       0       1.0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UNIT NAME </a:t>
          </a:r>
        </a:p>
        <a:p>
          <a:r>
            <a:rPr lang="en-US" sz="900">
              <a:latin typeface="Courier New" pitchFamily="49" charset="0"/>
              <a:cs typeface="Courier New" pitchFamily="49" charset="0"/>
            </a:rPr>
            <a:t>F1   'Underground Vault'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IDENT   QMAX(I) QRF(I)  IDIREC1 IDIREC2 IDIREC3 </a:t>
          </a:r>
        </a:p>
        <a:p>
          <a:r>
            <a:rPr lang="en-US" sz="900">
              <a:latin typeface="Courier New" pitchFamily="49" charset="0"/>
              <a:cs typeface="Courier New" pitchFamily="49" charset="0"/>
            </a:rPr>
            <a:t>F2   1       100     0       100     100     100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IROUTE  IOUT    IDRAW   IRES </a:t>
          </a:r>
        </a:p>
        <a:p>
          <a:r>
            <a:rPr lang="en-US" sz="900">
              <a:latin typeface="Courier New" pitchFamily="49" charset="0"/>
              <a:cs typeface="Courier New" pitchFamily="49" charset="0"/>
            </a:rPr>
            <a:t>H1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ALEN(I) AMAN(I) </a:t>
          </a:r>
        </a:p>
        <a:p>
          <a:r>
            <a:rPr lang="en-US" sz="900">
              <a:latin typeface="Courier New" pitchFamily="49" charset="0"/>
              <a:cs typeface="Courier New" pitchFamily="49" charset="0"/>
            </a:rPr>
            <a:t>H2   60.2    0.014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DEPTH      AREA    VOLUME QOUT     QRES </a:t>
          </a:r>
        </a:p>
        <a:p>
          <a:r>
            <a:rPr lang="en-US" sz="900">
              <a:latin typeface="Courier New" pitchFamily="49" charset="0"/>
              <a:cs typeface="Courier New" pitchFamily="49" charset="0"/>
            </a:rPr>
            <a:t>H3 0.00 904 0 0.00 0</a:t>
          </a:r>
        </a:p>
        <a:p>
          <a:r>
            <a:rPr lang="en-US" sz="900">
              <a:latin typeface="Courier New" pitchFamily="49" charset="0"/>
              <a:cs typeface="Courier New" pitchFamily="49" charset="0"/>
            </a:rPr>
            <a:t>H3 0.20 904 0 0.13 0</a:t>
          </a:r>
        </a:p>
        <a:p>
          <a:r>
            <a:rPr lang="en-US" sz="900">
              <a:latin typeface="Courier New" pitchFamily="49" charset="0"/>
              <a:cs typeface="Courier New" pitchFamily="49" charset="0"/>
            </a:rPr>
            <a:t>H3 0.32 904 0 0.17 0</a:t>
          </a:r>
        </a:p>
        <a:p>
          <a:r>
            <a:rPr lang="en-US" sz="900">
              <a:latin typeface="Courier New" pitchFamily="49" charset="0"/>
              <a:cs typeface="Courier New" pitchFamily="49" charset="0"/>
            </a:rPr>
            <a:t>H3 0.40 904 0 0.19 0</a:t>
          </a:r>
        </a:p>
        <a:p>
          <a:r>
            <a:rPr lang="en-US" sz="900">
              <a:latin typeface="Courier New" pitchFamily="49" charset="0"/>
              <a:cs typeface="Courier New" pitchFamily="49" charset="0"/>
            </a:rPr>
            <a:t>H3 0.60 904 0 0.23 0</a:t>
          </a:r>
        </a:p>
        <a:p>
          <a:r>
            <a:rPr lang="en-US" sz="900">
              <a:latin typeface="Courier New" pitchFamily="49" charset="0"/>
              <a:cs typeface="Courier New" pitchFamily="49" charset="0"/>
            </a:rPr>
            <a:t>H3 0.80 904 0 0.27 0</a:t>
          </a:r>
        </a:p>
        <a:p>
          <a:r>
            <a:rPr lang="en-US" sz="900">
              <a:latin typeface="Courier New" pitchFamily="49" charset="0"/>
              <a:cs typeface="Courier New" pitchFamily="49" charset="0"/>
            </a:rPr>
            <a:t>H3 1.20 904 0 0.33 0</a:t>
          </a:r>
        </a:p>
        <a:p>
          <a:r>
            <a:rPr lang="en-US" sz="900">
              <a:latin typeface="Courier New" pitchFamily="49" charset="0"/>
              <a:cs typeface="Courier New" pitchFamily="49" charset="0"/>
            </a:rPr>
            <a:t>H3 1.60 904 0 0.38 0</a:t>
          </a:r>
        </a:p>
        <a:p>
          <a:r>
            <a:rPr lang="en-US" sz="900">
              <a:latin typeface="Courier New" pitchFamily="49" charset="0"/>
              <a:cs typeface="Courier New" pitchFamily="49" charset="0"/>
            </a:rPr>
            <a:t>H3 2.00 904 0 0.42 0</a:t>
          </a:r>
        </a:p>
        <a:p>
          <a:r>
            <a:rPr lang="en-US" sz="900">
              <a:latin typeface="Courier New" pitchFamily="49" charset="0"/>
              <a:cs typeface="Courier New" pitchFamily="49" charset="0"/>
            </a:rPr>
            <a:t>H3 2.40 904 0 0.46 0</a:t>
          </a:r>
        </a:p>
        <a:p>
          <a:r>
            <a:rPr lang="en-US" sz="900">
              <a:latin typeface="Courier New" pitchFamily="49" charset="0"/>
              <a:cs typeface="Courier New" pitchFamily="49" charset="0"/>
            </a:rPr>
            <a:t>H3 2.80 904 0 0.50 0</a:t>
          </a:r>
        </a:p>
        <a:p>
          <a:r>
            <a:rPr lang="en-US" sz="900">
              <a:latin typeface="Courier New" pitchFamily="49" charset="0"/>
              <a:cs typeface="Courier New" pitchFamily="49" charset="0"/>
            </a:rPr>
            <a:t>H3 3.00 904 0 0.52 0</a:t>
          </a:r>
        </a:p>
        <a:p>
          <a:r>
            <a:rPr lang="en-US" sz="900">
              <a:latin typeface="Courier New" pitchFamily="49" charset="0"/>
              <a:cs typeface="Courier New" pitchFamily="49" charset="0"/>
            </a:rPr>
            <a:t>H3 3.20 904 0 0.54 0</a:t>
          </a:r>
        </a:p>
        <a:p>
          <a:r>
            <a:rPr lang="en-US" sz="900">
              <a:latin typeface="Courier New" pitchFamily="49" charset="0"/>
              <a:cs typeface="Courier New" pitchFamily="49" charset="0"/>
            </a:rPr>
            <a:t>H3 3.52 904 0 0.56 0</a:t>
          </a:r>
        </a:p>
        <a:p>
          <a:r>
            <a:rPr lang="en-US" sz="900">
              <a:latin typeface="Courier New" pitchFamily="49" charset="0"/>
              <a:cs typeface="Courier New" pitchFamily="49" charset="0"/>
            </a:rPr>
            <a:t>H3 3.60 904 0 0.57 0</a:t>
          </a:r>
        </a:p>
        <a:p>
          <a:r>
            <a:rPr lang="en-US" sz="900">
              <a:latin typeface="Courier New" pitchFamily="49" charset="0"/>
              <a:cs typeface="Courier New" pitchFamily="49" charset="0"/>
            </a:rPr>
            <a:t>H3 4.00 904 0 0.60 0</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C1      D0      C2 </a:t>
          </a:r>
        </a:p>
        <a:p>
          <a:r>
            <a:rPr lang="en-US" sz="900">
              <a:latin typeface="Courier New" pitchFamily="49" charset="0"/>
              <a:cs typeface="Courier New" pitchFamily="49" charset="0"/>
            </a:rPr>
            <a:t>*H4  0.00288 0       3.64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C3      D1      C4 </a:t>
          </a:r>
        </a:p>
        <a:p>
          <a:r>
            <a:rPr lang="en-US" sz="900">
              <a:latin typeface="Courier New" pitchFamily="49" charset="0"/>
              <a:cs typeface="Courier New" pitchFamily="49" charset="0"/>
            </a:rPr>
            <a:t>*H6  100     0       1.6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NPSL    SLDEN   SLDMAX </a:t>
          </a:r>
        </a:p>
        <a:p>
          <a:r>
            <a:rPr lang="en-US" sz="900">
              <a:latin typeface="Courier New" pitchFamily="49" charset="0"/>
              <a:cs typeface="Courier New" pitchFamily="49" charset="0"/>
            </a:rPr>
            <a:t>H7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WARN(I) PCO(1)  PCO(2)  PCO(3) </a:t>
          </a:r>
        </a:p>
        <a:p>
          <a:r>
            <a:rPr lang="en-US" sz="900">
              <a:latin typeface="Courier New" pitchFamily="49" charset="0"/>
              <a:cs typeface="Courier New" pitchFamily="49" charset="0"/>
            </a:rPr>
            <a:t>H8   0       0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$ENDPROGRAM </a:t>
          </a:r>
        </a:p>
      </xdr:txBody>
    </xdr:sp>
    <xdr:clientData/>
  </xdr:twoCellAnchor>
  <xdr:twoCellAnchor>
    <xdr:from>
      <xdr:col>0</xdr:col>
      <xdr:colOff>152400</xdr:colOff>
      <xdr:row>147</xdr:row>
      <xdr:rowOff>114300</xdr:rowOff>
    </xdr:from>
    <xdr:to>
      <xdr:col>15</xdr:col>
      <xdr:colOff>205740</xdr:colOff>
      <xdr:row>195</xdr:row>
      <xdr:rowOff>22860</xdr:rowOff>
    </xdr:to>
    <xdr:sp macro="" textlink="">
      <xdr:nvSpPr>
        <xdr:cNvPr id="5" name="TextBox 4"/>
        <xdr:cNvSpPr txBox="1"/>
      </xdr:nvSpPr>
      <xdr:spPr>
        <a:xfrm>
          <a:off x="152400" y="27127200"/>
          <a:ext cx="9197340" cy="868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latin typeface="Courier New" pitchFamily="49" charset="0"/>
              <a:cs typeface="Courier New" pitchFamily="49" charset="0"/>
            </a:rPr>
            <a:t>*============================================================================ </a:t>
          </a:r>
        </a:p>
        <a:p>
          <a:r>
            <a:rPr lang="en-US" sz="900">
              <a:latin typeface="Courier New" pitchFamily="49" charset="0"/>
              <a:cs typeface="Courier New" pitchFamily="49" charset="0"/>
            </a:rPr>
            <a:t>*    SWMM 4.4 STORAGE INPUT DATA FILE TEMPLATE (ALL DATA LINES)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To create your own custom templates  simply save your standard </a:t>
          </a:r>
        </a:p>
        <a:p>
          <a:r>
            <a:rPr lang="en-US" sz="900">
              <a:latin typeface="Courier New" pitchFamily="49" charset="0"/>
              <a:cs typeface="Courier New" pitchFamily="49" charset="0"/>
            </a:rPr>
            <a:t>*    input data file (*.dat) in the template sub-folder of PCSWMM. </a:t>
          </a:r>
        </a:p>
        <a:p>
          <a:r>
            <a:rPr lang="en-US" sz="900">
              <a:latin typeface="Courier New" pitchFamily="49" charset="0"/>
              <a:cs typeface="Courier New" pitchFamily="49" charset="0"/>
            </a:rPr>
            <a:t>*    The template folder can also be reassigned in the New dialog box </a:t>
          </a:r>
        </a:p>
        <a:p>
          <a:r>
            <a:rPr lang="en-US" sz="900">
              <a:latin typeface="Courier New" pitchFamily="49" charset="0"/>
              <a:cs typeface="Courier New" pitchFamily="49" charset="0"/>
            </a:rPr>
            <a:t>*    of PCSWMM (From the File menu  choose New...).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This file will not run as is - some or all of the optional lines </a:t>
          </a:r>
        </a:p>
        <a:p>
          <a:r>
            <a:rPr lang="en-US" sz="900">
              <a:latin typeface="Courier New" pitchFamily="49" charset="0"/>
              <a:cs typeface="Courier New" pitchFamily="49" charset="0"/>
            </a:rPr>
            <a:t>*    may need to be removed depending on the purpose of the file. You </a:t>
          </a:r>
        </a:p>
        <a:p>
          <a:r>
            <a:rPr lang="en-US" sz="900">
              <a:latin typeface="Courier New" pitchFamily="49" charset="0"/>
              <a:cs typeface="Courier New" pitchFamily="49" charset="0"/>
            </a:rPr>
            <a:t>*    also must replace all parameter values with ones relevant to your </a:t>
          </a:r>
        </a:p>
        <a:p>
          <a:r>
            <a:rPr lang="en-US" sz="900">
              <a:latin typeface="Courier New" pitchFamily="49" charset="0"/>
              <a:cs typeface="Courier New" pitchFamily="49" charset="0"/>
            </a:rPr>
            <a:t>*    model. </a:t>
          </a:r>
        </a:p>
        <a:p>
          <a:r>
            <a:rPr lang="en-US" sz="900">
              <a:latin typeface="Courier New" pitchFamily="49" charset="0"/>
              <a:cs typeface="Courier New" pitchFamily="49" charset="0"/>
            </a:rPr>
            <a:t>*    See the SWMM manuals for additional notes on input format.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$STORAGE/TREATMENT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Title Lines </a:t>
          </a:r>
        </a:p>
        <a:p>
          <a:r>
            <a:rPr lang="en-US" sz="900">
              <a:latin typeface="Courier New" pitchFamily="49" charset="0"/>
              <a:cs typeface="Courier New" pitchFamily="49" charset="0"/>
            </a:rPr>
            <a:t>A1   'Flow Based UU BMP' </a:t>
          </a:r>
        </a:p>
        <a:p>
          <a:r>
            <a:rPr lang="en-US" sz="900">
              <a:latin typeface="Courier New" pitchFamily="49" charset="0"/>
              <a:cs typeface="Courier New" pitchFamily="49" charset="0"/>
            </a:rPr>
            <a:t>A2   'Media Filter'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NOTAPE  JNS     NDT     DS      NU      NP      ICOST   METRIC  SAREA </a:t>
          </a:r>
        </a:p>
        <a:p>
          <a:r>
            <a:rPr lang="en-US" sz="900">
              <a:latin typeface="Courier New" pitchFamily="49" charset="0"/>
              <a:cs typeface="Courier New" pitchFamily="49" charset="0"/>
            </a:rPr>
            <a:t>B1   0       1       1068768 300     1       0       0       0       0       </a:t>
          </a:r>
        </a:p>
        <a:p>
          <a:r>
            <a:rPr lang="en-US" sz="900">
              <a:latin typeface="Courier New" pitchFamily="49" charset="0"/>
              <a:cs typeface="Courier New" pitchFamily="49" charset="0"/>
            </a:rPr>
            <a:t>*    IDATE   TIME    ISUM    IDET    NPR </a:t>
          </a:r>
        </a:p>
        <a:p>
          <a:r>
            <a:rPr lang="en-US" sz="900">
              <a:latin typeface="Courier New" pitchFamily="49" charset="0"/>
              <a:cs typeface="Courier New" pitchFamily="49" charset="0"/>
            </a:rPr>
            <a:t>C1   20000101 0.0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JAN     FEB     MAR     APR     MAY     JUN     JUL     AUG     SEP     OCT     NOV     DEC </a:t>
          </a:r>
        </a:p>
        <a:p>
          <a:r>
            <a:rPr lang="en-US" sz="900">
              <a:latin typeface="Courier New" pitchFamily="49" charset="0"/>
              <a:cs typeface="Courier New" pitchFamily="49" charset="0"/>
            </a:rPr>
            <a:t>D1   0.06    0.08    0.11    0.15    0.17    0.19    0.19    0.17    0.14    0.11    0.08    0.06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UNIT NAME </a:t>
          </a:r>
        </a:p>
        <a:p>
          <a:r>
            <a:rPr lang="en-US" sz="900">
              <a:latin typeface="Courier New" pitchFamily="49" charset="0"/>
              <a:cs typeface="Courier New" pitchFamily="49" charset="0"/>
            </a:rPr>
            <a:t>F1   'Media Filter'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IDENT   QMAX(I) QRF(I)  IDIREC1 IDIREC2 IDIREC3 </a:t>
          </a:r>
        </a:p>
        <a:p>
          <a:r>
            <a:rPr lang="en-US" sz="900">
              <a:latin typeface="Courier New" pitchFamily="49" charset="0"/>
              <a:cs typeface="Courier New" pitchFamily="49" charset="0"/>
            </a:rPr>
            <a:t>F2   1       100     0       200     100     200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IROUTE  IOUT    IDRAW   IRES </a:t>
          </a:r>
        </a:p>
        <a:p>
          <a:r>
            <a:rPr lang="en-US" sz="900">
              <a:latin typeface="Courier New" pitchFamily="49" charset="0"/>
              <a:cs typeface="Courier New" pitchFamily="49" charset="0"/>
            </a:rPr>
            <a:t>H1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ALEN(I) AMAN(I) </a:t>
          </a:r>
        </a:p>
        <a:p>
          <a:r>
            <a:rPr lang="en-US" sz="900">
              <a:latin typeface="Courier New" pitchFamily="49" charset="0"/>
              <a:cs typeface="Courier New" pitchFamily="49" charset="0"/>
            </a:rPr>
            <a:t>*H2  19.1    0.014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DEPTH      AREA    VOLUME  QOUT    QRES </a:t>
          </a:r>
        </a:p>
        <a:p>
          <a:r>
            <a:rPr lang="en-US" sz="900">
              <a:latin typeface="Courier New" pitchFamily="49" charset="0"/>
              <a:cs typeface="Courier New" pitchFamily="49" charset="0"/>
            </a:rPr>
            <a:t>H3   0.00    400     0       0.0000  0       </a:t>
          </a:r>
        </a:p>
        <a:p>
          <a:r>
            <a:rPr lang="en-US" sz="900">
              <a:latin typeface="Courier New" pitchFamily="49" charset="0"/>
              <a:cs typeface="Courier New" pitchFamily="49" charset="0"/>
            </a:rPr>
            <a:t>H3   0.01    400     0       0.0465  0       </a:t>
          </a:r>
        </a:p>
        <a:p>
          <a:r>
            <a:rPr lang="en-US" sz="900">
              <a:latin typeface="Courier New" pitchFamily="49" charset="0"/>
              <a:cs typeface="Courier New" pitchFamily="49" charset="0"/>
            </a:rPr>
            <a:t>H3   0.25    400     0       0.0521  0       </a:t>
          </a:r>
        </a:p>
        <a:p>
          <a:r>
            <a:rPr lang="en-US" sz="900">
              <a:latin typeface="Courier New" pitchFamily="49" charset="0"/>
              <a:cs typeface="Courier New" pitchFamily="49" charset="0"/>
            </a:rPr>
            <a:t>H3   0.50    400     0       0.0579  0       </a:t>
          </a:r>
        </a:p>
        <a:p>
          <a:r>
            <a:rPr lang="en-US" sz="900">
              <a:latin typeface="Courier New" pitchFamily="49" charset="0"/>
              <a:cs typeface="Courier New" pitchFamily="49" charset="0"/>
            </a:rPr>
            <a:t>H3   0.75    400     0       0.0637  0       </a:t>
          </a:r>
        </a:p>
        <a:p>
          <a:r>
            <a:rPr lang="en-US" sz="900">
              <a:latin typeface="Courier New" pitchFamily="49" charset="0"/>
              <a:cs typeface="Courier New" pitchFamily="49" charset="0"/>
            </a:rPr>
            <a:t>H3   1.00    400     0       0.0694  0       </a:t>
          </a:r>
        </a:p>
        <a:p>
          <a:r>
            <a:rPr lang="en-US" sz="900">
              <a:latin typeface="Courier New" pitchFamily="49" charset="0"/>
              <a:cs typeface="Courier New" pitchFamily="49" charset="0"/>
            </a:rPr>
            <a:t>*H3  1.50    400     0       0.0810  0 </a:t>
          </a:r>
        </a:p>
        <a:p>
          <a:r>
            <a:rPr lang="en-US" sz="900">
              <a:latin typeface="Courier New" pitchFamily="49" charset="0"/>
              <a:cs typeface="Courier New" pitchFamily="49" charset="0"/>
            </a:rPr>
            <a:t>*H3  2.00    400     0       0.0926  0 </a:t>
          </a:r>
        </a:p>
        <a:p>
          <a:r>
            <a:rPr lang="en-US" sz="900">
              <a:latin typeface="Courier New" pitchFamily="49" charset="0"/>
              <a:cs typeface="Courier New" pitchFamily="49" charset="0"/>
            </a:rPr>
            <a:t>*H3  2.50    400     0       0.1042  0 </a:t>
          </a:r>
        </a:p>
        <a:p>
          <a:r>
            <a:rPr lang="en-US" sz="900">
              <a:latin typeface="Courier New" pitchFamily="49" charset="0"/>
              <a:cs typeface="Courier New" pitchFamily="49" charset="0"/>
            </a:rPr>
            <a:t>*H3  3.00    400     0       0.1157  0 </a:t>
          </a:r>
        </a:p>
        <a:p>
          <a:r>
            <a:rPr lang="en-US" sz="900">
              <a:latin typeface="Courier New" pitchFamily="49" charset="0"/>
              <a:cs typeface="Courier New" pitchFamily="49" charset="0"/>
            </a:rPr>
            <a:t>*H3  3.50    400     0       0.1273  0 </a:t>
          </a:r>
        </a:p>
        <a:p>
          <a:r>
            <a:rPr lang="en-US" sz="900">
              <a:latin typeface="Courier New" pitchFamily="49" charset="0"/>
              <a:cs typeface="Courier New" pitchFamily="49" charset="0"/>
            </a:rPr>
            <a:t>*H3  4.00    400     0       0.1389  0 </a:t>
          </a:r>
        </a:p>
        <a:p>
          <a:r>
            <a:rPr lang="en-US" sz="900">
              <a:latin typeface="Courier New" pitchFamily="49" charset="0"/>
              <a:cs typeface="Courier New" pitchFamily="49" charset="0"/>
            </a:rPr>
            <a:t>*    C1      D0      C2 </a:t>
          </a:r>
        </a:p>
        <a:p>
          <a:r>
            <a:rPr lang="en-US" sz="900">
              <a:latin typeface="Courier New" pitchFamily="49" charset="0"/>
              <a:cs typeface="Courier New" pitchFamily="49" charset="0"/>
            </a:rPr>
            <a:t>*H4  0.00288 0       3.64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     NPSL    SLDEN   SLDMAX </a:t>
          </a:r>
        </a:p>
        <a:p>
          <a:r>
            <a:rPr lang="en-US" sz="900">
              <a:latin typeface="Courier New" pitchFamily="49" charset="0"/>
              <a:cs typeface="Courier New" pitchFamily="49" charset="0"/>
            </a:rPr>
            <a:t>H7   0       0       0       </a:t>
          </a:r>
        </a:p>
        <a:p>
          <a:r>
            <a:rPr lang="en-US" sz="900">
              <a:latin typeface="Courier New" pitchFamily="49" charset="0"/>
              <a:cs typeface="Courier New" pitchFamily="49" charset="0"/>
            </a:rPr>
            <a:t>*    WARN(I) PCO(1)  PCO(2)  PCO(3) </a:t>
          </a:r>
        </a:p>
        <a:p>
          <a:r>
            <a:rPr lang="en-US" sz="900">
              <a:latin typeface="Courier New" pitchFamily="49" charset="0"/>
              <a:cs typeface="Courier New" pitchFamily="49" charset="0"/>
            </a:rPr>
            <a:t>H8   0       0       0       0       </a:t>
          </a:r>
        </a:p>
        <a:p>
          <a:r>
            <a:rPr lang="en-US" sz="900">
              <a:latin typeface="Courier New" pitchFamily="49" charset="0"/>
              <a:cs typeface="Courier New" pitchFamily="49" charset="0"/>
            </a:rPr>
            <a:t>*    TCAR    PQCAR   PCAR1   PCAR2   PCAR3 </a:t>
          </a:r>
        </a:p>
        <a:p>
          <a:r>
            <a:rPr lang="en-US" sz="900">
              <a:latin typeface="Courier New" pitchFamily="49" charset="0"/>
              <a:cs typeface="Courier New" pitchFamily="49" charset="0"/>
            </a:rPr>
            <a:t>J1   0       0       0       0       0       </a:t>
          </a:r>
        </a:p>
        <a:p>
          <a:r>
            <a:rPr lang="en-US" sz="900">
              <a:latin typeface="Courier New" pitchFamily="49" charset="0"/>
              <a:cs typeface="Courier New" pitchFamily="49" charset="0"/>
            </a:rPr>
            <a:t>*    </a:t>
          </a:r>
        </a:p>
        <a:p>
          <a:r>
            <a:rPr lang="en-US" sz="900">
              <a:latin typeface="Courier New" pitchFamily="49" charset="0"/>
              <a:cs typeface="Courier New" pitchFamily="49" charset="0"/>
            </a:rPr>
            <a:t>$ENDPROGRAM </a:t>
          </a:r>
        </a:p>
        <a:p>
          <a:endParaRPr lang="en-US" sz="900">
            <a:latin typeface="Courier New" pitchFamily="49" charset="0"/>
            <a:cs typeface="Courier New" pitchFamily="49" charset="0"/>
          </a:endParaRPr>
        </a:p>
        <a:p>
          <a:endParaRPr lang="en-US"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0.78958</cdr:x>
      <cdr:y>0.20058</cdr:y>
    </cdr:from>
    <cdr:to>
      <cdr:x>0.98299</cdr:x>
      <cdr:y>0.37032</cdr:y>
    </cdr:to>
    <cdr:sp macro="" textlink="">
      <cdr:nvSpPr>
        <cdr:cNvPr id="2" name="TextBox 1"/>
        <cdr:cNvSpPr txBox="1"/>
      </cdr:nvSpPr>
      <cdr:spPr>
        <a:xfrm xmlns:a="http://schemas.openxmlformats.org/drawingml/2006/main">
          <a:off x="4331952" y="734024"/>
          <a:ext cx="1061103" cy="621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Design Hydraulic Conductivity (K) </a:t>
          </a:r>
        </a:p>
      </cdr:txBody>
    </cdr:sp>
  </cdr:relSizeAnchor>
</c:userShapes>
</file>

<file path=xl/drawings/drawing5.xml><?xml version="1.0" encoding="utf-8"?>
<c:userShapes xmlns:c="http://schemas.openxmlformats.org/drawingml/2006/chart">
  <cdr:relSizeAnchor xmlns:cdr="http://schemas.openxmlformats.org/drawingml/2006/chartDrawing">
    <cdr:from>
      <cdr:x>0.78458</cdr:x>
      <cdr:y>0.20716</cdr:y>
    </cdr:from>
    <cdr:to>
      <cdr:x>0.98</cdr:x>
      <cdr:y>0.39769</cdr:y>
    </cdr:to>
    <cdr:sp macro="" textlink="">
      <cdr:nvSpPr>
        <cdr:cNvPr id="2" name="TextBox 1"/>
        <cdr:cNvSpPr txBox="1"/>
      </cdr:nvSpPr>
      <cdr:spPr>
        <a:xfrm xmlns:a="http://schemas.openxmlformats.org/drawingml/2006/main">
          <a:off x="3587115" y="757708"/>
          <a:ext cx="893445" cy="6968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100">
              <a:latin typeface="Calibri"/>
              <a:ea typeface="+mn-ea"/>
              <a:cs typeface="+mn-cs"/>
            </a:rPr>
            <a:t>Design Hydraulic Conductivity (K)</a:t>
          </a:r>
          <a:endParaRPr lang="en-US"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21</xdr:row>
      <xdr:rowOff>152400</xdr:rowOff>
    </xdr:from>
    <xdr:to>
      <xdr:col>6</xdr:col>
      <xdr:colOff>152400</xdr:colOff>
      <xdr:row>40</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114301</xdr:colOff>
      <xdr:row>40</xdr:row>
      <xdr:rowOff>142875</xdr:rowOff>
    </xdr:from>
    <xdr:to>
      <xdr:col>6</xdr:col>
      <xdr:colOff>142876</xdr:colOff>
      <xdr:row>59</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15241</xdr:rowOff>
    </xdr:from>
    <xdr:to>
      <xdr:col>8</xdr:col>
      <xdr:colOff>9525</xdr:colOff>
      <xdr:row>87</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19051</xdr:colOff>
      <xdr:row>22</xdr:row>
      <xdr:rowOff>1903</xdr:rowOff>
    </xdr:from>
    <xdr:to>
      <xdr:col>19</xdr:col>
      <xdr:colOff>0</xdr:colOff>
      <xdr:row>40</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38101</xdr:colOff>
      <xdr:row>41</xdr:row>
      <xdr:rowOff>9525</xdr:rowOff>
    </xdr:from>
    <xdr:to>
      <xdr:col>19</xdr:col>
      <xdr:colOff>9525</xdr:colOff>
      <xdr:row>59</xdr:row>
      <xdr:rowOff>123825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57150</xdr:colOff>
      <xdr:row>22</xdr:row>
      <xdr:rowOff>19051</xdr:rowOff>
    </xdr:from>
    <xdr:to>
      <xdr:col>30</xdr:col>
      <xdr:colOff>114300</xdr:colOff>
      <xdr:row>40</xdr:row>
      <xdr:rowOff>104775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76201</xdr:colOff>
      <xdr:row>41</xdr:row>
      <xdr:rowOff>9525</xdr:rowOff>
    </xdr:from>
    <xdr:to>
      <xdr:col>30</xdr:col>
      <xdr:colOff>123825</xdr:colOff>
      <xdr:row>59</xdr:row>
      <xdr:rowOff>161925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34</xdr:col>
      <xdr:colOff>108585</xdr:colOff>
      <xdr:row>79</xdr:row>
      <xdr:rowOff>110490</xdr:rowOff>
    </xdr:from>
    <xdr:to>
      <xdr:col>43</xdr:col>
      <xdr:colOff>41910</xdr:colOff>
      <xdr:row>99</xdr:row>
      <xdr:rowOff>5715</xdr:rowOff>
    </xdr:to>
    <xdr:pic>
      <xdr:nvPicPr>
        <xdr:cNvPr id="9"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22381845" y="14763750"/>
          <a:ext cx="6189345" cy="3552825"/>
        </a:xfrm>
        <a:prstGeom prst="rect">
          <a:avLst/>
        </a:prstGeom>
        <a:noFill/>
      </xdr:spPr>
    </xdr:pic>
    <xdr:clientData/>
  </xdr:twoCellAnchor>
  <xdr:twoCellAnchor>
    <xdr:from>
      <xdr:col>32</xdr:col>
      <xdr:colOff>609599</xdr:colOff>
      <xdr:row>0</xdr:row>
      <xdr:rowOff>57150</xdr:rowOff>
    </xdr:from>
    <xdr:to>
      <xdr:col>33</xdr:col>
      <xdr:colOff>428624</xdr:colOff>
      <xdr:row>0</xdr:row>
      <xdr:rowOff>142875</xdr:rowOff>
    </xdr:to>
    <xdr:sp macro="" textlink="">
      <xdr:nvSpPr>
        <xdr:cNvPr id="10" name="Right Arrow 9"/>
        <xdr:cNvSpPr/>
      </xdr:nvSpPr>
      <xdr:spPr>
        <a:xfrm>
          <a:off x="21663659" y="57150"/>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34</xdr:col>
      <xdr:colOff>0</xdr:colOff>
      <xdr:row>17</xdr:row>
      <xdr:rowOff>57150</xdr:rowOff>
    </xdr:from>
    <xdr:to>
      <xdr:col>34</xdr:col>
      <xdr:colOff>0</xdr:colOff>
      <xdr:row>36</xdr:row>
      <xdr:rowOff>114300</xdr:rowOff>
    </xdr:to>
    <xdr:graphicFrame macro="">
      <xdr:nvGraphicFramePr>
        <xdr:cNvPr id="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37</xdr:row>
      <xdr:rowOff>142875</xdr:rowOff>
    </xdr:from>
    <xdr:to>
      <xdr:col>34</xdr:col>
      <xdr:colOff>0</xdr:colOff>
      <xdr:row>58</xdr:row>
      <xdr:rowOff>104775</xdr:rowOff>
    </xdr:to>
    <xdr:graphicFrame macro="">
      <xdr:nvGraphicFramePr>
        <xdr:cNvPr id="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17</xdr:row>
      <xdr:rowOff>57150</xdr:rowOff>
    </xdr:from>
    <xdr:to>
      <xdr:col>24</xdr:col>
      <xdr:colOff>0</xdr:colOff>
      <xdr:row>36</xdr:row>
      <xdr:rowOff>114300</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37</xdr:row>
      <xdr:rowOff>142875</xdr:rowOff>
    </xdr:from>
    <xdr:to>
      <xdr:col>24</xdr:col>
      <xdr:colOff>0</xdr:colOff>
      <xdr:row>58</xdr:row>
      <xdr:rowOff>104775</xdr:rowOff>
    </xdr:to>
    <xdr:graphicFrame macro="">
      <xdr:nvGraphicFramePr>
        <xdr:cNvPr id="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17</xdr:row>
      <xdr:rowOff>57150</xdr:rowOff>
    </xdr:from>
    <xdr:to>
      <xdr:col>14</xdr:col>
      <xdr:colOff>0</xdr:colOff>
      <xdr:row>36</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37</xdr:row>
      <xdr:rowOff>142875</xdr:rowOff>
    </xdr:from>
    <xdr:to>
      <xdr:col>14</xdr:col>
      <xdr:colOff>0</xdr:colOff>
      <xdr:row>58</xdr:row>
      <xdr:rowOff>104775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135258</xdr:colOff>
      <xdr:row>2</xdr:row>
      <xdr:rowOff>243841</xdr:rowOff>
    </xdr:from>
    <xdr:to>
      <xdr:col>6</xdr:col>
      <xdr:colOff>859156</xdr:colOff>
      <xdr:row>23</xdr:row>
      <xdr:rowOff>80010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9524</xdr:colOff>
      <xdr:row>0</xdr:row>
      <xdr:rowOff>66675</xdr:rowOff>
    </xdr:from>
    <xdr:to>
      <xdr:col>9</xdr:col>
      <xdr:colOff>438149</xdr:colOff>
      <xdr:row>0</xdr:row>
      <xdr:rowOff>152400</xdr:rowOff>
    </xdr:to>
    <xdr:sp macro="" textlink="">
      <xdr:nvSpPr>
        <xdr:cNvPr id="9" name="Right Arrow 8"/>
        <xdr:cNvSpPr/>
      </xdr:nvSpPr>
      <xdr:spPr>
        <a:xfrm>
          <a:off x="748474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64</xdr:col>
      <xdr:colOff>0</xdr:colOff>
      <xdr:row>17</xdr:row>
      <xdr:rowOff>57150</xdr:rowOff>
    </xdr:from>
    <xdr:to>
      <xdr:col>64</xdr:col>
      <xdr:colOff>0</xdr:colOff>
      <xdr:row>36</xdr:row>
      <xdr:rowOff>114300</xdr:rowOff>
    </xdr:to>
    <xdr:graphicFrame macro="">
      <xdr:nvGraphicFramePr>
        <xdr:cNvPr id="1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64</xdr:col>
      <xdr:colOff>0</xdr:colOff>
      <xdr:row>37</xdr:row>
      <xdr:rowOff>142875</xdr:rowOff>
    </xdr:from>
    <xdr:to>
      <xdr:col>64</xdr:col>
      <xdr:colOff>0</xdr:colOff>
      <xdr:row>58</xdr:row>
      <xdr:rowOff>104775</xdr:rowOff>
    </xdr:to>
    <xdr:graphicFrame macro="">
      <xdr:nvGraphicFramePr>
        <xdr:cNvPr id="11"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54</xdr:col>
      <xdr:colOff>0</xdr:colOff>
      <xdr:row>17</xdr:row>
      <xdr:rowOff>57150</xdr:rowOff>
    </xdr:from>
    <xdr:to>
      <xdr:col>54</xdr:col>
      <xdr:colOff>0</xdr:colOff>
      <xdr:row>36</xdr:row>
      <xdr:rowOff>114300</xdr:rowOff>
    </xdr:to>
    <xdr:graphicFrame macro="">
      <xdr:nvGraphicFramePr>
        <xdr:cNvPr id="1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54</xdr:col>
      <xdr:colOff>0</xdr:colOff>
      <xdr:row>37</xdr:row>
      <xdr:rowOff>142875</xdr:rowOff>
    </xdr:from>
    <xdr:to>
      <xdr:col>54</xdr:col>
      <xdr:colOff>0</xdr:colOff>
      <xdr:row>58</xdr:row>
      <xdr:rowOff>104775</xdr:rowOff>
    </xdr:to>
    <xdr:graphicFrame macro="">
      <xdr:nvGraphicFramePr>
        <xdr:cNvPr id="1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44</xdr:col>
      <xdr:colOff>0</xdr:colOff>
      <xdr:row>17</xdr:row>
      <xdr:rowOff>57150</xdr:rowOff>
    </xdr:from>
    <xdr:to>
      <xdr:col>44</xdr:col>
      <xdr:colOff>0</xdr:colOff>
      <xdr:row>36</xdr:row>
      <xdr:rowOff>114300</xdr:rowOff>
    </xdr:to>
    <xdr:graphicFrame macro="">
      <xdr:nvGraphicFramePr>
        <xdr:cNvPr id="1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0</xdr:colOff>
      <xdr:row>37</xdr:row>
      <xdr:rowOff>142875</xdr:rowOff>
    </xdr:from>
    <xdr:to>
      <xdr:col>44</xdr:col>
      <xdr:colOff>0</xdr:colOff>
      <xdr:row>58</xdr:row>
      <xdr:rowOff>104775</xdr:rowOff>
    </xdr:to>
    <xdr:graphicFrame macro="">
      <xdr:nvGraphicFramePr>
        <xdr:cNvPr id="1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39</xdr:col>
      <xdr:colOff>9524</xdr:colOff>
      <xdr:row>0</xdr:row>
      <xdr:rowOff>66675</xdr:rowOff>
    </xdr:from>
    <xdr:to>
      <xdr:col>39</xdr:col>
      <xdr:colOff>438149</xdr:colOff>
      <xdr:row>0</xdr:row>
      <xdr:rowOff>152400</xdr:rowOff>
    </xdr:to>
    <xdr:sp macro="" textlink="">
      <xdr:nvSpPr>
        <xdr:cNvPr id="16" name="Right Arrow 15"/>
        <xdr:cNvSpPr/>
      </xdr:nvSpPr>
      <xdr:spPr>
        <a:xfrm>
          <a:off x="31723964" y="66675"/>
          <a:ext cx="428625" cy="857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50"/>
  <sheetViews>
    <sheetView topLeftCell="A49" zoomScaleNormal="100" workbookViewId="0">
      <selection activeCell="M71" sqref="M71"/>
    </sheetView>
  </sheetViews>
  <sheetFormatPr defaultRowHeight="14.4"/>
  <cols>
    <col min="2" max="2" width="12.6640625" customWidth="1"/>
  </cols>
  <sheetData>
    <row r="1" spans="1:12" ht="20.399999999999999" customHeight="1">
      <c r="A1" s="163" t="s">
        <v>187</v>
      </c>
      <c r="B1" s="162"/>
      <c r="C1" s="162"/>
      <c r="D1" s="162"/>
      <c r="E1" s="162"/>
      <c r="F1" s="162"/>
      <c r="G1" s="162"/>
      <c r="H1" s="162"/>
    </row>
    <row r="3" spans="1:12" ht="15.6">
      <c r="A3" s="178" t="s">
        <v>197</v>
      </c>
      <c r="B3" s="179"/>
      <c r="C3" s="179"/>
      <c r="D3" s="179"/>
      <c r="E3" s="179"/>
      <c r="F3" s="179"/>
      <c r="G3" s="179"/>
      <c r="H3" s="179"/>
      <c r="I3" s="179"/>
      <c r="J3" s="179"/>
      <c r="K3" s="179"/>
      <c r="L3" s="179"/>
    </row>
    <row r="4" spans="1:12" ht="63.6" customHeight="1">
      <c r="A4" s="180" t="s">
        <v>199</v>
      </c>
      <c r="B4" s="180"/>
      <c r="C4" s="180"/>
      <c r="D4" s="180"/>
      <c r="E4" s="180"/>
      <c r="F4" s="180"/>
      <c r="G4" s="180"/>
      <c r="H4" s="180"/>
      <c r="I4" s="180"/>
      <c r="J4" s="180"/>
      <c r="K4" s="180"/>
      <c r="L4" s="180"/>
    </row>
    <row r="9" spans="1:12" ht="15.6">
      <c r="A9" s="93" t="s">
        <v>114</v>
      </c>
    </row>
    <row r="31" spans="1:1" ht="15.6">
      <c r="A31" s="93" t="s">
        <v>113</v>
      </c>
    </row>
    <row r="50" spans="1:1" ht="15.6">
      <c r="A50" s="93" t="s">
        <v>115</v>
      </c>
    </row>
  </sheetData>
  <sheetProtection sheet="1" objects="1" scenarios="1"/>
  <mergeCells count="1">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Sheet13"/>
  <dimension ref="A1:DD96"/>
  <sheetViews>
    <sheetView topLeftCell="V37" zoomScale="80" zoomScaleNormal="80" workbookViewId="0">
      <pane xSplit="10392" topLeftCell="BD1" activePane="topRight"/>
      <selection activeCell="A7" sqref="A7"/>
      <selection pane="topRight" activeCell="A7" sqref="A7"/>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1450100</v>
      </c>
      <c r="AL5" s="57">
        <v>9053.4</v>
      </c>
      <c r="AM5" s="57">
        <v>9053.4</v>
      </c>
      <c r="AN5" s="57">
        <v>9053.4</v>
      </c>
      <c r="AO5" s="57">
        <v>9053.4</v>
      </c>
      <c r="AP5" s="57">
        <v>9053.4</v>
      </c>
      <c r="AQ5" s="37"/>
      <c r="AR5" s="37"/>
      <c r="AS5" s="56">
        <v>0.1</v>
      </c>
      <c r="AT5" s="37" t="s">
        <v>0</v>
      </c>
      <c r="AU5" s="57">
        <v>1450100</v>
      </c>
      <c r="AV5" s="57">
        <v>9053.4</v>
      </c>
      <c r="AW5" s="57">
        <v>9053.4</v>
      </c>
      <c r="AX5" s="57">
        <v>9053.4</v>
      </c>
      <c r="AY5" s="57">
        <v>9053.4</v>
      </c>
      <c r="AZ5" s="57">
        <v>9053.4</v>
      </c>
      <c r="BA5" s="37"/>
      <c r="BB5" s="37"/>
      <c r="BC5" s="37"/>
      <c r="BD5" s="56">
        <v>0.1</v>
      </c>
      <c r="BE5" s="37" t="s">
        <v>0</v>
      </c>
      <c r="BF5" s="57">
        <v>1450100</v>
      </c>
      <c r="BG5" s="57">
        <v>9053.4</v>
      </c>
      <c r="BH5" s="57">
        <v>9053.4</v>
      </c>
      <c r="BI5" s="57">
        <v>9053.4</v>
      </c>
      <c r="BJ5" s="57">
        <v>9053.4</v>
      </c>
      <c r="BK5" s="57">
        <v>9053.4</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750390</v>
      </c>
      <c r="AL6" s="57">
        <v>4684.7</v>
      </c>
      <c r="AM6" s="57">
        <v>4684.7</v>
      </c>
      <c r="AN6" s="57">
        <v>4684.7</v>
      </c>
      <c r="AO6" s="57">
        <v>4684.7</v>
      </c>
      <c r="AP6" s="57">
        <v>4684.7</v>
      </c>
      <c r="AQ6" s="37"/>
      <c r="AR6" s="37"/>
      <c r="AS6" s="56"/>
      <c r="AT6" s="37" t="s">
        <v>1</v>
      </c>
      <c r="AU6" s="57">
        <v>579740</v>
      </c>
      <c r="AV6" s="57">
        <v>3619.2</v>
      </c>
      <c r="AW6" s="57">
        <v>3619.2</v>
      </c>
      <c r="AX6" s="57">
        <v>3619.2</v>
      </c>
      <c r="AY6" s="57">
        <v>3619.2</v>
      </c>
      <c r="AZ6" s="57">
        <v>3619.2</v>
      </c>
      <c r="BA6" s="37"/>
      <c r="BB6" s="37"/>
      <c r="BC6" s="37"/>
      <c r="BD6" s="56"/>
      <c r="BE6" s="37" t="s">
        <v>1</v>
      </c>
      <c r="BF6" s="57">
        <v>438640</v>
      </c>
      <c r="BG6" s="57">
        <v>2738.7</v>
      </c>
      <c r="BH6" s="57">
        <v>2738.7</v>
      </c>
      <c r="BI6" s="57">
        <v>2738.7</v>
      </c>
      <c r="BJ6" s="57">
        <v>2738.7</v>
      </c>
      <c r="BK6" s="57">
        <v>2738.7</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3.328971533516988</v>
      </c>
      <c r="D7"/>
      <c r="E7" t="s">
        <v>119</v>
      </c>
      <c r="F7"/>
      <c r="G7" s="103">
        <f>C7*12</f>
        <v>39.947658402203857</v>
      </c>
      <c r="H7"/>
      <c r="I7"/>
      <c r="J7"/>
      <c r="K7"/>
      <c r="L7"/>
      <c r="M7"/>
      <c r="N7"/>
      <c r="O7"/>
      <c r="P7"/>
      <c r="Q7"/>
      <c r="R7"/>
      <c r="S7"/>
      <c r="T7"/>
      <c r="U7"/>
      <c r="V7"/>
      <c r="W7"/>
      <c r="X7"/>
      <c r="Y7"/>
      <c r="Z7"/>
      <c r="AA7"/>
      <c r="AB7"/>
      <c r="AC7"/>
      <c r="AD7"/>
      <c r="AE7"/>
      <c r="AF7"/>
      <c r="AG7"/>
      <c r="AH7" s="37"/>
      <c r="AI7" s="56"/>
      <c r="AJ7" s="37" t="s">
        <v>2</v>
      </c>
      <c r="AK7" s="57">
        <v>699700</v>
      </c>
      <c r="AL7" s="57">
        <v>4368.5</v>
      </c>
      <c r="AM7" s="57">
        <v>4368.5</v>
      </c>
      <c r="AN7" s="57">
        <v>4368.5</v>
      </c>
      <c r="AO7" s="57">
        <v>4368.5</v>
      </c>
      <c r="AP7" s="57">
        <v>4368.5</v>
      </c>
      <c r="AQ7" s="37"/>
      <c r="AR7" s="37"/>
      <c r="AS7" s="56"/>
      <c r="AT7" s="37" t="s">
        <v>2</v>
      </c>
      <c r="AU7" s="57">
        <v>870350</v>
      </c>
      <c r="AV7" s="57">
        <v>5433.9</v>
      </c>
      <c r="AW7" s="57">
        <v>5433.9</v>
      </c>
      <c r="AX7" s="57">
        <v>5433.9</v>
      </c>
      <c r="AY7" s="57">
        <v>5433.9</v>
      </c>
      <c r="AZ7" s="57">
        <v>5433.9</v>
      </c>
      <c r="BA7" s="37"/>
      <c r="BB7" s="37"/>
      <c r="BC7" s="37"/>
      <c r="BD7" s="56"/>
      <c r="BE7" s="37" t="s">
        <v>2</v>
      </c>
      <c r="BF7" s="57">
        <v>1011400</v>
      </c>
      <c r="BG7" s="57">
        <v>6314.5</v>
      </c>
      <c r="BH7" s="57">
        <v>6314.5</v>
      </c>
      <c r="BI7" s="57">
        <v>6314.5</v>
      </c>
      <c r="BJ7" s="57">
        <v>6314.5</v>
      </c>
      <c r="BK7" s="57">
        <v>6314.5</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750180</v>
      </c>
      <c r="AL8" s="57">
        <v>4672.5</v>
      </c>
      <c r="AM8" s="57">
        <v>4510.5</v>
      </c>
      <c r="AN8" s="57">
        <v>2531.9</v>
      </c>
      <c r="AO8" s="57">
        <v>23.22</v>
      </c>
      <c r="AP8" s="57">
        <v>6.5602999999999998</v>
      </c>
      <c r="AQ8" s="37"/>
      <c r="AR8" s="37"/>
      <c r="AS8" s="56"/>
      <c r="AT8" s="37" t="s">
        <v>3</v>
      </c>
      <c r="AU8" s="57">
        <v>579530</v>
      </c>
      <c r="AV8" s="57">
        <v>3604.4</v>
      </c>
      <c r="AW8" s="57">
        <v>3398.9</v>
      </c>
      <c r="AX8" s="57">
        <v>1079.3</v>
      </c>
      <c r="AY8" s="57">
        <v>9.2509999999999994</v>
      </c>
      <c r="AZ8" s="57">
        <v>3.1899000000000002</v>
      </c>
      <c r="BA8" s="37"/>
      <c r="BB8" s="37"/>
      <c r="BC8" s="37"/>
      <c r="BD8" s="56"/>
      <c r="BE8" s="37" t="s">
        <v>3</v>
      </c>
      <c r="BF8" s="57">
        <v>438060</v>
      </c>
      <c r="BG8" s="57">
        <v>2714.9</v>
      </c>
      <c r="BH8" s="57">
        <v>2416.6</v>
      </c>
      <c r="BI8" s="57">
        <v>317.36</v>
      </c>
      <c r="BJ8" s="57">
        <v>2.6650999999999998</v>
      </c>
      <c r="BK8" s="57">
        <v>0.83338000000000001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11.302</v>
      </c>
      <c r="AM10" s="57">
        <v>172.97</v>
      </c>
      <c r="AN10" s="57">
        <v>2151.6</v>
      </c>
      <c r="AO10" s="57">
        <v>4660.2</v>
      </c>
      <c r="AP10" s="57">
        <v>4676.8999999999996</v>
      </c>
      <c r="AQ10" s="37"/>
      <c r="AR10" s="37"/>
      <c r="AS10" s="56"/>
      <c r="AT10" s="37" t="s">
        <v>5</v>
      </c>
      <c r="AU10" s="57">
        <v>0</v>
      </c>
      <c r="AV10" s="57">
        <v>14.019</v>
      </c>
      <c r="AW10" s="57">
        <v>219.28</v>
      </c>
      <c r="AX10" s="57">
        <v>2538.9</v>
      </c>
      <c r="AY10" s="57">
        <v>3608.9</v>
      </c>
      <c r="AZ10" s="57">
        <v>3614.9</v>
      </c>
      <c r="BA10" s="37"/>
      <c r="BB10" s="37"/>
      <c r="BC10" s="37"/>
      <c r="BD10" s="56"/>
      <c r="BE10" s="37" t="s">
        <v>5</v>
      </c>
      <c r="BF10" s="57">
        <v>0</v>
      </c>
      <c r="BG10" s="57">
        <v>20.834</v>
      </c>
      <c r="BH10" s="57">
        <v>318.92</v>
      </c>
      <c r="BI10" s="57">
        <v>2418.4</v>
      </c>
      <c r="BJ10" s="57">
        <v>2733</v>
      </c>
      <c r="BK10" s="57">
        <v>2734.9</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0.51747465692021244</v>
      </c>
      <c r="C11" s="75">
        <f t="shared" ref="C11:C19" si="0">(($C$4*D11)+($D$4*E11)+($E$4*F11)+($F$4*G11)+($G$4*I11))</f>
        <v>0.37408383590695204</v>
      </c>
      <c r="D11" s="75">
        <f>AL10/$AL$5</f>
        <v>1.2483707778293239E-3</v>
      </c>
      <c r="E11" s="75">
        <f>AM$10/AM$5</f>
        <v>1.9105529414363664E-2</v>
      </c>
      <c r="F11" s="75">
        <f>AN$10/AN$5</f>
        <v>0.2376565710119955</v>
      </c>
      <c r="G11" s="75">
        <f>AO$10/AO$5</f>
        <v>0.51474584134137447</v>
      </c>
      <c r="H11" s="76">
        <f t="shared" ref="H11:H19" si="1">($D$4*E11+$E$4*F11+$F$4*G11)/(SUM($D$4:$F$4))</f>
        <v>0.25716931392257791</v>
      </c>
      <c r="I11" s="75">
        <f>AP10/$AP$5</f>
        <v>0.51659045220580113</v>
      </c>
      <c r="J11" s="75">
        <f>(($C$5*D11)+($D$5*E11)+($E$5*F11)+($F$5*G11)+($G$5*I11))</f>
        <v>0.25361678485430889</v>
      </c>
      <c r="K11"/>
      <c r="L11" s="68">
        <v>0.1</v>
      </c>
      <c r="M11" s="69">
        <f>AU6/$AK$5</f>
        <v>0.39979311771601961</v>
      </c>
      <c r="N11" s="69">
        <f t="shared" ref="N11:N19" si="2">(($C$4*O11)+($D$4*P11)+($E$4*Q11)+($F$4*R11)+($G$4*T11))</f>
        <v>0.30521273223319417</v>
      </c>
      <c r="O11" s="69">
        <f>AV10/$AL$5</f>
        <v>1.548479024454901E-3</v>
      </c>
      <c r="P11" s="69">
        <f>AW$10/AW$5</f>
        <v>2.4220734751585041E-2</v>
      </c>
      <c r="Q11" s="69">
        <f>AX$10/AX$5</f>
        <v>0.28043607926303932</v>
      </c>
      <c r="R11" s="69">
        <f>AY$10/AY$5</f>
        <v>0.39862372147480507</v>
      </c>
      <c r="S11" s="70">
        <f t="shared" ref="S11:S19" si="3">($D$4*P11+$E$4*Q11+$F$4*R11)/(SUM($D$4:$F$4))</f>
        <v>0.23442684516314316</v>
      </c>
      <c r="T11" s="69">
        <f>AZ10/$AP$5</f>
        <v>0.39928645591711404</v>
      </c>
      <c r="U11" s="69">
        <f>(($C$5*O11)+($D$5*P11)+($E$5*Q11)+($F$5*R11)+($G$5*T11))</f>
        <v>0.23682681644465067</v>
      </c>
      <c r="V11"/>
      <c r="W11" s="84">
        <v>0.1</v>
      </c>
      <c r="X11" s="85">
        <f>BF6/$AK$5</f>
        <v>0.30248948348389765</v>
      </c>
      <c r="Y11" s="85">
        <f t="shared" ref="Y11:Y19" si="4">(($C$4*Z11)+($D$4*AA11)+($E$4*AB11)+($F$4*AC11)+($G$4*AE11))</f>
        <v>0.24179200079528135</v>
      </c>
      <c r="Z11" s="85">
        <f>BG10/$AL$5</f>
        <v>2.3012348951775025E-3</v>
      </c>
      <c r="AA11" s="85">
        <f>BH$10/BH$5</f>
        <v>3.5226544723529284E-2</v>
      </c>
      <c r="AB11" s="85">
        <f>BI$10/BI$5</f>
        <v>0.26712616254666754</v>
      </c>
      <c r="AC11" s="85">
        <f>BJ$10/BJ$5</f>
        <v>0.30187553847173437</v>
      </c>
      <c r="AD11" s="86">
        <f t="shared" ref="AD11:AD19" si="5">($D$4*AA11+$E$4*AB11+$F$4*AC11)/(SUM($D$4:$F$4))</f>
        <v>0.20140941524731043</v>
      </c>
      <c r="AE11" s="85">
        <f>BK10/$AP$5</f>
        <v>0.30208540437846559</v>
      </c>
      <c r="AF11" s="85">
        <f>(($C$5*Z11)+($D$5*AA11)+($E$5*AB11)+($F$5*AC11)+($G$5*AE11))</f>
        <v>0.20470954558508409</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0.74608647679470386</v>
      </c>
      <c r="C12" s="75">
        <f t="shared" si="0"/>
        <v>0.54809201515452766</v>
      </c>
      <c r="D12" s="75">
        <f>AL17/$AL$5</f>
        <v>2.3963372876488393E-3</v>
      </c>
      <c r="E12" s="75">
        <f>AM17/AM$5</f>
        <v>3.5070802129586673E-2</v>
      </c>
      <c r="F12" s="75">
        <f>AN17/AN$5</f>
        <v>0.39221728853248505</v>
      </c>
      <c r="G12" s="75">
        <f>AO17/AO$5</f>
        <v>0.74325667704950626</v>
      </c>
      <c r="H12" s="76">
        <f t="shared" si="1"/>
        <v>0.39018158923719271</v>
      </c>
      <c r="I12" s="75">
        <f>AP17/$AP$5</f>
        <v>0.74478096626681689</v>
      </c>
      <c r="J12" s="75">
        <f t="shared" ref="J12:J18" si="6">(($C$5*D12)+($D$5*E12)+($E$5*F12)+($F$5*G12)+($G$5*I12))</f>
        <v>0.38727014160425921</v>
      </c>
      <c r="K12"/>
      <c r="L12" s="68">
        <v>0.2</v>
      </c>
      <c r="M12" s="69">
        <f>AU13/$AK$5</f>
        <v>0.62902558444245227</v>
      </c>
      <c r="N12" s="69">
        <f t="shared" si="2"/>
        <v>0.48642424393045702</v>
      </c>
      <c r="O12" s="69">
        <f>AV17/$AL$5</f>
        <v>3.341838425342965E-3</v>
      </c>
      <c r="P12" s="69">
        <f>AW17/AW$5</f>
        <v>4.7581019285572269E-2</v>
      </c>
      <c r="Q12" s="69">
        <f>AX17/AX$5</f>
        <v>0.47136987209225267</v>
      </c>
      <c r="R12" s="69">
        <f>AY17/AY$5</f>
        <v>0.628007157531977</v>
      </c>
      <c r="S12" s="70">
        <f t="shared" si="3"/>
        <v>0.38231934963660069</v>
      </c>
      <c r="T12" s="69">
        <f>AZ17/$AP$5</f>
        <v>0.62842688934543922</v>
      </c>
      <c r="U12" s="69">
        <f t="shared" ref="U12:U18" si="7">(($C$5*O12)+($D$5*P12)+($E$5*Q12)+($F$5*R12)+($G$5*T12))</f>
        <v>0.38684245697748915</v>
      </c>
      <c r="V12"/>
      <c r="W12" s="84">
        <v>0.2</v>
      </c>
      <c r="X12" s="85">
        <f>BF13/$AK$5</f>
        <v>0.52240535135507893</v>
      </c>
      <c r="Y12" s="85">
        <f t="shared" si="4"/>
        <v>0.41953427441624142</v>
      </c>
      <c r="Z12" s="85">
        <f>BG17/$AL$5</f>
        <v>4.4350188879316065E-3</v>
      </c>
      <c r="AA12" s="85">
        <f>BH17/BH$5</f>
        <v>6.4888329246470949E-2</v>
      </c>
      <c r="AB12" s="85">
        <f>BI17/BI$5</f>
        <v>0.46913866613647914</v>
      </c>
      <c r="AC12" s="85">
        <f>BJ17/BJ$5</f>
        <v>0.52174873528177268</v>
      </c>
      <c r="AD12" s="86">
        <f t="shared" si="5"/>
        <v>0.35192524355490762</v>
      </c>
      <c r="AE12" s="85">
        <f>BK17/$AP$5</f>
        <v>0.52189232774427285</v>
      </c>
      <c r="AF12" s="85">
        <f t="shared" ref="AF12:AF18" si="8">(($C$5*Z12)+($D$5*AA12)+($E$5*AB12)+($F$5*AC12)+($G$5*AE12))</f>
        <v>0.35761561402346081</v>
      </c>
      <c r="AG12"/>
      <c r="AH12" s="37"/>
      <c r="AI12" s="56">
        <v>0.2</v>
      </c>
      <c r="AJ12" s="37" t="s">
        <v>0</v>
      </c>
      <c r="AK12" s="57">
        <v>1450100</v>
      </c>
      <c r="AL12" s="57">
        <v>9053.4</v>
      </c>
      <c r="AM12" s="57">
        <v>9053.4</v>
      </c>
      <c r="AN12" s="57">
        <v>9053.4</v>
      </c>
      <c r="AO12" s="57">
        <v>9053.4</v>
      </c>
      <c r="AP12" s="57">
        <v>9053.4</v>
      </c>
      <c r="AQ12" s="37"/>
      <c r="AR12" s="37"/>
      <c r="AS12" s="56">
        <v>0.2</v>
      </c>
      <c r="AT12" s="37" t="s">
        <v>0</v>
      </c>
      <c r="AU12" s="57">
        <v>1450100</v>
      </c>
      <c r="AV12" s="57">
        <v>9053.4</v>
      </c>
      <c r="AW12" s="57">
        <v>9053.4</v>
      </c>
      <c r="AX12" s="57">
        <v>9053.4</v>
      </c>
      <c r="AY12" s="57">
        <v>9053.4</v>
      </c>
      <c r="AZ12" s="57">
        <v>9053.4</v>
      </c>
      <c r="BA12" s="37"/>
      <c r="BB12" s="37"/>
      <c r="BC12" s="37"/>
      <c r="BD12" s="56">
        <v>0.2</v>
      </c>
      <c r="BE12" s="37" t="s">
        <v>0</v>
      </c>
      <c r="BF12" s="57">
        <v>1450100</v>
      </c>
      <c r="BG12" s="57">
        <v>9053.4</v>
      </c>
      <c r="BH12" s="57">
        <v>9053.4</v>
      </c>
      <c r="BI12" s="57">
        <v>9053.4</v>
      </c>
      <c r="BJ12" s="57">
        <v>9053.4</v>
      </c>
      <c r="BK12" s="57">
        <v>9053.4</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0.89986897455347903</v>
      </c>
      <c r="C13" s="75">
        <f t="shared" si="0"/>
        <v>0.67503150197715778</v>
      </c>
      <c r="D13" s="75">
        <f>AL24/$AL$5</f>
        <v>4.5136633750856034E-3</v>
      </c>
      <c r="E13" s="75">
        <f>AM24/AM$5</f>
        <v>6.0295579561269803E-2</v>
      </c>
      <c r="F13" s="75">
        <f>AN24/AN$5</f>
        <v>0.54737446705105275</v>
      </c>
      <c r="G13" s="75">
        <f>AO24/AO$5</f>
        <v>0.89702211323922509</v>
      </c>
      <c r="H13" s="76">
        <f t="shared" si="1"/>
        <v>0.50156405328384923</v>
      </c>
      <c r="I13" s="75">
        <f>AP24/$AP$5</f>
        <v>0.89820398966134274</v>
      </c>
      <c r="J13" s="75">
        <f t="shared" si="6"/>
        <v>0.50068509068416289</v>
      </c>
      <c r="K13"/>
      <c r="L13" s="68">
        <v>0.4</v>
      </c>
      <c r="M13" s="69">
        <f>AU20/$AK$5</f>
        <v>0.83718364250741328</v>
      </c>
      <c r="N13" s="69">
        <f t="shared" si="2"/>
        <v>0.65397259040802347</v>
      </c>
      <c r="O13" s="69">
        <f>AV24/$AL$5</f>
        <v>5.5513950560010603E-3</v>
      </c>
      <c r="P13" s="69">
        <f>AW24/AW$5</f>
        <v>7.5236927563125458E-2</v>
      </c>
      <c r="Q13" s="69">
        <f>AX24/AX$5</f>
        <v>0.65881326352530545</v>
      </c>
      <c r="R13" s="69">
        <f>AY24/AY$5</f>
        <v>0.83605054454680017</v>
      </c>
      <c r="S13" s="70">
        <f t="shared" si="3"/>
        <v>0.52336691187841045</v>
      </c>
      <c r="T13" s="69">
        <f>AZ24/$AP$5</f>
        <v>0.83635982061987757</v>
      </c>
      <c r="U13" s="69">
        <f t="shared" si="7"/>
        <v>0.52997392139969524</v>
      </c>
      <c r="V13"/>
      <c r="W13" s="84">
        <v>0.4</v>
      </c>
      <c r="X13" s="85">
        <f>BF20/$AK$5</f>
        <v>0.74539686918143577</v>
      </c>
      <c r="Y13" s="85">
        <f t="shared" si="4"/>
        <v>0.60354622020456405</v>
      </c>
      <c r="Z13" s="85">
        <f>BG24/$AL$5</f>
        <v>7.9049859721209703E-3</v>
      </c>
      <c r="AA13" s="85">
        <f>BH24/BH$5</f>
        <v>0.10779154792674575</v>
      </c>
      <c r="AB13" s="85">
        <f>BI24/BI$5</f>
        <v>0.6854883248282414</v>
      </c>
      <c r="AC13" s="85">
        <f>BJ24/BJ$5</f>
        <v>0.74479201184085531</v>
      </c>
      <c r="AD13" s="86">
        <f t="shared" si="5"/>
        <v>0.51269062819861422</v>
      </c>
      <c r="AE13" s="85">
        <f>BK24/$AP$5</f>
        <v>0.74488037643316329</v>
      </c>
      <c r="AF13" s="85">
        <f t="shared" si="8"/>
        <v>0.51999057812534522</v>
      </c>
      <c r="AG13"/>
      <c r="AH13" s="37"/>
      <c r="AI13" s="56"/>
      <c r="AJ13" s="37" t="s">
        <v>1</v>
      </c>
      <c r="AK13" s="57">
        <v>1081900</v>
      </c>
      <c r="AL13" s="57">
        <v>6754.9</v>
      </c>
      <c r="AM13" s="57">
        <v>6754.9</v>
      </c>
      <c r="AN13" s="57">
        <v>6754.9</v>
      </c>
      <c r="AO13" s="57">
        <v>6754.9</v>
      </c>
      <c r="AP13" s="57">
        <v>6754.9</v>
      </c>
      <c r="AQ13" s="37"/>
      <c r="AR13" s="37"/>
      <c r="AS13" s="56"/>
      <c r="AT13" s="37" t="s">
        <v>1</v>
      </c>
      <c r="AU13" s="57">
        <v>912150</v>
      </c>
      <c r="AV13" s="57">
        <v>5694.7</v>
      </c>
      <c r="AW13" s="57">
        <v>5694.7</v>
      </c>
      <c r="AX13" s="57">
        <v>5694.7</v>
      </c>
      <c r="AY13" s="57">
        <v>5694.7</v>
      </c>
      <c r="AZ13" s="57">
        <v>5694.7</v>
      </c>
      <c r="BA13" s="37"/>
      <c r="BB13" s="37"/>
      <c r="BC13" s="37"/>
      <c r="BD13" s="56"/>
      <c r="BE13" s="37" t="s">
        <v>1</v>
      </c>
      <c r="BF13" s="57">
        <v>757540</v>
      </c>
      <c r="BG13" s="57">
        <v>4729.5</v>
      </c>
      <c r="BH13" s="57">
        <v>4729.5</v>
      </c>
      <c r="BI13" s="57">
        <v>4729.5</v>
      </c>
      <c r="BJ13" s="57">
        <v>4729.5</v>
      </c>
      <c r="BK13" s="57">
        <v>4729.5</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0.95703744569340043</v>
      </c>
      <c r="C14" s="75">
        <f t="shared" si="0"/>
        <v>0.72996525062407491</v>
      </c>
      <c r="D14" s="75">
        <f>AL31/$AL$5</f>
        <v>6.5950913468972982E-3</v>
      </c>
      <c r="E14" s="75">
        <f>AM31/AM$5</f>
        <v>8.3148872246890673E-2</v>
      </c>
      <c r="F14" s="75">
        <f>AN31/AN$5</f>
        <v>0.64331632314931408</v>
      </c>
      <c r="G14" s="75">
        <f>AO31/AO$5</f>
        <v>0.95410563987010399</v>
      </c>
      <c r="H14" s="76">
        <f t="shared" si="1"/>
        <v>0.56019027842210301</v>
      </c>
      <c r="I14" s="75">
        <f>AP31/$AP$5</f>
        <v>0.95509974153356747</v>
      </c>
      <c r="J14" s="75">
        <f t="shared" si="6"/>
        <v>0.56094691497117111</v>
      </c>
      <c r="K14"/>
      <c r="L14" s="68">
        <v>0.6</v>
      </c>
      <c r="M14" s="69">
        <f>AU27/$AK$5</f>
        <v>0.91979863457692568</v>
      </c>
      <c r="N14" s="69">
        <f t="shared" si="2"/>
        <v>0.72664064881701895</v>
      </c>
      <c r="O14" s="69">
        <f>AV31/$AL$5</f>
        <v>8.1868690215830524E-3</v>
      </c>
      <c r="P14" s="69">
        <f>AW31/AW$5</f>
        <v>0.1029944551218327</v>
      </c>
      <c r="Q14" s="69">
        <f>AX31/AX$5</f>
        <v>0.75675436852453226</v>
      </c>
      <c r="R14" s="69">
        <f>AY31/AY$5</f>
        <v>0.91867143835465137</v>
      </c>
      <c r="S14" s="70">
        <f t="shared" si="3"/>
        <v>0.59280675400033878</v>
      </c>
      <c r="T14" s="69">
        <f>AZ31/$AP$5</f>
        <v>0.91893653213157489</v>
      </c>
      <c r="U14" s="69">
        <f t="shared" si="7"/>
        <v>0.59974726622042551</v>
      </c>
      <c r="V14"/>
      <c r="W14" s="84">
        <v>0.6</v>
      </c>
      <c r="X14" s="85">
        <f>BF27/$AK$5</f>
        <v>0.86725053444590028</v>
      </c>
      <c r="Y14" s="85">
        <f t="shared" si="4"/>
        <v>0.70640383723242106</v>
      </c>
      <c r="Z14" s="85">
        <f>BG31/$AL$5</f>
        <v>1.1137252303002188E-2</v>
      </c>
      <c r="AA14" s="85">
        <f>BH31/BH$5</f>
        <v>0.14296286478008263</v>
      </c>
      <c r="AB14" s="85">
        <f>BI31/BI$5</f>
        <v>0.80695650252943651</v>
      </c>
      <c r="AC14" s="85">
        <f>BJ31/BJ$5</f>
        <v>0.8666467846333975</v>
      </c>
      <c r="AD14" s="86">
        <f t="shared" si="5"/>
        <v>0.60552205064763898</v>
      </c>
      <c r="AE14" s="85">
        <f>BK31/$AP$5</f>
        <v>0.86672410365166686</v>
      </c>
      <c r="AF14" s="85">
        <f t="shared" si="8"/>
        <v>0.61249066648993755</v>
      </c>
      <c r="AG14"/>
      <c r="AH14" s="37"/>
      <c r="AI14" s="56"/>
      <c r="AJ14" s="37" t="s">
        <v>2</v>
      </c>
      <c r="AK14" s="57">
        <v>368130</v>
      </c>
      <c r="AL14" s="57">
        <v>2298.4</v>
      </c>
      <c r="AM14" s="57">
        <v>2298.4</v>
      </c>
      <c r="AN14" s="57">
        <v>2298.4</v>
      </c>
      <c r="AO14" s="57">
        <v>2298.4</v>
      </c>
      <c r="AP14" s="57">
        <v>2298.4</v>
      </c>
      <c r="AQ14" s="37"/>
      <c r="AR14" s="37"/>
      <c r="AS14" s="56"/>
      <c r="AT14" s="37" t="s">
        <v>2</v>
      </c>
      <c r="AU14" s="57">
        <v>537930</v>
      </c>
      <c r="AV14" s="57">
        <v>3358.5</v>
      </c>
      <c r="AW14" s="57">
        <v>3358.5</v>
      </c>
      <c r="AX14" s="57">
        <v>3358.5</v>
      </c>
      <c r="AY14" s="57">
        <v>3358.5</v>
      </c>
      <c r="AZ14" s="57">
        <v>3358.5</v>
      </c>
      <c r="BA14" s="37"/>
      <c r="BB14" s="37"/>
      <c r="BC14" s="37"/>
      <c r="BD14" s="56"/>
      <c r="BE14" s="37" t="s">
        <v>2</v>
      </c>
      <c r="BF14" s="57">
        <v>692620</v>
      </c>
      <c r="BG14" s="57">
        <v>4324.3</v>
      </c>
      <c r="BH14" s="57">
        <v>4324.3</v>
      </c>
      <c r="BI14" s="57">
        <v>4324.3</v>
      </c>
      <c r="BJ14" s="57">
        <v>4324.3</v>
      </c>
      <c r="BK14" s="57">
        <v>4324.3</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0.97951865388593895</v>
      </c>
      <c r="C15" s="75">
        <f t="shared" si="0"/>
        <v>0.7562612002120751</v>
      </c>
      <c r="D15" s="75">
        <f>AL38/$AL$5</f>
        <v>8.603728985795393E-3</v>
      </c>
      <c r="E15" s="75">
        <f>AM38/AM$5</f>
        <v>0.10346057834625666</v>
      </c>
      <c r="F15" s="75">
        <f>AN38/AN$5</f>
        <v>0.70129454127731028</v>
      </c>
      <c r="G15" s="75">
        <f>AO38/AO$5</f>
        <v>0.97637351713168541</v>
      </c>
      <c r="H15" s="76">
        <f t="shared" si="1"/>
        <v>0.59370954558508415</v>
      </c>
      <c r="I15" s="75">
        <f>AP38/$AP$5</f>
        <v>0.97732343649899489</v>
      </c>
      <c r="J15" s="75">
        <f t="shared" si="6"/>
        <v>0.59507735215499158</v>
      </c>
      <c r="K15"/>
      <c r="L15" s="68">
        <v>0.8</v>
      </c>
      <c r="M15" s="69">
        <f>AU34/$AK$5</f>
        <v>0.95938211157851183</v>
      </c>
      <c r="N15" s="69">
        <f t="shared" si="2"/>
        <v>0.76619362339010766</v>
      </c>
      <c r="O15" s="69">
        <f>AV38/$AL$5</f>
        <v>1.074148938520335E-2</v>
      </c>
      <c r="P15" s="69">
        <f>AW38/AW$5</f>
        <v>0.12821702343870811</v>
      </c>
      <c r="Q15" s="69">
        <f>AX38/AX$5</f>
        <v>0.82278481012658233</v>
      </c>
      <c r="R15" s="69">
        <f>AY38/AY$5</f>
        <v>0.95836923144895847</v>
      </c>
      <c r="S15" s="70">
        <f t="shared" si="3"/>
        <v>0.63645702167141627</v>
      </c>
      <c r="T15" s="69">
        <f>AZ38/$AP$5</f>
        <v>0.95850177833742034</v>
      </c>
      <c r="U15" s="69">
        <f t="shared" si="7"/>
        <v>0.64335550180042866</v>
      </c>
      <c r="V15"/>
      <c r="W15" s="84">
        <v>0.8</v>
      </c>
      <c r="X15" s="85">
        <f>BF34/$AK$5</f>
        <v>0.9266257499482794</v>
      </c>
      <c r="Y15" s="85">
        <f t="shared" si="4"/>
        <v>0.75875019329754578</v>
      </c>
      <c r="Z15" s="85">
        <f>BG38/$AL$5</f>
        <v>1.4091943358296331E-2</v>
      </c>
      <c r="AA15" s="85">
        <f>BH38/BH$5</f>
        <v>0.1714714913734067</v>
      </c>
      <c r="AB15" s="85">
        <f>BI38/BI$5</f>
        <v>0.86940817814301818</v>
      </c>
      <c r="AC15" s="85">
        <f>BJ38/BJ$5</f>
        <v>0.92596151722005005</v>
      </c>
      <c r="AD15" s="86">
        <f t="shared" si="5"/>
        <v>0.65561372891215841</v>
      </c>
      <c r="AE15" s="85">
        <f>BK38/$AP$5</f>
        <v>0.92603883623831929</v>
      </c>
      <c r="AF15" s="85">
        <f t="shared" si="8"/>
        <v>0.66126295093556031</v>
      </c>
      <c r="AG15"/>
      <c r="AH15" s="37"/>
      <c r="AI15" s="56"/>
      <c r="AJ15" s="37" t="s">
        <v>3</v>
      </c>
      <c r="AK15" s="57">
        <v>1081800</v>
      </c>
      <c r="AL15" s="57">
        <v>6732.5</v>
      </c>
      <c r="AM15" s="57">
        <v>6436.2</v>
      </c>
      <c r="AN15" s="57">
        <v>3203</v>
      </c>
      <c r="AO15" s="57">
        <v>24.902000000000001</v>
      </c>
      <c r="AP15" s="57">
        <v>11.137</v>
      </c>
      <c r="AQ15" s="37"/>
      <c r="AR15" s="37"/>
      <c r="AS15" s="56"/>
      <c r="AT15" s="37" t="s">
        <v>3</v>
      </c>
      <c r="AU15" s="57">
        <v>911820</v>
      </c>
      <c r="AV15" s="57">
        <v>5662</v>
      </c>
      <c r="AW15" s="57">
        <v>5261.4</v>
      </c>
      <c r="AX15" s="57">
        <v>1424.9</v>
      </c>
      <c r="AY15" s="57">
        <v>6.9023000000000003</v>
      </c>
      <c r="AZ15" s="57">
        <v>3.0546000000000002</v>
      </c>
      <c r="BA15" s="37"/>
      <c r="BB15" s="37"/>
      <c r="BC15" s="37"/>
      <c r="BD15" s="56"/>
      <c r="BE15" s="37" t="s">
        <v>3</v>
      </c>
      <c r="BF15" s="57">
        <v>757100</v>
      </c>
      <c r="BG15" s="57">
        <v>4685.8999999999996</v>
      </c>
      <c r="BH15" s="57">
        <v>4138.3</v>
      </c>
      <c r="BI15" s="57">
        <v>478.82</v>
      </c>
      <c r="BJ15" s="57">
        <v>2.6150000000000002</v>
      </c>
      <c r="BK15" s="57">
        <v>1.2886</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0.98944900351699883</v>
      </c>
      <c r="C16" s="75">
        <f t="shared" si="0"/>
        <v>0.77163869375041427</v>
      </c>
      <c r="D16" s="75">
        <f>AL45/$AL$5</f>
        <v>1.0578898535356884E-2</v>
      </c>
      <c r="E16" s="75">
        <f>AM45/AM$5</f>
        <v>0.12223032230985044</v>
      </c>
      <c r="F16" s="75">
        <f>AN45/AN$5</f>
        <v>0.74147833962931053</v>
      </c>
      <c r="G16" s="75">
        <f>AO45/AO$5</f>
        <v>0.98632557934035836</v>
      </c>
      <c r="H16" s="76">
        <f t="shared" si="1"/>
        <v>0.61667808042650651</v>
      </c>
      <c r="I16" s="75">
        <f>AP45/$AP$5</f>
        <v>0.98720922526343702</v>
      </c>
      <c r="J16" s="75">
        <f t="shared" si="6"/>
        <v>0.61808132856164533</v>
      </c>
      <c r="K16"/>
      <c r="L16" s="68">
        <v>1</v>
      </c>
      <c r="M16" s="69">
        <f>AU41/$AK$5</f>
        <v>0.97613957658092543</v>
      </c>
      <c r="N16" s="69">
        <f t="shared" si="2"/>
        <v>0.78281319725186127</v>
      </c>
      <c r="O16" s="69">
        <f>AV45/$AL$5</f>
        <v>1.2627300240793515E-2</v>
      </c>
      <c r="P16" s="69">
        <f>AW45/AW$5</f>
        <v>0.14561380254931849</v>
      </c>
      <c r="Q16" s="69">
        <f>AX45/AX$5</f>
        <v>0.84370512735546865</v>
      </c>
      <c r="R16" s="69">
        <f>AY45/AY$5</f>
        <v>0.97488236463649025</v>
      </c>
      <c r="S16" s="70">
        <f t="shared" si="3"/>
        <v>0.65473376484709245</v>
      </c>
      <c r="T16" s="69">
        <f>AZ45/$AP$5</f>
        <v>0.97510327611725989</v>
      </c>
      <c r="U16" s="69">
        <f t="shared" si="7"/>
        <v>0.66035434201515453</v>
      </c>
      <c r="V16"/>
      <c r="W16" s="84">
        <v>1</v>
      </c>
      <c r="X16" s="85">
        <f>BF41/$AK$5</f>
        <v>0.95683056340942008</v>
      </c>
      <c r="Y16" s="85">
        <f t="shared" si="4"/>
        <v>0.78713985905847528</v>
      </c>
      <c r="Z16" s="85">
        <f>BG45/$AL$5</f>
        <v>1.683787306426315E-2</v>
      </c>
      <c r="AA16" s="85">
        <f>BH45/BH$5</f>
        <v>0.19560607064749158</v>
      </c>
      <c r="AB16" s="85">
        <f>BI45/BI$5</f>
        <v>0.90279894846135156</v>
      </c>
      <c r="AC16" s="85">
        <f>BJ45/BJ$5</f>
        <v>0.95616011664126188</v>
      </c>
      <c r="AD16" s="86">
        <f t="shared" si="5"/>
        <v>0.68485504525003504</v>
      </c>
      <c r="AE16" s="85">
        <f>BK45/$AP$5</f>
        <v>0.95622639008549282</v>
      </c>
      <c r="AF16" s="85">
        <f t="shared" si="8"/>
        <v>0.68877924315726702</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0.99427625680987519</v>
      </c>
      <c r="C17" s="75">
        <f t="shared" si="0"/>
        <v>0.7821934853204322</v>
      </c>
      <c r="D17" s="75">
        <f>AL52/$AL$5</f>
        <v>1.2515739943004839E-2</v>
      </c>
      <c r="E17" s="75">
        <f>AM52/AM$5</f>
        <v>0.14000265093776923</v>
      </c>
      <c r="F17" s="75">
        <f>AN52/AN$5</f>
        <v>0.77295822563898642</v>
      </c>
      <c r="G17" s="75">
        <f>AO52/AO$5</f>
        <v>0.99110831289902135</v>
      </c>
      <c r="H17" s="76">
        <f t="shared" si="1"/>
        <v>0.63468972982525895</v>
      </c>
      <c r="I17" s="75">
        <f>AP52/$AP$5</f>
        <v>0.99191463980383077</v>
      </c>
      <c r="J17" s="75">
        <f t="shared" si="6"/>
        <v>0.63584852099763634</v>
      </c>
      <c r="K17"/>
      <c r="L17" s="68">
        <v>1.2</v>
      </c>
      <c r="M17" s="69">
        <f>AU48/$AK$5</f>
        <v>0.9866905730639266</v>
      </c>
      <c r="N17" s="69">
        <f t="shared" si="2"/>
        <v>0.79625400402058899</v>
      </c>
      <c r="O17" s="69">
        <f>AV52/$AL$5</f>
        <v>1.5035235381182762E-2</v>
      </c>
      <c r="P17" s="69">
        <f>AW52/AW$5</f>
        <v>0.16600393222435772</v>
      </c>
      <c r="Q17" s="69">
        <f>AX52/AX$5</f>
        <v>0.86647005544878175</v>
      </c>
      <c r="R17" s="69">
        <f>AY52/AY$5</f>
        <v>0.98544193341727981</v>
      </c>
      <c r="S17" s="70">
        <f t="shared" si="3"/>
        <v>0.67263864036347309</v>
      </c>
      <c r="T17" s="69">
        <f>AZ52/$AP$5</f>
        <v>0.98562970817593387</v>
      </c>
      <c r="U17" s="69">
        <f t="shared" si="7"/>
        <v>0.6769436896635519</v>
      </c>
      <c r="V17"/>
      <c r="W17" s="84">
        <v>1.2</v>
      </c>
      <c r="X17" s="85">
        <f>BF48/$AK$5</f>
        <v>0.97296738155989237</v>
      </c>
      <c r="Y17" s="85">
        <f t="shared" si="4"/>
        <v>0.80401998144343567</v>
      </c>
      <c r="Z17" s="85">
        <f>BG52/$AL$5</f>
        <v>1.9549561490710674E-2</v>
      </c>
      <c r="AA17" s="85">
        <f>BH52/BH$5</f>
        <v>0.21742107937349506</v>
      </c>
      <c r="AB17" s="85">
        <f>BI52/BI$5</f>
        <v>0.92291293878542868</v>
      </c>
      <c r="AC17" s="85">
        <f>BJ52/BJ$5</f>
        <v>0.97225351801533133</v>
      </c>
      <c r="AD17" s="86">
        <f t="shared" si="5"/>
        <v>0.70419584539141844</v>
      </c>
      <c r="AE17" s="85">
        <f>BK52/$AP$5</f>
        <v>0.97230874588552374</v>
      </c>
      <c r="AF17" s="85">
        <f t="shared" si="8"/>
        <v>0.70628592572956017</v>
      </c>
      <c r="AG17"/>
      <c r="AH17" s="37"/>
      <c r="AI17" s="56"/>
      <c r="AJ17" s="37" t="s">
        <v>5</v>
      </c>
      <c r="AK17" s="57">
        <v>0</v>
      </c>
      <c r="AL17" s="57">
        <v>21.695</v>
      </c>
      <c r="AM17" s="57">
        <v>317.51</v>
      </c>
      <c r="AN17" s="57">
        <v>3550.9</v>
      </c>
      <c r="AO17" s="57">
        <v>6729</v>
      </c>
      <c r="AP17" s="57">
        <v>6742.8</v>
      </c>
      <c r="AQ17" s="37"/>
      <c r="AR17" s="37"/>
      <c r="AS17" s="56"/>
      <c r="AT17" s="37" t="s">
        <v>5</v>
      </c>
      <c r="AU17" s="57">
        <v>0</v>
      </c>
      <c r="AV17" s="57">
        <v>30.254999999999999</v>
      </c>
      <c r="AW17" s="57">
        <v>430.77</v>
      </c>
      <c r="AX17" s="57">
        <v>4267.5</v>
      </c>
      <c r="AY17" s="57">
        <v>5685.6</v>
      </c>
      <c r="AZ17" s="57">
        <v>5689.4</v>
      </c>
      <c r="BA17" s="37"/>
      <c r="BB17" s="37"/>
      <c r="BC17" s="37"/>
      <c r="BD17" s="56"/>
      <c r="BE17" s="37" t="s">
        <v>5</v>
      </c>
      <c r="BF17" s="57">
        <v>0</v>
      </c>
      <c r="BG17" s="57">
        <v>40.152000000000001</v>
      </c>
      <c r="BH17" s="57">
        <v>587.46</v>
      </c>
      <c r="BI17" s="57">
        <v>4247.3</v>
      </c>
      <c r="BJ17" s="57">
        <v>4723.6000000000004</v>
      </c>
      <c r="BK17" s="57">
        <v>4724.8999999999996</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0.9971036480242742</v>
      </c>
      <c r="C18" s="75">
        <f t="shared" si="0"/>
        <v>0.79523587823359176</v>
      </c>
      <c r="D18" s="75">
        <f>AL59/$AL$5</f>
        <v>1.6211589016281176E-2</v>
      </c>
      <c r="E18" s="75">
        <f>AM59/AM$5</f>
        <v>0.171913314334946</v>
      </c>
      <c r="F18" s="75">
        <f>AN59/AN$5</f>
        <v>0.81519650076214467</v>
      </c>
      <c r="G18" s="75">
        <f>AO59/AO$5</f>
        <v>0.99391388870479591</v>
      </c>
      <c r="H18" s="76">
        <f t="shared" si="1"/>
        <v>0.66034123460062899</v>
      </c>
      <c r="I18" s="75">
        <f>AP59/$AP$5</f>
        <v>0.99454348642498958</v>
      </c>
      <c r="J18" s="75">
        <f t="shared" si="6"/>
        <v>0.66031954845693352</v>
      </c>
      <c r="K18"/>
      <c r="L18" s="68">
        <v>1.6</v>
      </c>
      <c r="M18" s="69">
        <f>AU55/$AK$5</f>
        <v>0.99544858975243089</v>
      </c>
      <c r="N18" s="69">
        <f t="shared" si="2"/>
        <v>0.81147077341109419</v>
      </c>
      <c r="O18" s="69">
        <f>AV59/$AL$5</f>
        <v>1.9207148695517706E-2</v>
      </c>
      <c r="P18" s="69">
        <f>AW59/AW$5</f>
        <v>0.19954934057922991</v>
      </c>
      <c r="Q18" s="69">
        <f>AX59/AX$5</f>
        <v>0.89525482139306789</v>
      </c>
      <c r="R18" s="69">
        <f>AY59/AY$5</f>
        <v>0.99419002805575807</v>
      </c>
      <c r="S18" s="70">
        <f t="shared" si="3"/>
        <v>0.69633139667601873</v>
      </c>
      <c r="T18" s="69">
        <f>AZ59/$AP$5</f>
        <v>0.99432257494421994</v>
      </c>
      <c r="U18" s="69">
        <f t="shared" si="7"/>
        <v>0.69820277464819847</v>
      </c>
      <c r="V18"/>
      <c r="W18" s="84">
        <v>1.6</v>
      </c>
      <c r="X18" s="85">
        <f>BF55/$AK$5</f>
        <v>0.98910419971036478</v>
      </c>
      <c r="Y18" s="85">
        <f t="shared" si="4"/>
        <v>0.82429115028608035</v>
      </c>
      <c r="Z18" s="85">
        <f>BG59/$AL$5</f>
        <v>2.5200477168798464E-2</v>
      </c>
      <c r="AA18" s="85">
        <f>BH59/BH$5</f>
        <v>0.25786997150241897</v>
      </c>
      <c r="AB18" s="85">
        <f>BI59/BI$5</f>
        <v>0.94587668721143436</v>
      </c>
      <c r="AC18" s="85">
        <f>BJ59/BJ$5</f>
        <v>0.98838005611151625</v>
      </c>
      <c r="AD18" s="86">
        <f t="shared" si="5"/>
        <v>0.73070890494178986</v>
      </c>
      <c r="AE18" s="85">
        <f>BK59/$AP$5</f>
        <v>0.98842423840767013</v>
      </c>
      <c r="AF18" s="85">
        <f t="shared" si="8"/>
        <v>0.72896315196500772</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0.37408383590695204</v>
      </c>
      <c r="CH18" s="62">
        <f t="shared" ref="CH18:CH26" si="10">N11</f>
        <v>0.30521273223319417</v>
      </c>
      <c r="CI18" s="62">
        <f t="shared" ref="CI18:CI26" si="11">Y11</f>
        <v>0.24179200079528135</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0.99903454934142477</v>
      </c>
      <c r="C19" s="75">
        <f t="shared" si="0"/>
        <v>0.80562893498575128</v>
      </c>
      <c r="D19" s="75">
        <f>AL66/$AL$5</f>
        <v>1.9917379106192148E-2</v>
      </c>
      <c r="E19" s="75">
        <f>AM66/AM$5</f>
        <v>0.20161486292442618</v>
      </c>
      <c r="F19" s="75">
        <f>AN66/AN$5</f>
        <v>0.84522941657277928</v>
      </c>
      <c r="G19" s="75">
        <f>AO66/AO$5</f>
        <v>0.99593522875383844</v>
      </c>
      <c r="H19" s="76">
        <f t="shared" si="1"/>
        <v>0.68092650275034805</v>
      </c>
      <c r="I19" s="75">
        <f>AP66/$AP$5</f>
        <v>0.99643227958557012</v>
      </c>
      <c r="J19" s="75">
        <f>(($C$5*D19)+($D$5*E19)+($E$5*F19)+($F$5*G19)+($G$5*I19))</f>
        <v>0.67923675083394097</v>
      </c>
      <c r="K19"/>
      <c r="L19" s="68">
        <v>2</v>
      </c>
      <c r="M19" s="69">
        <f>AU62/$AK$5</f>
        <v>0.99779325563754229</v>
      </c>
      <c r="N19" s="69">
        <f t="shared" si="2"/>
        <v>0.82128360615901208</v>
      </c>
      <c r="O19" s="69">
        <f>AV66/$AL$5</f>
        <v>2.3701592771776352E-2</v>
      </c>
      <c r="P19" s="69">
        <f>AW66/AW$5</f>
        <v>0.23323834139660238</v>
      </c>
      <c r="Q19" s="69">
        <f>AX66/AX$5</f>
        <v>0.9152583559767602</v>
      </c>
      <c r="R19" s="69">
        <f>AY66/AY$5</f>
        <v>0.9965758720480703</v>
      </c>
      <c r="S19" s="70">
        <f t="shared" si="3"/>
        <v>0.71502418980714433</v>
      </c>
      <c r="T19" s="69">
        <f>AZ66/$AP$5</f>
        <v>0.99667528221441659</v>
      </c>
      <c r="U19" s="69">
        <f>(($C$5*O19)+($D$5*P19)+($E$5*Q19)+($F$5*R19)+($G$5*T19))</f>
        <v>0.71410387257825791</v>
      </c>
      <c r="V19"/>
      <c r="W19" s="84">
        <v>2</v>
      </c>
      <c r="X19" s="85">
        <f>BF62/$AK$5</f>
        <v>0.99496586442314328</v>
      </c>
      <c r="Y19" s="85">
        <f t="shared" si="4"/>
        <v>0.8342750789758544</v>
      </c>
      <c r="Z19" s="85">
        <f>BG66/$AL$5</f>
        <v>2.9295071464864032E-2</v>
      </c>
      <c r="AA19" s="85">
        <f>BH66/BH$5</f>
        <v>0.28555018004285682</v>
      </c>
      <c r="AB19" s="85">
        <f>BI66/BI$5</f>
        <v>0.95805995537588096</v>
      </c>
      <c r="AC19" s="85">
        <f>BJ66/BJ$5</f>
        <v>0.99423421035191206</v>
      </c>
      <c r="AD19" s="86">
        <f t="shared" si="5"/>
        <v>0.74594811525688332</v>
      </c>
      <c r="AE19" s="85">
        <f>BK66/$AP$5</f>
        <v>0.99426734707402753</v>
      </c>
      <c r="AF19" s="85">
        <f>(($C$5*Z19)+($D$5*AA19)+($E$5*AB19)+($F$5*AC19)+($G$5*AE19))</f>
        <v>0.74153710208319534</v>
      </c>
      <c r="AG19"/>
      <c r="AH19" s="37"/>
      <c r="AI19" s="56">
        <v>0.4</v>
      </c>
      <c r="AJ19" s="37" t="s">
        <v>0</v>
      </c>
      <c r="AK19" s="57">
        <v>1450100</v>
      </c>
      <c r="AL19" s="57">
        <v>9053.4</v>
      </c>
      <c r="AM19" s="57">
        <v>9053.4</v>
      </c>
      <c r="AN19" s="57">
        <v>9053.4</v>
      </c>
      <c r="AO19" s="57">
        <v>9053.4</v>
      </c>
      <c r="AP19" s="57">
        <v>9053.4</v>
      </c>
      <c r="AQ19" s="37"/>
      <c r="AR19" s="37"/>
      <c r="AS19" s="56">
        <v>0.4</v>
      </c>
      <c r="AT19" s="37" t="s">
        <v>0</v>
      </c>
      <c r="AU19" s="57">
        <v>1450100</v>
      </c>
      <c r="AV19" s="57">
        <v>9053.4</v>
      </c>
      <c r="AW19" s="57">
        <v>9053.4</v>
      </c>
      <c r="AX19" s="57">
        <v>9053.4</v>
      </c>
      <c r="AY19" s="57">
        <v>9053.4</v>
      </c>
      <c r="AZ19" s="57">
        <v>9053.4</v>
      </c>
      <c r="BA19" s="37"/>
      <c r="BB19" s="37"/>
      <c r="BC19" s="37"/>
      <c r="BD19" s="56">
        <v>0.4</v>
      </c>
      <c r="BE19" s="37" t="s">
        <v>0</v>
      </c>
      <c r="BF19" s="57">
        <v>1450100</v>
      </c>
      <c r="BG19" s="57">
        <v>9053.4</v>
      </c>
      <c r="BH19" s="57">
        <v>9053.4</v>
      </c>
      <c r="BI19" s="57">
        <v>9053.4</v>
      </c>
      <c r="BJ19" s="57">
        <v>9053.4</v>
      </c>
      <c r="BK19" s="57">
        <v>9053.4</v>
      </c>
      <c r="BL19" s="37"/>
      <c r="BM19" s="37"/>
      <c r="BN19" s="37"/>
      <c r="BO19" s="37"/>
      <c r="BY19" s="37"/>
      <c r="BZ19" s="37"/>
      <c r="CA19" s="37"/>
      <c r="CB19" s="37"/>
      <c r="CC19" s="61">
        <v>0.2</v>
      </c>
      <c r="CD19" s="62">
        <v>0.77280172734718189</v>
      </c>
      <c r="CE19" s="62">
        <v>0.62134241679696223</v>
      </c>
      <c r="CF19" s="62">
        <v>0.48760330578512395</v>
      </c>
      <c r="CG19" s="62">
        <f t="shared" si="9"/>
        <v>0.54809201515452766</v>
      </c>
      <c r="CH19" s="62">
        <f t="shared" si="10"/>
        <v>0.48642424393045702</v>
      </c>
      <c r="CI19" s="62">
        <f t="shared" si="11"/>
        <v>0.41953427441624142</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1304900</v>
      </c>
      <c r="AL20" s="57">
        <v>8147.2</v>
      </c>
      <c r="AM20" s="57">
        <v>8147.2</v>
      </c>
      <c r="AN20" s="57">
        <v>8147.2</v>
      </c>
      <c r="AO20" s="57">
        <v>8147.2</v>
      </c>
      <c r="AP20" s="57">
        <v>8147.2</v>
      </c>
      <c r="AQ20" s="37"/>
      <c r="AR20" s="37"/>
      <c r="AS20" s="56"/>
      <c r="AT20" s="37" t="s">
        <v>1</v>
      </c>
      <c r="AU20" s="57">
        <v>1214000</v>
      </c>
      <c r="AV20" s="57">
        <v>7579.2</v>
      </c>
      <c r="AW20" s="57">
        <v>7579.2</v>
      </c>
      <c r="AX20" s="57">
        <v>7579.2</v>
      </c>
      <c r="AY20" s="57">
        <v>7579.2</v>
      </c>
      <c r="AZ20" s="57">
        <v>7579.2</v>
      </c>
      <c r="BA20" s="37"/>
      <c r="BB20" s="37"/>
      <c r="BC20" s="37"/>
      <c r="BD20" s="56"/>
      <c r="BE20" s="37" t="s">
        <v>1</v>
      </c>
      <c r="BF20" s="57">
        <v>1080900</v>
      </c>
      <c r="BG20" s="57">
        <v>6748.6</v>
      </c>
      <c r="BH20" s="57">
        <v>6748.6</v>
      </c>
      <c r="BI20" s="57">
        <v>6748.6</v>
      </c>
      <c r="BJ20" s="57">
        <v>6748.6</v>
      </c>
      <c r="BK20" s="57">
        <v>6748.6</v>
      </c>
      <c r="BL20" s="37"/>
      <c r="BM20" s="37"/>
      <c r="BN20" s="37"/>
      <c r="BO20" s="37"/>
      <c r="BY20" s="37"/>
      <c r="BZ20" s="37"/>
      <c r="CA20" s="37"/>
      <c r="CB20" s="37"/>
      <c r="CC20" s="61">
        <v>0.4</v>
      </c>
      <c r="CD20" s="62">
        <v>0.93740227831136924</v>
      </c>
      <c r="CE20" s="62">
        <v>0.83551113096567642</v>
      </c>
      <c r="CF20" s="62">
        <v>0.7119350755714392</v>
      </c>
      <c r="CG20" s="62">
        <f t="shared" si="9"/>
        <v>0.67503150197715778</v>
      </c>
      <c r="CH20" s="62">
        <f t="shared" si="10"/>
        <v>0.65397259040802347</v>
      </c>
      <c r="CI20" s="62">
        <f t="shared" si="11"/>
        <v>0.60354622020456405</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145160</v>
      </c>
      <c r="AL21" s="57">
        <v>906.32</v>
      </c>
      <c r="AM21" s="57">
        <v>906.32</v>
      </c>
      <c r="AN21" s="57">
        <v>906.32</v>
      </c>
      <c r="AO21" s="57">
        <v>906.32</v>
      </c>
      <c r="AP21" s="57">
        <v>906.32</v>
      </c>
      <c r="AQ21" s="57"/>
      <c r="AR21" s="37"/>
      <c r="AS21" s="56"/>
      <c r="AT21" s="37" t="s">
        <v>2</v>
      </c>
      <c r="AU21" s="57">
        <v>236110</v>
      </c>
      <c r="AV21" s="57">
        <v>1474.1</v>
      </c>
      <c r="AW21" s="57">
        <v>1474.1</v>
      </c>
      <c r="AX21" s="57">
        <v>1474.1</v>
      </c>
      <c r="AY21" s="57">
        <v>1474.1</v>
      </c>
      <c r="AZ21" s="57">
        <v>1474.1</v>
      </c>
      <c r="BA21" s="57"/>
      <c r="BB21" s="37"/>
      <c r="BC21" s="37"/>
      <c r="BD21" s="56"/>
      <c r="BE21" s="37" t="s">
        <v>2</v>
      </c>
      <c r="BF21" s="57">
        <v>369150</v>
      </c>
      <c r="BG21" s="57">
        <v>2304.6999999999998</v>
      </c>
      <c r="BH21" s="57">
        <v>2304.6999999999998</v>
      </c>
      <c r="BI21" s="57">
        <v>2304.6999999999998</v>
      </c>
      <c r="BJ21" s="57">
        <v>2304.6999999999998</v>
      </c>
      <c r="BK21" s="57">
        <v>2304.6999999999998</v>
      </c>
      <c r="BL21" s="57"/>
      <c r="BM21" s="57"/>
      <c r="BN21" s="57"/>
      <c r="BO21" s="37"/>
      <c r="BY21" s="37"/>
      <c r="BZ21" s="37"/>
      <c r="CA21" s="37"/>
      <c r="CB21" s="37"/>
      <c r="CC21" s="61">
        <v>0.6</v>
      </c>
      <c r="CD21" s="62">
        <v>0.98157248157248156</v>
      </c>
      <c r="CE21" s="62">
        <v>0.93494527585436671</v>
      </c>
      <c r="CF21" s="62">
        <v>0.84556250465341376</v>
      </c>
      <c r="CG21" s="62">
        <f t="shared" si="9"/>
        <v>0.72996525062407491</v>
      </c>
      <c r="CH21" s="62">
        <f t="shared" si="10"/>
        <v>0.72664064881701895</v>
      </c>
      <c r="CI21" s="62">
        <f t="shared" si="11"/>
        <v>0.70640383723242106</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1304700</v>
      </c>
      <c r="AL22" s="57">
        <v>8104.8</v>
      </c>
      <c r="AM22" s="57">
        <v>7599.8</v>
      </c>
      <c r="AN22" s="57">
        <v>3190.2</v>
      </c>
      <c r="AO22" s="57">
        <v>24.626999999999999</v>
      </c>
      <c r="AP22" s="57">
        <v>13.981999999999999</v>
      </c>
      <c r="AQ22" s="37"/>
      <c r="AR22" s="37"/>
      <c r="AS22" s="56"/>
      <c r="AT22" s="37" t="s">
        <v>3</v>
      </c>
      <c r="AU22" s="57">
        <v>1213700</v>
      </c>
      <c r="AV22" s="57">
        <v>7527.3</v>
      </c>
      <c r="AW22" s="57">
        <v>6896</v>
      </c>
      <c r="AX22" s="57">
        <v>1612.9</v>
      </c>
      <c r="AY22" s="57">
        <v>8.2725000000000009</v>
      </c>
      <c r="AZ22" s="57">
        <v>5.4740000000000002</v>
      </c>
      <c r="BA22" s="37"/>
      <c r="BB22" s="37"/>
      <c r="BC22" s="37"/>
      <c r="BD22" s="56"/>
      <c r="BE22" s="37" t="s">
        <v>3</v>
      </c>
      <c r="BF22" s="57">
        <v>1080500</v>
      </c>
      <c r="BG22" s="57">
        <v>6673.7</v>
      </c>
      <c r="BH22" s="57">
        <v>5768.9</v>
      </c>
      <c r="BI22" s="57">
        <v>539.39</v>
      </c>
      <c r="BJ22" s="57">
        <v>2.4098999999999999</v>
      </c>
      <c r="BK22" s="57">
        <v>1.6341000000000001</v>
      </c>
      <c r="BL22" s="37"/>
      <c r="BM22" s="37"/>
      <c r="BN22" s="37"/>
      <c r="BO22" s="37"/>
      <c r="BY22" s="37"/>
      <c r="BZ22" s="37"/>
      <c r="CA22" s="37"/>
      <c r="CB22" s="37"/>
      <c r="CC22" s="61">
        <v>0.8</v>
      </c>
      <c r="CD22" s="62">
        <v>0.99348522075794798</v>
      </c>
      <c r="CE22" s="62">
        <v>0.97371751917206462</v>
      </c>
      <c r="CF22" s="62">
        <v>0.92195294468021738</v>
      </c>
      <c r="CG22" s="62">
        <f t="shared" si="9"/>
        <v>0.7562612002120751</v>
      </c>
      <c r="CH22" s="62">
        <f t="shared" si="10"/>
        <v>0.76619362339010766</v>
      </c>
      <c r="CI22" s="62">
        <f t="shared" si="11"/>
        <v>0.75875019329754578</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0.77163869375041427</v>
      </c>
      <c r="CH23" s="62">
        <f t="shared" si="10"/>
        <v>0.78281319725186127</v>
      </c>
      <c r="CI23" s="62">
        <f t="shared" si="11"/>
        <v>0.78713985905847528</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40.863999999999997</v>
      </c>
      <c r="AM24" s="57">
        <v>545.88</v>
      </c>
      <c r="AN24" s="57">
        <v>4955.6000000000004</v>
      </c>
      <c r="AO24" s="57">
        <v>8121.1</v>
      </c>
      <c r="AP24" s="57">
        <v>8131.8</v>
      </c>
      <c r="AQ24" s="37"/>
      <c r="AR24" s="37"/>
      <c r="AS24" s="56"/>
      <c r="AT24" s="37" t="s">
        <v>5</v>
      </c>
      <c r="AU24" s="57">
        <v>0</v>
      </c>
      <c r="AV24" s="57">
        <v>50.259</v>
      </c>
      <c r="AW24" s="57">
        <v>681.15</v>
      </c>
      <c r="AX24" s="57">
        <v>5964.5</v>
      </c>
      <c r="AY24" s="57">
        <v>7569.1</v>
      </c>
      <c r="AZ24" s="57">
        <v>7571.9</v>
      </c>
      <c r="BA24" s="37"/>
      <c r="BB24" s="37"/>
      <c r="BC24" s="37"/>
      <c r="BD24" s="56"/>
      <c r="BE24" s="37" t="s">
        <v>5</v>
      </c>
      <c r="BF24" s="57">
        <v>0</v>
      </c>
      <c r="BG24" s="57">
        <v>71.566999999999993</v>
      </c>
      <c r="BH24" s="57">
        <v>975.88</v>
      </c>
      <c r="BI24" s="57">
        <v>6206</v>
      </c>
      <c r="BJ24" s="57">
        <v>6742.9</v>
      </c>
      <c r="BK24" s="57">
        <v>6743.7</v>
      </c>
      <c r="BL24" s="37"/>
      <c r="BM24" s="37"/>
      <c r="BN24" s="37"/>
      <c r="BO24" s="37"/>
      <c r="BY24" s="37"/>
      <c r="BZ24" s="37"/>
      <c r="CA24" s="37"/>
      <c r="CB24" s="37"/>
      <c r="CC24" s="61">
        <v>1.2</v>
      </c>
      <c r="CD24" s="62">
        <v>0.9987156578065669</v>
      </c>
      <c r="CE24" s="62">
        <v>0.99434144888690346</v>
      </c>
      <c r="CF24" s="62">
        <v>0.97799865981684164</v>
      </c>
      <c r="CG24" s="62">
        <f t="shared" si="9"/>
        <v>0.7821934853204322</v>
      </c>
      <c r="CH24" s="62">
        <f t="shared" si="10"/>
        <v>0.79625400402058899</v>
      </c>
      <c r="CI24" s="62">
        <f t="shared" si="11"/>
        <v>0.80401998144343567</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0.79523587823359176</v>
      </c>
      <c r="CH25" s="62">
        <f t="shared" si="10"/>
        <v>0.81147077341109419</v>
      </c>
      <c r="CI25" s="62">
        <f t="shared" si="11"/>
        <v>0.82429115028608035</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1450100</v>
      </c>
      <c r="AL26" s="57">
        <v>9053.4</v>
      </c>
      <c r="AM26" s="57">
        <v>9053.4</v>
      </c>
      <c r="AN26" s="57">
        <v>9053.4</v>
      </c>
      <c r="AO26" s="57">
        <v>9053.4</v>
      </c>
      <c r="AP26" s="57">
        <v>9053.4</v>
      </c>
      <c r="AQ26" s="37"/>
      <c r="AR26" s="37"/>
      <c r="AS26" s="56">
        <v>0.6</v>
      </c>
      <c r="AT26" s="37" t="s">
        <v>0</v>
      </c>
      <c r="AU26" s="57">
        <v>1450100</v>
      </c>
      <c r="AV26" s="57">
        <v>9053.4</v>
      </c>
      <c r="AW26" s="57">
        <v>9053.4</v>
      </c>
      <c r="AX26" s="57">
        <v>9053.4</v>
      </c>
      <c r="AY26" s="57">
        <v>9053.4</v>
      </c>
      <c r="AZ26" s="57">
        <v>9053.4</v>
      </c>
      <c r="BA26" s="37"/>
      <c r="BB26" s="37"/>
      <c r="BC26" s="37"/>
      <c r="BD26" s="56">
        <v>0.6</v>
      </c>
      <c r="BE26" s="37" t="s">
        <v>0</v>
      </c>
      <c r="BF26" s="57">
        <v>1450100</v>
      </c>
      <c r="BG26" s="57">
        <v>9053.4</v>
      </c>
      <c r="BH26" s="57">
        <v>9053.4</v>
      </c>
      <c r="BI26" s="57">
        <v>9053.4</v>
      </c>
      <c r="BJ26" s="57">
        <v>9053.4</v>
      </c>
      <c r="BK26" s="57">
        <v>9053.4</v>
      </c>
      <c r="BL26" s="37"/>
      <c r="BM26" s="37"/>
      <c r="BN26" s="37"/>
      <c r="BO26" s="37"/>
      <c r="BY26" s="37"/>
      <c r="BZ26" s="37"/>
      <c r="CA26" s="37"/>
      <c r="CB26" s="37"/>
      <c r="CC26" s="61">
        <v>2</v>
      </c>
      <c r="CD26" s="62">
        <v>1</v>
      </c>
      <c r="CE26" s="62">
        <v>1</v>
      </c>
      <c r="CF26" s="62">
        <v>1</v>
      </c>
      <c r="CG26" s="62">
        <f t="shared" si="9"/>
        <v>0.80562893498575128</v>
      </c>
      <c r="CH26" s="62">
        <f t="shared" si="10"/>
        <v>0.82128360615901208</v>
      </c>
      <c r="CI26" s="62">
        <f t="shared" si="11"/>
        <v>0.8342750789758544</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1387800</v>
      </c>
      <c r="AL27" s="57">
        <v>8664.7999999999993</v>
      </c>
      <c r="AM27" s="57">
        <v>8664.7999999999993</v>
      </c>
      <c r="AN27" s="57">
        <v>8664.7999999999993</v>
      </c>
      <c r="AO27" s="57">
        <v>8664.7999999999993</v>
      </c>
      <c r="AP27" s="57">
        <v>8664.7999999999993</v>
      </c>
      <c r="AQ27" s="37"/>
      <c r="AR27" s="37"/>
      <c r="AS27" s="56"/>
      <c r="AT27" s="37" t="s">
        <v>1</v>
      </c>
      <c r="AU27" s="57">
        <v>1333800</v>
      </c>
      <c r="AV27" s="57">
        <v>8327.2999999999993</v>
      </c>
      <c r="AW27" s="57">
        <v>8327.2999999999993</v>
      </c>
      <c r="AX27" s="57">
        <v>8327.2999999999993</v>
      </c>
      <c r="AY27" s="57">
        <v>8327.2999999999993</v>
      </c>
      <c r="AZ27" s="57">
        <v>8327.2999999999993</v>
      </c>
      <c r="BA27" s="37"/>
      <c r="BB27" s="37"/>
      <c r="BC27" s="37"/>
      <c r="BD27" s="56"/>
      <c r="BE27" s="37" t="s">
        <v>1</v>
      </c>
      <c r="BF27" s="57">
        <v>1257600</v>
      </c>
      <c r="BG27" s="57">
        <v>7851.7</v>
      </c>
      <c r="BH27" s="57">
        <v>7851.7</v>
      </c>
      <c r="BI27" s="57">
        <v>7851.7</v>
      </c>
      <c r="BJ27" s="57">
        <v>7851.7</v>
      </c>
      <c r="BK27" s="57">
        <v>7851.7</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62246</v>
      </c>
      <c r="AL28" s="57">
        <v>388.62</v>
      </c>
      <c r="AM28" s="57">
        <v>388.62</v>
      </c>
      <c r="AN28" s="57">
        <v>388.62</v>
      </c>
      <c r="AO28" s="57">
        <v>388.62</v>
      </c>
      <c r="AP28" s="57">
        <v>388.62</v>
      </c>
      <c r="AQ28" s="37"/>
      <c r="AR28" s="37"/>
      <c r="AS28" s="56"/>
      <c r="AT28" s="37" t="s">
        <v>2</v>
      </c>
      <c r="AU28" s="57">
        <v>116300</v>
      </c>
      <c r="AV28" s="57">
        <v>726.08</v>
      </c>
      <c r="AW28" s="57">
        <v>726.08</v>
      </c>
      <c r="AX28" s="57">
        <v>726.08</v>
      </c>
      <c r="AY28" s="57">
        <v>726.08</v>
      </c>
      <c r="AZ28" s="57">
        <v>726.08</v>
      </c>
      <c r="BA28" s="37"/>
      <c r="BB28" s="37"/>
      <c r="BC28" s="37"/>
      <c r="BD28" s="56"/>
      <c r="BE28" s="37" t="s">
        <v>2</v>
      </c>
      <c r="BF28" s="57">
        <v>192460</v>
      </c>
      <c r="BG28" s="57">
        <v>1201.5999999999999</v>
      </c>
      <c r="BH28" s="57">
        <v>1201.5999999999999</v>
      </c>
      <c r="BI28" s="57">
        <v>1201.5999999999999</v>
      </c>
      <c r="BJ28" s="57">
        <v>1201.5999999999999</v>
      </c>
      <c r="BK28" s="57">
        <v>1201.5999999999999</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1387600</v>
      </c>
      <c r="AL29" s="57">
        <v>8603.7999999999993</v>
      </c>
      <c r="AM29" s="57">
        <v>7910.5</v>
      </c>
      <c r="AN29" s="57">
        <v>2839.4</v>
      </c>
      <c r="AO29" s="57">
        <v>25.623999999999999</v>
      </c>
      <c r="AP29" s="57">
        <v>16.568000000000001</v>
      </c>
      <c r="AQ29" s="37"/>
      <c r="AR29" s="37"/>
      <c r="AS29" s="56"/>
      <c r="AT29" s="37" t="s">
        <v>3</v>
      </c>
      <c r="AU29" s="57">
        <v>1333500</v>
      </c>
      <c r="AV29" s="57">
        <v>8250.9</v>
      </c>
      <c r="AW29" s="57">
        <v>7392.3</v>
      </c>
      <c r="AX29" s="57">
        <v>1474.1</v>
      </c>
      <c r="AY29" s="57">
        <v>8.2690999999999999</v>
      </c>
      <c r="AZ29" s="57">
        <v>5.9360999999999997</v>
      </c>
      <c r="BA29" s="37"/>
      <c r="BB29" s="37"/>
      <c r="BC29" s="37"/>
      <c r="BD29" s="56"/>
      <c r="BE29" s="37" t="s">
        <v>3</v>
      </c>
      <c r="BF29" s="57">
        <v>1257100</v>
      </c>
      <c r="BG29" s="57">
        <v>7747.5</v>
      </c>
      <c r="BH29" s="57">
        <v>6553.6</v>
      </c>
      <c r="BI29" s="57">
        <v>542.94000000000005</v>
      </c>
      <c r="BJ29" s="57">
        <v>2.6415999999999999</v>
      </c>
      <c r="BK29" s="57">
        <v>1.9480999999999999</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59.707999999999998</v>
      </c>
      <c r="AM31" s="57">
        <v>752.78</v>
      </c>
      <c r="AN31" s="57">
        <v>5824.2</v>
      </c>
      <c r="AO31" s="57">
        <v>8637.9</v>
      </c>
      <c r="AP31" s="57">
        <v>8646.9</v>
      </c>
      <c r="AQ31" s="37"/>
      <c r="AR31" s="37"/>
      <c r="AS31" s="56"/>
      <c r="AT31" s="37" t="s">
        <v>5</v>
      </c>
      <c r="AU31" s="57">
        <v>0</v>
      </c>
      <c r="AV31" s="57">
        <v>74.119</v>
      </c>
      <c r="AW31" s="57">
        <v>932.45</v>
      </c>
      <c r="AX31" s="57">
        <v>6851.2</v>
      </c>
      <c r="AY31" s="57">
        <v>8317.1</v>
      </c>
      <c r="AZ31" s="57">
        <v>8319.5</v>
      </c>
      <c r="BA31" s="37"/>
      <c r="BB31" s="37"/>
      <c r="BC31" s="37"/>
      <c r="BD31" s="56"/>
      <c r="BE31" s="37" t="s">
        <v>5</v>
      </c>
      <c r="BF31" s="57">
        <v>0</v>
      </c>
      <c r="BG31" s="57">
        <v>100.83</v>
      </c>
      <c r="BH31" s="57">
        <v>1294.3</v>
      </c>
      <c r="BI31" s="57">
        <v>7305.7</v>
      </c>
      <c r="BJ31" s="57">
        <v>7846.1</v>
      </c>
      <c r="BK31" s="57">
        <v>7846.8</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1450100</v>
      </c>
      <c r="AL33" s="57">
        <v>9053.4</v>
      </c>
      <c r="AM33" s="57">
        <v>9053.4</v>
      </c>
      <c r="AN33" s="57">
        <v>9053.4</v>
      </c>
      <c r="AO33" s="57">
        <v>9053.4</v>
      </c>
      <c r="AP33" s="57">
        <v>9053.4</v>
      </c>
      <c r="AQ33" s="37"/>
      <c r="AR33" s="37"/>
      <c r="AS33" s="56">
        <v>0.8</v>
      </c>
      <c r="AT33" s="37" t="s">
        <v>0</v>
      </c>
      <c r="AU33" s="57">
        <v>1450100</v>
      </c>
      <c r="AV33" s="57">
        <v>9053.4</v>
      </c>
      <c r="AW33" s="57">
        <v>9053.4</v>
      </c>
      <c r="AX33" s="57">
        <v>9053.4</v>
      </c>
      <c r="AY33" s="57">
        <v>9053.4</v>
      </c>
      <c r="AZ33" s="57">
        <v>9053.4</v>
      </c>
      <c r="BA33" s="37"/>
      <c r="BB33" s="37"/>
      <c r="BC33" s="37"/>
      <c r="BD33" s="56">
        <v>0.8</v>
      </c>
      <c r="BE33" s="37" t="s">
        <v>0</v>
      </c>
      <c r="BF33" s="57">
        <v>1450100</v>
      </c>
      <c r="BG33" s="57">
        <v>9053.4</v>
      </c>
      <c r="BH33" s="57">
        <v>9053.4</v>
      </c>
      <c r="BI33" s="57">
        <v>9053.4</v>
      </c>
      <c r="BJ33" s="57">
        <v>9053.4</v>
      </c>
      <c r="BK33" s="57">
        <v>9053.4</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1420400</v>
      </c>
      <c r="AL34" s="57">
        <v>8868.2000000000007</v>
      </c>
      <c r="AM34" s="57">
        <v>8868.2000000000007</v>
      </c>
      <c r="AN34" s="57">
        <v>8868.2000000000007</v>
      </c>
      <c r="AO34" s="57">
        <v>8868.2000000000007</v>
      </c>
      <c r="AP34" s="57">
        <v>8868.2000000000007</v>
      </c>
      <c r="AQ34" s="37"/>
      <c r="AR34" s="37"/>
      <c r="AS34" s="56"/>
      <c r="AT34" s="37" t="s">
        <v>1</v>
      </c>
      <c r="AU34" s="57">
        <v>1391200</v>
      </c>
      <c r="AV34" s="57">
        <v>8686</v>
      </c>
      <c r="AW34" s="57">
        <v>8686</v>
      </c>
      <c r="AX34" s="57">
        <v>8686</v>
      </c>
      <c r="AY34" s="57">
        <v>8686</v>
      </c>
      <c r="AZ34" s="57">
        <v>8686</v>
      </c>
      <c r="BA34" s="37"/>
      <c r="BB34" s="37"/>
      <c r="BC34" s="37"/>
      <c r="BD34" s="56"/>
      <c r="BE34" s="37" t="s">
        <v>1</v>
      </c>
      <c r="BF34" s="57">
        <v>1343700</v>
      </c>
      <c r="BG34" s="57">
        <v>8389.1</v>
      </c>
      <c r="BH34" s="57">
        <v>8389.1</v>
      </c>
      <c r="BI34" s="57">
        <v>8389.1</v>
      </c>
      <c r="BJ34" s="57">
        <v>8389.1</v>
      </c>
      <c r="BK34" s="57">
        <v>8389.1</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29663</v>
      </c>
      <c r="AL35" s="57">
        <v>185.2</v>
      </c>
      <c r="AM35" s="57">
        <v>185.2</v>
      </c>
      <c r="AN35" s="57">
        <v>185.2</v>
      </c>
      <c r="AO35" s="57">
        <v>185.2</v>
      </c>
      <c r="AP35" s="57">
        <v>185.2</v>
      </c>
      <c r="AQ35" s="37"/>
      <c r="AR35" s="37"/>
      <c r="AS35" s="56"/>
      <c r="AT35" s="37" t="s">
        <v>2</v>
      </c>
      <c r="AU35" s="57">
        <v>58849</v>
      </c>
      <c r="AV35" s="57">
        <v>367.42</v>
      </c>
      <c r="AW35" s="57">
        <v>367.42</v>
      </c>
      <c r="AX35" s="57">
        <v>367.42</v>
      </c>
      <c r="AY35" s="57">
        <v>367.42</v>
      </c>
      <c r="AZ35" s="57">
        <v>367.42</v>
      </c>
      <c r="BA35" s="37"/>
      <c r="BB35" s="37"/>
      <c r="BC35" s="37"/>
      <c r="BD35" s="56"/>
      <c r="BE35" s="37" t="s">
        <v>2</v>
      </c>
      <c r="BF35" s="57">
        <v>106400</v>
      </c>
      <c r="BG35" s="57">
        <v>664.27</v>
      </c>
      <c r="BH35" s="57">
        <v>664.27</v>
      </c>
      <c r="BI35" s="57">
        <v>664.27</v>
      </c>
      <c r="BJ35" s="57">
        <v>664.27</v>
      </c>
      <c r="BK35" s="57">
        <v>664.27</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1420200</v>
      </c>
      <c r="AL36" s="57">
        <v>8789</v>
      </c>
      <c r="AM36" s="57">
        <v>7930.1</v>
      </c>
      <c r="AN36" s="57">
        <v>2517.8000000000002</v>
      </c>
      <c r="AO36" s="57">
        <v>27.477</v>
      </c>
      <c r="AP36" s="57">
        <v>18.937999999999999</v>
      </c>
      <c r="AQ36" s="37"/>
      <c r="AR36" s="37"/>
      <c r="AS36" s="56"/>
      <c r="AT36" s="37" t="s">
        <v>3</v>
      </c>
      <c r="AU36" s="57">
        <v>1390900</v>
      </c>
      <c r="AV36" s="57">
        <v>8586.2999999999993</v>
      </c>
      <c r="AW36" s="57">
        <v>7522.5</v>
      </c>
      <c r="AX36" s="57">
        <v>1234.9000000000001</v>
      </c>
      <c r="AY36" s="57">
        <v>7.3771000000000004</v>
      </c>
      <c r="AZ36" s="57">
        <v>6.2305000000000001</v>
      </c>
      <c r="BA36" s="37"/>
      <c r="BB36" s="37"/>
      <c r="BC36" s="37"/>
      <c r="BD36" s="56"/>
      <c r="BE36" s="37" t="s">
        <v>3</v>
      </c>
      <c r="BF36" s="57">
        <v>1343200</v>
      </c>
      <c r="BG36" s="57">
        <v>8257.7999999999993</v>
      </c>
      <c r="BH36" s="57">
        <v>6832.8</v>
      </c>
      <c r="BI36" s="57">
        <v>514.9</v>
      </c>
      <c r="BJ36" s="57">
        <v>2.8086000000000002</v>
      </c>
      <c r="BK36" s="57">
        <v>2.1816</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77.893000000000001</v>
      </c>
      <c r="AM38" s="57">
        <v>936.67</v>
      </c>
      <c r="AN38" s="57">
        <v>6349.1</v>
      </c>
      <c r="AO38" s="57">
        <v>8839.5</v>
      </c>
      <c r="AP38" s="57">
        <v>8848.1</v>
      </c>
      <c r="AQ38" s="37"/>
      <c r="AR38" s="37"/>
      <c r="AS38" s="56"/>
      <c r="AT38" s="37" t="s">
        <v>5</v>
      </c>
      <c r="AU38" s="57">
        <v>0</v>
      </c>
      <c r="AV38" s="57">
        <v>97.247</v>
      </c>
      <c r="AW38" s="57">
        <v>1160.8</v>
      </c>
      <c r="AX38" s="57">
        <v>7449</v>
      </c>
      <c r="AY38" s="57">
        <v>8676.5</v>
      </c>
      <c r="AZ38" s="57">
        <v>8677.7000000000007</v>
      </c>
      <c r="BA38" s="37"/>
      <c r="BB38" s="37"/>
      <c r="BC38" s="37"/>
      <c r="BD38" s="56"/>
      <c r="BE38" s="37" t="s">
        <v>5</v>
      </c>
      <c r="BF38" s="57">
        <v>0</v>
      </c>
      <c r="BG38" s="57">
        <v>127.58</v>
      </c>
      <c r="BH38" s="57">
        <v>1552.4</v>
      </c>
      <c r="BI38" s="57">
        <v>7871.1</v>
      </c>
      <c r="BJ38" s="57">
        <v>8383.1</v>
      </c>
      <c r="BK38" s="57">
        <v>8383.7999999999993</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1450100</v>
      </c>
      <c r="AL40" s="57">
        <v>9053.4</v>
      </c>
      <c r="AM40" s="57">
        <v>9053.4</v>
      </c>
      <c r="AN40" s="57">
        <v>9053.4</v>
      </c>
      <c r="AO40" s="57">
        <v>9053.4</v>
      </c>
      <c r="AP40" s="57">
        <v>9053.4</v>
      </c>
      <c r="AQ40" s="37"/>
      <c r="AR40" s="37"/>
      <c r="AS40" s="56">
        <v>1</v>
      </c>
      <c r="AT40" s="37" t="s">
        <v>0</v>
      </c>
      <c r="AU40" s="57">
        <v>1450100</v>
      </c>
      <c r="AV40" s="57">
        <v>9053.4</v>
      </c>
      <c r="AW40" s="57">
        <v>9053.4</v>
      </c>
      <c r="AX40" s="57">
        <v>9053.4</v>
      </c>
      <c r="AY40" s="57">
        <v>9053.4</v>
      </c>
      <c r="AZ40" s="57">
        <v>9053.4</v>
      </c>
      <c r="BA40" s="37"/>
      <c r="BB40" s="37"/>
      <c r="BC40" s="37"/>
      <c r="BD40" s="56">
        <v>1</v>
      </c>
      <c r="BE40" s="37" t="s">
        <v>0</v>
      </c>
      <c r="BF40" s="57">
        <v>1450100</v>
      </c>
      <c r="BG40" s="57">
        <v>9053.4</v>
      </c>
      <c r="BH40" s="57">
        <v>9053.4</v>
      </c>
      <c r="BI40" s="57">
        <v>9053.4</v>
      </c>
      <c r="BJ40" s="57">
        <v>9053.4</v>
      </c>
      <c r="BK40" s="57">
        <v>9053.4</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1434800</v>
      </c>
      <c r="AL41" s="57">
        <v>8958.2000000000007</v>
      </c>
      <c r="AM41" s="57">
        <v>8958.2000000000007</v>
      </c>
      <c r="AN41" s="57">
        <v>8958.2000000000007</v>
      </c>
      <c r="AO41" s="57">
        <v>8958.2000000000007</v>
      </c>
      <c r="AP41" s="57">
        <v>8958.2000000000007</v>
      </c>
      <c r="AQ41" s="37"/>
      <c r="AR41" s="37"/>
      <c r="AS41" s="56"/>
      <c r="AT41" s="37" t="s">
        <v>1</v>
      </c>
      <c r="AU41" s="57">
        <v>1415500</v>
      </c>
      <c r="AV41" s="57">
        <v>8837.4</v>
      </c>
      <c r="AW41" s="57">
        <v>8837.4</v>
      </c>
      <c r="AX41" s="57">
        <v>8837.4</v>
      </c>
      <c r="AY41" s="57">
        <v>8837.4</v>
      </c>
      <c r="AZ41" s="57">
        <v>8837.4</v>
      </c>
      <c r="BA41" s="37"/>
      <c r="BB41" s="37"/>
      <c r="BC41" s="37"/>
      <c r="BD41" s="56"/>
      <c r="BE41" s="37" t="s">
        <v>1</v>
      </c>
      <c r="BF41" s="57">
        <v>1387500</v>
      </c>
      <c r="BG41" s="57">
        <v>8662.7000000000007</v>
      </c>
      <c r="BH41" s="57">
        <v>8662.7000000000007</v>
      </c>
      <c r="BI41" s="57">
        <v>8662.7000000000007</v>
      </c>
      <c r="BJ41" s="57">
        <v>8662.7000000000007</v>
      </c>
      <c r="BK41" s="57">
        <v>8662.7000000000007</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15253</v>
      </c>
      <c r="AL42" s="57">
        <v>95.230999999999995</v>
      </c>
      <c r="AM42" s="57">
        <v>95.230999999999995</v>
      </c>
      <c r="AN42" s="57">
        <v>95.230999999999995</v>
      </c>
      <c r="AO42" s="57">
        <v>95.230999999999995</v>
      </c>
      <c r="AP42" s="57">
        <v>95.230999999999995</v>
      </c>
      <c r="AQ42" s="37"/>
      <c r="AR42" s="37"/>
      <c r="AS42" s="56"/>
      <c r="AT42" s="37" t="s">
        <v>2</v>
      </c>
      <c r="AU42" s="57">
        <v>34599</v>
      </c>
      <c r="AV42" s="57">
        <v>216.01</v>
      </c>
      <c r="AW42" s="57">
        <v>216.01</v>
      </c>
      <c r="AX42" s="57">
        <v>216.01</v>
      </c>
      <c r="AY42" s="57">
        <v>216.01</v>
      </c>
      <c r="AZ42" s="57">
        <v>216.01</v>
      </c>
      <c r="BA42" s="37"/>
      <c r="BB42" s="37"/>
      <c r="BC42" s="37"/>
      <c r="BD42" s="56"/>
      <c r="BE42" s="37" t="s">
        <v>2</v>
      </c>
      <c r="BF42" s="57">
        <v>62581</v>
      </c>
      <c r="BG42" s="57">
        <v>390.71</v>
      </c>
      <c r="BH42" s="57">
        <v>390.71</v>
      </c>
      <c r="BI42" s="57">
        <v>390.71</v>
      </c>
      <c r="BJ42" s="57">
        <v>390.71</v>
      </c>
      <c r="BK42" s="57">
        <v>390.71</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1434600</v>
      </c>
      <c r="AL43" s="57">
        <v>8860.7999999999993</v>
      </c>
      <c r="AM43" s="57">
        <v>7850</v>
      </c>
      <c r="AN43" s="57">
        <v>2243.9</v>
      </c>
      <c r="AO43" s="57">
        <v>27.155999999999999</v>
      </c>
      <c r="AP43" s="57">
        <v>19.135999999999999</v>
      </c>
      <c r="AQ43" s="37"/>
      <c r="AR43" s="37"/>
      <c r="AS43" s="56"/>
      <c r="AT43" s="37" t="s">
        <v>3</v>
      </c>
      <c r="AU43" s="57">
        <v>1415200</v>
      </c>
      <c r="AV43" s="57">
        <v>8720.7999999999993</v>
      </c>
      <c r="AW43" s="57">
        <v>7516.8</v>
      </c>
      <c r="AX43" s="57">
        <v>1196.9000000000001</v>
      </c>
      <c r="AY43" s="57">
        <v>9.4054000000000002</v>
      </c>
      <c r="AZ43" s="57">
        <v>7.4306999999999999</v>
      </c>
      <c r="BA43" s="37"/>
      <c r="BB43" s="37"/>
      <c r="BC43" s="37"/>
      <c r="BD43" s="56"/>
      <c r="BE43" s="37" t="s">
        <v>3</v>
      </c>
      <c r="BF43" s="57">
        <v>1387000</v>
      </c>
      <c r="BG43" s="57">
        <v>8506.2999999999993</v>
      </c>
      <c r="BH43" s="57">
        <v>6888</v>
      </c>
      <c r="BI43" s="57">
        <v>486.04</v>
      </c>
      <c r="BJ43" s="57">
        <v>2.8531</v>
      </c>
      <c r="BK43" s="57">
        <v>2.2993000000000001</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95.775000000000006</v>
      </c>
      <c r="AM45" s="57">
        <v>1106.5999999999999</v>
      </c>
      <c r="AN45" s="57">
        <v>6712.9</v>
      </c>
      <c r="AO45" s="57">
        <v>8929.6</v>
      </c>
      <c r="AP45" s="57">
        <v>8937.6</v>
      </c>
      <c r="AQ45" s="37"/>
      <c r="AR45" s="37"/>
      <c r="AS45" s="56"/>
      <c r="AT45" s="37" t="s">
        <v>5</v>
      </c>
      <c r="AU45" s="57">
        <v>0</v>
      </c>
      <c r="AV45" s="57">
        <v>114.32</v>
      </c>
      <c r="AW45" s="57">
        <v>1318.3</v>
      </c>
      <c r="AX45" s="57">
        <v>7638.4</v>
      </c>
      <c r="AY45" s="57">
        <v>8826</v>
      </c>
      <c r="AZ45" s="57">
        <v>8828</v>
      </c>
      <c r="BA45" s="37"/>
      <c r="BB45" s="37"/>
      <c r="BC45" s="37"/>
      <c r="BD45" s="56"/>
      <c r="BE45" s="37" t="s">
        <v>5</v>
      </c>
      <c r="BF45" s="57">
        <v>0</v>
      </c>
      <c r="BG45" s="57">
        <v>152.44</v>
      </c>
      <c r="BH45" s="57">
        <v>1770.9</v>
      </c>
      <c r="BI45" s="57">
        <v>8173.4</v>
      </c>
      <c r="BJ45" s="57">
        <v>8656.5</v>
      </c>
      <c r="BK45" s="57">
        <v>8657.1</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1450100</v>
      </c>
      <c r="AL47" s="57">
        <v>9053.4</v>
      </c>
      <c r="AM47" s="57">
        <v>9053.4</v>
      </c>
      <c r="AN47" s="57">
        <v>9053.4</v>
      </c>
      <c r="AO47" s="57">
        <v>9053.4</v>
      </c>
      <c r="AP47" s="57">
        <v>9053.4</v>
      </c>
      <c r="AQ47" s="37"/>
      <c r="AR47" s="37"/>
      <c r="AS47" s="56">
        <v>1.2</v>
      </c>
      <c r="AT47" s="37" t="s">
        <v>0</v>
      </c>
      <c r="AU47" s="57">
        <v>1450100</v>
      </c>
      <c r="AV47" s="57">
        <v>9053.4</v>
      </c>
      <c r="AW47" s="57">
        <v>9053.4</v>
      </c>
      <c r="AX47" s="57">
        <v>9053.4</v>
      </c>
      <c r="AY47" s="57">
        <v>9053.4</v>
      </c>
      <c r="AZ47" s="57">
        <v>9053.4</v>
      </c>
      <c r="BA47" s="37"/>
      <c r="BB47" s="37"/>
      <c r="BC47" s="37"/>
      <c r="BD47" s="56">
        <v>1.2</v>
      </c>
      <c r="BE47" s="37" t="s">
        <v>0</v>
      </c>
      <c r="BF47" s="57">
        <v>1450100</v>
      </c>
      <c r="BG47" s="57">
        <v>9053.4</v>
      </c>
      <c r="BH47" s="57">
        <v>9053.4</v>
      </c>
      <c r="BI47" s="57">
        <v>9053.4</v>
      </c>
      <c r="BJ47" s="57">
        <v>9053.4</v>
      </c>
      <c r="BK47" s="57">
        <v>9053.4</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1441800</v>
      </c>
      <c r="AL48" s="57">
        <v>9001.9</v>
      </c>
      <c r="AM48" s="57">
        <v>9001.9</v>
      </c>
      <c r="AN48" s="57">
        <v>9001.9</v>
      </c>
      <c r="AO48" s="57">
        <v>9001.9</v>
      </c>
      <c r="AP48" s="57">
        <v>9001.9</v>
      </c>
      <c r="AQ48" s="37"/>
      <c r="AR48" s="37"/>
      <c r="AS48" s="56"/>
      <c r="AT48" s="37" t="s">
        <v>1</v>
      </c>
      <c r="AU48" s="57">
        <v>1430800</v>
      </c>
      <c r="AV48" s="57">
        <v>8932.7999999999993</v>
      </c>
      <c r="AW48" s="57">
        <v>8932.7999999999993</v>
      </c>
      <c r="AX48" s="57">
        <v>8932.7999999999993</v>
      </c>
      <c r="AY48" s="57">
        <v>8932.7999999999993</v>
      </c>
      <c r="AZ48" s="57">
        <v>8932.7999999999993</v>
      </c>
      <c r="BA48" s="37"/>
      <c r="BB48" s="37"/>
      <c r="BC48" s="37"/>
      <c r="BD48" s="56"/>
      <c r="BE48" s="37" t="s">
        <v>1</v>
      </c>
      <c r="BF48" s="57">
        <v>1410900</v>
      </c>
      <c r="BG48" s="57">
        <v>8808.5</v>
      </c>
      <c r="BH48" s="57">
        <v>8808.5</v>
      </c>
      <c r="BI48" s="57">
        <v>8808.5</v>
      </c>
      <c r="BJ48" s="57">
        <v>8808.5</v>
      </c>
      <c r="BK48" s="57">
        <v>8808.5</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8255</v>
      </c>
      <c r="AL49" s="57">
        <v>51.539000000000001</v>
      </c>
      <c r="AM49" s="57">
        <v>51.539000000000001</v>
      </c>
      <c r="AN49" s="57">
        <v>51.539000000000001</v>
      </c>
      <c r="AO49" s="57">
        <v>51.539000000000001</v>
      </c>
      <c r="AP49" s="57">
        <v>51.539000000000001</v>
      </c>
      <c r="AQ49" s="37"/>
      <c r="AR49" s="37"/>
      <c r="AS49" s="56"/>
      <c r="AT49" s="37" t="s">
        <v>2</v>
      </c>
      <c r="AU49" s="57">
        <v>19309</v>
      </c>
      <c r="AV49" s="57">
        <v>120.55</v>
      </c>
      <c r="AW49" s="57">
        <v>120.55</v>
      </c>
      <c r="AX49" s="57">
        <v>120.55</v>
      </c>
      <c r="AY49" s="57">
        <v>120.55</v>
      </c>
      <c r="AZ49" s="57">
        <v>120.55</v>
      </c>
      <c r="BA49" s="37"/>
      <c r="BB49" s="37"/>
      <c r="BC49" s="37"/>
      <c r="BD49" s="56"/>
      <c r="BE49" s="37" t="s">
        <v>2</v>
      </c>
      <c r="BF49" s="57">
        <v>39218</v>
      </c>
      <c r="BG49" s="57">
        <v>244.85</v>
      </c>
      <c r="BH49" s="57">
        <v>244.85</v>
      </c>
      <c r="BI49" s="57">
        <v>244.85</v>
      </c>
      <c r="BJ49" s="57">
        <v>244.85</v>
      </c>
      <c r="BK49" s="57">
        <v>244.85</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1441600</v>
      </c>
      <c r="AL50" s="57">
        <v>8887.1</v>
      </c>
      <c r="AM50" s="57">
        <v>7732.9</v>
      </c>
      <c r="AN50" s="57">
        <v>2002.7</v>
      </c>
      <c r="AO50" s="57">
        <v>27.648</v>
      </c>
      <c r="AP50" s="57">
        <v>20.391999999999999</v>
      </c>
      <c r="AQ50" s="37"/>
      <c r="AR50" s="37"/>
      <c r="AS50" s="56"/>
      <c r="AT50" s="37" t="s">
        <v>3</v>
      </c>
      <c r="AU50" s="57">
        <v>1430500</v>
      </c>
      <c r="AV50" s="57">
        <v>8794.2000000000007</v>
      </c>
      <c r="AW50" s="57">
        <v>7427.6</v>
      </c>
      <c r="AX50" s="57">
        <v>1086.4000000000001</v>
      </c>
      <c r="AY50" s="57">
        <v>9.1777999999999995</v>
      </c>
      <c r="AZ50" s="57">
        <v>7.4591000000000003</v>
      </c>
      <c r="BA50" s="37"/>
      <c r="BB50" s="37"/>
      <c r="BC50" s="37"/>
      <c r="BD50" s="56"/>
      <c r="BE50" s="37" t="s">
        <v>3</v>
      </c>
      <c r="BF50" s="57">
        <v>1410300</v>
      </c>
      <c r="BG50" s="57">
        <v>8627.6</v>
      </c>
      <c r="BH50" s="57">
        <v>6836.4</v>
      </c>
      <c r="BI50" s="57">
        <v>449.77</v>
      </c>
      <c r="BJ50" s="57">
        <v>2.9323999999999999</v>
      </c>
      <c r="BK50" s="57">
        <v>2.4554</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113.31</v>
      </c>
      <c r="AM52" s="57">
        <v>1267.5</v>
      </c>
      <c r="AN52" s="57">
        <v>6997.9</v>
      </c>
      <c r="AO52" s="57">
        <v>8972.9</v>
      </c>
      <c r="AP52" s="57">
        <v>8980.2000000000007</v>
      </c>
      <c r="AQ52" s="37"/>
      <c r="AR52" s="37"/>
      <c r="AS52" s="56"/>
      <c r="AT52" s="37" t="s">
        <v>5</v>
      </c>
      <c r="AU52" s="57">
        <v>0</v>
      </c>
      <c r="AV52" s="57">
        <v>136.12</v>
      </c>
      <c r="AW52" s="57">
        <v>1502.9</v>
      </c>
      <c r="AX52" s="57">
        <v>7844.5</v>
      </c>
      <c r="AY52" s="57">
        <v>8921.6</v>
      </c>
      <c r="AZ52" s="57">
        <v>8923.2999999999993</v>
      </c>
      <c r="BA52" s="37"/>
      <c r="BB52" s="37"/>
      <c r="BC52" s="37"/>
      <c r="BD52" s="56"/>
      <c r="BE52" s="37" t="s">
        <v>5</v>
      </c>
      <c r="BF52" s="57">
        <v>0</v>
      </c>
      <c r="BG52" s="57">
        <v>176.99</v>
      </c>
      <c r="BH52" s="57">
        <v>1968.4</v>
      </c>
      <c r="BI52" s="57">
        <v>8355.5</v>
      </c>
      <c r="BJ52" s="57">
        <v>8802.2000000000007</v>
      </c>
      <c r="BK52" s="57">
        <v>8802.7000000000007</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1450100</v>
      </c>
      <c r="AL54" s="57">
        <v>9053.4</v>
      </c>
      <c r="AM54" s="57">
        <v>9053.4</v>
      </c>
      <c r="AN54" s="57">
        <v>9053.4</v>
      </c>
      <c r="AO54" s="57">
        <v>9053.4</v>
      </c>
      <c r="AP54" s="57">
        <v>9053.4</v>
      </c>
      <c r="AQ54" s="37"/>
      <c r="AR54" s="37"/>
      <c r="AS54" s="56">
        <v>1.6</v>
      </c>
      <c r="AT54" s="37" t="s">
        <v>0</v>
      </c>
      <c r="AU54" s="57">
        <v>1450100</v>
      </c>
      <c r="AV54" s="57">
        <v>9053.4</v>
      </c>
      <c r="AW54" s="57">
        <v>9053.4</v>
      </c>
      <c r="AX54" s="57">
        <v>9053.4</v>
      </c>
      <c r="AY54" s="57">
        <v>9053.4</v>
      </c>
      <c r="AZ54" s="57">
        <v>9053.4</v>
      </c>
      <c r="BA54" s="37"/>
      <c r="BB54" s="37"/>
      <c r="BC54" s="37"/>
      <c r="BD54" s="56">
        <v>1.6</v>
      </c>
      <c r="BE54" s="37" t="s">
        <v>0</v>
      </c>
      <c r="BF54" s="57">
        <v>1450100</v>
      </c>
      <c r="BG54" s="57">
        <v>9053.4</v>
      </c>
      <c r="BH54" s="57">
        <v>9053.4</v>
      </c>
      <c r="BI54" s="57">
        <v>9053.4</v>
      </c>
      <c r="BJ54" s="57">
        <v>9053.4</v>
      </c>
      <c r="BK54" s="57">
        <v>9053.4</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1445900</v>
      </c>
      <c r="AL55" s="57">
        <v>9027.5</v>
      </c>
      <c r="AM55" s="57">
        <v>9027.5</v>
      </c>
      <c r="AN55" s="57">
        <v>9027.5</v>
      </c>
      <c r="AO55" s="57">
        <v>9027.5</v>
      </c>
      <c r="AP55" s="57">
        <v>9027.5</v>
      </c>
      <c r="AQ55" s="37"/>
      <c r="AR55" s="37"/>
      <c r="AS55" s="56"/>
      <c r="AT55" s="37" t="s">
        <v>1</v>
      </c>
      <c r="AU55" s="57">
        <v>1443500</v>
      </c>
      <c r="AV55" s="57">
        <v>9012.6</v>
      </c>
      <c r="AW55" s="57">
        <v>9012.6</v>
      </c>
      <c r="AX55" s="57">
        <v>9012.6</v>
      </c>
      <c r="AY55" s="57">
        <v>9012.6</v>
      </c>
      <c r="AZ55" s="57">
        <v>9012.6</v>
      </c>
      <c r="BA55" s="37"/>
      <c r="BB55" s="37"/>
      <c r="BC55" s="37"/>
      <c r="BD55" s="56"/>
      <c r="BE55" s="37" t="s">
        <v>1</v>
      </c>
      <c r="BF55" s="57">
        <v>1434300</v>
      </c>
      <c r="BG55" s="57">
        <v>8954.6</v>
      </c>
      <c r="BH55" s="57">
        <v>8954.6</v>
      </c>
      <c r="BI55" s="57">
        <v>8954.6</v>
      </c>
      <c r="BJ55" s="57">
        <v>8954.6</v>
      </c>
      <c r="BK55" s="57">
        <v>8954.6</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4147</v>
      </c>
      <c r="AL56" s="57">
        <v>25.890999999999998</v>
      </c>
      <c r="AM56" s="57">
        <v>25.890999999999998</v>
      </c>
      <c r="AN56" s="57">
        <v>25.890999999999998</v>
      </c>
      <c r="AO56" s="57">
        <v>25.890999999999998</v>
      </c>
      <c r="AP56" s="57">
        <v>25.890999999999998</v>
      </c>
      <c r="AQ56" s="37"/>
      <c r="AR56" s="37"/>
      <c r="AS56" s="56"/>
      <c r="AT56" s="37" t="s">
        <v>2</v>
      </c>
      <c r="AU56" s="57">
        <v>6534.5</v>
      </c>
      <c r="AV56" s="57">
        <v>40.796999999999997</v>
      </c>
      <c r="AW56" s="57">
        <v>40.796999999999997</v>
      </c>
      <c r="AX56" s="57">
        <v>40.796999999999997</v>
      </c>
      <c r="AY56" s="57">
        <v>40.796999999999997</v>
      </c>
      <c r="AZ56" s="57">
        <v>40.796999999999997</v>
      </c>
      <c r="BA56" s="37"/>
      <c r="BB56" s="37"/>
      <c r="BC56" s="37"/>
      <c r="BD56" s="56"/>
      <c r="BE56" s="37" t="s">
        <v>2</v>
      </c>
      <c r="BF56" s="57">
        <v>15819</v>
      </c>
      <c r="BG56" s="57">
        <v>98.763000000000005</v>
      </c>
      <c r="BH56" s="57">
        <v>98.763000000000005</v>
      </c>
      <c r="BI56" s="57">
        <v>98.763000000000005</v>
      </c>
      <c r="BJ56" s="57">
        <v>98.763000000000005</v>
      </c>
      <c r="BK56" s="57">
        <v>98.763000000000005</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1445700</v>
      </c>
      <c r="AL57" s="57">
        <v>8879.2999999999993</v>
      </c>
      <c r="AM57" s="57">
        <v>7469.8</v>
      </c>
      <c r="AN57" s="57">
        <v>1646</v>
      </c>
      <c r="AO57" s="57">
        <v>28.016999999999999</v>
      </c>
      <c r="AP57" s="57">
        <v>22.309000000000001</v>
      </c>
      <c r="AQ57" s="37"/>
      <c r="AR57" s="37"/>
      <c r="AS57" s="56"/>
      <c r="AT57" s="37" t="s">
        <v>3</v>
      </c>
      <c r="AU57" s="57">
        <v>1443300</v>
      </c>
      <c r="AV57" s="57">
        <v>8836.2000000000007</v>
      </c>
      <c r="AW57" s="57">
        <v>7203.8</v>
      </c>
      <c r="AX57" s="57">
        <v>905.43</v>
      </c>
      <c r="AY57" s="57">
        <v>9.6419999999999995</v>
      </c>
      <c r="AZ57" s="57">
        <v>8.3934999999999995</v>
      </c>
      <c r="BA57" s="37"/>
      <c r="BB57" s="37"/>
      <c r="BC57" s="37"/>
      <c r="BD57" s="56"/>
      <c r="BE57" s="37" t="s">
        <v>3</v>
      </c>
      <c r="BF57" s="57">
        <v>1433700</v>
      </c>
      <c r="BG57" s="57">
        <v>8722.2999999999993</v>
      </c>
      <c r="BH57" s="57">
        <v>6616.1</v>
      </c>
      <c r="BI57" s="57">
        <v>387.58</v>
      </c>
      <c r="BJ57" s="57">
        <v>2.7625000000000002</v>
      </c>
      <c r="BK57" s="57">
        <v>2.4281999999999999</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146.77000000000001</v>
      </c>
      <c r="AM59" s="57">
        <v>1556.4</v>
      </c>
      <c r="AN59" s="57">
        <v>7380.3</v>
      </c>
      <c r="AO59" s="57">
        <v>8998.2999999999993</v>
      </c>
      <c r="AP59" s="57">
        <v>9004</v>
      </c>
      <c r="AQ59" s="37"/>
      <c r="AR59" s="37"/>
      <c r="AS59" s="56"/>
      <c r="AT59" s="37" t="s">
        <v>5</v>
      </c>
      <c r="AU59" s="57">
        <v>0</v>
      </c>
      <c r="AV59" s="57">
        <v>173.89</v>
      </c>
      <c r="AW59" s="57">
        <v>1806.6</v>
      </c>
      <c r="AX59" s="57">
        <v>8105.1</v>
      </c>
      <c r="AY59" s="57">
        <v>9000.7999999999993</v>
      </c>
      <c r="AZ59" s="57">
        <v>9002</v>
      </c>
      <c r="BA59" s="37"/>
      <c r="BB59" s="37"/>
      <c r="BC59" s="37"/>
      <c r="BD59" s="56"/>
      <c r="BE59" s="37" t="s">
        <v>5</v>
      </c>
      <c r="BF59" s="57">
        <v>0</v>
      </c>
      <c r="BG59" s="57">
        <v>228.15</v>
      </c>
      <c r="BH59" s="57">
        <v>2334.6</v>
      </c>
      <c r="BI59" s="57">
        <v>8563.4</v>
      </c>
      <c r="BJ59" s="57">
        <v>8948.2000000000007</v>
      </c>
      <c r="BK59" s="57">
        <v>8948.6</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1450100</v>
      </c>
      <c r="AL61" s="57">
        <v>9053.4</v>
      </c>
      <c r="AM61" s="57">
        <v>9053.4</v>
      </c>
      <c r="AN61" s="57">
        <v>9053.4</v>
      </c>
      <c r="AO61" s="57">
        <v>9053.4</v>
      </c>
      <c r="AP61" s="57">
        <v>9053.4</v>
      </c>
      <c r="AQ61" s="37"/>
      <c r="AR61" s="37"/>
      <c r="AS61" s="56">
        <v>2</v>
      </c>
      <c r="AT61" s="37" t="s">
        <v>0</v>
      </c>
      <c r="AU61" s="57">
        <v>1450100</v>
      </c>
      <c r="AV61" s="57">
        <v>9053.4</v>
      </c>
      <c r="AW61" s="57">
        <v>9053.4</v>
      </c>
      <c r="AX61" s="57">
        <v>9053.4</v>
      </c>
      <c r="AY61" s="57">
        <v>9053.4</v>
      </c>
      <c r="AZ61" s="57">
        <v>9053.4</v>
      </c>
      <c r="BA61" s="37"/>
      <c r="BB61" s="37"/>
      <c r="BC61" s="37"/>
      <c r="BD61" s="56">
        <v>2</v>
      </c>
      <c r="BE61" s="37" t="s">
        <v>0</v>
      </c>
      <c r="BF61" s="57">
        <v>1450100</v>
      </c>
      <c r="BG61" s="57">
        <v>9053.4</v>
      </c>
      <c r="BH61" s="57">
        <v>9053.4</v>
      </c>
      <c r="BI61" s="57">
        <v>9053.4</v>
      </c>
      <c r="BJ61" s="57">
        <v>9053.4</v>
      </c>
      <c r="BK61" s="57">
        <v>9053.4</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1448700</v>
      </c>
      <c r="AL62" s="57">
        <v>9044.7999999999993</v>
      </c>
      <c r="AM62" s="57">
        <v>9044.7999999999993</v>
      </c>
      <c r="AN62" s="57">
        <v>9044.7999999999993</v>
      </c>
      <c r="AO62" s="57">
        <v>9044.7999999999993</v>
      </c>
      <c r="AP62" s="57">
        <v>9044.7999999999993</v>
      </c>
      <c r="AQ62" s="37"/>
      <c r="AR62" s="37"/>
      <c r="AS62" s="37"/>
      <c r="AT62" s="37" t="s">
        <v>1</v>
      </c>
      <c r="AU62" s="57">
        <v>1446900</v>
      </c>
      <c r="AV62" s="57">
        <v>9033.6</v>
      </c>
      <c r="AW62" s="57">
        <v>9033.6</v>
      </c>
      <c r="AX62" s="57">
        <v>9033.6</v>
      </c>
      <c r="AY62" s="57">
        <v>9033.6</v>
      </c>
      <c r="AZ62" s="57">
        <v>9033.6</v>
      </c>
      <c r="BA62" s="37"/>
      <c r="BB62" s="37"/>
      <c r="BC62" s="37"/>
      <c r="BD62" s="37"/>
      <c r="BE62" s="37" t="s">
        <v>1</v>
      </c>
      <c r="BF62" s="57">
        <v>1442800</v>
      </c>
      <c r="BG62" s="57">
        <v>9007.7999999999993</v>
      </c>
      <c r="BH62" s="57">
        <v>9007.7999999999993</v>
      </c>
      <c r="BI62" s="57">
        <v>9007.7999999999993</v>
      </c>
      <c r="BJ62" s="57">
        <v>9007.7999999999993</v>
      </c>
      <c r="BK62" s="57">
        <v>9007.7999999999993</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1370</v>
      </c>
      <c r="AL63" s="57">
        <v>8.5534999999999997</v>
      </c>
      <c r="AM63" s="57">
        <v>8.5534999999999997</v>
      </c>
      <c r="AN63" s="57">
        <v>8.5534999999999997</v>
      </c>
      <c r="AO63" s="57">
        <v>8.5534999999999997</v>
      </c>
      <c r="AP63" s="57">
        <v>8.5534999999999997</v>
      </c>
      <c r="AQ63" s="37"/>
      <c r="AR63" s="37"/>
      <c r="AS63" s="37"/>
      <c r="AT63" s="37" t="s">
        <v>2</v>
      </c>
      <c r="AU63" s="57">
        <v>3177.9</v>
      </c>
      <c r="AV63" s="57">
        <v>19.841000000000001</v>
      </c>
      <c r="AW63" s="57">
        <v>19.841000000000001</v>
      </c>
      <c r="AX63" s="57">
        <v>19.841000000000001</v>
      </c>
      <c r="AY63" s="57">
        <v>19.841000000000001</v>
      </c>
      <c r="AZ63" s="57">
        <v>19.841000000000001</v>
      </c>
      <c r="BA63" s="37"/>
      <c r="BB63" s="37"/>
      <c r="BC63" s="37"/>
      <c r="BD63" s="37"/>
      <c r="BE63" s="37" t="s">
        <v>2</v>
      </c>
      <c r="BF63" s="57">
        <v>7298.1</v>
      </c>
      <c r="BG63" s="57">
        <v>45.564999999999998</v>
      </c>
      <c r="BH63" s="57">
        <v>45.564999999999998</v>
      </c>
      <c r="BI63" s="57">
        <v>45.564999999999998</v>
      </c>
      <c r="BJ63" s="57">
        <v>45.564999999999998</v>
      </c>
      <c r="BK63" s="57">
        <v>45.564999999999998</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1448500</v>
      </c>
      <c r="AL64" s="57">
        <v>8863.1</v>
      </c>
      <c r="AM64" s="57">
        <v>7218.2</v>
      </c>
      <c r="AN64" s="57">
        <v>1391.4</v>
      </c>
      <c r="AO64" s="57">
        <v>26.882000000000001</v>
      </c>
      <c r="AP64" s="57">
        <v>22.471</v>
      </c>
      <c r="AQ64" s="37"/>
      <c r="AR64" s="37"/>
      <c r="AS64" s="37"/>
      <c r="AT64" s="37" t="s">
        <v>3</v>
      </c>
      <c r="AU64" s="57">
        <v>1446600</v>
      </c>
      <c r="AV64" s="57">
        <v>8816.4</v>
      </c>
      <c r="AW64" s="57">
        <v>6919.7</v>
      </c>
      <c r="AX64" s="57">
        <v>745.31</v>
      </c>
      <c r="AY64" s="57">
        <v>8.9151000000000007</v>
      </c>
      <c r="AZ64" s="57">
        <v>8.0222999999999995</v>
      </c>
      <c r="BA64" s="37"/>
      <c r="BB64" s="37"/>
      <c r="BC64" s="37"/>
      <c r="BD64" s="37"/>
      <c r="BE64" s="37" t="s">
        <v>3</v>
      </c>
      <c r="BF64" s="57">
        <v>1442300</v>
      </c>
      <c r="BG64" s="57">
        <v>8738.7000000000007</v>
      </c>
      <c r="BH64" s="57">
        <v>6419.1</v>
      </c>
      <c r="BI64" s="57">
        <v>330.9</v>
      </c>
      <c r="BJ64" s="57">
        <v>3.2130999999999998</v>
      </c>
      <c r="BK64" s="57">
        <v>2.9904999999999999</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180.32</v>
      </c>
      <c r="AM66" s="57">
        <v>1825.3</v>
      </c>
      <c r="AN66" s="57">
        <v>7652.2</v>
      </c>
      <c r="AO66" s="57">
        <v>9016.6</v>
      </c>
      <c r="AP66" s="57">
        <v>9021.1</v>
      </c>
      <c r="AQ66" s="37"/>
      <c r="AR66" s="37"/>
      <c r="AS66" s="37"/>
      <c r="AT66" s="37" t="s">
        <v>5</v>
      </c>
      <c r="AU66" s="57">
        <v>0</v>
      </c>
      <c r="AV66" s="57">
        <v>214.58</v>
      </c>
      <c r="AW66" s="57">
        <v>2111.6</v>
      </c>
      <c r="AX66" s="57">
        <v>8286.2000000000007</v>
      </c>
      <c r="AY66" s="57">
        <v>9022.4</v>
      </c>
      <c r="AZ66" s="57">
        <v>9023.2999999999993</v>
      </c>
      <c r="BA66" s="37"/>
      <c r="BB66" s="37"/>
      <c r="BC66" s="37"/>
      <c r="BD66" s="37"/>
      <c r="BE66" s="37" t="s">
        <v>5</v>
      </c>
      <c r="BF66" s="57">
        <v>0</v>
      </c>
      <c r="BG66" s="57">
        <v>265.22000000000003</v>
      </c>
      <c r="BH66" s="57">
        <v>2585.1999999999998</v>
      </c>
      <c r="BI66" s="57">
        <v>8673.7000000000007</v>
      </c>
      <c r="BJ66" s="57">
        <v>9001.2000000000007</v>
      </c>
      <c r="BK66" s="57">
        <v>9001.5</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sheetPr codeName="Sheet14"/>
  <dimension ref="A1:BP150"/>
  <sheetViews>
    <sheetView workbookViewId="0">
      <pane xSplit="8" topLeftCell="BJ1" activePane="topRight" state="frozen"/>
      <selection activeCell="A7" sqref="A7"/>
      <selection pane="topRight" activeCell="A7" sqref="A7"/>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3.3131313131313131</v>
      </c>
      <c r="E2" t="s">
        <v>119</v>
      </c>
      <c r="G2" s="103">
        <f>C2*12</f>
        <v>39.757575757575758</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1443200</v>
      </c>
      <c r="N4" s="10">
        <v>100</v>
      </c>
      <c r="O4" s="2">
        <f>L5/$L$4</f>
        <v>0.10047117516629711</v>
      </c>
      <c r="P4" s="8">
        <v>2.5379999999999999E-3</v>
      </c>
      <c r="Q4" s="9">
        <f t="shared" ref="Q4:Q9" si="0">2/((P4/(N4*0.35))*3600)</f>
        <v>7.6613256282287008</v>
      </c>
      <c r="S4" s="7"/>
      <c r="T4" s="26">
        <v>100</v>
      </c>
      <c r="U4" s="4" t="s">
        <v>0</v>
      </c>
      <c r="V4" s="5">
        <v>1443200</v>
      </c>
      <c r="X4" s="24">
        <v>100</v>
      </c>
      <c r="Y4" s="22">
        <f>V5/$V$4</f>
        <v>0.21989329268292682</v>
      </c>
      <c r="Z4" s="23">
        <v>9.7584999999999998E-3</v>
      </c>
      <c r="AA4" s="9">
        <f t="shared" ref="AA4:AA9" si="1">2/((Z4/(X4*0.35))*3600)</f>
        <v>1.9925648864522665</v>
      </c>
      <c r="AD4" s="26">
        <v>100</v>
      </c>
      <c r="AE4" s="4" t="s">
        <v>0</v>
      </c>
      <c r="AF4" s="5">
        <v>1443200</v>
      </c>
      <c r="AH4" s="10">
        <v>100</v>
      </c>
      <c r="AI4" s="2">
        <f>AF5/$AF$4</f>
        <v>0.65775360310421283</v>
      </c>
      <c r="AJ4" s="13">
        <v>3.7066000000000002E-2</v>
      </c>
      <c r="AK4" s="9">
        <f t="shared" ref="AK4:AK9" si="2">2/((AJ4/(AH4*0.35))*3600)</f>
        <v>0.52458977079923497</v>
      </c>
      <c r="AN4" s="26">
        <v>100</v>
      </c>
      <c r="AO4" s="4" t="s">
        <v>0</v>
      </c>
      <c r="AP4" s="5">
        <v>1443200</v>
      </c>
      <c r="AR4" s="10">
        <v>100</v>
      </c>
      <c r="AS4" s="2">
        <f>AP5/AP$4</f>
        <v>0.25453159645232815</v>
      </c>
      <c r="AT4" s="32">
        <v>3.5969000000000001E-3</v>
      </c>
      <c r="AU4" s="9">
        <f t="shared" ref="AU4:AU9" si="3">2/((AT4/(AR4*0.35))*3600)</f>
        <v>5.4058896395352791</v>
      </c>
      <c r="AW4" s="7"/>
      <c r="AX4" s="26">
        <v>100</v>
      </c>
      <c r="AY4" s="4" t="s">
        <v>0</v>
      </c>
      <c r="AZ4" s="5">
        <v>1443200</v>
      </c>
      <c r="BB4" s="24">
        <v>100</v>
      </c>
      <c r="BC4" s="2">
        <f>AZ5/AZ$4</f>
        <v>0.44099223946784921</v>
      </c>
      <c r="BD4" s="33">
        <v>1.4344000000000001E-2</v>
      </c>
      <c r="BE4" s="9">
        <f t="shared" ref="BE4:BE9" si="4">2/((BD4/(BB4*0.35))*3600)</f>
        <v>1.3555803433104048</v>
      </c>
      <c r="BH4" s="26">
        <v>100</v>
      </c>
      <c r="BI4" s="4" t="s">
        <v>0</v>
      </c>
      <c r="BJ4" s="5">
        <v>1443200</v>
      </c>
      <c r="BL4" s="10">
        <v>100</v>
      </c>
      <c r="BM4" s="2">
        <f>BJ5/BJ$4</f>
        <v>0.83425720620842569</v>
      </c>
      <c r="BN4" s="32">
        <v>5.0472000000000003E-2</v>
      </c>
      <c r="BO4" s="9">
        <f t="shared" ref="BO4:BO7" si="5">2/((BN4/(BL4*0.35))*3600)</f>
        <v>0.38525210898011658</v>
      </c>
      <c r="BP4" s="12"/>
    </row>
    <row r="5" spans="1:68">
      <c r="J5" s="26"/>
      <c r="K5" s="4" t="s">
        <v>1</v>
      </c>
      <c r="L5" s="5">
        <v>145000</v>
      </c>
      <c r="N5" s="10">
        <v>200</v>
      </c>
      <c r="O5" s="2">
        <f>L12/$L$4</f>
        <v>0.1850609756097561</v>
      </c>
      <c r="P5" s="8">
        <v>4.6089E-3</v>
      </c>
      <c r="Q5" s="9">
        <f t="shared" si="0"/>
        <v>8.4377810082425064</v>
      </c>
      <c r="S5" s="7"/>
      <c r="T5" s="26"/>
      <c r="U5" s="4" t="s">
        <v>1</v>
      </c>
      <c r="V5" s="5">
        <v>317350</v>
      </c>
      <c r="X5" s="24">
        <v>200</v>
      </c>
      <c r="Y5" s="22">
        <f>V12/$V$4</f>
        <v>0.3720690133037694</v>
      </c>
      <c r="Z5" s="23">
        <v>1.6802999999999998E-2</v>
      </c>
      <c r="AA5" s="9">
        <f t="shared" si="1"/>
        <v>2.3144015288275241</v>
      </c>
      <c r="AD5" s="26"/>
      <c r="AE5" s="4" t="s">
        <v>1</v>
      </c>
      <c r="AF5" s="5">
        <v>949270</v>
      </c>
      <c r="AH5" s="10">
        <v>200</v>
      </c>
      <c r="AI5" s="2">
        <f>AF12/$AF$4</f>
        <v>0.80647172949002222</v>
      </c>
      <c r="AJ5" s="13">
        <v>4.7715E-2</v>
      </c>
      <c r="AK5" s="9">
        <f t="shared" si="2"/>
        <v>0.81502439251574743</v>
      </c>
      <c r="AN5" s="26"/>
      <c r="AO5" s="4" t="s">
        <v>1</v>
      </c>
      <c r="AP5" s="5">
        <v>367340</v>
      </c>
      <c r="AR5" s="10">
        <v>200</v>
      </c>
      <c r="AS5" s="2">
        <f>AP12/AP$4</f>
        <v>0.43411862527716188</v>
      </c>
      <c r="AT5" s="32">
        <v>6.2830000000000004E-3</v>
      </c>
      <c r="AU5" s="9">
        <f t="shared" si="3"/>
        <v>6.1895414434010645</v>
      </c>
      <c r="AW5" s="7"/>
      <c r="AX5" s="26"/>
      <c r="AY5" s="4" t="s">
        <v>1</v>
      </c>
      <c r="AZ5" s="5">
        <v>636440</v>
      </c>
      <c r="BB5" s="24">
        <v>200</v>
      </c>
      <c r="BC5" s="2">
        <f>AZ12/AZ$4</f>
        <v>0.66577743902439024</v>
      </c>
      <c r="BD5" s="33">
        <v>2.2956000000000001E-2</v>
      </c>
      <c r="BE5" s="9">
        <f t="shared" si="4"/>
        <v>1.6940620704342608</v>
      </c>
      <c r="BH5" s="26"/>
      <c r="BI5" s="4" t="s">
        <v>1</v>
      </c>
      <c r="BJ5" s="5">
        <v>1204000</v>
      </c>
      <c r="BL5" s="10">
        <v>200</v>
      </c>
      <c r="BM5" s="2">
        <f>BJ12/BJ$4</f>
        <v>0.93784645232815966</v>
      </c>
      <c r="BN5" s="32">
        <v>5.9857E-2</v>
      </c>
      <c r="BO5" s="9">
        <f t="shared" si="5"/>
        <v>0.64969659169168004</v>
      </c>
      <c r="BP5" s="12"/>
    </row>
    <row r="6" spans="1:68">
      <c r="J6" s="26"/>
      <c r="K6" s="4" t="s">
        <v>2</v>
      </c>
      <c r="L6" s="5">
        <v>1298200</v>
      </c>
      <c r="N6" s="10">
        <v>400</v>
      </c>
      <c r="O6" s="2">
        <f>L19/L$4</f>
        <v>0.32662832594235031</v>
      </c>
      <c r="P6" s="8">
        <v>8.1329000000000002E-3</v>
      </c>
      <c r="Q6" s="9">
        <f t="shared" si="0"/>
        <v>9.5633510528566408</v>
      </c>
      <c r="S6" s="7"/>
      <c r="T6" s="26"/>
      <c r="U6" s="4" t="s">
        <v>2</v>
      </c>
      <c r="V6" s="5">
        <v>1125800</v>
      </c>
      <c r="X6" s="24">
        <v>400</v>
      </c>
      <c r="Y6" s="22">
        <f>V19/$V$4</f>
        <v>0.57910892461197339</v>
      </c>
      <c r="Z6" s="23">
        <v>2.7341000000000001E-2</v>
      </c>
      <c r="AA6" s="9">
        <f t="shared" si="1"/>
        <v>2.8447305430590606</v>
      </c>
      <c r="AD6" s="26"/>
      <c r="AE6" s="4" t="s">
        <v>2</v>
      </c>
      <c r="AF6" s="5">
        <v>493860</v>
      </c>
      <c r="AH6" s="10">
        <v>400</v>
      </c>
      <c r="AI6" s="2">
        <f>AF19/$AF$4</f>
        <v>0.91366407982261644</v>
      </c>
      <c r="AJ6" s="13">
        <v>5.7394000000000001E-2</v>
      </c>
      <c r="AK6" s="9">
        <f t="shared" si="2"/>
        <v>1.3551552039895769</v>
      </c>
      <c r="AN6" s="26"/>
      <c r="AO6" s="4" t="s">
        <v>2</v>
      </c>
      <c r="AP6" s="5">
        <v>1075800</v>
      </c>
      <c r="AR6" s="10">
        <v>400</v>
      </c>
      <c r="AS6" s="2">
        <f>AP19/AP$4</f>
        <v>0.66879850332594237</v>
      </c>
      <c r="AT6" s="32">
        <v>1.0345999999999999E-2</v>
      </c>
      <c r="AU6" s="9">
        <f t="shared" si="3"/>
        <v>7.5176665163133363</v>
      </c>
      <c r="AW6" s="7"/>
      <c r="AX6" s="26"/>
      <c r="AY6" s="4" t="s">
        <v>2</v>
      </c>
      <c r="AZ6" s="5">
        <v>806750</v>
      </c>
      <c r="BB6" s="24">
        <v>400</v>
      </c>
      <c r="BC6" s="2">
        <f>AZ19/AZ$4</f>
        <v>0.86529933481152999</v>
      </c>
      <c r="BD6" s="33">
        <v>3.3312000000000001E-2</v>
      </c>
      <c r="BE6" s="9">
        <f t="shared" si="4"/>
        <v>2.3348276230120608</v>
      </c>
      <c r="BH6" s="26"/>
      <c r="BI6" s="4" t="s">
        <v>2</v>
      </c>
      <c r="BJ6" s="5">
        <v>239190</v>
      </c>
      <c r="BL6" s="10">
        <v>400</v>
      </c>
      <c r="BM6" s="2">
        <f>BJ19/BJ$4</f>
        <v>0.98905210643015518</v>
      </c>
      <c r="BN6" s="32">
        <v>6.5002000000000004E-2</v>
      </c>
      <c r="BO6" s="9">
        <f t="shared" si="5"/>
        <v>1.1965443798310478</v>
      </c>
      <c r="BP6" s="12"/>
    </row>
    <row r="7" spans="1:68">
      <c r="J7" s="26"/>
      <c r="K7" s="4" t="s">
        <v>3</v>
      </c>
      <c r="L7" s="5">
        <v>144320</v>
      </c>
      <c r="N7" s="10">
        <v>600</v>
      </c>
      <c r="O7" s="2">
        <f>L26/$L$4</f>
        <v>0.44065271618625279</v>
      </c>
      <c r="P7" s="8">
        <v>1.1173000000000001E-2</v>
      </c>
      <c r="Q7" s="9">
        <f t="shared" si="0"/>
        <v>10.441838957009455</v>
      </c>
      <c r="S7" s="7"/>
      <c r="T7" s="26"/>
      <c r="U7" s="4" t="s">
        <v>3</v>
      </c>
      <c r="V7" s="5">
        <v>317110</v>
      </c>
      <c r="X7" s="24">
        <v>600</v>
      </c>
      <c r="Y7" s="22">
        <f>V26/$V$4</f>
        <v>0.70697062084257212</v>
      </c>
      <c r="Z7" s="23">
        <v>3.4758999999999998E-2</v>
      </c>
      <c r="AA7" s="9">
        <f t="shared" si="1"/>
        <v>3.3564448536110554</v>
      </c>
      <c r="AD7" s="26"/>
      <c r="AE7" s="4" t="s">
        <v>3</v>
      </c>
      <c r="AF7" s="5">
        <v>949110</v>
      </c>
      <c r="AH7" s="10">
        <v>600</v>
      </c>
      <c r="AI7" s="2">
        <f>AF26/$AF$4</f>
        <v>0.95988082039911304</v>
      </c>
      <c r="AJ7" s="13">
        <v>6.1882E-2</v>
      </c>
      <c r="AK7" s="9">
        <f t="shared" si="2"/>
        <v>1.8853085980845263</v>
      </c>
      <c r="AN7" s="26"/>
      <c r="AO7" s="4" t="s">
        <v>3</v>
      </c>
      <c r="AP7" s="5">
        <v>366240</v>
      </c>
      <c r="AR7" s="10">
        <v>600</v>
      </c>
      <c r="AS7" s="2">
        <f>AP26/AP$4</f>
        <v>0.80148281596452331</v>
      </c>
      <c r="AT7" s="32">
        <v>1.3466000000000001E-2</v>
      </c>
      <c r="AU7" s="9">
        <f t="shared" si="3"/>
        <v>8.6637952373879887</v>
      </c>
      <c r="AW7" s="7"/>
      <c r="AX7" s="26"/>
      <c r="AY7" s="4" t="s">
        <v>3</v>
      </c>
      <c r="AZ7" s="5">
        <v>636100</v>
      </c>
      <c r="BB7" s="24">
        <v>600</v>
      </c>
      <c r="BC7" s="2">
        <f>AZ26/AZ$4</f>
        <v>0.93708425720620847</v>
      </c>
      <c r="BD7" s="33">
        <v>3.9720999999999999E-2</v>
      </c>
      <c r="BE7" s="9">
        <f t="shared" si="4"/>
        <v>2.9371533110109684</v>
      </c>
      <c r="BH7" s="26"/>
      <c r="BI7" s="4" t="s">
        <v>3</v>
      </c>
      <c r="BJ7" s="5">
        <v>1203800</v>
      </c>
      <c r="BL7" s="10">
        <v>600</v>
      </c>
      <c r="BM7" s="2">
        <f>BJ26/BJ$4</f>
        <v>0.99667405764966743</v>
      </c>
      <c r="BN7" s="32">
        <v>6.5989000000000006E-2</v>
      </c>
      <c r="BO7" s="9">
        <f t="shared" si="5"/>
        <v>1.767971429581698</v>
      </c>
      <c r="BP7" s="12"/>
    </row>
    <row r="8" spans="1:68">
      <c r="J8" s="26"/>
      <c r="K8" s="4" t="s">
        <v>4</v>
      </c>
      <c r="L8" s="5">
        <v>0</v>
      </c>
      <c r="N8" s="10">
        <v>800</v>
      </c>
      <c r="O8" s="2">
        <f>L33/$L$4</f>
        <v>0.53514412416851442</v>
      </c>
      <c r="P8" s="8">
        <v>1.3899999999999999E-2</v>
      </c>
      <c r="Q8" s="9">
        <f t="shared" si="0"/>
        <v>11.191047162270184</v>
      </c>
      <c r="S8" s="7"/>
      <c r="T8" s="26"/>
      <c r="U8" s="4" t="s">
        <v>4</v>
      </c>
      <c r="V8" s="5">
        <v>0</v>
      </c>
      <c r="X8" s="24">
        <v>800</v>
      </c>
      <c r="Y8" s="22">
        <f>V33/$V$4</f>
        <v>0.78914911308203994</v>
      </c>
      <c r="Z8" s="23">
        <v>4.0203999999999997E-2</v>
      </c>
      <c r="AA8" s="9">
        <f t="shared" si="1"/>
        <v>3.8691561923081177</v>
      </c>
      <c r="AD8" s="26"/>
      <c r="AE8" s="4" t="s">
        <v>4</v>
      </c>
      <c r="AF8" s="5">
        <v>0</v>
      </c>
      <c r="AH8" s="10">
        <v>800</v>
      </c>
      <c r="AI8" s="2">
        <f>AF33/$AF$4</f>
        <v>0.98018292682926833</v>
      </c>
      <c r="AJ8" s="13">
        <v>6.3937999999999995E-2</v>
      </c>
      <c r="AK8" s="9">
        <f t="shared" si="2"/>
        <v>2.4329124394813029</v>
      </c>
      <c r="AN8" s="26"/>
      <c r="AO8" s="4" t="s">
        <v>4</v>
      </c>
      <c r="AP8" s="5">
        <v>0</v>
      </c>
      <c r="AR8" s="10">
        <v>800</v>
      </c>
      <c r="AS8" s="2">
        <f>AP33/AP$4</f>
        <v>0.88068181818181823</v>
      </c>
      <c r="AT8" s="32">
        <v>1.6063999999999998E-2</v>
      </c>
      <c r="AU8" s="9">
        <f t="shared" si="3"/>
        <v>9.6834882691456414</v>
      </c>
      <c r="AW8" s="7"/>
      <c r="AX8" s="26"/>
      <c r="AY8" s="4" t="s">
        <v>4</v>
      </c>
      <c r="AZ8" s="5">
        <v>0</v>
      </c>
      <c r="BB8" s="24">
        <v>800</v>
      </c>
      <c r="BC8" s="2">
        <f>AZ33/AZ$4</f>
        <v>0.96916574279379153</v>
      </c>
      <c r="BD8" s="33">
        <v>4.4430999999999998E-2</v>
      </c>
      <c r="BE8" s="9">
        <f t="shared" si="4"/>
        <v>3.5010590703687865</v>
      </c>
      <c r="BH8" s="26"/>
      <c r="BI8" s="4" t="s">
        <v>4</v>
      </c>
      <c r="BJ8" s="5">
        <v>0</v>
      </c>
      <c r="BL8" s="10">
        <v>800</v>
      </c>
      <c r="BM8" s="2">
        <f>BJ33/BJ$4</f>
        <v>0.99819844789356982</v>
      </c>
      <c r="BN8" s="32">
        <v>6.6096000000000002E-2</v>
      </c>
      <c r="BO8" s="9">
        <f>2/((BN8/(BL8*0.35))*3600)</f>
        <v>2.3534791145539149</v>
      </c>
      <c r="BP8" s="12"/>
    </row>
    <row r="9" spans="1:68">
      <c r="J9" s="26"/>
      <c r="K9" s="4" t="s">
        <v>5</v>
      </c>
      <c r="L9" s="5">
        <v>0</v>
      </c>
      <c r="M9" s="1"/>
      <c r="N9" s="10">
        <v>1000</v>
      </c>
      <c r="O9" s="2">
        <f>L40/$L$4</f>
        <v>0.61317904656319289</v>
      </c>
      <c r="P9" s="8">
        <v>1.6351000000000001E-2</v>
      </c>
      <c r="Q9" s="9">
        <f t="shared" si="0"/>
        <v>11.891899238238912</v>
      </c>
      <c r="S9" s="7"/>
      <c r="T9" s="26"/>
      <c r="U9" s="4" t="s">
        <v>5</v>
      </c>
      <c r="V9" s="5">
        <v>0</v>
      </c>
      <c r="W9" s="1"/>
      <c r="X9" s="24">
        <v>1000</v>
      </c>
      <c r="Y9" s="22">
        <f>V40/$V$4</f>
        <v>0.84222560975609762</v>
      </c>
      <c r="Z9" s="23">
        <v>4.4488E-2</v>
      </c>
      <c r="AA9" s="9">
        <f t="shared" si="1"/>
        <v>4.3707166976363174</v>
      </c>
      <c r="AD9" s="26"/>
      <c r="AE9" s="4" t="s">
        <v>5</v>
      </c>
      <c r="AF9" s="5">
        <v>0</v>
      </c>
      <c r="AG9" s="1"/>
      <c r="AH9" s="10">
        <v>1000</v>
      </c>
      <c r="AI9" s="2">
        <f>AF40/$AF$4</f>
        <v>0.99036862527716185</v>
      </c>
      <c r="AJ9" s="13">
        <v>6.5095E-2</v>
      </c>
      <c r="AK9" s="9">
        <f t="shared" si="2"/>
        <v>2.9870872485512625</v>
      </c>
      <c r="AN9" s="26"/>
      <c r="AO9" s="4" t="s">
        <v>5</v>
      </c>
      <c r="AP9" s="5">
        <v>0</v>
      </c>
      <c r="AQ9" s="1"/>
      <c r="AR9" s="10">
        <v>1000</v>
      </c>
      <c r="AS9" s="2">
        <f>AP40/AP$4</f>
        <v>0.93133314855875826</v>
      </c>
      <c r="AT9" s="32">
        <v>1.8262E-2</v>
      </c>
      <c r="AU9" s="9">
        <f t="shared" si="3"/>
        <v>10.647489017875614</v>
      </c>
      <c r="AW9" s="7"/>
      <c r="AX9" s="26"/>
      <c r="AY9" s="4" t="s">
        <v>5</v>
      </c>
      <c r="AZ9" s="5">
        <v>0</v>
      </c>
      <c r="BA9" s="1"/>
      <c r="BB9" s="24">
        <v>1000</v>
      </c>
      <c r="BC9" s="2">
        <f>AZ40/AZ$4</f>
        <v>0.9835088691796009</v>
      </c>
      <c r="BD9" s="33">
        <v>4.8106999999999997E-2</v>
      </c>
      <c r="BE9" s="9">
        <f t="shared" si="4"/>
        <v>4.0419158219062599</v>
      </c>
      <c r="BH9" s="26"/>
      <c r="BI9" s="4" t="s">
        <v>5</v>
      </c>
      <c r="BJ9" s="5">
        <v>0</v>
      </c>
      <c r="BK9" s="1"/>
      <c r="BL9" s="10">
        <v>1000</v>
      </c>
      <c r="BM9" s="2">
        <f>BJ40/BJ$4</f>
        <v>0.99923780487804881</v>
      </c>
      <c r="BN9" s="32">
        <v>6.6111000000000003E-2</v>
      </c>
      <c r="BO9" s="9">
        <f t="shared" ref="BO9" si="6">2/((BN9/(BL9*0.35))*3600)</f>
        <v>2.9411814137502752</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1443200</v>
      </c>
      <c r="S11" s="7"/>
      <c r="T11" s="26">
        <v>200</v>
      </c>
      <c r="U11" s="4" t="s">
        <v>0</v>
      </c>
      <c r="V11" s="5">
        <v>1443200</v>
      </c>
      <c r="AD11" s="26">
        <v>200</v>
      </c>
      <c r="AE11" s="4" t="s">
        <v>0</v>
      </c>
      <c r="AF11" s="5">
        <v>1443200</v>
      </c>
      <c r="AN11" s="26">
        <v>200</v>
      </c>
      <c r="AO11" s="4" t="s">
        <v>0</v>
      </c>
      <c r="AP11" s="5">
        <v>1443200</v>
      </c>
      <c r="AW11" s="7"/>
      <c r="AX11" s="26">
        <v>200</v>
      </c>
      <c r="AY11" s="4" t="s">
        <v>0</v>
      </c>
      <c r="AZ11" s="5">
        <v>1443200</v>
      </c>
      <c r="BH11" s="26">
        <v>200</v>
      </c>
      <c r="BI11" s="4" t="s">
        <v>0</v>
      </c>
      <c r="BJ11" s="5">
        <v>1443200</v>
      </c>
      <c r="BP11" s="12"/>
    </row>
    <row r="12" spans="1:68">
      <c r="J12" s="26"/>
      <c r="K12" s="4" t="s">
        <v>1</v>
      </c>
      <c r="L12" s="5">
        <v>267080</v>
      </c>
      <c r="S12" s="7"/>
      <c r="T12" s="26"/>
      <c r="U12" s="4" t="s">
        <v>1</v>
      </c>
      <c r="V12" s="5">
        <v>536970</v>
      </c>
      <c r="AD12" s="26"/>
      <c r="AE12" s="4" t="s">
        <v>1</v>
      </c>
      <c r="AF12" s="5">
        <v>1163900</v>
      </c>
      <c r="AN12" s="26"/>
      <c r="AO12" s="4" t="s">
        <v>1</v>
      </c>
      <c r="AP12" s="5">
        <v>626520</v>
      </c>
      <c r="AW12" s="7"/>
      <c r="AX12" s="26"/>
      <c r="AY12" s="4" t="s">
        <v>1</v>
      </c>
      <c r="AZ12" s="5">
        <v>960850</v>
      </c>
      <c r="BH12" s="26"/>
      <c r="BI12" s="4" t="s">
        <v>1</v>
      </c>
      <c r="BJ12" s="5">
        <v>1353500</v>
      </c>
      <c r="BP12" s="12"/>
    </row>
    <row r="13" spans="1:68">
      <c r="J13" s="26"/>
      <c r="K13" s="4" t="s">
        <v>2</v>
      </c>
      <c r="L13" s="5">
        <v>1176100</v>
      </c>
      <c r="T13" s="26"/>
      <c r="U13" s="4" t="s">
        <v>2</v>
      </c>
      <c r="V13" s="5">
        <v>906150</v>
      </c>
      <c r="AD13" s="26"/>
      <c r="AE13" s="4" t="s">
        <v>2</v>
      </c>
      <c r="AF13" s="5">
        <v>279280</v>
      </c>
      <c r="AN13" s="26"/>
      <c r="AO13" s="4" t="s">
        <v>2</v>
      </c>
      <c r="AP13" s="5">
        <v>816740</v>
      </c>
      <c r="AX13" s="26"/>
      <c r="AY13" s="4" t="s">
        <v>2</v>
      </c>
      <c r="AZ13" s="5">
        <v>482270</v>
      </c>
      <c r="BH13" s="26"/>
      <c r="BI13" s="4" t="s">
        <v>2</v>
      </c>
      <c r="BJ13" s="5">
        <v>89658</v>
      </c>
    </row>
    <row r="14" spans="1:68">
      <c r="J14" s="26"/>
      <c r="K14" s="4" t="s">
        <v>3</v>
      </c>
      <c r="L14" s="5">
        <v>265820</v>
      </c>
      <c r="T14" s="26"/>
      <c r="U14" s="4" t="s">
        <v>3</v>
      </c>
      <c r="V14" s="5">
        <v>536500</v>
      </c>
      <c r="AD14" s="26"/>
      <c r="AE14" s="4" t="s">
        <v>3</v>
      </c>
      <c r="AF14" s="5">
        <v>1163600</v>
      </c>
      <c r="AN14" s="26"/>
      <c r="AO14" s="4" t="s">
        <v>3</v>
      </c>
      <c r="AP14" s="5">
        <v>624630</v>
      </c>
      <c r="AX14" s="26"/>
      <c r="AY14" s="4" t="s">
        <v>3</v>
      </c>
      <c r="AZ14" s="5">
        <v>960250</v>
      </c>
      <c r="BH14" s="26"/>
      <c r="BI14" s="4" t="s">
        <v>3</v>
      </c>
      <c r="BJ14" s="5">
        <v>1353200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1443200</v>
      </c>
      <c r="T18" s="26">
        <v>400</v>
      </c>
      <c r="U18" s="4" t="s">
        <v>0</v>
      </c>
      <c r="V18" s="5">
        <v>1443200</v>
      </c>
      <c r="AD18" s="26">
        <v>400</v>
      </c>
      <c r="AE18" s="4" t="s">
        <v>0</v>
      </c>
      <c r="AF18" s="5">
        <v>1443200</v>
      </c>
      <c r="AN18" s="26">
        <v>400</v>
      </c>
      <c r="AO18" s="4" t="s">
        <v>0</v>
      </c>
      <c r="AP18" s="5">
        <v>1443200</v>
      </c>
      <c r="AX18" s="26">
        <v>400</v>
      </c>
      <c r="AY18" s="4" t="s">
        <v>0</v>
      </c>
      <c r="AZ18" s="5">
        <v>1443200</v>
      </c>
      <c r="BH18" s="26">
        <v>400</v>
      </c>
      <c r="BI18" s="4" t="s">
        <v>0</v>
      </c>
      <c r="BJ18" s="5">
        <v>1443200</v>
      </c>
    </row>
    <row r="19" spans="1:62">
      <c r="J19" s="26"/>
      <c r="K19" s="4" t="s">
        <v>1</v>
      </c>
      <c r="L19" s="5">
        <v>471390</v>
      </c>
      <c r="T19" s="26"/>
      <c r="U19" s="4" t="s">
        <v>1</v>
      </c>
      <c r="V19" s="5">
        <v>835770</v>
      </c>
      <c r="AD19" s="26"/>
      <c r="AE19" s="4" t="s">
        <v>1</v>
      </c>
      <c r="AF19" s="5">
        <v>1318600</v>
      </c>
      <c r="AN19" s="26"/>
      <c r="AO19" s="4" t="s">
        <v>1</v>
      </c>
      <c r="AP19" s="5">
        <v>965210</v>
      </c>
      <c r="AX19" s="26"/>
      <c r="AY19" s="4" t="s">
        <v>1</v>
      </c>
      <c r="AZ19" s="5">
        <v>1248800</v>
      </c>
      <c r="BH19" s="26"/>
      <c r="BI19" s="4" t="s">
        <v>1</v>
      </c>
      <c r="BJ19" s="5">
        <v>1427400</v>
      </c>
    </row>
    <row r="20" spans="1:62">
      <c r="J20" s="26"/>
      <c r="K20" s="4" t="s">
        <v>2</v>
      </c>
      <c r="L20" s="5">
        <v>971790</v>
      </c>
      <c r="T20" s="26"/>
      <c r="U20" s="4" t="s">
        <v>2</v>
      </c>
      <c r="V20" s="5">
        <v>607360</v>
      </c>
      <c r="AD20" s="26"/>
      <c r="AE20" s="4" t="s">
        <v>2</v>
      </c>
      <c r="AF20" s="5">
        <v>124540</v>
      </c>
      <c r="AN20" s="26"/>
      <c r="AO20" s="4" t="s">
        <v>2</v>
      </c>
      <c r="AP20" s="5">
        <v>478000</v>
      </c>
      <c r="AX20" s="26"/>
      <c r="AY20" s="4" t="s">
        <v>2</v>
      </c>
      <c r="AZ20" s="5">
        <v>194390</v>
      </c>
      <c r="BH20" s="26"/>
      <c r="BI20" s="4" t="s">
        <v>2</v>
      </c>
      <c r="BJ20" s="5">
        <v>15800</v>
      </c>
    </row>
    <row r="21" spans="1:62">
      <c r="J21" s="26"/>
      <c r="K21" s="4" t="s">
        <v>3</v>
      </c>
      <c r="L21" s="5">
        <v>469240</v>
      </c>
      <c r="T21" s="26"/>
      <c r="U21" s="4" t="s">
        <v>3</v>
      </c>
      <c r="V21" s="5">
        <v>834900</v>
      </c>
      <c r="AD21" s="26"/>
      <c r="AE21" s="4" t="s">
        <v>3</v>
      </c>
      <c r="AF21" s="5">
        <v>1318000</v>
      </c>
      <c r="AN21" s="26"/>
      <c r="AO21" s="4" t="s">
        <v>3</v>
      </c>
      <c r="AP21" s="5">
        <v>962110</v>
      </c>
      <c r="AX21" s="26"/>
      <c r="AY21" s="4" t="s">
        <v>3</v>
      </c>
      <c r="AZ21" s="5">
        <v>1247800</v>
      </c>
      <c r="BH21" s="26"/>
      <c r="BI21" s="4" t="s">
        <v>3</v>
      </c>
      <c r="BJ21" s="5">
        <v>1426700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1443200</v>
      </c>
      <c r="T25" s="26">
        <v>600</v>
      </c>
      <c r="U25" s="4" t="s">
        <v>0</v>
      </c>
      <c r="V25" s="5">
        <v>1443200</v>
      </c>
      <c r="AD25" s="26">
        <v>600</v>
      </c>
      <c r="AE25" s="4" t="s">
        <v>0</v>
      </c>
      <c r="AF25" s="5">
        <v>1443200</v>
      </c>
      <c r="AN25" s="26">
        <v>600</v>
      </c>
      <c r="AO25" s="4" t="s">
        <v>0</v>
      </c>
      <c r="AP25" s="5">
        <v>1443200</v>
      </c>
      <c r="AX25" s="26">
        <v>600</v>
      </c>
      <c r="AY25" s="4" t="s">
        <v>0</v>
      </c>
      <c r="AZ25" s="5">
        <v>1443200</v>
      </c>
      <c r="BH25" s="26">
        <v>600</v>
      </c>
      <c r="BI25" s="4" t="s">
        <v>0</v>
      </c>
      <c r="BJ25" s="5">
        <v>1443200</v>
      </c>
    </row>
    <row r="26" spans="1:62">
      <c r="J26" s="26"/>
      <c r="K26" s="4" t="s">
        <v>1</v>
      </c>
      <c r="L26" s="5">
        <v>635950</v>
      </c>
      <c r="T26" s="26"/>
      <c r="U26" s="4" t="s">
        <v>1</v>
      </c>
      <c r="V26" s="5">
        <v>1020300</v>
      </c>
      <c r="AD26" s="26"/>
      <c r="AE26" s="4" t="s">
        <v>1</v>
      </c>
      <c r="AF26" s="5">
        <v>1385300</v>
      </c>
      <c r="AN26" s="26"/>
      <c r="AO26" s="4" t="s">
        <v>1</v>
      </c>
      <c r="AP26" s="5">
        <v>1156700</v>
      </c>
      <c r="AX26" s="26"/>
      <c r="AY26" s="4" t="s">
        <v>1</v>
      </c>
      <c r="AZ26" s="5">
        <v>1352400</v>
      </c>
      <c r="BH26" s="26"/>
      <c r="BI26" s="4" t="s">
        <v>1</v>
      </c>
      <c r="BJ26" s="5">
        <v>1438400</v>
      </c>
    </row>
    <row r="27" spans="1:62">
      <c r="A27" s="120" t="s">
        <v>145</v>
      </c>
      <c r="J27" s="26"/>
      <c r="K27" s="4" t="s">
        <v>2</v>
      </c>
      <c r="L27" s="5">
        <v>807200</v>
      </c>
      <c r="T27" s="26"/>
      <c r="U27" s="4" t="s">
        <v>2</v>
      </c>
      <c r="V27" s="5">
        <v>422890</v>
      </c>
      <c r="AD27" s="26"/>
      <c r="AE27" s="4" t="s">
        <v>2</v>
      </c>
      <c r="AF27" s="5">
        <v>57867</v>
      </c>
      <c r="AN27" s="26"/>
      <c r="AO27" s="4" t="s">
        <v>2</v>
      </c>
      <c r="AP27" s="5">
        <v>286480</v>
      </c>
      <c r="AX27" s="26"/>
      <c r="AY27" s="4" t="s">
        <v>2</v>
      </c>
      <c r="AZ27" s="5">
        <v>90766</v>
      </c>
      <c r="BH27" s="26"/>
      <c r="BI27" s="4" t="s">
        <v>2</v>
      </c>
      <c r="BJ27" s="5">
        <v>4806.6000000000004</v>
      </c>
    </row>
    <row r="28" spans="1:62">
      <c r="A28" s="199" t="str">
        <f>AH3</f>
        <v>Filter Area (ft2)</v>
      </c>
      <c r="B28" s="200" t="s">
        <v>11</v>
      </c>
      <c r="C28" s="200"/>
      <c r="D28" s="200"/>
      <c r="E28" s="200" t="s">
        <v>12</v>
      </c>
      <c r="F28" s="200"/>
      <c r="G28" s="200"/>
      <c r="H28" s="6"/>
      <c r="J28" s="26"/>
      <c r="K28" s="4" t="s">
        <v>3</v>
      </c>
      <c r="L28" s="5">
        <v>633210</v>
      </c>
      <c r="T28" s="26"/>
      <c r="U28" s="4" t="s">
        <v>3</v>
      </c>
      <c r="V28" s="5">
        <v>1019000</v>
      </c>
      <c r="AD28" s="26"/>
      <c r="AE28" s="4" t="s">
        <v>3</v>
      </c>
      <c r="AF28" s="5">
        <v>1384400</v>
      </c>
      <c r="AN28" s="26"/>
      <c r="AO28" s="4" t="s">
        <v>3</v>
      </c>
      <c r="AP28" s="5">
        <v>1152800</v>
      </c>
      <c r="AX28" s="26"/>
      <c r="AY28" s="4" t="s">
        <v>3</v>
      </c>
      <c r="AZ28" s="5">
        <v>1351100</v>
      </c>
      <c r="BH28" s="26"/>
      <c r="BI28" s="4" t="s">
        <v>3</v>
      </c>
      <c r="BJ28" s="5">
        <v>1437400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0.10047117516629711</v>
      </c>
      <c r="C30" s="2">
        <f t="shared" ref="C30:C35" si="8">Y4</f>
        <v>0.21989329268292682</v>
      </c>
      <c r="D30" s="2">
        <f t="shared" ref="D30:D35" si="9">AI4</f>
        <v>0.65775360310421283</v>
      </c>
      <c r="E30" s="11">
        <f t="shared" ref="E30:E35" si="10">Q4</f>
        <v>7.6613256282287008</v>
      </c>
      <c r="F30" s="11">
        <f t="shared" ref="F30:F35" si="11">AA4</f>
        <v>1.9925648864522665</v>
      </c>
      <c r="G30" s="9">
        <f t="shared" ref="G30:G35" si="12">AK4</f>
        <v>0.52458977079923497</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0.1850609756097561</v>
      </c>
      <c r="C31" s="2">
        <f t="shared" si="8"/>
        <v>0.3720690133037694</v>
      </c>
      <c r="D31" s="2">
        <f t="shared" si="9"/>
        <v>0.80647172949002222</v>
      </c>
      <c r="E31" s="11">
        <f t="shared" si="10"/>
        <v>8.4377810082425064</v>
      </c>
      <c r="F31" s="11">
        <f t="shared" si="11"/>
        <v>2.3144015288275241</v>
      </c>
      <c r="G31" s="9">
        <f t="shared" si="12"/>
        <v>0.81502439251574743</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0.32662832594235031</v>
      </c>
      <c r="C32" s="2">
        <f t="shared" si="8"/>
        <v>0.57910892461197339</v>
      </c>
      <c r="D32" s="2">
        <f t="shared" si="9"/>
        <v>0.91366407982261644</v>
      </c>
      <c r="E32" s="11">
        <f t="shared" si="10"/>
        <v>9.5633510528566408</v>
      </c>
      <c r="F32" s="11">
        <f t="shared" si="11"/>
        <v>2.8447305430590606</v>
      </c>
      <c r="G32" s="9">
        <f t="shared" si="12"/>
        <v>1.3551552039895769</v>
      </c>
      <c r="H32" s="12"/>
      <c r="J32" s="26">
        <v>800</v>
      </c>
      <c r="K32" s="4" t="s">
        <v>0</v>
      </c>
      <c r="L32" s="5">
        <v>1443200</v>
      </c>
      <c r="T32" s="26">
        <v>800</v>
      </c>
      <c r="U32" s="4" t="s">
        <v>0</v>
      </c>
      <c r="V32" s="5">
        <v>1443200</v>
      </c>
      <c r="AD32" s="26">
        <v>800</v>
      </c>
      <c r="AE32" s="4" t="s">
        <v>0</v>
      </c>
      <c r="AF32" s="5">
        <v>1443200</v>
      </c>
      <c r="AN32" s="26">
        <v>800</v>
      </c>
      <c r="AO32" s="4" t="s">
        <v>0</v>
      </c>
      <c r="AP32" s="5">
        <v>1443200</v>
      </c>
      <c r="AX32" s="26">
        <v>800</v>
      </c>
      <c r="AY32" s="4" t="s">
        <v>0</v>
      </c>
      <c r="AZ32" s="5">
        <v>1443200</v>
      </c>
      <c r="BH32" s="26">
        <v>800</v>
      </c>
      <c r="BI32" s="4" t="s">
        <v>0</v>
      </c>
      <c r="BJ32" s="5">
        <v>1443200</v>
      </c>
    </row>
    <row r="33" spans="1:62">
      <c r="A33" s="10">
        <v>600</v>
      </c>
      <c r="B33" s="2">
        <f t="shared" si="7"/>
        <v>0.44065271618625279</v>
      </c>
      <c r="C33" s="2">
        <f t="shared" si="8"/>
        <v>0.70697062084257212</v>
      </c>
      <c r="D33" s="2">
        <f t="shared" si="9"/>
        <v>0.95988082039911304</v>
      </c>
      <c r="E33" s="11">
        <f t="shared" si="10"/>
        <v>10.441838957009455</v>
      </c>
      <c r="F33" s="11">
        <f t="shared" si="11"/>
        <v>3.3564448536110554</v>
      </c>
      <c r="G33" s="9">
        <f t="shared" si="12"/>
        <v>1.8853085980845263</v>
      </c>
      <c r="H33" s="12"/>
      <c r="J33" s="26"/>
      <c r="K33" s="4" t="s">
        <v>1</v>
      </c>
      <c r="L33" s="5">
        <v>772320</v>
      </c>
      <c r="T33" s="26"/>
      <c r="U33" s="4" t="s">
        <v>1</v>
      </c>
      <c r="V33" s="5">
        <v>1138900</v>
      </c>
      <c r="AD33" s="26"/>
      <c r="AE33" s="4" t="s">
        <v>1</v>
      </c>
      <c r="AF33" s="5">
        <v>1414600</v>
      </c>
      <c r="AN33" s="26"/>
      <c r="AO33" s="4" t="s">
        <v>1</v>
      </c>
      <c r="AP33" s="5">
        <v>1271000</v>
      </c>
      <c r="AX33" s="26"/>
      <c r="AY33" s="4" t="s">
        <v>1</v>
      </c>
      <c r="AZ33" s="5">
        <v>1398700</v>
      </c>
      <c r="BH33" s="26"/>
      <c r="BI33" s="4" t="s">
        <v>1</v>
      </c>
      <c r="BJ33" s="5">
        <v>1440600</v>
      </c>
    </row>
    <row r="34" spans="1:62">
      <c r="A34" s="10">
        <v>800</v>
      </c>
      <c r="B34" s="2">
        <f t="shared" si="7"/>
        <v>0.53514412416851442</v>
      </c>
      <c r="C34" s="2">
        <f t="shared" si="8"/>
        <v>0.78914911308203994</v>
      </c>
      <c r="D34" s="2">
        <f t="shared" si="9"/>
        <v>0.98018292682926833</v>
      </c>
      <c r="E34" s="11">
        <f t="shared" si="10"/>
        <v>11.191047162270184</v>
      </c>
      <c r="F34" s="11">
        <f t="shared" si="11"/>
        <v>3.8691561923081177</v>
      </c>
      <c r="G34" s="9">
        <f t="shared" si="12"/>
        <v>2.4329124394813029</v>
      </c>
      <c r="H34" s="12"/>
      <c r="J34" s="26"/>
      <c r="K34" s="4" t="s">
        <v>2</v>
      </c>
      <c r="L34" s="5">
        <v>670860</v>
      </c>
      <c r="T34" s="26"/>
      <c r="U34" s="4" t="s">
        <v>2</v>
      </c>
      <c r="V34" s="5">
        <v>304280</v>
      </c>
      <c r="AD34" s="26"/>
      <c r="AE34" s="4" t="s">
        <v>2</v>
      </c>
      <c r="AF34" s="5">
        <v>28514</v>
      </c>
      <c r="AN34" s="26"/>
      <c r="AO34" s="4" t="s">
        <v>2</v>
      </c>
      <c r="AP34" s="5">
        <v>172220</v>
      </c>
      <c r="AX34" s="26"/>
      <c r="AY34" s="4" t="s">
        <v>2</v>
      </c>
      <c r="AZ34" s="5">
        <v>44473</v>
      </c>
      <c r="BH34" s="26"/>
      <c r="BI34" s="4" t="s">
        <v>2</v>
      </c>
      <c r="BJ34" s="5">
        <v>2514.1</v>
      </c>
    </row>
    <row r="35" spans="1:62">
      <c r="A35" s="10">
        <v>1000</v>
      </c>
      <c r="B35" s="2">
        <f t="shared" si="7"/>
        <v>0.61317904656319289</v>
      </c>
      <c r="C35" s="2">
        <f t="shared" si="8"/>
        <v>0.84222560975609762</v>
      </c>
      <c r="D35" s="2">
        <f t="shared" si="9"/>
        <v>0.99036862527716185</v>
      </c>
      <c r="E35" s="11">
        <f t="shared" si="10"/>
        <v>11.891899238238912</v>
      </c>
      <c r="F35" s="11">
        <f t="shared" si="11"/>
        <v>4.3707166976363174</v>
      </c>
      <c r="G35" s="9">
        <f t="shared" si="12"/>
        <v>2.9870872485512625</v>
      </c>
      <c r="H35" s="12"/>
      <c r="J35" s="26"/>
      <c r="K35" s="4" t="s">
        <v>3</v>
      </c>
      <c r="L35" s="5">
        <v>768710</v>
      </c>
      <c r="T35" s="26"/>
      <c r="U35" s="4" t="s">
        <v>3</v>
      </c>
      <c r="V35" s="5">
        <v>1137300</v>
      </c>
      <c r="AD35" s="26"/>
      <c r="AE35" s="4" t="s">
        <v>3</v>
      </c>
      <c r="AF35" s="5">
        <v>1413400</v>
      </c>
      <c r="AN35" s="26"/>
      <c r="AO35" s="4" t="s">
        <v>3</v>
      </c>
      <c r="AP35" s="5">
        <v>1266300</v>
      </c>
      <c r="AX35" s="26"/>
      <c r="AY35" s="4" t="s">
        <v>3</v>
      </c>
      <c r="AZ35" s="5">
        <v>1397000</v>
      </c>
      <c r="BH35" s="26"/>
      <c r="BI35" s="4" t="s">
        <v>3</v>
      </c>
      <c r="BJ35" s="5">
        <v>1439400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1443200</v>
      </c>
      <c r="T39" s="26">
        <v>1000</v>
      </c>
      <c r="U39" s="4" t="s">
        <v>0</v>
      </c>
      <c r="V39" s="5">
        <v>1443200</v>
      </c>
      <c r="AD39" s="26">
        <v>1000</v>
      </c>
      <c r="AE39" s="4" t="s">
        <v>0</v>
      </c>
      <c r="AF39" s="5">
        <v>1443200</v>
      </c>
      <c r="AN39" s="26">
        <v>1000</v>
      </c>
      <c r="AO39" s="4" t="s">
        <v>0</v>
      </c>
      <c r="AP39" s="5">
        <v>1443200</v>
      </c>
      <c r="AX39" s="26">
        <v>1000</v>
      </c>
      <c r="AY39" s="4" t="s">
        <v>0</v>
      </c>
      <c r="AZ39" s="5">
        <v>1443200</v>
      </c>
      <c r="BH39" s="26">
        <v>1000</v>
      </c>
      <c r="BI39" s="4" t="s">
        <v>0</v>
      </c>
      <c r="BJ39" s="5">
        <v>1443200</v>
      </c>
    </row>
    <row r="40" spans="1:62">
      <c r="A40" s="199"/>
      <c r="B40" s="15" t="s">
        <v>15</v>
      </c>
      <c r="C40" s="15" t="s">
        <v>14</v>
      </c>
      <c r="D40" s="15" t="s">
        <v>13</v>
      </c>
      <c r="E40" s="15" t="s">
        <v>15</v>
      </c>
      <c r="F40" s="15" t="s">
        <v>14</v>
      </c>
      <c r="G40" s="15" t="s">
        <v>13</v>
      </c>
      <c r="J40" s="26"/>
      <c r="K40" s="4" t="s">
        <v>1</v>
      </c>
      <c r="L40" s="5">
        <v>884940</v>
      </c>
      <c r="T40" s="26"/>
      <c r="U40" s="4" t="s">
        <v>1</v>
      </c>
      <c r="V40" s="5">
        <v>1215500</v>
      </c>
      <c r="AD40" s="26"/>
      <c r="AE40" s="4" t="s">
        <v>1</v>
      </c>
      <c r="AF40" s="5">
        <v>1429300</v>
      </c>
      <c r="AN40" s="26"/>
      <c r="AO40" s="4" t="s">
        <v>1</v>
      </c>
      <c r="AP40" s="5">
        <v>1344100</v>
      </c>
      <c r="AX40" s="26"/>
      <c r="AY40" s="4" t="s">
        <v>1</v>
      </c>
      <c r="AZ40" s="5">
        <v>1419400</v>
      </c>
      <c r="BH40" s="26"/>
      <c r="BI40" s="4" t="s">
        <v>1</v>
      </c>
      <c r="BJ40" s="5">
        <v>1442100</v>
      </c>
    </row>
    <row r="41" spans="1:62">
      <c r="A41" s="10">
        <v>100</v>
      </c>
      <c r="B41" s="2">
        <f>AS4</f>
        <v>0.25453159645232815</v>
      </c>
      <c r="C41" s="2">
        <f>BC4</f>
        <v>0.44099223946784921</v>
      </c>
      <c r="D41" s="2">
        <f>BM4</f>
        <v>0.83425720620842569</v>
      </c>
      <c r="E41" s="11">
        <f>AU4</f>
        <v>5.4058896395352791</v>
      </c>
      <c r="F41" s="11">
        <f>BE4</f>
        <v>1.3555803433104048</v>
      </c>
      <c r="G41" s="9">
        <f>BO4</f>
        <v>0.38525210898011658</v>
      </c>
      <c r="J41" s="26"/>
      <c r="K41" s="4" t="s">
        <v>2</v>
      </c>
      <c r="L41" s="5">
        <v>558220</v>
      </c>
      <c r="T41" s="26"/>
      <c r="U41" s="4" t="s">
        <v>2</v>
      </c>
      <c r="V41" s="5">
        <v>227630</v>
      </c>
      <c r="AD41" s="26"/>
      <c r="AE41" s="4" t="s">
        <v>2</v>
      </c>
      <c r="AF41" s="5">
        <v>13883</v>
      </c>
      <c r="AN41" s="26"/>
      <c r="AO41" s="4" t="s">
        <v>2</v>
      </c>
      <c r="AP41" s="5">
        <v>99098</v>
      </c>
      <c r="AX41" s="26"/>
      <c r="AY41" s="4" t="s">
        <v>2</v>
      </c>
      <c r="AZ41" s="5">
        <v>23772</v>
      </c>
      <c r="BH41" s="26"/>
      <c r="BI41" s="4" t="s">
        <v>2</v>
      </c>
      <c r="BJ41" s="5">
        <v>1034.4000000000001</v>
      </c>
    </row>
    <row r="42" spans="1:62">
      <c r="A42" s="10">
        <v>200</v>
      </c>
      <c r="B42" s="2">
        <f t="shared" ref="B42:B46" si="13">AS5</f>
        <v>0.43411862527716188</v>
      </c>
      <c r="C42" s="2">
        <f t="shared" ref="C42:C46" si="14">BC5</f>
        <v>0.66577743902439024</v>
      </c>
      <c r="D42" s="2">
        <f t="shared" ref="D42:D46" si="15">BM5</f>
        <v>0.93784645232815966</v>
      </c>
      <c r="E42" s="11">
        <f t="shared" ref="E42:E46" si="16">AU5</f>
        <v>6.1895414434010645</v>
      </c>
      <c r="F42" s="11">
        <f t="shared" ref="F42:F46" si="17">BE5</f>
        <v>1.6940620704342608</v>
      </c>
      <c r="G42" s="9">
        <f t="shared" ref="G42:G46" si="18">BO5</f>
        <v>0.64969659169168004</v>
      </c>
      <c r="J42" s="26"/>
      <c r="K42" s="4" t="s">
        <v>3</v>
      </c>
      <c r="L42" s="5">
        <v>880840</v>
      </c>
      <c r="T42" s="26"/>
      <c r="U42" s="4" t="s">
        <v>3</v>
      </c>
      <c r="V42" s="5">
        <v>1213600</v>
      </c>
      <c r="AD42" s="26"/>
      <c r="AE42" s="4" t="s">
        <v>3</v>
      </c>
      <c r="AF42" s="5">
        <v>1427800</v>
      </c>
      <c r="AN42" s="26"/>
      <c r="AO42" s="4" t="s">
        <v>3</v>
      </c>
      <c r="AP42" s="5">
        <v>1338900</v>
      </c>
      <c r="AX42" s="26"/>
      <c r="AY42" s="4" t="s">
        <v>3</v>
      </c>
      <c r="AZ42" s="5">
        <v>1417400</v>
      </c>
      <c r="BH42" s="26"/>
      <c r="BI42" s="4" t="s">
        <v>3</v>
      </c>
      <c r="BJ42" s="5">
        <v>1440600</v>
      </c>
    </row>
    <row r="43" spans="1:62">
      <c r="A43" s="10">
        <v>400</v>
      </c>
      <c r="B43" s="2">
        <f t="shared" si="13"/>
        <v>0.66879850332594237</v>
      </c>
      <c r="C43" s="2">
        <f t="shared" si="14"/>
        <v>0.86529933481152999</v>
      </c>
      <c r="D43" s="2">
        <f t="shared" si="15"/>
        <v>0.98905210643015518</v>
      </c>
      <c r="E43" s="11">
        <f t="shared" si="16"/>
        <v>7.5176665163133363</v>
      </c>
      <c r="F43" s="11">
        <f t="shared" si="17"/>
        <v>2.3348276230120608</v>
      </c>
      <c r="G43" s="9">
        <f t="shared" si="18"/>
        <v>1.1965443798310478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0.80148281596452331</v>
      </c>
      <c r="C44" s="2">
        <f t="shared" si="14"/>
        <v>0.93708425720620847</v>
      </c>
      <c r="D44" s="2">
        <f t="shared" si="15"/>
        <v>0.99667405764966743</v>
      </c>
      <c r="E44" s="11">
        <f t="shared" si="16"/>
        <v>8.6637952373879887</v>
      </c>
      <c r="F44" s="11">
        <f t="shared" si="17"/>
        <v>2.9371533110109684</v>
      </c>
      <c r="G44" s="9">
        <f t="shared" si="18"/>
        <v>1.767971429581698</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0.88068181818181823</v>
      </c>
      <c r="C45" s="2">
        <f t="shared" si="14"/>
        <v>0.96916574279379153</v>
      </c>
      <c r="D45" s="2">
        <f t="shared" si="15"/>
        <v>0.99819844789356982</v>
      </c>
      <c r="E45" s="11">
        <f t="shared" si="16"/>
        <v>9.6834882691456414</v>
      </c>
      <c r="F45" s="11">
        <f t="shared" si="17"/>
        <v>3.5010590703687865</v>
      </c>
      <c r="G45" s="9">
        <f t="shared" si="18"/>
        <v>2.3534791145539149</v>
      </c>
      <c r="Y45"/>
      <c r="Z45"/>
      <c r="AA45"/>
      <c r="AB45"/>
      <c r="BC45"/>
      <c r="BD45"/>
      <c r="BE45"/>
      <c r="BF45"/>
    </row>
    <row r="46" spans="1:62">
      <c r="A46" s="10">
        <v>1000</v>
      </c>
      <c r="B46" s="2">
        <f t="shared" si="13"/>
        <v>0.93133314855875826</v>
      </c>
      <c r="C46" s="2">
        <f t="shared" si="14"/>
        <v>0.9835088691796009</v>
      </c>
      <c r="D46" s="2">
        <f t="shared" si="15"/>
        <v>0.99923780487804881</v>
      </c>
      <c r="E46" s="11">
        <f t="shared" si="16"/>
        <v>10.647489017875614</v>
      </c>
      <c r="F46" s="11">
        <f t="shared" si="17"/>
        <v>4.0419158219062599</v>
      </c>
      <c r="G46" s="9">
        <f t="shared" si="18"/>
        <v>2.9411814137502752</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0.25453159645232815</v>
      </c>
      <c r="C52" s="2">
        <f>C30+(($A$25-1)/3)*(C41-C30)</f>
        <v>0.44099223946784921</v>
      </c>
      <c r="D52" s="2">
        <f>D30+(($A$25-1)/3)*(D41-D30)</f>
        <v>0.83425720620842569</v>
      </c>
      <c r="E52" s="9">
        <f>E30+(($A$25-1)/3)*(E41-E30)</f>
        <v>5.4058896395352791</v>
      </c>
      <c r="F52" s="9">
        <f t="shared" ref="F52:G57" si="19">F30+(($A$25-1)/3)*(F41-F30)</f>
        <v>1.3555803433104048</v>
      </c>
      <c r="G52" s="9">
        <f t="shared" si="19"/>
        <v>0.38525210898011658</v>
      </c>
      <c r="Y52"/>
      <c r="Z52"/>
      <c r="AA52"/>
      <c r="AB52"/>
      <c r="BC52"/>
      <c r="BD52"/>
      <c r="BE52"/>
      <c r="BF52"/>
    </row>
    <row r="53" spans="1:58">
      <c r="A53" s="10">
        <v>200</v>
      </c>
      <c r="B53" s="2">
        <f t="shared" ref="B53:E57" si="20">B31+(($A$25-1)/3)*(B42-B31)</f>
        <v>0.43411862527716188</v>
      </c>
      <c r="C53" s="2">
        <f t="shared" si="20"/>
        <v>0.66577743902439024</v>
      </c>
      <c r="D53" s="2">
        <f t="shared" si="20"/>
        <v>0.93784645232815966</v>
      </c>
      <c r="E53" s="9">
        <f t="shared" si="20"/>
        <v>6.1895414434010645</v>
      </c>
      <c r="F53" s="9">
        <f t="shared" si="19"/>
        <v>1.6940620704342608</v>
      </c>
      <c r="G53" s="9">
        <f t="shared" si="19"/>
        <v>0.64969659169168004</v>
      </c>
      <c r="Y53"/>
      <c r="Z53"/>
      <c r="AA53"/>
      <c r="AB53"/>
      <c r="BC53"/>
      <c r="BD53"/>
      <c r="BE53"/>
      <c r="BF53"/>
    </row>
    <row r="54" spans="1:58">
      <c r="A54" s="10">
        <v>400</v>
      </c>
      <c r="B54" s="2">
        <f t="shared" si="20"/>
        <v>0.66879850332594237</v>
      </c>
      <c r="C54" s="2">
        <f t="shared" si="20"/>
        <v>0.86529933481152999</v>
      </c>
      <c r="D54" s="2">
        <f t="shared" si="20"/>
        <v>0.98905210643015518</v>
      </c>
      <c r="E54" s="9">
        <f t="shared" si="20"/>
        <v>7.5176665163133363</v>
      </c>
      <c r="F54" s="9">
        <f t="shared" si="19"/>
        <v>2.3348276230120608</v>
      </c>
      <c r="G54" s="9">
        <f t="shared" si="19"/>
        <v>1.1965443798310478</v>
      </c>
      <c r="Y54"/>
      <c r="Z54"/>
      <c r="AA54"/>
      <c r="AB54"/>
      <c r="BC54"/>
      <c r="BD54"/>
      <c r="BE54"/>
      <c r="BF54"/>
    </row>
    <row r="55" spans="1:58">
      <c r="A55" s="10">
        <v>600</v>
      </c>
      <c r="B55" s="2">
        <f t="shared" si="20"/>
        <v>0.80148281596452331</v>
      </c>
      <c r="C55" s="2">
        <f t="shared" si="20"/>
        <v>0.93708425720620847</v>
      </c>
      <c r="D55" s="2">
        <f t="shared" si="20"/>
        <v>0.99667405764966743</v>
      </c>
      <c r="E55" s="9">
        <f t="shared" si="20"/>
        <v>8.6637952373879887</v>
      </c>
      <c r="F55" s="9">
        <f t="shared" si="19"/>
        <v>2.9371533110109684</v>
      </c>
      <c r="G55" s="9">
        <f t="shared" si="19"/>
        <v>1.767971429581698</v>
      </c>
      <c r="Y55"/>
      <c r="Z55"/>
      <c r="AA55"/>
      <c r="AB55"/>
      <c r="BC55"/>
      <c r="BD55"/>
      <c r="BE55"/>
      <c r="BF55"/>
    </row>
    <row r="56" spans="1:58">
      <c r="A56" s="10">
        <v>800</v>
      </c>
      <c r="B56" s="2">
        <f t="shared" si="20"/>
        <v>0.88068181818181823</v>
      </c>
      <c r="C56" s="2">
        <f t="shared" si="20"/>
        <v>0.96916574279379153</v>
      </c>
      <c r="D56" s="2">
        <f t="shared" si="20"/>
        <v>0.99819844789356982</v>
      </c>
      <c r="E56" s="9">
        <f t="shared" si="20"/>
        <v>9.6834882691456414</v>
      </c>
      <c r="F56" s="9">
        <f t="shared" si="19"/>
        <v>3.5010590703687865</v>
      </c>
      <c r="G56" s="9">
        <f t="shared" si="19"/>
        <v>2.3534791145539149</v>
      </c>
      <c r="Y56"/>
      <c r="Z56"/>
      <c r="AA56"/>
      <c r="AB56"/>
      <c r="BC56"/>
      <c r="BD56"/>
      <c r="BE56"/>
      <c r="BF56"/>
    </row>
    <row r="57" spans="1:58">
      <c r="A57" s="10">
        <v>1000</v>
      </c>
      <c r="B57" s="2">
        <f t="shared" si="20"/>
        <v>0.93133314855875826</v>
      </c>
      <c r="C57" s="2">
        <f t="shared" si="20"/>
        <v>0.9835088691796009</v>
      </c>
      <c r="D57" s="2">
        <f t="shared" si="20"/>
        <v>0.99923780487804881</v>
      </c>
      <c r="E57" s="9">
        <f t="shared" si="20"/>
        <v>10.647489017875614</v>
      </c>
      <c r="F57" s="9">
        <f t="shared" si="19"/>
        <v>4.0419158219062599</v>
      </c>
      <c r="G57" s="9">
        <f t="shared" si="19"/>
        <v>2.9411814137502752</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sheetPr codeName="Sheet15"/>
  <dimension ref="A1:DD96"/>
  <sheetViews>
    <sheetView topLeftCell="U31" zoomScale="80" zoomScaleNormal="80" workbookViewId="0">
      <selection activeCell="A7" sqref="A7"/>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1177600</v>
      </c>
      <c r="AL5" s="57">
        <v>7352.5</v>
      </c>
      <c r="AM5" s="57">
        <v>7352.5</v>
      </c>
      <c r="AN5" s="57">
        <v>7352.5</v>
      </c>
      <c r="AO5" s="57">
        <v>7352.5</v>
      </c>
      <c r="AP5" s="57">
        <v>7352.5</v>
      </c>
      <c r="AQ5" s="37"/>
      <c r="AR5" s="37"/>
      <c r="AS5" s="56">
        <v>0.1</v>
      </c>
      <c r="AT5" s="37" t="s">
        <v>0</v>
      </c>
      <c r="AU5" s="57">
        <v>1177600</v>
      </c>
      <c r="AV5" s="57">
        <v>7352.5</v>
      </c>
      <c r="AW5" s="57">
        <v>7352.5</v>
      </c>
      <c r="AX5" s="57">
        <v>7352.5</v>
      </c>
      <c r="AY5" s="57">
        <v>7352.5</v>
      </c>
      <c r="AZ5" s="57">
        <v>7352.5</v>
      </c>
      <c r="BA5" s="37"/>
      <c r="BB5" s="37"/>
      <c r="BC5" s="37"/>
      <c r="BD5" s="56">
        <v>0.1</v>
      </c>
      <c r="BE5" s="37" t="s">
        <v>0</v>
      </c>
      <c r="BF5" s="57">
        <v>1177600</v>
      </c>
      <c r="BG5" s="57">
        <v>7352.5</v>
      </c>
      <c r="BH5" s="57">
        <v>7352.5</v>
      </c>
      <c r="BI5" s="57">
        <v>7352.5</v>
      </c>
      <c r="BJ5" s="57">
        <v>7352.5</v>
      </c>
      <c r="BK5" s="57">
        <v>7352.5</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613240</v>
      </c>
      <c r="AL6" s="57">
        <v>3828.5</v>
      </c>
      <c r="AM6" s="57">
        <v>3828.5</v>
      </c>
      <c r="AN6" s="57">
        <v>3828.5</v>
      </c>
      <c r="AO6" s="57">
        <v>3828.5</v>
      </c>
      <c r="AP6" s="57">
        <v>3828.5</v>
      </c>
      <c r="AQ6" s="37"/>
      <c r="AR6" s="37"/>
      <c r="AS6" s="56"/>
      <c r="AT6" s="37" t="s">
        <v>1</v>
      </c>
      <c r="AU6" s="57">
        <v>485070</v>
      </c>
      <c r="AV6" s="57">
        <v>3028.2</v>
      </c>
      <c r="AW6" s="57">
        <v>3028.2</v>
      </c>
      <c r="AX6" s="57">
        <v>3028.2</v>
      </c>
      <c r="AY6" s="57">
        <v>3028.2</v>
      </c>
      <c r="AZ6" s="57">
        <v>3028.2</v>
      </c>
      <c r="BA6" s="37"/>
      <c r="BB6" s="37"/>
      <c r="BC6" s="37"/>
      <c r="BD6" s="56"/>
      <c r="BE6" s="37" t="s">
        <v>1</v>
      </c>
      <c r="BF6" s="57">
        <v>373980</v>
      </c>
      <c r="BG6" s="57">
        <v>2335.1</v>
      </c>
      <c r="BH6" s="57">
        <v>2335.1</v>
      </c>
      <c r="BI6" s="57">
        <v>2335.1</v>
      </c>
      <c r="BJ6" s="57">
        <v>2335.1</v>
      </c>
      <c r="BK6" s="57">
        <v>2335.1</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2.7033976124885215</v>
      </c>
      <c r="D7"/>
      <c r="E7" t="s">
        <v>119</v>
      </c>
      <c r="F7"/>
      <c r="G7" s="103">
        <f>C7*12</f>
        <v>32.44077134986226</v>
      </c>
      <c r="H7"/>
      <c r="I7"/>
      <c r="J7"/>
      <c r="K7"/>
      <c r="L7"/>
      <c r="M7"/>
      <c r="N7"/>
      <c r="O7"/>
      <c r="P7"/>
      <c r="Q7"/>
      <c r="R7"/>
      <c r="S7"/>
      <c r="T7"/>
      <c r="U7"/>
      <c r="V7"/>
      <c r="W7"/>
      <c r="X7"/>
      <c r="Y7"/>
      <c r="Z7"/>
      <c r="AA7"/>
      <c r="AB7"/>
      <c r="AC7"/>
      <c r="AD7"/>
      <c r="AE7"/>
      <c r="AF7"/>
      <c r="AG7"/>
      <c r="AH7" s="37"/>
      <c r="AI7" s="56"/>
      <c r="AJ7" s="37" t="s">
        <v>2</v>
      </c>
      <c r="AK7" s="57">
        <v>564400</v>
      </c>
      <c r="AL7" s="57">
        <v>3523.8</v>
      </c>
      <c r="AM7" s="57">
        <v>3523.8</v>
      </c>
      <c r="AN7" s="57">
        <v>3523.8</v>
      </c>
      <c r="AO7" s="57">
        <v>3523.8</v>
      </c>
      <c r="AP7" s="57">
        <v>3523.8</v>
      </c>
      <c r="AQ7" s="37"/>
      <c r="AR7" s="37"/>
      <c r="AS7" s="56"/>
      <c r="AT7" s="37" t="s">
        <v>2</v>
      </c>
      <c r="AU7" s="57">
        <v>692580</v>
      </c>
      <c r="AV7" s="57">
        <v>4324</v>
      </c>
      <c r="AW7" s="57">
        <v>4324</v>
      </c>
      <c r="AX7" s="57">
        <v>4324</v>
      </c>
      <c r="AY7" s="57">
        <v>4324</v>
      </c>
      <c r="AZ7" s="57">
        <v>4324</v>
      </c>
      <c r="BA7" s="37"/>
      <c r="BB7" s="37"/>
      <c r="BC7" s="37"/>
      <c r="BD7" s="56"/>
      <c r="BE7" s="37" t="s">
        <v>2</v>
      </c>
      <c r="BF7" s="57">
        <v>803630</v>
      </c>
      <c r="BG7" s="57">
        <v>5017.3</v>
      </c>
      <c r="BH7" s="57">
        <v>5017.3</v>
      </c>
      <c r="BI7" s="57">
        <v>5017.3</v>
      </c>
      <c r="BJ7" s="57">
        <v>5017.3</v>
      </c>
      <c r="BK7" s="57">
        <v>5017.3</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613020</v>
      </c>
      <c r="AL8" s="57">
        <v>3819.6</v>
      </c>
      <c r="AM8" s="57">
        <v>3708</v>
      </c>
      <c r="AN8" s="57">
        <v>2374.1999999999998</v>
      </c>
      <c r="AO8" s="57">
        <v>34.229999999999997</v>
      </c>
      <c r="AP8" s="57">
        <v>4.8432000000000004</v>
      </c>
      <c r="AQ8" s="37"/>
      <c r="AR8" s="37"/>
      <c r="AS8" s="56"/>
      <c r="AT8" s="37" t="s">
        <v>3</v>
      </c>
      <c r="AU8" s="57">
        <v>484850</v>
      </c>
      <c r="AV8" s="57">
        <v>3017.4</v>
      </c>
      <c r="AW8" s="57">
        <v>2878.3</v>
      </c>
      <c r="AX8" s="57">
        <v>1231.3</v>
      </c>
      <c r="AY8" s="57">
        <v>10.692</v>
      </c>
      <c r="AZ8" s="57">
        <v>2.4268000000000001</v>
      </c>
      <c r="BA8" s="37"/>
      <c r="BB8" s="37"/>
      <c r="BC8" s="37"/>
      <c r="BD8" s="56"/>
      <c r="BE8" s="37" t="s">
        <v>3</v>
      </c>
      <c r="BF8" s="57">
        <v>373420</v>
      </c>
      <c r="BG8" s="57">
        <v>2317.4</v>
      </c>
      <c r="BH8" s="57">
        <v>2113.4</v>
      </c>
      <c r="BI8" s="57">
        <v>414.94</v>
      </c>
      <c r="BJ8" s="57">
        <v>2.6861000000000002</v>
      </c>
      <c r="BK8" s="57">
        <v>0.57616000000000001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7.7576999999999998</v>
      </c>
      <c r="AM10" s="57">
        <v>119.22</v>
      </c>
      <c r="AN10" s="57">
        <v>1453</v>
      </c>
      <c r="AO10" s="57">
        <v>3793</v>
      </c>
      <c r="AP10" s="57">
        <v>3822.4</v>
      </c>
      <c r="AQ10" s="37"/>
      <c r="AR10" s="37"/>
      <c r="AS10" s="56"/>
      <c r="AT10" s="37" t="s">
        <v>5</v>
      </c>
      <c r="AU10" s="57">
        <v>0</v>
      </c>
      <c r="AV10" s="57">
        <v>9.5016999999999996</v>
      </c>
      <c r="AW10" s="57">
        <v>148.77000000000001</v>
      </c>
      <c r="AX10" s="57">
        <v>1795.7</v>
      </c>
      <c r="AY10" s="57">
        <v>3016.4</v>
      </c>
      <c r="AZ10" s="57">
        <v>3024.6</v>
      </c>
      <c r="BA10" s="37"/>
      <c r="BB10" s="37"/>
      <c r="BC10" s="37"/>
      <c r="BD10" s="56"/>
      <c r="BE10" s="37" t="s">
        <v>5</v>
      </c>
      <c r="BF10" s="57">
        <v>0</v>
      </c>
      <c r="BG10" s="57">
        <v>14.324999999999999</v>
      </c>
      <c r="BH10" s="57">
        <v>218.42</v>
      </c>
      <c r="BI10" s="57">
        <v>1916.9</v>
      </c>
      <c r="BJ10" s="57">
        <v>2329.1999999999998</v>
      </c>
      <c r="BK10" s="57">
        <v>2331.3000000000002</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0.52075407608695656</v>
      </c>
      <c r="C11" s="75">
        <f t="shared" ref="C11:C19" si="0">(($C$4*D11)+($D$4*E11)+($E$4*F11)+($F$4*G11)+($G$4*I11))</f>
        <v>0.36944860727643658</v>
      </c>
      <c r="D11" s="75">
        <f>AL10/$AL$5</f>
        <v>1.0551105066303977E-3</v>
      </c>
      <c r="E11" s="75">
        <f>AM$10/AM$5</f>
        <v>1.6214892893573616E-2</v>
      </c>
      <c r="F11" s="75">
        <f>AN$10/AN$5</f>
        <v>0.19761985719143149</v>
      </c>
      <c r="G11" s="75">
        <f>AO$10/AO$5</f>
        <v>0.51587895273716422</v>
      </c>
      <c r="H11" s="76">
        <f t="shared" ref="H11:H19" si="1">($D$4*E11+$E$4*F11+$F$4*G11)/(SUM($D$4:$F$4))</f>
        <v>0.24323790094072315</v>
      </c>
      <c r="I11" s="75">
        <f>AP10/$AP$5</f>
        <v>0.51987759265555933</v>
      </c>
      <c r="J11" s="75">
        <f>(($C$5*D11)+($D$5*E11)+($E$5*F11)+($F$5*G11)+($G$5*I11))</f>
        <v>0.23755998231893916</v>
      </c>
      <c r="K11"/>
      <c r="L11" s="68">
        <v>0.1</v>
      </c>
      <c r="M11" s="69">
        <f>AU6/$AK$5</f>
        <v>0.41191406250000001</v>
      </c>
      <c r="N11" s="69">
        <f t="shared" ref="N11:N19" si="2">(($C$4*O11)+($D$4*P11)+($E$4*Q11)+($F$4*R11)+($G$4*T11))</f>
        <v>0.3069575770146209</v>
      </c>
      <c r="O11" s="69">
        <f>AV10/$AL$5</f>
        <v>1.2923087385243114E-3</v>
      </c>
      <c r="P11" s="69">
        <f>AW$10/AW$5</f>
        <v>2.0233934036042164E-2</v>
      </c>
      <c r="Q11" s="69">
        <f>AX$10/AX$5</f>
        <v>0.24422985379122747</v>
      </c>
      <c r="R11" s="69">
        <f>AY$10/AY$5</f>
        <v>0.41025501530091807</v>
      </c>
      <c r="S11" s="70">
        <f t="shared" ref="S11:S19" si="3">($D$4*P11+$E$4*Q11+$F$4*R11)/(SUM($D$4:$F$4))</f>
        <v>0.22490626770939592</v>
      </c>
      <c r="T11" s="69">
        <f>AZ10/$AP$5</f>
        <v>0.411370282216933</v>
      </c>
      <c r="U11" s="69">
        <f>(($C$5*O11)+($D$5*P11)+($E$5*Q11)+($F$5*R11)+($G$5*T11))</f>
        <v>0.22505599047942876</v>
      </c>
      <c r="V11"/>
      <c r="W11" s="84">
        <v>0.1</v>
      </c>
      <c r="X11" s="85">
        <f>BF6/$AK$5</f>
        <v>0.31757812499999999</v>
      </c>
      <c r="Y11" s="85">
        <f t="shared" ref="Y11:Y19" si="4">(($C$4*Z11)+($D$4*AA11)+($E$4*AB11)+($F$4*AC11)+($G$4*AE11))</f>
        <v>0.2497170010200612</v>
      </c>
      <c r="Z11" s="85">
        <f>BG10/$AL$5</f>
        <v>1.9483168990139408E-3</v>
      </c>
      <c r="AA11" s="85">
        <f>BH$10/BH$5</f>
        <v>2.9706902414144847E-2</v>
      </c>
      <c r="AB11" s="85">
        <f>BI$10/BI$5</f>
        <v>0.26071404284257055</v>
      </c>
      <c r="AC11" s="85">
        <f>BJ$10/BJ$5</f>
        <v>0.31679020741244474</v>
      </c>
      <c r="AD11" s="86">
        <f t="shared" ref="AD11:AD19" si="5">($D$4*AA11+$E$4*AB11+$F$4*AC11)/(SUM($D$4:$F$4))</f>
        <v>0.20240371755638673</v>
      </c>
      <c r="AE11" s="85">
        <f>BK10/$AP$5</f>
        <v>0.31707582454947297</v>
      </c>
      <c r="AF11" s="85">
        <f>(($C$5*Z11)+($D$5*AA11)+($E$5*AB11)+($F$5*AC11)+($G$5*AE11))</f>
        <v>0.20548745324719486</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0.71933593750000002</v>
      </c>
      <c r="C12" s="75">
        <f t="shared" si="0"/>
        <v>0.5192903366201973</v>
      </c>
      <c r="D12" s="75">
        <f>AL17/$AL$5</f>
        <v>2.0189051343080583E-3</v>
      </c>
      <c r="E12" s="75">
        <f>AM17/AM$5</f>
        <v>2.9690581434886093E-2</v>
      </c>
      <c r="F12" s="75">
        <f>AN17/AN$5</f>
        <v>0.32376742604556275</v>
      </c>
      <c r="G12" s="75">
        <f>AO17/AO$5</f>
        <v>0.71469568174090448</v>
      </c>
      <c r="H12" s="76">
        <f t="shared" si="1"/>
        <v>0.35605122974045117</v>
      </c>
      <c r="I12" s="75">
        <f>AP17/$AP$5</f>
        <v>0.71793267596055765</v>
      </c>
      <c r="J12" s="75">
        <f t="shared" ref="J12:J18" si="6">(($C$5*D12)+($D$5*E12)+($E$5*F12)+($F$5*G12)+($G$5*I12))</f>
        <v>0.35037938116286976</v>
      </c>
      <c r="K12"/>
      <c r="L12" s="68">
        <v>0.2</v>
      </c>
      <c r="M12" s="69">
        <f>AU13/$AK$5</f>
        <v>0.61817255434782614</v>
      </c>
      <c r="N12" s="69">
        <f t="shared" si="2"/>
        <v>0.46815385923155389</v>
      </c>
      <c r="O12" s="69">
        <f>AV17/$AL$5</f>
        <v>2.8418905134308058E-3</v>
      </c>
      <c r="P12" s="69">
        <f>AW17/AW$5</f>
        <v>4.0218973138388299E-2</v>
      </c>
      <c r="Q12" s="69">
        <f>AX17/AX$5</f>
        <v>0.40473308398503915</v>
      </c>
      <c r="R12" s="69">
        <f>AY17/AY$5</f>
        <v>0.61668820129207746</v>
      </c>
      <c r="S12" s="70">
        <f t="shared" si="3"/>
        <v>0.35388008613850169</v>
      </c>
      <c r="T12" s="69">
        <f>AZ17/$AP$5</f>
        <v>0.61753145188711323</v>
      </c>
      <c r="U12" s="69">
        <f t="shared" ref="U12:U18" si="7">(($C$5*O12)+($D$5*P12)+($E$5*Q12)+($F$5*R12)+($G$5*T12))</f>
        <v>0.35531200272016322</v>
      </c>
      <c r="V12"/>
      <c r="W12" s="84">
        <v>0.2</v>
      </c>
      <c r="X12" s="85">
        <f>BF13/$AK$5</f>
        <v>0.5228345788043478</v>
      </c>
      <c r="Y12" s="85">
        <f t="shared" si="4"/>
        <v>0.41382575314518877</v>
      </c>
      <c r="Z12" s="85">
        <f>BG17/$AL$5</f>
        <v>3.7343760625637538E-3</v>
      </c>
      <c r="AA12" s="85">
        <f>BH17/BH$5</f>
        <v>5.395987759265556E-2</v>
      </c>
      <c r="AB12" s="85">
        <f>BI17/BI$5</f>
        <v>0.44080244814688879</v>
      </c>
      <c r="AC12" s="85">
        <f>BJ17/BJ$5</f>
        <v>0.52197211832709967</v>
      </c>
      <c r="AD12" s="86">
        <f t="shared" si="5"/>
        <v>0.33891148135554805</v>
      </c>
      <c r="AE12" s="85">
        <f>BK17/$AP$5</f>
        <v>0.5222577354641279</v>
      </c>
      <c r="AF12" s="85">
        <f t="shared" ref="AF12:AF18" si="8">(($C$5*Z12)+($D$5*AA12)+($E$5*AB12)+($F$5*AC12)+($G$5*AE12))</f>
        <v>0.34410658959537577</v>
      </c>
      <c r="AG12"/>
      <c r="AH12" s="37"/>
      <c r="AI12" s="56">
        <v>0.2</v>
      </c>
      <c r="AJ12" s="37" t="s">
        <v>0</v>
      </c>
      <c r="AK12" s="57">
        <v>1177600</v>
      </c>
      <c r="AL12" s="57">
        <v>7352.5</v>
      </c>
      <c r="AM12" s="57">
        <v>7352.5</v>
      </c>
      <c r="AN12" s="57">
        <v>7352.5</v>
      </c>
      <c r="AO12" s="57">
        <v>7352.5</v>
      </c>
      <c r="AP12" s="57">
        <v>7352.5</v>
      </c>
      <c r="AQ12" s="37"/>
      <c r="AR12" s="37"/>
      <c r="AS12" s="56">
        <v>0.2</v>
      </c>
      <c r="AT12" s="37" t="s">
        <v>0</v>
      </c>
      <c r="AU12" s="57">
        <v>1177600</v>
      </c>
      <c r="AV12" s="57">
        <v>7352.5</v>
      </c>
      <c r="AW12" s="57">
        <v>7352.5</v>
      </c>
      <c r="AX12" s="57">
        <v>7352.5</v>
      </c>
      <c r="AY12" s="57">
        <v>7352.5</v>
      </c>
      <c r="AZ12" s="57">
        <v>7352.5</v>
      </c>
      <c r="BA12" s="37"/>
      <c r="BB12" s="37"/>
      <c r="BC12" s="37"/>
      <c r="BD12" s="56">
        <v>0.2</v>
      </c>
      <c r="BE12" s="37" t="s">
        <v>0</v>
      </c>
      <c r="BF12" s="57">
        <v>1177600</v>
      </c>
      <c r="BG12" s="57">
        <v>7352.5</v>
      </c>
      <c r="BH12" s="57">
        <v>7352.5</v>
      </c>
      <c r="BI12" s="57">
        <v>7352.5</v>
      </c>
      <c r="BJ12" s="57">
        <v>7352.5</v>
      </c>
      <c r="BK12" s="57">
        <v>7352.5</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0.85606317934782605</v>
      </c>
      <c r="C13" s="75">
        <f t="shared" si="0"/>
        <v>0.6316253315198912</v>
      </c>
      <c r="D13" s="75">
        <f>AL24/$AL$5</f>
        <v>3.841550493029582E-3</v>
      </c>
      <c r="E13" s="75">
        <f>AM24/AM$5</f>
        <v>5.1590615436926217E-2</v>
      </c>
      <c r="F13" s="75">
        <f>AN24/AN$5</f>
        <v>0.45860591635498132</v>
      </c>
      <c r="G13" s="75">
        <f>AO24/AO$5</f>
        <v>0.85143828629717777</v>
      </c>
      <c r="H13" s="76">
        <f t="shared" si="1"/>
        <v>0.45387827269636177</v>
      </c>
      <c r="I13" s="75">
        <f>AP24/$AP$5</f>
        <v>0.85437606256375387</v>
      </c>
      <c r="J13" s="75">
        <f t="shared" si="6"/>
        <v>0.44986990819449169</v>
      </c>
      <c r="K13"/>
      <c r="L13" s="68">
        <v>0.4</v>
      </c>
      <c r="M13" s="69">
        <f>AU20/$AK$5</f>
        <v>0.79567764945652175</v>
      </c>
      <c r="N13" s="69">
        <f t="shared" si="2"/>
        <v>0.61076970418225085</v>
      </c>
      <c r="O13" s="69">
        <f>AV24/$AL$5</f>
        <v>4.6916014960897649E-3</v>
      </c>
      <c r="P13" s="69">
        <f>AW24/AW$5</f>
        <v>6.3261475688541319E-2</v>
      </c>
      <c r="Q13" s="69">
        <f>AX24/AX$5</f>
        <v>0.56329139748384904</v>
      </c>
      <c r="R13" s="69">
        <f>AY24/AY$5</f>
        <v>0.79415164909894598</v>
      </c>
      <c r="S13" s="70">
        <f t="shared" si="3"/>
        <v>0.47356817409044544</v>
      </c>
      <c r="T13" s="69">
        <f>AZ24/$AP$5</f>
        <v>0.79485889153349198</v>
      </c>
      <c r="U13" s="69">
        <f t="shared" si="7"/>
        <v>0.47675423325399524</v>
      </c>
      <c r="V13"/>
      <c r="W13" s="84">
        <v>0.4</v>
      </c>
      <c r="X13" s="85">
        <f>BF20/$AK$5</f>
        <v>0.72200237771739129</v>
      </c>
      <c r="Y13" s="85">
        <f t="shared" si="4"/>
        <v>0.57718930975858551</v>
      </c>
      <c r="Z13" s="85">
        <f>BG24/$AL$5</f>
        <v>6.6926895613736818E-3</v>
      </c>
      <c r="AA13" s="85">
        <f>BH24/BH$5</f>
        <v>8.9229513770826246E-2</v>
      </c>
      <c r="AB13" s="85">
        <f>BI24/BI$5</f>
        <v>0.63062903774226453</v>
      </c>
      <c r="AC13" s="85">
        <f>BJ24/BJ$5</f>
        <v>0.72116967018021072</v>
      </c>
      <c r="AD13" s="86">
        <f t="shared" si="5"/>
        <v>0.48034274056443393</v>
      </c>
      <c r="AE13" s="85">
        <f>BK24/$AP$5</f>
        <v>0.72140088405304326</v>
      </c>
      <c r="AF13" s="85">
        <f t="shared" si="8"/>
        <v>0.48714080924855491</v>
      </c>
      <c r="AG13"/>
      <c r="AH13" s="37"/>
      <c r="AI13" s="56"/>
      <c r="AJ13" s="37" t="s">
        <v>1</v>
      </c>
      <c r="AK13" s="57">
        <v>847090</v>
      </c>
      <c r="AL13" s="57">
        <v>5288.7</v>
      </c>
      <c r="AM13" s="57">
        <v>5288.7</v>
      </c>
      <c r="AN13" s="57">
        <v>5288.7</v>
      </c>
      <c r="AO13" s="57">
        <v>5288.7</v>
      </c>
      <c r="AP13" s="57">
        <v>5288.7</v>
      </c>
      <c r="AQ13" s="37"/>
      <c r="AR13" s="37"/>
      <c r="AS13" s="56"/>
      <c r="AT13" s="37" t="s">
        <v>1</v>
      </c>
      <c r="AU13" s="57">
        <v>727960</v>
      </c>
      <c r="AV13" s="57">
        <v>4544.8</v>
      </c>
      <c r="AW13" s="57">
        <v>4544.8</v>
      </c>
      <c r="AX13" s="57">
        <v>4544.8</v>
      </c>
      <c r="AY13" s="57">
        <v>4544.8</v>
      </c>
      <c r="AZ13" s="57">
        <v>4544.8</v>
      </c>
      <c r="BA13" s="37"/>
      <c r="BB13" s="37"/>
      <c r="BC13" s="37"/>
      <c r="BD13" s="56"/>
      <c r="BE13" s="37" t="s">
        <v>1</v>
      </c>
      <c r="BF13" s="57">
        <v>615690</v>
      </c>
      <c r="BG13" s="57">
        <v>3843.9</v>
      </c>
      <c r="BH13" s="57">
        <v>3843.9</v>
      </c>
      <c r="BI13" s="57">
        <v>3843.9</v>
      </c>
      <c r="BJ13" s="57">
        <v>3843.9</v>
      </c>
      <c r="BK13" s="57">
        <v>3843.9</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0.91686480978260865</v>
      </c>
      <c r="C14" s="75">
        <f t="shared" si="0"/>
        <v>0.68769689901394082</v>
      </c>
      <c r="D14" s="75">
        <f>AL31/$AL$5</f>
        <v>5.6292417545052709E-3</v>
      </c>
      <c r="E14" s="75">
        <f>AM31/AM$5</f>
        <v>7.1319959197551852E-2</v>
      </c>
      <c r="F14" s="75">
        <f>AN31/AN$5</f>
        <v>0.54956817409044545</v>
      </c>
      <c r="G14" s="75">
        <f>AO31/AO$5</f>
        <v>0.91226113566814004</v>
      </c>
      <c r="H14" s="76">
        <f t="shared" si="1"/>
        <v>0.51104975631871252</v>
      </c>
      <c r="I14" s="75">
        <f>AP31/$AP$5</f>
        <v>0.91488609316558989</v>
      </c>
      <c r="J14" s="75">
        <f t="shared" si="6"/>
        <v>0.50859502210132612</v>
      </c>
      <c r="K14"/>
      <c r="L14" s="68">
        <v>0.6</v>
      </c>
      <c r="M14" s="69">
        <f>AU27/$AK$5</f>
        <v>0.87202785326086951</v>
      </c>
      <c r="N14" s="69">
        <f t="shared" si="2"/>
        <v>0.67843188031281876</v>
      </c>
      <c r="O14" s="69">
        <f>AV31/$AL$5</f>
        <v>6.9959877592655562E-3</v>
      </c>
      <c r="P14" s="69">
        <f>AW31/AW$5</f>
        <v>8.7247874872492345E-2</v>
      </c>
      <c r="Q14" s="69">
        <f>AX31/AX$5</f>
        <v>0.65893233594015643</v>
      </c>
      <c r="R14" s="69">
        <f>AY31/AY$5</f>
        <v>0.87054743284597069</v>
      </c>
      <c r="S14" s="70">
        <f t="shared" si="3"/>
        <v>0.53890921455287322</v>
      </c>
      <c r="T14" s="69">
        <f>AZ31/$AP$5</f>
        <v>0.87114586875212519</v>
      </c>
      <c r="U14" s="69">
        <f t="shared" si="7"/>
        <v>0.54294618157089436</v>
      </c>
      <c r="V14"/>
      <c r="W14" s="84">
        <v>0.6</v>
      </c>
      <c r="X14" s="85">
        <f>BF27/$AK$5</f>
        <v>0.82321671195652169</v>
      </c>
      <c r="Y14" s="85">
        <f t="shared" si="4"/>
        <v>0.66310937096225775</v>
      </c>
      <c r="Z14" s="85">
        <f>BG31/$AL$5</f>
        <v>9.4815368922135327E-3</v>
      </c>
      <c r="AA14" s="85">
        <f>BH31/BH$5</f>
        <v>0.11840054403264196</v>
      </c>
      <c r="AB14" s="85">
        <f>BI31/BI$5</f>
        <v>0.73479768786127175</v>
      </c>
      <c r="AC14" s="85">
        <f>BJ31/BJ$5</f>
        <v>0.82240054403264196</v>
      </c>
      <c r="AD14" s="86">
        <f t="shared" si="5"/>
        <v>0.5585329253088519</v>
      </c>
      <c r="AE14" s="85">
        <f>BK31/$AP$5</f>
        <v>0.82259095545732752</v>
      </c>
      <c r="AF14" s="85">
        <f t="shared" si="8"/>
        <v>0.5652865419925196</v>
      </c>
      <c r="AG14"/>
      <c r="AH14" s="37"/>
      <c r="AI14" s="56"/>
      <c r="AJ14" s="37" t="s">
        <v>2</v>
      </c>
      <c r="AK14" s="57">
        <v>330550</v>
      </c>
      <c r="AL14" s="57">
        <v>2063.6999999999998</v>
      </c>
      <c r="AM14" s="57">
        <v>2063.6999999999998</v>
      </c>
      <c r="AN14" s="57">
        <v>2063.6999999999998</v>
      </c>
      <c r="AO14" s="57">
        <v>2063.6999999999998</v>
      </c>
      <c r="AP14" s="57">
        <v>2063.6999999999998</v>
      </c>
      <c r="AQ14" s="37"/>
      <c r="AR14" s="37"/>
      <c r="AS14" s="56"/>
      <c r="AT14" s="37" t="s">
        <v>2</v>
      </c>
      <c r="AU14" s="57">
        <v>449680</v>
      </c>
      <c r="AV14" s="57">
        <v>2807.5</v>
      </c>
      <c r="AW14" s="57">
        <v>2807.5</v>
      </c>
      <c r="AX14" s="57">
        <v>2807.5</v>
      </c>
      <c r="AY14" s="57">
        <v>2807.5</v>
      </c>
      <c r="AZ14" s="57">
        <v>2807.5</v>
      </c>
      <c r="BA14" s="37"/>
      <c r="BB14" s="37"/>
      <c r="BC14" s="37"/>
      <c r="BD14" s="56"/>
      <c r="BE14" s="37" t="s">
        <v>2</v>
      </c>
      <c r="BF14" s="57">
        <v>561990</v>
      </c>
      <c r="BG14" s="57">
        <v>3508.7</v>
      </c>
      <c r="BH14" s="57">
        <v>3508.7</v>
      </c>
      <c r="BI14" s="57">
        <v>3508.7</v>
      </c>
      <c r="BJ14" s="57">
        <v>3508.7</v>
      </c>
      <c r="BK14" s="57">
        <v>3508.7</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0.94913383152173914</v>
      </c>
      <c r="C15" s="75">
        <f t="shared" si="0"/>
        <v>0.72014157769466158</v>
      </c>
      <c r="D15" s="75">
        <f>AL38/$AL$5</f>
        <v>7.3633458007480454E-3</v>
      </c>
      <c r="E15" s="75">
        <f>AM38/AM$5</f>
        <v>8.8930295817749069E-2</v>
      </c>
      <c r="F15" s="75">
        <f>AN38/AN$5</f>
        <v>0.60869092145528725</v>
      </c>
      <c r="G15" s="75">
        <f>AO38/AO$5</f>
        <v>0.94448146888813334</v>
      </c>
      <c r="H15" s="76">
        <f t="shared" si="1"/>
        <v>0.54736756205372317</v>
      </c>
      <c r="I15" s="75">
        <f>AP38/$AP$5</f>
        <v>0.94691601496089761</v>
      </c>
      <c r="J15" s="75">
        <f t="shared" si="6"/>
        <v>0.54558665759945602</v>
      </c>
      <c r="K15"/>
      <c r="L15" s="68">
        <v>0.8</v>
      </c>
      <c r="M15" s="69">
        <f>AU34/$AK$5</f>
        <v>0.91593070652173914</v>
      </c>
      <c r="N15" s="69">
        <f t="shared" si="2"/>
        <v>0.72099591295477727</v>
      </c>
      <c r="O15" s="69">
        <f>AV38/$AL$5</f>
        <v>9.2416184971098256E-3</v>
      </c>
      <c r="P15" s="69">
        <f>AW38/AW$5</f>
        <v>0.10902414144848692</v>
      </c>
      <c r="Q15" s="69">
        <f>AX38/AX$5</f>
        <v>0.72981978918735124</v>
      </c>
      <c r="R15" s="69">
        <f>AY38/AY$5</f>
        <v>0.91464127847670851</v>
      </c>
      <c r="S15" s="70">
        <f t="shared" si="3"/>
        <v>0.58449506970418219</v>
      </c>
      <c r="T15" s="69">
        <f>AZ38/$AP$5</f>
        <v>0.91502210132607953</v>
      </c>
      <c r="U15" s="69">
        <f t="shared" si="7"/>
        <v>0.58908737164229863</v>
      </c>
      <c r="V15"/>
      <c r="W15" s="84">
        <v>0.8</v>
      </c>
      <c r="X15" s="85">
        <f>BF34/$AK$5</f>
        <v>0.87746263586956519</v>
      </c>
      <c r="Y15" s="85">
        <f t="shared" si="4"/>
        <v>0.7108914858891533</v>
      </c>
      <c r="Z15" s="85">
        <f>BG38/$AL$5</f>
        <v>1.2062971778306697E-2</v>
      </c>
      <c r="AA15" s="85">
        <f>BH38/BH$5</f>
        <v>0.14264535872152329</v>
      </c>
      <c r="AB15" s="85">
        <f>BI38/BI$5</f>
        <v>0.79353961237674264</v>
      </c>
      <c r="AC15" s="85">
        <f>BJ38/BJ$5</f>
        <v>0.87657259435566137</v>
      </c>
      <c r="AD15" s="86">
        <f t="shared" si="5"/>
        <v>0.60425252181797573</v>
      </c>
      <c r="AE15" s="85">
        <f>BK38/$AP$5</f>
        <v>0.87674940496429787</v>
      </c>
      <c r="AF15" s="85">
        <f t="shared" si="8"/>
        <v>0.61014067324039445</v>
      </c>
      <c r="AG15"/>
      <c r="AH15" s="37"/>
      <c r="AI15" s="56"/>
      <c r="AJ15" s="37" t="s">
        <v>3</v>
      </c>
      <c r="AK15" s="57">
        <v>846960</v>
      </c>
      <c r="AL15" s="57">
        <v>5272.9</v>
      </c>
      <c r="AM15" s="57">
        <v>5069.2</v>
      </c>
      <c r="AN15" s="57">
        <v>2907</v>
      </c>
      <c r="AO15" s="57">
        <v>32.808999999999997</v>
      </c>
      <c r="AP15" s="57">
        <v>9.0172000000000008</v>
      </c>
      <c r="AQ15" s="37"/>
      <c r="AR15" s="37"/>
      <c r="AS15" s="56"/>
      <c r="AT15" s="37" t="s">
        <v>3</v>
      </c>
      <c r="AU15" s="57">
        <v>727590</v>
      </c>
      <c r="AV15" s="57">
        <v>4521.7</v>
      </c>
      <c r="AW15" s="57">
        <v>4246.5</v>
      </c>
      <c r="AX15" s="57">
        <v>1566.5</v>
      </c>
      <c r="AY15" s="57">
        <v>8.2126000000000001</v>
      </c>
      <c r="AZ15" s="57">
        <v>2.0644</v>
      </c>
      <c r="BA15" s="37"/>
      <c r="BB15" s="37"/>
      <c r="BC15" s="37"/>
      <c r="BD15" s="56"/>
      <c r="BE15" s="37" t="s">
        <v>3</v>
      </c>
      <c r="BF15" s="57">
        <v>615210</v>
      </c>
      <c r="BG15" s="57">
        <v>3813.2</v>
      </c>
      <c r="BH15" s="57">
        <v>3443.6</v>
      </c>
      <c r="BI15" s="57">
        <v>599.66</v>
      </c>
      <c r="BJ15" s="57">
        <v>2.9510000000000001</v>
      </c>
      <c r="BK15" s="57">
        <v>0.83597999999999995</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0.96730638586956519</v>
      </c>
      <c r="C16" s="75">
        <f t="shared" si="0"/>
        <v>0.74107038422305327</v>
      </c>
      <c r="D16" s="75">
        <f>AL45/$AL$5</f>
        <v>9.079904794287658E-3</v>
      </c>
      <c r="E16" s="75">
        <f>AM45/AM$5</f>
        <v>0.10525399523971438</v>
      </c>
      <c r="F16" s="75">
        <f>AN45/AN$5</f>
        <v>0.65262155729343752</v>
      </c>
      <c r="G16" s="75">
        <f>AO45/AO$5</f>
        <v>0.96288337300238014</v>
      </c>
      <c r="H16" s="76">
        <f t="shared" si="1"/>
        <v>0.573586308511844</v>
      </c>
      <c r="I16" s="75">
        <f>AP45/$AP$5</f>
        <v>0.96500510030601838</v>
      </c>
      <c r="J16" s="75">
        <f t="shared" si="6"/>
        <v>0.5720845970758246</v>
      </c>
      <c r="K16"/>
      <c r="L16" s="68">
        <v>1</v>
      </c>
      <c r="M16" s="69">
        <f>AU41/$AK$5</f>
        <v>0.93919836956521741</v>
      </c>
      <c r="N16" s="69">
        <f t="shared" si="2"/>
        <v>0.74257494729683782</v>
      </c>
      <c r="O16" s="69">
        <f>AV45/$AL$5</f>
        <v>1.0869228153689221E-2</v>
      </c>
      <c r="P16" s="69">
        <f>AW45/AW$5</f>
        <v>0.1242584155049303</v>
      </c>
      <c r="Q16" s="69">
        <f>AX45/AX$5</f>
        <v>0.75772866371982317</v>
      </c>
      <c r="R16" s="69">
        <f>AY45/AY$5</f>
        <v>0.93765385923155398</v>
      </c>
      <c r="S16" s="70">
        <f t="shared" si="3"/>
        <v>0.6065469794854359</v>
      </c>
      <c r="T16" s="69">
        <f>AZ45/$AP$5</f>
        <v>0.93817069024141442</v>
      </c>
      <c r="U16" s="69">
        <f t="shared" si="7"/>
        <v>0.61037791227473659</v>
      </c>
      <c r="V16"/>
      <c r="W16" s="84">
        <v>1</v>
      </c>
      <c r="X16" s="85">
        <f>BF41/$AK$5</f>
        <v>0.90828804347826086</v>
      </c>
      <c r="Y16" s="85">
        <f t="shared" si="4"/>
        <v>0.73964889493369601</v>
      </c>
      <c r="Z16" s="85">
        <f>BG45/$AL$5</f>
        <v>1.4480788847330841E-2</v>
      </c>
      <c r="AA16" s="85">
        <f>BH45/BH$5</f>
        <v>0.1634818089085345</v>
      </c>
      <c r="AB16" s="85">
        <f>BI45/BI$5</f>
        <v>0.82997619857191429</v>
      </c>
      <c r="AC16" s="85">
        <f>BJ45/BJ$5</f>
        <v>0.90743284597075824</v>
      </c>
      <c r="AD16" s="86">
        <f t="shared" si="5"/>
        <v>0.63363028448373571</v>
      </c>
      <c r="AE16" s="85">
        <f>BK45/$AP$5</f>
        <v>0.90758245494729684</v>
      </c>
      <c r="AF16" s="85">
        <f t="shared" si="8"/>
        <v>0.63837973478408705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0.98004415760869568</v>
      </c>
      <c r="C17" s="75">
        <f t="shared" si="0"/>
        <v>0.75707666780006799</v>
      </c>
      <c r="D17" s="75">
        <f>AL52/$AL$5</f>
        <v>1.0751989119347161E-2</v>
      </c>
      <c r="E17" s="75">
        <f>AM52/AM$5</f>
        <v>0.1206242774566474</v>
      </c>
      <c r="F17" s="75">
        <f>AN52/AN$5</f>
        <v>0.68839170350221013</v>
      </c>
      <c r="G17" s="75">
        <f>AO52/AO$5</f>
        <v>0.97577694661679693</v>
      </c>
      <c r="H17" s="76">
        <f t="shared" si="1"/>
        <v>0.59493097585855148</v>
      </c>
      <c r="I17" s="75">
        <f>AP52/$AP$5</f>
        <v>0.97764025841550495</v>
      </c>
      <c r="J17" s="75">
        <f t="shared" si="6"/>
        <v>0.59347615096905815</v>
      </c>
      <c r="K17"/>
      <c r="L17" s="68">
        <v>1.2</v>
      </c>
      <c r="M17" s="69">
        <f>AU48/$AK$5</f>
        <v>0.95558763586956519</v>
      </c>
      <c r="N17" s="69">
        <f t="shared" si="2"/>
        <v>0.76052721523291389</v>
      </c>
      <c r="O17" s="69">
        <f>AV52/$AL$5</f>
        <v>1.2992451547092826E-2</v>
      </c>
      <c r="P17" s="69">
        <f>AW52/AW$5</f>
        <v>0.14225093505610337</v>
      </c>
      <c r="Q17" s="69">
        <f>AX52/AX$5</f>
        <v>0.7876232573954437</v>
      </c>
      <c r="R17" s="69">
        <f>AY52/AY$5</f>
        <v>0.95411084665079915</v>
      </c>
      <c r="S17" s="70">
        <f t="shared" si="3"/>
        <v>0.62799501303411553</v>
      </c>
      <c r="T17" s="69">
        <f>AZ52/$AP$5</f>
        <v>0.95455967358041482</v>
      </c>
      <c r="U17" s="69">
        <f t="shared" si="7"/>
        <v>0.63107687181230876</v>
      </c>
      <c r="V17"/>
      <c r="W17" s="84">
        <v>1.2</v>
      </c>
      <c r="X17" s="85">
        <f>BF48/$AK$5</f>
        <v>0.93002717391304346</v>
      </c>
      <c r="Y17" s="85">
        <f t="shared" si="4"/>
        <v>0.76081128867732062</v>
      </c>
      <c r="Z17" s="85">
        <f>BG52/$AL$5</f>
        <v>1.6878612716763004E-2</v>
      </c>
      <c r="AA17" s="85">
        <f>BH52/BH$5</f>
        <v>0.18278136688201294</v>
      </c>
      <c r="AB17" s="85">
        <f>BI52/BI$5</f>
        <v>0.85663379802788164</v>
      </c>
      <c r="AC17" s="85">
        <f>BJ52/BJ$5</f>
        <v>0.92922135328119693</v>
      </c>
      <c r="AD17" s="86">
        <f t="shared" si="5"/>
        <v>0.65621217273036392</v>
      </c>
      <c r="AE17" s="85">
        <f>BK52/$AP$5</f>
        <v>0.9293437606256375</v>
      </c>
      <c r="AF17" s="85">
        <f t="shared" si="8"/>
        <v>0.65967630057803472</v>
      </c>
      <c r="AG17"/>
      <c r="AH17" s="37"/>
      <c r="AI17" s="56"/>
      <c r="AJ17" s="37" t="s">
        <v>5</v>
      </c>
      <c r="AK17" s="57">
        <v>0</v>
      </c>
      <c r="AL17" s="57">
        <v>14.843999999999999</v>
      </c>
      <c r="AM17" s="57">
        <v>218.3</v>
      </c>
      <c r="AN17" s="57">
        <v>2380.5</v>
      </c>
      <c r="AO17" s="57">
        <v>5254.8</v>
      </c>
      <c r="AP17" s="57">
        <v>5278.6</v>
      </c>
      <c r="AQ17" s="37"/>
      <c r="AR17" s="37"/>
      <c r="AS17" s="56"/>
      <c r="AT17" s="37" t="s">
        <v>5</v>
      </c>
      <c r="AU17" s="57">
        <v>0</v>
      </c>
      <c r="AV17" s="57">
        <v>20.895</v>
      </c>
      <c r="AW17" s="57">
        <v>295.70999999999998</v>
      </c>
      <c r="AX17" s="57">
        <v>2975.8</v>
      </c>
      <c r="AY17" s="57">
        <v>4534.2</v>
      </c>
      <c r="AZ17" s="57">
        <v>4540.3999999999996</v>
      </c>
      <c r="BA17" s="37"/>
      <c r="BB17" s="37"/>
      <c r="BC17" s="37"/>
      <c r="BD17" s="56"/>
      <c r="BE17" s="37" t="s">
        <v>5</v>
      </c>
      <c r="BF17" s="57">
        <v>0</v>
      </c>
      <c r="BG17" s="57">
        <v>27.457000000000001</v>
      </c>
      <c r="BH17" s="57">
        <v>396.74</v>
      </c>
      <c r="BI17" s="57">
        <v>3241</v>
      </c>
      <c r="BJ17" s="57">
        <v>3837.8</v>
      </c>
      <c r="BK17" s="57">
        <v>3839.9</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0.98930027173913049</v>
      </c>
      <c r="C18" s="75">
        <f t="shared" si="0"/>
        <v>0.77479122747364837</v>
      </c>
      <c r="D18" s="75">
        <f>AL59/$AL$5</f>
        <v>1.3947636858211493E-2</v>
      </c>
      <c r="E18" s="75">
        <f>AM59/AM$5</f>
        <v>0.14826249574974498</v>
      </c>
      <c r="F18" s="75">
        <f>AN59/AN$5</f>
        <v>0.73826589595375725</v>
      </c>
      <c r="G18" s="75">
        <f>AO59/AO$5</f>
        <v>0.98514790887453252</v>
      </c>
      <c r="H18" s="76">
        <f t="shared" si="1"/>
        <v>0.62389210019267827</v>
      </c>
      <c r="I18" s="75">
        <f>AP59/$AP$5</f>
        <v>0.98668480108806533</v>
      </c>
      <c r="J18" s="75">
        <f t="shared" si="6"/>
        <v>0.62205168310098613</v>
      </c>
      <c r="K18"/>
      <c r="L18" s="68">
        <v>1.6</v>
      </c>
      <c r="M18" s="69">
        <f>AU55/$AK$5</f>
        <v>0.9765625</v>
      </c>
      <c r="N18" s="69">
        <f t="shared" si="2"/>
        <v>0.78485562733764025</v>
      </c>
      <c r="O18" s="69">
        <f>AV59/$AL$5</f>
        <v>1.6650119007140429E-2</v>
      </c>
      <c r="P18" s="69">
        <f>AW59/AW$5</f>
        <v>0.17188711322679359</v>
      </c>
      <c r="Q18" s="69">
        <f>AX59/AX$5</f>
        <v>0.82827609656579393</v>
      </c>
      <c r="R18" s="69">
        <f>AY59/AY$5</f>
        <v>0.97511050663039778</v>
      </c>
      <c r="S18" s="70">
        <f t="shared" si="3"/>
        <v>0.65842457214099503</v>
      </c>
      <c r="T18" s="69">
        <f>AZ59/$AP$5</f>
        <v>0.97546412784767089</v>
      </c>
      <c r="U18" s="69">
        <f t="shared" si="7"/>
        <v>0.6599213872832369</v>
      </c>
      <c r="V18"/>
      <c r="W18" s="84">
        <v>1.6</v>
      </c>
      <c r="X18" s="85">
        <f>BF55/$AK$5</f>
        <v>0.95720108695652173</v>
      </c>
      <c r="Y18" s="85">
        <f t="shared" si="4"/>
        <v>0.7893565453927236</v>
      </c>
      <c r="Z18" s="85">
        <f>BG59/$AL$5</f>
        <v>2.1894593675620536E-2</v>
      </c>
      <c r="AA18" s="85">
        <f>BH59/BH$5</f>
        <v>0.21917715062903775</v>
      </c>
      <c r="AB18" s="85">
        <f>BI59/BI$5</f>
        <v>0.8912614756885413</v>
      </c>
      <c r="AC18" s="85">
        <f>BJ59/BJ$5</f>
        <v>0.95638218293097588</v>
      </c>
      <c r="AD18" s="86">
        <f t="shared" si="5"/>
        <v>0.68894026974951839</v>
      </c>
      <c r="AE18" s="85">
        <f>BK59/$AP$5</f>
        <v>0.95647738864331855</v>
      </c>
      <c r="AF18" s="85">
        <f t="shared" si="8"/>
        <v>0.68945365521931323</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0.36944860727643658</v>
      </c>
      <c r="CH18" s="62">
        <f t="shared" ref="CH18:CH26" si="10">N11</f>
        <v>0.3069575770146209</v>
      </c>
      <c r="CI18" s="62">
        <f t="shared" ref="CI18:CI26" si="11">Y11</f>
        <v>0.2497170010200612</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0.99498980978260865</v>
      </c>
      <c r="C19" s="75">
        <f t="shared" si="0"/>
        <v>0.78803461407684461</v>
      </c>
      <c r="D19" s="75">
        <f>AL66/$AL$5</f>
        <v>1.716286977218633E-2</v>
      </c>
      <c r="E19" s="75">
        <f>AM66/AM$5</f>
        <v>0.17410404624277456</v>
      </c>
      <c r="F19" s="75">
        <f>AN66/AN$5</f>
        <v>0.77489289357361435</v>
      </c>
      <c r="G19" s="75">
        <f>AO66/AO$5</f>
        <v>0.99103706222373344</v>
      </c>
      <c r="H19" s="76">
        <f t="shared" si="1"/>
        <v>0.64667800068004078</v>
      </c>
      <c r="I19" s="75">
        <f>AP66/$AP$5</f>
        <v>0.99234274056443383</v>
      </c>
      <c r="J19" s="75">
        <f>(($C$5*D19)+($D$5*E19)+($E$5*F19)+($F$5*G19)+($G$5*I19))</f>
        <v>0.64393594015640931</v>
      </c>
      <c r="K19"/>
      <c r="L19" s="68">
        <v>2</v>
      </c>
      <c r="M19" s="69">
        <f>AU62/$AK$5</f>
        <v>0.98615828804347827</v>
      </c>
      <c r="N19" s="69">
        <f t="shared" si="2"/>
        <v>0.80012036722203328</v>
      </c>
      <c r="O19" s="69">
        <f>AV66/$AL$5</f>
        <v>2.0591635498129889E-2</v>
      </c>
      <c r="P19" s="69">
        <f>AW66/AW$5</f>
        <v>0.2015368922135328</v>
      </c>
      <c r="Q19" s="69">
        <f>AX66/AX$5</f>
        <v>0.85734104046242776</v>
      </c>
      <c r="R19" s="69">
        <f>AY66/AY$5</f>
        <v>0.9847942876572594</v>
      </c>
      <c r="S19" s="70">
        <f t="shared" si="3"/>
        <v>0.68122407344440672</v>
      </c>
      <c r="T19" s="69">
        <f>AZ66/$AP$5</f>
        <v>0.98507990479428764</v>
      </c>
      <c r="U19" s="69">
        <f>(($C$5*O19)+($D$5*P19)+($E$5*Q19)+($F$5*R19)+($G$5*T19))</f>
        <v>0.68076980618837135</v>
      </c>
      <c r="V19"/>
      <c r="W19" s="84">
        <v>2</v>
      </c>
      <c r="X19" s="85">
        <f>BF62/$AK$5</f>
        <v>0.97333559782608692</v>
      </c>
      <c r="Y19" s="85">
        <f t="shared" si="4"/>
        <v>0.8072153689221353</v>
      </c>
      <c r="Z19" s="85">
        <f>BG66/$AL$5</f>
        <v>2.5490649438966336E-2</v>
      </c>
      <c r="AA19" s="85">
        <f>BH66/BH$5</f>
        <v>0.24443386603196193</v>
      </c>
      <c r="AB19" s="85">
        <f>BI66/BI$5</f>
        <v>0.91389323359401564</v>
      </c>
      <c r="AC19" s="85">
        <f>BJ66/BJ$5</f>
        <v>0.97253995239714386</v>
      </c>
      <c r="AD19" s="86">
        <f t="shared" si="5"/>
        <v>0.71028901734104055</v>
      </c>
      <c r="AE19" s="85">
        <f>BK66/$AP$5</f>
        <v>0.97262155729343758</v>
      </c>
      <c r="AF19" s="85">
        <f>(($C$5*Z19)+($D$5*AA19)+($E$5*AB19)+($F$5*AC19)+($G$5*AE19))</f>
        <v>0.70876327779666792</v>
      </c>
      <c r="AG19"/>
      <c r="AH19" s="37"/>
      <c r="AI19" s="56">
        <v>0.4</v>
      </c>
      <c r="AJ19" s="37" t="s">
        <v>0</v>
      </c>
      <c r="AK19" s="57">
        <v>1177600</v>
      </c>
      <c r="AL19" s="57">
        <v>7352.5</v>
      </c>
      <c r="AM19" s="57">
        <v>7352.5</v>
      </c>
      <c r="AN19" s="57">
        <v>7352.5</v>
      </c>
      <c r="AO19" s="57">
        <v>7352.5</v>
      </c>
      <c r="AP19" s="57">
        <v>7352.5</v>
      </c>
      <c r="AQ19" s="37"/>
      <c r="AR19" s="37"/>
      <c r="AS19" s="56">
        <v>0.4</v>
      </c>
      <c r="AT19" s="37" t="s">
        <v>0</v>
      </c>
      <c r="AU19" s="57">
        <v>1177600</v>
      </c>
      <c r="AV19" s="57">
        <v>7352.5</v>
      </c>
      <c r="AW19" s="57">
        <v>7352.5</v>
      </c>
      <c r="AX19" s="57">
        <v>7352.5</v>
      </c>
      <c r="AY19" s="57">
        <v>7352.5</v>
      </c>
      <c r="AZ19" s="57">
        <v>7352.5</v>
      </c>
      <c r="BA19" s="37"/>
      <c r="BB19" s="37"/>
      <c r="BC19" s="37"/>
      <c r="BD19" s="56">
        <v>0.4</v>
      </c>
      <c r="BE19" s="37" t="s">
        <v>0</v>
      </c>
      <c r="BF19" s="57">
        <v>1177600</v>
      </c>
      <c r="BG19" s="57">
        <v>7352.5</v>
      </c>
      <c r="BH19" s="57">
        <v>7352.5</v>
      </c>
      <c r="BI19" s="57">
        <v>7352.5</v>
      </c>
      <c r="BJ19" s="57">
        <v>7352.5</v>
      </c>
      <c r="BK19" s="57">
        <v>7352.5</v>
      </c>
      <c r="BL19" s="37"/>
      <c r="BM19" s="37"/>
      <c r="BN19" s="37"/>
      <c r="BO19" s="37"/>
      <c r="BY19" s="37"/>
      <c r="BZ19" s="37"/>
      <c r="CA19" s="37"/>
      <c r="CB19" s="37"/>
      <c r="CC19" s="61">
        <v>0.2</v>
      </c>
      <c r="CD19" s="62">
        <v>0.77280172734718189</v>
      </c>
      <c r="CE19" s="62">
        <v>0.62134241679696223</v>
      </c>
      <c r="CF19" s="62">
        <v>0.48760330578512395</v>
      </c>
      <c r="CG19" s="62">
        <f t="shared" si="9"/>
        <v>0.5192903366201973</v>
      </c>
      <c r="CH19" s="62">
        <f t="shared" si="10"/>
        <v>0.46815385923155389</v>
      </c>
      <c r="CI19" s="62">
        <f t="shared" si="11"/>
        <v>0.41382575314518877</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1008100</v>
      </c>
      <c r="AL20" s="57">
        <v>6294</v>
      </c>
      <c r="AM20" s="57">
        <v>6294</v>
      </c>
      <c r="AN20" s="57">
        <v>6294</v>
      </c>
      <c r="AO20" s="57">
        <v>6294</v>
      </c>
      <c r="AP20" s="57">
        <v>6294</v>
      </c>
      <c r="AQ20" s="37"/>
      <c r="AR20" s="37"/>
      <c r="AS20" s="56"/>
      <c r="AT20" s="37" t="s">
        <v>1</v>
      </c>
      <c r="AU20" s="57">
        <v>936990</v>
      </c>
      <c r="AV20" s="57">
        <v>5850</v>
      </c>
      <c r="AW20" s="57">
        <v>5850</v>
      </c>
      <c r="AX20" s="57">
        <v>5850</v>
      </c>
      <c r="AY20" s="57">
        <v>5850</v>
      </c>
      <c r="AZ20" s="57">
        <v>5850</v>
      </c>
      <c r="BA20" s="37"/>
      <c r="BB20" s="37"/>
      <c r="BC20" s="37"/>
      <c r="BD20" s="56"/>
      <c r="BE20" s="37" t="s">
        <v>1</v>
      </c>
      <c r="BF20" s="57">
        <v>850230</v>
      </c>
      <c r="BG20" s="57">
        <v>5308.4</v>
      </c>
      <c r="BH20" s="57">
        <v>5308.4</v>
      </c>
      <c r="BI20" s="57">
        <v>5308.4</v>
      </c>
      <c r="BJ20" s="57">
        <v>5308.4</v>
      </c>
      <c r="BK20" s="57">
        <v>5308.4</v>
      </c>
      <c r="BL20" s="37"/>
      <c r="BM20" s="37"/>
      <c r="BN20" s="37"/>
      <c r="BO20" s="37"/>
      <c r="BY20" s="37"/>
      <c r="BZ20" s="37"/>
      <c r="CA20" s="37"/>
      <c r="CB20" s="37"/>
      <c r="CC20" s="61">
        <v>0.4</v>
      </c>
      <c r="CD20" s="62">
        <v>0.93740227831136924</v>
      </c>
      <c r="CE20" s="62">
        <v>0.83551113096567642</v>
      </c>
      <c r="CF20" s="62">
        <v>0.7119350755714392</v>
      </c>
      <c r="CG20" s="62">
        <f t="shared" si="9"/>
        <v>0.6316253315198912</v>
      </c>
      <c r="CH20" s="62">
        <f t="shared" si="10"/>
        <v>0.61076970418225085</v>
      </c>
      <c r="CI20" s="62">
        <f t="shared" si="11"/>
        <v>0.57718930975858551</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169530</v>
      </c>
      <c r="AL21" s="57">
        <v>1058.5</v>
      </c>
      <c r="AM21" s="57">
        <v>1058.5</v>
      </c>
      <c r="AN21" s="57">
        <v>1058.5</v>
      </c>
      <c r="AO21" s="57">
        <v>1058.5</v>
      </c>
      <c r="AP21" s="57">
        <v>1058.5</v>
      </c>
      <c r="AQ21" s="57"/>
      <c r="AR21" s="37"/>
      <c r="AS21" s="56"/>
      <c r="AT21" s="37" t="s">
        <v>2</v>
      </c>
      <c r="AU21" s="57">
        <v>240650</v>
      </c>
      <c r="AV21" s="57">
        <v>1502.5</v>
      </c>
      <c r="AW21" s="57">
        <v>1502.5</v>
      </c>
      <c r="AX21" s="57">
        <v>1502.5</v>
      </c>
      <c r="AY21" s="57">
        <v>1502.5</v>
      </c>
      <c r="AZ21" s="57">
        <v>1502.5</v>
      </c>
      <c r="BA21" s="57"/>
      <c r="BB21" s="37"/>
      <c r="BC21" s="37"/>
      <c r="BD21" s="56"/>
      <c r="BE21" s="37" t="s">
        <v>2</v>
      </c>
      <c r="BF21" s="57">
        <v>327380</v>
      </c>
      <c r="BG21" s="57">
        <v>2044</v>
      </c>
      <c r="BH21" s="57">
        <v>2044</v>
      </c>
      <c r="BI21" s="57">
        <v>2044</v>
      </c>
      <c r="BJ21" s="57">
        <v>2044</v>
      </c>
      <c r="BK21" s="57">
        <v>2044</v>
      </c>
      <c r="BL21" s="57"/>
      <c r="BM21" s="57"/>
      <c r="BN21" s="57"/>
      <c r="BO21" s="37"/>
      <c r="BY21" s="37"/>
      <c r="BZ21" s="37"/>
      <c r="CA21" s="37"/>
      <c r="CB21" s="37"/>
      <c r="CC21" s="61">
        <v>0.6</v>
      </c>
      <c r="CD21" s="62">
        <v>0.98157248157248156</v>
      </c>
      <c r="CE21" s="62">
        <v>0.93494527585436671</v>
      </c>
      <c r="CF21" s="62">
        <v>0.84556250465341376</v>
      </c>
      <c r="CG21" s="62">
        <f t="shared" si="9"/>
        <v>0.68769689901394082</v>
      </c>
      <c r="CH21" s="62">
        <f t="shared" si="10"/>
        <v>0.67843188031281876</v>
      </c>
      <c r="CI21" s="62">
        <f t="shared" si="11"/>
        <v>0.66310937096225775</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1007900</v>
      </c>
      <c r="AL22" s="57">
        <v>6264.5</v>
      </c>
      <c r="AM22" s="57">
        <v>5913.3</v>
      </c>
      <c r="AN22" s="57">
        <v>2920.8</v>
      </c>
      <c r="AO22" s="57">
        <v>32.460999999999999</v>
      </c>
      <c r="AP22" s="57">
        <v>10.871</v>
      </c>
      <c r="AQ22" s="37"/>
      <c r="AR22" s="37"/>
      <c r="AS22" s="56"/>
      <c r="AT22" s="37" t="s">
        <v>3</v>
      </c>
      <c r="AU22" s="57">
        <v>936760</v>
      </c>
      <c r="AV22" s="57">
        <v>5813.3</v>
      </c>
      <c r="AW22" s="57">
        <v>5382.8</v>
      </c>
      <c r="AX22" s="57">
        <v>1706.6</v>
      </c>
      <c r="AY22" s="57">
        <v>9.0611999999999995</v>
      </c>
      <c r="AZ22" s="57">
        <v>3.8938999999999999</v>
      </c>
      <c r="BA22" s="37"/>
      <c r="BB22" s="37"/>
      <c r="BC22" s="37"/>
      <c r="BD22" s="56"/>
      <c r="BE22" s="37" t="s">
        <v>3</v>
      </c>
      <c r="BF22" s="57">
        <v>849770</v>
      </c>
      <c r="BG22" s="57">
        <v>5255.9</v>
      </c>
      <c r="BH22" s="57">
        <v>4648.7</v>
      </c>
      <c r="BI22" s="57">
        <v>668.54</v>
      </c>
      <c r="BJ22" s="57">
        <v>2.7658999999999998</v>
      </c>
      <c r="BK22" s="57">
        <v>1.0722</v>
      </c>
      <c r="BL22" s="37"/>
      <c r="BM22" s="37"/>
      <c r="BN22" s="37"/>
      <c r="BO22" s="37"/>
      <c r="BY22" s="37"/>
      <c r="BZ22" s="37"/>
      <c r="CA22" s="37"/>
      <c r="CB22" s="37"/>
      <c r="CC22" s="61">
        <v>0.8</v>
      </c>
      <c r="CD22" s="62">
        <v>0.99348522075794798</v>
      </c>
      <c r="CE22" s="62">
        <v>0.97371751917206462</v>
      </c>
      <c r="CF22" s="62">
        <v>0.92195294468021738</v>
      </c>
      <c r="CG22" s="62">
        <f t="shared" si="9"/>
        <v>0.72014157769466158</v>
      </c>
      <c r="CH22" s="62">
        <f t="shared" si="10"/>
        <v>0.72099591295477727</v>
      </c>
      <c r="CI22" s="62">
        <f t="shared" si="11"/>
        <v>0.7108914858891533</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0.74107038422305327</v>
      </c>
      <c r="CH23" s="62">
        <f t="shared" si="10"/>
        <v>0.74257494729683782</v>
      </c>
      <c r="CI23" s="62">
        <f t="shared" si="11"/>
        <v>0.73964889493369601</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28.245000000000001</v>
      </c>
      <c r="AM24" s="57">
        <v>379.32</v>
      </c>
      <c r="AN24" s="57">
        <v>3371.9</v>
      </c>
      <c r="AO24" s="57">
        <v>6260.2</v>
      </c>
      <c r="AP24" s="57">
        <v>6281.8</v>
      </c>
      <c r="AQ24" s="37"/>
      <c r="AR24" s="37"/>
      <c r="AS24" s="56"/>
      <c r="AT24" s="37" t="s">
        <v>5</v>
      </c>
      <c r="AU24" s="57">
        <v>0</v>
      </c>
      <c r="AV24" s="57">
        <v>34.494999999999997</v>
      </c>
      <c r="AW24" s="57">
        <v>465.13</v>
      </c>
      <c r="AX24" s="57">
        <v>4141.6000000000004</v>
      </c>
      <c r="AY24" s="57">
        <v>5839</v>
      </c>
      <c r="AZ24" s="57">
        <v>5844.2</v>
      </c>
      <c r="BA24" s="37"/>
      <c r="BB24" s="37"/>
      <c r="BC24" s="37"/>
      <c r="BD24" s="56"/>
      <c r="BE24" s="37" t="s">
        <v>5</v>
      </c>
      <c r="BF24" s="57">
        <v>0</v>
      </c>
      <c r="BG24" s="57">
        <v>49.207999999999998</v>
      </c>
      <c r="BH24" s="57">
        <v>656.06</v>
      </c>
      <c r="BI24" s="57">
        <v>4636.7</v>
      </c>
      <c r="BJ24" s="57">
        <v>5302.4</v>
      </c>
      <c r="BK24" s="57">
        <v>5304.1</v>
      </c>
      <c r="BL24" s="37"/>
      <c r="BM24" s="37"/>
      <c r="BN24" s="37"/>
      <c r="BO24" s="37"/>
      <c r="BY24" s="37"/>
      <c r="BZ24" s="37"/>
      <c r="CA24" s="37"/>
      <c r="CB24" s="37"/>
      <c r="CC24" s="61">
        <v>1.2</v>
      </c>
      <c r="CD24" s="62">
        <v>0.9987156578065669</v>
      </c>
      <c r="CE24" s="62">
        <v>0.99434144888690346</v>
      </c>
      <c r="CF24" s="62">
        <v>0.97799865981684164</v>
      </c>
      <c r="CG24" s="62">
        <f t="shared" si="9"/>
        <v>0.75707666780006799</v>
      </c>
      <c r="CH24" s="62">
        <f t="shared" si="10"/>
        <v>0.76052721523291389</v>
      </c>
      <c r="CI24" s="62">
        <f t="shared" si="11"/>
        <v>0.76081128867732062</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0.77479122747364837</v>
      </c>
      <c r="CH25" s="62">
        <f t="shared" si="10"/>
        <v>0.78485562733764025</v>
      </c>
      <c r="CI25" s="62">
        <f t="shared" si="11"/>
        <v>0.7893565453927236</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1177600</v>
      </c>
      <c r="AL26" s="57">
        <v>7352.5</v>
      </c>
      <c r="AM26" s="57">
        <v>7352.5</v>
      </c>
      <c r="AN26" s="57">
        <v>7352.5</v>
      </c>
      <c r="AO26" s="57">
        <v>7352.5</v>
      </c>
      <c r="AP26" s="57">
        <v>7352.5</v>
      </c>
      <c r="AQ26" s="37"/>
      <c r="AR26" s="37"/>
      <c r="AS26" s="56">
        <v>0.6</v>
      </c>
      <c r="AT26" s="37" t="s">
        <v>0</v>
      </c>
      <c r="AU26" s="57">
        <v>1177600</v>
      </c>
      <c r="AV26" s="57">
        <v>7352.5</v>
      </c>
      <c r="AW26" s="57">
        <v>7352.5</v>
      </c>
      <c r="AX26" s="57">
        <v>7352.5</v>
      </c>
      <c r="AY26" s="57">
        <v>7352.5</v>
      </c>
      <c r="AZ26" s="57">
        <v>7352.5</v>
      </c>
      <c r="BA26" s="37"/>
      <c r="BB26" s="37"/>
      <c r="BC26" s="37"/>
      <c r="BD26" s="56">
        <v>0.6</v>
      </c>
      <c r="BE26" s="37" t="s">
        <v>0</v>
      </c>
      <c r="BF26" s="57">
        <v>1177600</v>
      </c>
      <c r="BG26" s="57">
        <v>7352.5</v>
      </c>
      <c r="BH26" s="57">
        <v>7352.5</v>
      </c>
      <c r="BI26" s="57">
        <v>7352.5</v>
      </c>
      <c r="BJ26" s="57">
        <v>7352.5</v>
      </c>
      <c r="BK26" s="57">
        <v>7352.5</v>
      </c>
      <c r="BL26" s="37"/>
      <c r="BM26" s="37"/>
      <c r="BN26" s="37"/>
      <c r="BO26" s="37"/>
      <c r="BY26" s="37"/>
      <c r="BZ26" s="37"/>
      <c r="CA26" s="37"/>
      <c r="CB26" s="37"/>
      <c r="CC26" s="61">
        <v>2</v>
      </c>
      <c r="CD26" s="62">
        <v>1</v>
      </c>
      <c r="CE26" s="62">
        <v>1</v>
      </c>
      <c r="CF26" s="62">
        <v>1</v>
      </c>
      <c r="CG26" s="62">
        <f t="shared" si="9"/>
        <v>0.78803461407684461</v>
      </c>
      <c r="CH26" s="62">
        <f t="shared" si="10"/>
        <v>0.80012036722203328</v>
      </c>
      <c r="CI26" s="62">
        <f t="shared" si="11"/>
        <v>0.8072153689221353</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1079700</v>
      </c>
      <c r="AL27" s="57">
        <v>6741.1</v>
      </c>
      <c r="AM27" s="57">
        <v>6741.1</v>
      </c>
      <c r="AN27" s="57">
        <v>6741.1</v>
      </c>
      <c r="AO27" s="57">
        <v>6741.1</v>
      </c>
      <c r="AP27" s="57">
        <v>6741.1</v>
      </c>
      <c r="AQ27" s="37"/>
      <c r="AR27" s="37"/>
      <c r="AS27" s="56"/>
      <c r="AT27" s="37" t="s">
        <v>1</v>
      </c>
      <c r="AU27" s="57">
        <v>1026900</v>
      </c>
      <c r="AV27" s="57">
        <v>6411.2</v>
      </c>
      <c r="AW27" s="57">
        <v>6411.2</v>
      </c>
      <c r="AX27" s="57">
        <v>6411.2</v>
      </c>
      <c r="AY27" s="57">
        <v>6411.2</v>
      </c>
      <c r="AZ27" s="57">
        <v>6411.2</v>
      </c>
      <c r="BA27" s="37"/>
      <c r="BB27" s="37"/>
      <c r="BC27" s="37"/>
      <c r="BD27" s="56"/>
      <c r="BE27" s="37" t="s">
        <v>1</v>
      </c>
      <c r="BF27" s="57">
        <v>969420</v>
      </c>
      <c r="BG27" s="57">
        <v>6052.5</v>
      </c>
      <c r="BH27" s="57">
        <v>6052.5</v>
      </c>
      <c r="BI27" s="57">
        <v>6052.5</v>
      </c>
      <c r="BJ27" s="57">
        <v>6052.5</v>
      </c>
      <c r="BK27" s="57">
        <v>6052.5</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97933</v>
      </c>
      <c r="AL28" s="57">
        <v>611.42999999999995</v>
      </c>
      <c r="AM28" s="57">
        <v>611.42999999999995</v>
      </c>
      <c r="AN28" s="57">
        <v>611.42999999999995</v>
      </c>
      <c r="AO28" s="57">
        <v>611.42999999999995</v>
      </c>
      <c r="AP28" s="57">
        <v>611.42999999999995</v>
      </c>
      <c r="AQ28" s="37"/>
      <c r="AR28" s="37"/>
      <c r="AS28" s="56"/>
      <c r="AT28" s="37" t="s">
        <v>2</v>
      </c>
      <c r="AU28" s="57">
        <v>150760</v>
      </c>
      <c r="AV28" s="57">
        <v>941.22</v>
      </c>
      <c r="AW28" s="57">
        <v>941.22</v>
      </c>
      <c r="AX28" s="57">
        <v>941.22</v>
      </c>
      <c r="AY28" s="57">
        <v>941.22</v>
      </c>
      <c r="AZ28" s="57">
        <v>941.22</v>
      </c>
      <c r="BA28" s="37"/>
      <c r="BB28" s="37"/>
      <c r="BC28" s="37"/>
      <c r="BD28" s="56"/>
      <c r="BE28" s="37" t="s">
        <v>2</v>
      </c>
      <c r="BF28" s="57">
        <v>208210</v>
      </c>
      <c r="BG28" s="57">
        <v>1299.9000000000001</v>
      </c>
      <c r="BH28" s="57">
        <v>1299.9000000000001</v>
      </c>
      <c r="BI28" s="57">
        <v>1299.9000000000001</v>
      </c>
      <c r="BJ28" s="57">
        <v>1299.9000000000001</v>
      </c>
      <c r="BK28" s="57">
        <v>1299.9000000000001</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1079500</v>
      </c>
      <c r="AL29" s="57">
        <v>6698.3</v>
      </c>
      <c r="AM29" s="57">
        <v>6215.2</v>
      </c>
      <c r="AN29" s="57">
        <v>2699.1</v>
      </c>
      <c r="AO29" s="57">
        <v>32.411999999999999</v>
      </c>
      <c r="AP29" s="57">
        <v>13.058999999999999</v>
      </c>
      <c r="AQ29" s="37"/>
      <c r="AR29" s="37"/>
      <c r="AS29" s="56"/>
      <c r="AT29" s="37" t="s">
        <v>3</v>
      </c>
      <c r="AU29" s="57">
        <v>1026600</v>
      </c>
      <c r="AV29" s="57">
        <v>6357.6</v>
      </c>
      <c r="AW29" s="57">
        <v>5767.4</v>
      </c>
      <c r="AX29" s="57">
        <v>1564.3</v>
      </c>
      <c r="AY29" s="57">
        <v>8.5205000000000002</v>
      </c>
      <c r="AZ29" s="57">
        <v>4.1535000000000002</v>
      </c>
      <c r="BA29" s="37"/>
      <c r="BB29" s="37"/>
      <c r="BC29" s="37"/>
      <c r="BD29" s="56"/>
      <c r="BE29" s="37" t="s">
        <v>3</v>
      </c>
      <c r="BF29" s="57">
        <v>968970</v>
      </c>
      <c r="BG29" s="57">
        <v>5979.4</v>
      </c>
      <c r="BH29" s="57">
        <v>5178.1000000000004</v>
      </c>
      <c r="BI29" s="57">
        <v>646.66</v>
      </c>
      <c r="BJ29" s="57">
        <v>2.6753</v>
      </c>
      <c r="BK29" s="57">
        <v>1.2894000000000001</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41.389000000000003</v>
      </c>
      <c r="AM31" s="57">
        <v>524.38</v>
      </c>
      <c r="AN31" s="57">
        <v>4040.7</v>
      </c>
      <c r="AO31" s="57">
        <v>6707.4</v>
      </c>
      <c r="AP31" s="57">
        <v>6726.7</v>
      </c>
      <c r="AQ31" s="37"/>
      <c r="AR31" s="37"/>
      <c r="AS31" s="56"/>
      <c r="AT31" s="37" t="s">
        <v>5</v>
      </c>
      <c r="AU31" s="57">
        <v>0</v>
      </c>
      <c r="AV31" s="57">
        <v>51.438000000000002</v>
      </c>
      <c r="AW31" s="57">
        <v>641.49</v>
      </c>
      <c r="AX31" s="57">
        <v>4844.8</v>
      </c>
      <c r="AY31" s="57">
        <v>6400.7</v>
      </c>
      <c r="AZ31" s="57">
        <v>6405.1</v>
      </c>
      <c r="BA31" s="37"/>
      <c r="BB31" s="37"/>
      <c r="BC31" s="37"/>
      <c r="BD31" s="56"/>
      <c r="BE31" s="37" t="s">
        <v>5</v>
      </c>
      <c r="BF31" s="57">
        <v>0</v>
      </c>
      <c r="BG31" s="57">
        <v>69.712999999999994</v>
      </c>
      <c r="BH31" s="57">
        <v>870.54</v>
      </c>
      <c r="BI31" s="57">
        <v>5402.6</v>
      </c>
      <c r="BJ31" s="57">
        <v>6046.7</v>
      </c>
      <c r="BK31" s="57">
        <v>6048.1</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1177600</v>
      </c>
      <c r="AL33" s="57">
        <v>7352.5</v>
      </c>
      <c r="AM33" s="57">
        <v>7352.5</v>
      </c>
      <c r="AN33" s="57">
        <v>7352.5</v>
      </c>
      <c r="AO33" s="57">
        <v>7352.5</v>
      </c>
      <c r="AP33" s="57">
        <v>7352.5</v>
      </c>
      <c r="AQ33" s="37"/>
      <c r="AR33" s="37"/>
      <c r="AS33" s="56">
        <v>0.8</v>
      </c>
      <c r="AT33" s="37" t="s">
        <v>0</v>
      </c>
      <c r="AU33" s="57">
        <v>1177600</v>
      </c>
      <c r="AV33" s="57">
        <v>7352.5</v>
      </c>
      <c r="AW33" s="57">
        <v>7352.5</v>
      </c>
      <c r="AX33" s="57">
        <v>7352.5</v>
      </c>
      <c r="AY33" s="57">
        <v>7352.5</v>
      </c>
      <c r="AZ33" s="57">
        <v>7352.5</v>
      </c>
      <c r="BA33" s="37"/>
      <c r="BB33" s="37"/>
      <c r="BC33" s="37"/>
      <c r="BD33" s="56">
        <v>0.8</v>
      </c>
      <c r="BE33" s="37" t="s">
        <v>0</v>
      </c>
      <c r="BF33" s="57">
        <v>1177600</v>
      </c>
      <c r="BG33" s="57">
        <v>7352.5</v>
      </c>
      <c r="BH33" s="57">
        <v>7352.5</v>
      </c>
      <c r="BI33" s="57">
        <v>7352.5</v>
      </c>
      <c r="BJ33" s="57">
        <v>7352.5</v>
      </c>
      <c r="BK33" s="57">
        <v>7352.5</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1117700</v>
      </c>
      <c r="AL34" s="57">
        <v>6978.3</v>
      </c>
      <c r="AM34" s="57">
        <v>6978.3</v>
      </c>
      <c r="AN34" s="57">
        <v>6978.3</v>
      </c>
      <c r="AO34" s="57">
        <v>6978.3</v>
      </c>
      <c r="AP34" s="57">
        <v>6978.3</v>
      </c>
      <c r="AQ34" s="37"/>
      <c r="AR34" s="37"/>
      <c r="AS34" s="56"/>
      <c r="AT34" s="37" t="s">
        <v>1</v>
      </c>
      <c r="AU34" s="57">
        <v>1078600</v>
      </c>
      <c r="AV34" s="57">
        <v>6734.3</v>
      </c>
      <c r="AW34" s="57">
        <v>6734.3</v>
      </c>
      <c r="AX34" s="57">
        <v>6734.3</v>
      </c>
      <c r="AY34" s="57">
        <v>6734.3</v>
      </c>
      <c r="AZ34" s="57">
        <v>6734.3</v>
      </c>
      <c r="BA34" s="37"/>
      <c r="BB34" s="37"/>
      <c r="BC34" s="37"/>
      <c r="BD34" s="56"/>
      <c r="BE34" s="37" t="s">
        <v>1</v>
      </c>
      <c r="BF34" s="57">
        <v>1033300</v>
      </c>
      <c r="BG34" s="57">
        <v>6451</v>
      </c>
      <c r="BH34" s="57">
        <v>6451</v>
      </c>
      <c r="BI34" s="57">
        <v>6451</v>
      </c>
      <c r="BJ34" s="57">
        <v>6451</v>
      </c>
      <c r="BK34" s="57">
        <v>6451</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59930</v>
      </c>
      <c r="AL35" s="57">
        <v>374.16</v>
      </c>
      <c r="AM35" s="57">
        <v>374.16</v>
      </c>
      <c r="AN35" s="57">
        <v>374.16</v>
      </c>
      <c r="AO35" s="57">
        <v>374.16</v>
      </c>
      <c r="AP35" s="57">
        <v>374.16</v>
      </c>
      <c r="AQ35" s="37"/>
      <c r="AR35" s="37"/>
      <c r="AS35" s="56"/>
      <c r="AT35" s="37" t="s">
        <v>2</v>
      </c>
      <c r="AU35" s="57">
        <v>99011</v>
      </c>
      <c r="AV35" s="57">
        <v>618.16</v>
      </c>
      <c r="AW35" s="57">
        <v>618.16</v>
      </c>
      <c r="AX35" s="57">
        <v>618.16</v>
      </c>
      <c r="AY35" s="57">
        <v>618.16</v>
      </c>
      <c r="AZ35" s="57">
        <v>618.16</v>
      </c>
      <c r="BA35" s="37"/>
      <c r="BB35" s="37"/>
      <c r="BC35" s="37"/>
      <c r="BD35" s="56"/>
      <c r="BE35" s="37" t="s">
        <v>2</v>
      </c>
      <c r="BF35" s="57">
        <v>144380</v>
      </c>
      <c r="BG35" s="57">
        <v>901.4</v>
      </c>
      <c r="BH35" s="57">
        <v>901.4</v>
      </c>
      <c r="BI35" s="57">
        <v>901.4</v>
      </c>
      <c r="BJ35" s="57">
        <v>901.4</v>
      </c>
      <c r="BK35" s="57">
        <v>901.4</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1117600</v>
      </c>
      <c r="AL36" s="57">
        <v>6922.9</v>
      </c>
      <c r="AM36" s="57">
        <v>6323</v>
      </c>
      <c r="AN36" s="57">
        <v>2501.6999999999998</v>
      </c>
      <c r="AO36" s="57">
        <v>32.886000000000003</v>
      </c>
      <c r="AP36" s="57">
        <v>14.968</v>
      </c>
      <c r="AQ36" s="37"/>
      <c r="AR36" s="37"/>
      <c r="AS36" s="56"/>
      <c r="AT36" s="37" t="s">
        <v>3</v>
      </c>
      <c r="AU36" s="57">
        <v>1078300</v>
      </c>
      <c r="AV36" s="57">
        <v>6664</v>
      </c>
      <c r="AW36" s="57">
        <v>5930.1</v>
      </c>
      <c r="AX36" s="57">
        <v>1366.1</v>
      </c>
      <c r="AY36" s="57">
        <v>7.1586999999999996</v>
      </c>
      <c r="AZ36" s="57">
        <v>4.3436000000000003</v>
      </c>
      <c r="BA36" s="37"/>
      <c r="BB36" s="37"/>
      <c r="BC36" s="37"/>
      <c r="BD36" s="56"/>
      <c r="BE36" s="37" t="s">
        <v>3</v>
      </c>
      <c r="BF36" s="57">
        <v>1032800</v>
      </c>
      <c r="BG36" s="57">
        <v>6358.7</v>
      </c>
      <c r="BH36" s="57">
        <v>5398.4</v>
      </c>
      <c r="BI36" s="57">
        <v>613.26</v>
      </c>
      <c r="BJ36" s="57">
        <v>2.7564000000000002</v>
      </c>
      <c r="BK36" s="57">
        <v>1.4694</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54.139000000000003</v>
      </c>
      <c r="AM38" s="57">
        <v>653.86</v>
      </c>
      <c r="AN38" s="57">
        <v>4475.3999999999996</v>
      </c>
      <c r="AO38" s="57">
        <v>6944.3</v>
      </c>
      <c r="AP38" s="57">
        <v>6962.2</v>
      </c>
      <c r="AQ38" s="37"/>
      <c r="AR38" s="37"/>
      <c r="AS38" s="56"/>
      <c r="AT38" s="37" t="s">
        <v>5</v>
      </c>
      <c r="AU38" s="57">
        <v>0</v>
      </c>
      <c r="AV38" s="57">
        <v>67.948999999999998</v>
      </c>
      <c r="AW38" s="57">
        <v>801.6</v>
      </c>
      <c r="AX38" s="57">
        <v>5366</v>
      </c>
      <c r="AY38" s="57">
        <v>6724.9</v>
      </c>
      <c r="AZ38" s="57">
        <v>6727.7</v>
      </c>
      <c r="BA38" s="37"/>
      <c r="BB38" s="37"/>
      <c r="BC38" s="37"/>
      <c r="BD38" s="56"/>
      <c r="BE38" s="37" t="s">
        <v>5</v>
      </c>
      <c r="BF38" s="57">
        <v>0</v>
      </c>
      <c r="BG38" s="57">
        <v>88.692999999999998</v>
      </c>
      <c r="BH38" s="57">
        <v>1048.8</v>
      </c>
      <c r="BI38" s="57">
        <v>5834.5</v>
      </c>
      <c r="BJ38" s="57">
        <v>6445</v>
      </c>
      <c r="BK38" s="57">
        <v>6446.3</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1177600</v>
      </c>
      <c r="AL40" s="57">
        <v>7352.5</v>
      </c>
      <c r="AM40" s="57">
        <v>7352.5</v>
      </c>
      <c r="AN40" s="57">
        <v>7352.5</v>
      </c>
      <c r="AO40" s="57">
        <v>7352.5</v>
      </c>
      <c r="AP40" s="57">
        <v>7352.5</v>
      </c>
      <c r="AQ40" s="37"/>
      <c r="AR40" s="37"/>
      <c r="AS40" s="56">
        <v>1</v>
      </c>
      <c r="AT40" s="37" t="s">
        <v>0</v>
      </c>
      <c r="AU40" s="57">
        <v>1177600</v>
      </c>
      <c r="AV40" s="57">
        <v>7352.5</v>
      </c>
      <c r="AW40" s="57">
        <v>7352.5</v>
      </c>
      <c r="AX40" s="57">
        <v>7352.5</v>
      </c>
      <c r="AY40" s="57">
        <v>7352.5</v>
      </c>
      <c r="AZ40" s="57">
        <v>7352.5</v>
      </c>
      <c r="BA40" s="37"/>
      <c r="BB40" s="37"/>
      <c r="BC40" s="37"/>
      <c r="BD40" s="56">
        <v>1</v>
      </c>
      <c r="BE40" s="37" t="s">
        <v>0</v>
      </c>
      <c r="BF40" s="57">
        <v>1177600</v>
      </c>
      <c r="BG40" s="57">
        <v>7352.5</v>
      </c>
      <c r="BH40" s="57">
        <v>7352.5</v>
      </c>
      <c r="BI40" s="57">
        <v>7352.5</v>
      </c>
      <c r="BJ40" s="57">
        <v>7352.5</v>
      </c>
      <c r="BK40" s="57">
        <v>7352.5</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1139100</v>
      </c>
      <c r="AL41" s="57">
        <v>7111.6</v>
      </c>
      <c r="AM41" s="57">
        <v>7111.6</v>
      </c>
      <c r="AN41" s="57">
        <v>7111.6</v>
      </c>
      <c r="AO41" s="57">
        <v>7111.6</v>
      </c>
      <c r="AP41" s="57">
        <v>7111.6</v>
      </c>
      <c r="AQ41" s="37"/>
      <c r="AR41" s="37"/>
      <c r="AS41" s="56"/>
      <c r="AT41" s="37" t="s">
        <v>1</v>
      </c>
      <c r="AU41" s="57">
        <v>1106000</v>
      </c>
      <c r="AV41" s="57">
        <v>6905.1</v>
      </c>
      <c r="AW41" s="57">
        <v>6905.1</v>
      </c>
      <c r="AX41" s="57">
        <v>6905.1</v>
      </c>
      <c r="AY41" s="57">
        <v>6905.1</v>
      </c>
      <c r="AZ41" s="57">
        <v>6905.1</v>
      </c>
      <c r="BA41" s="37"/>
      <c r="BB41" s="37"/>
      <c r="BC41" s="37"/>
      <c r="BD41" s="56"/>
      <c r="BE41" s="37" t="s">
        <v>1</v>
      </c>
      <c r="BF41" s="57">
        <v>1069600</v>
      </c>
      <c r="BG41" s="57">
        <v>6677.9</v>
      </c>
      <c r="BH41" s="57">
        <v>6677.9</v>
      </c>
      <c r="BI41" s="57">
        <v>6677.9</v>
      </c>
      <c r="BJ41" s="57">
        <v>6677.9</v>
      </c>
      <c r="BK41" s="57">
        <v>6677.9</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38579</v>
      </c>
      <c r="AL42" s="57">
        <v>240.87</v>
      </c>
      <c r="AM42" s="57">
        <v>240.87</v>
      </c>
      <c r="AN42" s="57">
        <v>240.87</v>
      </c>
      <c r="AO42" s="57">
        <v>240.87</v>
      </c>
      <c r="AP42" s="57">
        <v>240.87</v>
      </c>
      <c r="AQ42" s="37"/>
      <c r="AR42" s="37"/>
      <c r="AS42" s="56"/>
      <c r="AT42" s="37" t="s">
        <v>2</v>
      </c>
      <c r="AU42" s="57">
        <v>71658</v>
      </c>
      <c r="AV42" s="57">
        <v>447.39</v>
      </c>
      <c r="AW42" s="57">
        <v>447.39</v>
      </c>
      <c r="AX42" s="57">
        <v>447.39</v>
      </c>
      <c r="AY42" s="57">
        <v>447.39</v>
      </c>
      <c r="AZ42" s="57">
        <v>447.39</v>
      </c>
      <c r="BA42" s="37"/>
      <c r="BB42" s="37"/>
      <c r="BC42" s="37"/>
      <c r="BD42" s="56"/>
      <c r="BE42" s="37" t="s">
        <v>2</v>
      </c>
      <c r="BF42" s="57">
        <v>108060</v>
      </c>
      <c r="BG42" s="57">
        <v>674.63</v>
      </c>
      <c r="BH42" s="57">
        <v>674.63</v>
      </c>
      <c r="BI42" s="57">
        <v>674.63</v>
      </c>
      <c r="BJ42" s="57">
        <v>674.63</v>
      </c>
      <c r="BK42" s="57">
        <v>674.63</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1138900</v>
      </c>
      <c r="AL43" s="57">
        <v>7043.4</v>
      </c>
      <c r="AM43" s="57">
        <v>6336.1</v>
      </c>
      <c r="AN43" s="57">
        <v>2311.8000000000002</v>
      </c>
      <c r="AO43" s="57">
        <v>30.553999999999998</v>
      </c>
      <c r="AP43" s="57">
        <v>14.936</v>
      </c>
      <c r="AQ43" s="37"/>
      <c r="AR43" s="37"/>
      <c r="AS43" s="56"/>
      <c r="AT43" s="37" t="s">
        <v>3</v>
      </c>
      <c r="AU43" s="57">
        <v>1105700</v>
      </c>
      <c r="AV43" s="57">
        <v>6822.9</v>
      </c>
      <c r="AW43" s="57">
        <v>5989.1</v>
      </c>
      <c r="AX43" s="57">
        <v>1331.8</v>
      </c>
      <c r="AY43" s="57">
        <v>8.9251000000000005</v>
      </c>
      <c r="AZ43" s="57">
        <v>5.2133000000000003</v>
      </c>
      <c r="BA43" s="37"/>
      <c r="BB43" s="37"/>
      <c r="BC43" s="37"/>
      <c r="BD43" s="56"/>
      <c r="BE43" s="37" t="s">
        <v>3</v>
      </c>
      <c r="BF43" s="57">
        <v>1069100</v>
      </c>
      <c r="BG43" s="57">
        <v>6567.6</v>
      </c>
      <c r="BH43" s="57">
        <v>5471.9</v>
      </c>
      <c r="BI43" s="57">
        <v>572.12</v>
      </c>
      <c r="BJ43" s="57">
        <v>2.6478000000000002</v>
      </c>
      <c r="BK43" s="57">
        <v>1.56</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66.760000000000005</v>
      </c>
      <c r="AM45" s="57">
        <v>773.88</v>
      </c>
      <c r="AN45" s="57">
        <v>4798.3999999999996</v>
      </c>
      <c r="AO45" s="57">
        <v>7079.6</v>
      </c>
      <c r="AP45" s="57">
        <v>7095.2</v>
      </c>
      <c r="AQ45" s="37"/>
      <c r="AR45" s="37"/>
      <c r="AS45" s="56"/>
      <c r="AT45" s="37" t="s">
        <v>5</v>
      </c>
      <c r="AU45" s="57">
        <v>0</v>
      </c>
      <c r="AV45" s="57">
        <v>79.915999999999997</v>
      </c>
      <c r="AW45" s="57">
        <v>913.61</v>
      </c>
      <c r="AX45" s="57">
        <v>5571.2</v>
      </c>
      <c r="AY45" s="57">
        <v>6894.1</v>
      </c>
      <c r="AZ45" s="57">
        <v>6897.9</v>
      </c>
      <c r="BA45" s="37"/>
      <c r="BB45" s="37"/>
      <c r="BC45" s="37"/>
      <c r="BD45" s="56"/>
      <c r="BE45" s="37" t="s">
        <v>5</v>
      </c>
      <c r="BF45" s="57">
        <v>0</v>
      </c>
      <c r="BG45" s="57">
        <v>106.47</v>
      </c>
      <c r="BH45" s="57">
        <v>1202</v>
      </c>
      <c r="BI45" s="57">
        <v>6102.4</v>
      </c>
      <c r="BJ45" s="57">
        <v>6671.9</v>
      </c>
      <c r="BK45" s="57">
        <v>6673</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1177600</v>
      </c>
      <c r="AL47" s="57">
        <v>7352.5</v>
      </c>
      <c r="AM47" s="57">
        <v>7352.5</v>
      </c>
      <c r="AN47" s="57">
        <v>7352.5</v>
      </c>
      <c r="AO47" s="57">
        <v>7352.5</v>
      </c>
      <c r="AP47" s="57">
        <v>7352.5</v>
      </c>
      <c r="AQ47" s="37"/>
      <c r="AR47" s="37"/>
      <c r="AS47" s="56">
        <v>1.2</v>
      </c>
      <c r="AT47" s="37" t="s">
        <v>0</v>
      </c>
      <c r="AU47" s="57">
        <v>1177600</v>
      </c>
      <c r="AV47" s="57">
        <v>7352.5</v>
      </c>
      <c r="AW47" s="57">
        <v>7352.5</v>
      </c>
      <c r="AX47" s="57">
        <v>7352.5</v>
      </c>
      <c r="AY47" s="57">
        <v>7352.5</v>
      </c>
      <c r="AZ47" s="57">
        <v>7352.5</v>
      </c>
      <c r="BA47" s="37"/>
      <c r="BB47" s="37"/>
      <c r="BC47" s="37"/>
      <c r="BD47" s="56">
        <v>1.2</v>
      </c>
      <c r="BE47" s="37" t="s">
        <v>0</v>
      </c>
      <c r="BF47" s="57">
        <v>1177600</v>
      </c>
      <c r="BG47" s="57">
        <v>7352.5</v>
      </c>
      <c r="BH47" s="57">
        <v>7352.5</v>
      </c>
      <c r="BI47" s="57">
        <v>7352.5</v>
      </c>
      <c r="BJ47" s="57">
        <v>7352.5</v>
      </c>
      <c r="BK47" s="57">
        <v>7352.5</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1154100</v>
      </c>
      <c r="AL48" s="57">
        <v>7205.3</v>
      </c>
      <c r="AM48" s="57">
        <v>7205.3</v>
      </c>
      <c r="AN48" s="57">
        <v>7205.3</v>
      </c>
      <c r="AO48" s="57">
        <v>7205.3</v>
      </c>
      <c r="AP48" s="57">
        <v>7205.3</v>
      </c>
      <c r="AQ48" s="37"/>
      <c r="AR48" s="37"/>
      <c r="AS48" s="56"/>
      <c r="AT48" s="37" t="s">
        <v>1</v>
      </c>
      <c r="AU48" s="57">
        <v>1125300</v>
      </c>
      <c r="AV48" s="57">
        <v>7025.7</v>
      </c>
      <c r="AW48" s="57">
        <v>7025.7</v>
      </c>
      <c r="AX48" s="57">
        <v>7025.7</v>
      </c>
      <c r="AY48" s="57">
        <v>7025.7</v>
      </c>
      <c r="AZ48" s="57">
        <v>7025.7</v>
      </c>
      <c r="BA48" s="37"/>
      <c r="BB48" s="37"/>
      <c r="BC48" s="37"/>
      <c r="BD48" s="56"/>
      <c r="BE48" s="37" t="s">
        <v>1</v>
      </c>
      <c r="BF48" s="57">
        <v>1095200</v>
      </c>
      <c r="BG48" s="57">
        <v>6838</v>
      </c>
      <c r="BH48" s="57">
        <v>6838</v>
      </c>
      <c r="BI48" s="57">
        <v>6838</v>
      </c>
      <c r="BJ48" s="57">
        <v>6838</v>
      </c>
      <c r="BK48" s="57">
        <v>6838</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23572</v>
      </c>
      <c r="AL49" s="57">
        <v>147.16999999999999</v>
      </c>
      <c r="AM49" s="57">
        <v>147.16999999999999</v>
      </c>
      <c r="AN49" s="57">
        <v>147.16999999999999</v>
      </c>
      <c r="AO49" s="57">
        <v>147.16999999999999</v>
      </c>
      <c r="AP49" s="57">
        <v>147.16999999999999</v>
      </c>
      <c r="AQ49" s="37"/>
      <c r="AR49" s="37"/>
      <c r="AS49" s="56"/>
      <c r="AT49" s="37" t="s">
        <v>2</v>
      </c>
      <c r="AU49" s="57">
        <v>52349</v>
      </c>
      <c r="AV49" s="57">
        <v>326.83</v>
      </c>
      <c r="AW49" s="57">
        <v>326.83</v>
      </c>
      <c r="AX49" s="57">
        <v>326.83</v>
      </c>
      <c r="AY49" s="57">
        <v>326.83</v>
      </c>
      <c r="AZ49" s="57">
        <v>326.83</v>
      </c>
      <c r="BA49" s="37"/>
      <c r="BB49" s="37"/>
      <c r="BC49" s="37"/>
      <c r="BD49" s="56"/>
      <c r="BE49" s="37" t="s">
        <v>2</v>
      </c>
      <c r="BF49" s="57">
        <v>82401</v>
      </c>
      <c r="BG49" s="57">
        <v>514.46</v>
      </c>
      <c r="BH49" s="57">
        <v>514.46</v>
      </c>
      <c r="BI49" s="57">
        <v>514.46</v>
      </c>
      <c r="BJ49" s="57">
        <v>514.46</v>
      </c>
      <c r="BK49" s="57">
        <v>514.46</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1153900</v>
      </c>
      <c r="AL50" s="57">
        <v>7124.9</v>
      </c>
      <c r="AM50" s="57">
        <v>6316.9</v>
      </c>
      <c r="AN50" s="57">
        <v>2142.6</v>
      </c>
      <c r="AO50" s="57">
        <v>29.731000000000002</v>
      </c>
      <c r="AP50" s="57">
        <v>16.015000000000001</v>
      </c>
      <c r="AQ50" s="37"/>
      <c r="AR50" s="37"/>
      <c r="AS50" s="56"/>
      <c r="AT50" s="37" t="s">
        <v>3</v>
      </c>
      <c r="AU50" s="57">
        <v>1125000</v>
      </c>
      <c r="AV50" s="57">
        <v>6927.8</v>
      </c>
      <c r="AW50" s="57">
        <v>5977.3</v>
      </c>
      <c r="AX50" s="57">
        <v>1232.5999999999999</v>
      </c>
      <c r="AY50" s="57">
        <v>8.5305</v>
      </c>
      <c r="AZ50" s="57">
        <v>5.2651000000000003</v>
      </c>
      <c r="BA50" s="37"/>
      <c r="BB50" s="37"/>
      <c r="BC50" s="37"/>
      <c r="BD50" s="56"/>
      <c r="BE50" s="37" t="s">
        <v>3</v>
      </c>
      <c r="BF50" s="57">
        <v>1094800</v>
      </c>
      <c r="BG50" s="57">
        <v>6710.1</v>
      </c>
      <c r="BH50" s="57">
        <v>5490.3</v>
      </c>
      <c r="BI50" s="57">
        <v>536.29999999999995</v>
      </c>
      <c r="BJ50" s="57">
        <v>2.6156999999999999</v>
      </c>
      <c r="BK50" s="57">
        <v>1.6783999999999999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79.054000000000002</v>
      </c>
      <c r="AM52" s="57">
        <v>886.89</v>
      </c>
      <c r="AN52" s="57">
        <v>5061.3999999999996</v>
      </c>
      <c r="AO52" s="57">
        <v>7174.4</v>
      </c>
      <c r="AP52" s="57">
        <v>7188.1</v>
      </c>
      <c r="AQ52" s="37"/>
      <c r="AR52" s="37"/>
      <c r="AS52" s="56"/>
      <c r="AT52" s="37" t="s">
        <v>5</v>
      </c>
      <c r="AU52" s="57">
        <v>0</v>
      </c>
      <c r="AV52" s="57">
        <v>95.527000000000001</v>
      </c>
      <c r="AW52" s="57">
        <v>1045.9000000000001</v>
      </c>
      <c r="AX52" s="57">
        <v>5791</v>
      </c>
      <c r="AY52" s="57">
        <v>7015.1</v>
      </c>
      <c r="AZ52" s="57">
        <v>7018.4</v>
      </c>
      <c r="BA52" s="37"/>
      <c r="BB52" s="37"/>
      <c r="BC52" s="37"/>
      <c r="BD52" s="56"/>
      <c r="BE52" s="37" t="s">
        <v>5</v>
      </c>
      <c r="BF52" s="57">
        <v>0</v>
      </c>
      <c r="BG52" s="57">
        <v>124.1</v>
      </c>
      <c r="BH52" s="57">
        <v>1343.9</v>
      </c>
      <c r="BI52" s="57">
        <v>6298.4</v>
      </c>
      <c r="BJ52" s="57">
        <v>6832.1</v>
      </c>
      <c r="BK52" s="57">
        <v>6833</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1177600</v>
      </c>
      <c r="AL54" s="57">
        <v>7352.5</v>
      </c>
      <c r="AM54" s="57">
        <v>7352.5</v>
      </c>
      <c r="AN54" s="57">
        <v>7352.5</v>
      </c>
      <c r="AO54" s="57">
        <v>7352.5</v>
      </c>
      <c r="AP54" s="57">
        <v>7352.5</v>
      </c>
      <c r="AQ54" s="37"/>
      <c r="AR54" s="37"/>
      <c r="AS54" s="56">
        <v>1.6</v>
      </c>
      <c r="AT54" s="37" t="s">
        <v>0</v>
      </c>
      <c r="AU54" s="57">
        <v>1177600</v>
      </c>
      <c r="AV54" s="57">
        <v>7352.5</v>
      </c>
      <c r="AW54" s="57">
        <v>7352.5</v>
      </c>
      <c r="AX54" s="57">
        <v>7352.5</v>
      </c>
      <c r="AY54" s="57">
        <v>7352.5</v>
      </c>
      <c r="AZ54" s="57">
        <v>7352.5</v>
      </c>
      <c r="BA54" s="37"/>
      <c r="BB54" s="37"/>
      <c r="BC54" s="37"/>
      <c r="BD54" s="56">
        <v>1.6</v>
      </c>
      <c r="BE54" s="37" t="s">
        <v>0</v>
      </c>
      <c r="BF54" s="57">
        <v>1177600</v>
      </c>
      <c r="BG54" s="57">
        <v>7352.5</v>
      </c>
      <c r="BH54" s="57">
        <v>7352.5</v>
      </c>
      <c r="BI54" s="57">
        <v>7352.5</v>
      </c>
      <c r="BJ54" s="57">
        <v>7352.5</v>
      </c>
      <c r="BK54" s="57">
        <v>7352.5</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1165000</v>
      </c>
      <c r="AL55" s="57">
        <v>7273.5</v>
      </c>
      <c r="AM55" s="57">
        <v>7273.5</v>
      </c>
      <c r="AN55" s="57">
        <v>7273.5</v>
      </c>
      <c r="AO55" s="57">
        <v>7273.5</v>
      </c>
      <c r="AP55" s="57">
        <v>7273.5</v>
      </c>
      <c r="AQ55" s="37"/>
      <c r="AR55" s="37"/>
      <c r="AS55" s="56"/>
      <c r="AT55" s="37" t="s">
        <v>1</v>
      </c>
      <c r="AU55" s="57">
        <v>1150000</v>
      </c>
      <c r="AV55" s="57">
        <v>7180.2</v>
      </c>
      <c r="AW55" s="57">
        <v>7180.2</v>
      </c>
      <c r="AX55" s="57">
        <v>7180.2</v>
      </c>
      <c r="AY55" s="57">
        <v>7180.2</v>
      </c>
      <c r="AZ55" s="57">
        <v>7180.2</v>
      </c>
      <c r="BA55" s="37"/>
      <c r="BB55" s="37"/>
      <c r="BC55" s="37"/>
      <c r="BD55" s="56"/>
      <c r="BE55" s="37" t="s">
        <v>1</v>
      </c>
      <c r="BF55" s="57">
        <v>1127200</v>
      </c>
      <c r="BG55" s="57">
        <v>7037.8</v>
      </c>
      <c r="BH55" s="57">
        <v>7037.8</v>
      </c>
      <c r="BI55" s="57">
        <v>7037.8</v>
      </c>
      <c r="BJ55" s="57">
        <v>7037.8</v>
      </c>
      <c r="BK55" s="57">
        <v>7037.8</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12650</v>
      </c>
      <c r="AL56" s="57">
        <v>78.975999999999999</v>
      </c>
      <c r="AM56" s="57">
        <v>78.975999999999999</v>
      </c>
      <c r="AN56" s="57">
        <v>78.975999999999999</v>
      </c>
      <c r="AO56" s="57">
        <v>78.975999999999999</v>
      </c>
      <c r="AP56" s="57">
        <v>78.975999999999999</v>
      </c>
      <c r="AQ56" s="37"/>
      <c r="AR56" s="37"/>
      <c r="AS56" s="56"/>
      <c r="AT56" s="37" t="s">
        <v>2</v>
      </c>
      <c r="AU56" s="57">
        <v>27598</v>
      </c>
      <c r="AV56" s="57">
        <v>172.3</v>
      </c>
      <c r="AW56" s="57">
        <v>172.3</v>
      </c>
      <c r="AX56" s="57">
        <v>172.3</v>
      </c>
      <c r="AY56" s="57">
        <v>172.3</v>
      </c>
      <c r="AZ56" s="57">
        <v>172.3</v>
      </c>
      <c r="BA56" s="37"/>
      <c r="BB56" s="37"/>
      <c r="BC56" s="37"/>
      <c r="BD56" s="56"/>
      <c r="BE56" s="37" t="s">
        <v>2</v>
      </c>
      <c r="BF56" s="57">
        <v>50408</v>
      </c>
      <c r="BG56" s="57">
        <v>314.70999999999998</v>
      </c>
      <c r="BH56" s="57">
        <v>314.70999999999998</v>
      </c>
      <c r="BI56" s="57">
        <v>314.70999999999998</v>
      </c>
      <c r="BJ56" s="57">
        <v>314.70999999999998</v>
      </c>
      <c r="BK56" s="57">
        <v>314.70999999999998</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1164800</v>
      </c>
      <c r="AL57" s="57">
        <v>7169.6</v>
      </c>
      <c r="AM57" s="57">
        <v>6182</v>
      </c>
      <c r="AN57" s="57">
        <v>1844.2</v>
      </c>
      <c r="AO57" s="57">
        <v>29.013999999999999</v>
      </c>
      <c r="AP57" s="57">
        <v>17.683</v>
      </c>
      <c r="AQ57" s="37"/>
      <c r="AR57" s="37"/>
      <c r="AS57" s="56"/>
      <c r="AT57" s="37" t="s">
        <v>3</v>
      </c>
      <c r="AU57" s="57">
        <v>1149800</v>
      </c>
      <c r="AV57" s="57">
        <v>7055.4</v>
      </c>
      <c r="AW57" s="57">
        <v>5914.1</v>
      </c>
      <c r="AX57" s="57">
        <v>1088.3</v>
      </c>
      <c r="AY57" s="57">
        <v>8.5805000000000007</v>
      </c>
      <c r="AZ57" s="57">
        <v>5.9875999999999996</v>
      </c>
      <c r="BA57" s="37"/>
      <c r="BB57" s="37"/>
      <c r="BC57" s="37"/>
      <c r="BD57" s="56"/>
      <c r="BE57" s="37" t="s">
        <v>3</v>
      </c>
      <c r="BF57" s="57">
        <v>1126700</v>
      </c>
      <c r="BG57" s="57">
        <v>6872.6</v>
      </c>
      <c r="BH57" s="57">
        <v>5422.4</v>
      </c>
      <c r="BI57" s="57">
        <v>481.2</v>
      </c>
      <c r="BJ57" s="57">
        <v>2.407</v>
      </c>
      <c r="BK57" s="57">
        <v>1.6555</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102.55</v>
      </c>
      <c r="AM59" s="57">
        <v>1090.0999999999999</v>
      </c>
      <c r="AN59" s="57">
        <v>5428.1</v>
      </c>
      <c r="AO59" s="57">
        <v>7243.3</v>
      </c>
      <c r="AP59" s="57">
        <v>7254.6</v>
      </c>
      <c r="AQ59" s="37"/>
      <c r="AR59" s="37"/>
      <c r="AS59" s="56"/>
      <c r="AT59" s="37" t="s">
        <v>5</v>
      </c>
      <c r="AU59" s="57">
        <v>0</v>
      </c>
      <c r="AV59" s="57">
        <v>122.42</v>
      </c>
      <c r="AW59" s="57">
        <v>1263.8</v>
      </c>
      <c r="AX59" s="57">
        <v>6089.9</v>
      </c>
      <c r="AY59" s="57">
        <v>7169.5</v>
      </c>
      <c r="AZ59" s="57">
        <v>7172.1</v>
      </c>
      <c r="BA59" s="37"/>
      <c r="BB59" s="37"/>
      <c r="BC59" s="37"/>
      <c r="BD59" s="56"/>
      <c r="BE59" s="37" t="s">
        <v>5</v>
      </c>
      <c r="BF59" s="57">
        <v>0</v>
      </c>
      <c r="BG59" s="57">
        <v>160.97999999999999</v>
      </c>
      <c r="BH59" s="57">
        <v>1611.5</v>
      </c>
      <c r="BI59" s="57">
        <v>6553</v>
      </c>
      <c r="BJ59" s="57">
        <v>7031.8</v>
      </c>
      <c r="BK59" s="57">
        <v>7032.5</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1177600</v>
      </c>
      <c r="AL61" s="57">
        <v>7352.5</v>
      </c>
      <c r="AM61" s="57">
        <v>7352.5</v>
      </c>
      <c r="AN61" s="57">
        <v>7352.5</v>
      </c>
      <c r="AO61" s="57">
        <v>7352.5</v>
      </c>
      <c r="AP61" s="57">
        <v>7352.5</v>
      </c>
      <c r="AQ61" s="37"/>
      <c r="AR61" s="37"/>
      <c r="AS61" s="56">
        <v>2</v>
      </c>
      <c r="AT61" s="37" t="s">
        <v>0</v>
      </c>
      <c r="AU61" s="57">
        <v>1177600</v>
      </c>
      <c r="AV61" s="57">
        <v>7352.5</v>
      </c>
      <c r="AW61" s="57">
        <v>7352.5</v>
      </c>
      <c r="AX61" s="57">
        <v>7352.5</v>
      </c>
      <c r="AY61" s="57">
        <v>7352.5</v>
      </c>
      <c r="AZ61" s="57">
        <v>7352.5</v>
      </c>
      <c r="BA61" s="37"/>
      <c r="BB61" s="37"/>
      <c r="BC61" s="37"/>
      <c r="BD61" s="56">
        <v>2</v>
      </c>
      <c r="BE61" s="37" t="s">
        <v>0</v>
      </c>
      <c r="BF61" s="57">
        <v>1177600</v>
      </c>
      <c r="BG61" s="57">
        <v>7352.5</v>
      </c>
      <c r="BH61" s="57">
        <v>7352.5</v>
      </c>
      <c r="BI61" s="57">
        <v>7352.5</v>
      </c>
      <c r="BJ61" s="57">
        <v>7352.5</v>
      </c>
      <c r="BK61" s="57">
        <v>7352.5</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1171700</v>
      </c>
      <c r="AL62" s="57">
        <v>7315.3</v>
      </c>
      <c r="AM62" s="57">
        <v>7315.3</v>
      </c>
      <c r="AN62" s="57">
        <v>7315.3</v>
      </c>
      <c r="AO62" s="57">
        <v>7315.3</v>
      </c>
      <c r="AP62" s="57">
        <v>7315.3</v>
      </c>
      <c r="AQ62" s="37"/>
      <c r="AR62" s="37"/>
      <c r="AS62" s="37"/>
      <c r="AT62" s="37" t="s">
        <v>1</v>
      </c>
      <c r="AU62" s="57">
        <v>1161300</v>
      </c>
      <c r="AV62" s="57">
        <v>7250.7</v>
      </c>
      <c r="AW62" s="57">
        <v>7250.7</v>
      </c>
      <c r="AX62" s="57">
        <v>7250.7</v>
      </c>
      <c r="AY62" s="57">
        <v>7250.7</v>
      </c>
      <c r="AZ62" s="57">
        <v>7250.7</v>
      </c>
      <c r="BA62" s="37"/>
      <c r="BB62" s="37"/>
      <c r="BC62" s="37"/>
      <c r="BD62" s="37"/>
      <c r="BE62" s="37" t="s">
        <v>1</v>
      </c>
      <c r="BF62" s="57">
        <v>1146200</v>
      </c>
      <c r="BG62" s="57">
        <v>7156.5</v>
      </c>
      <c r="BH62" s="57">
        <v>7156.5</v>
      </c>
      <c r="BI62" s="57">
        <v>7156.5</v>
      </c>
      <c r="BJ62" s="57">
        <v>7156.5</v>
      </c>
      <c r="BK62" s="57">
        <v>7156.5</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5951.2</v>
      </c>
      <c r="AL63" s="57">
        <v>37.155999999999999</v>
      </c>
      <c r="AM63" s="57">
        <v>37.155999999999999</v>
      </c>
      <c r="AN63" s="57">
        <v>37.155999999999999</v>
      </c>
      <c r="AO63" s="57">
        <v>37.155999999999999</v>
      </c>
      <c r="AP63" s="57">
        <v>37.155999999999999</v>
      </c>
      <c r="AQ63" s="37"/>
      <c r="AR63" s="37"/>
      <c r="AS63" s="37"/>
      <c r="AT63" s="37" t="s">
        <v>2</v>
      </c>
      <c r="AU63" s="57">
        <v>16303</v>
      </c>
      <c r="AV63" s="57">
        <v>101.78</v>
      </c>
      <c r="AW63" s="57">
        <v>101.78</v>
      </c>
      <c r="AX63" s="57">
        <v>101.78</v>
      </c>
      <c r="AY63" s="57">
        <v>101.78</v>
      </c>
      <c r="AZ63" s="57">
        <v>101.78</v>
      </c>
      <c r="BA63" s="37"/>
      <c r="BB63" s="37"/>
      <c r="BC63" s="37"/>
      <c r="BD63" s="37"/>
      <c r="BE63" s="37" t="s">
        <v>2</v>
      </c>
      <c r="BF63" s="57">
        <v>31388</v>
      </c>
      <c r="BG63" s="57">
        <v>195.97</v>
      </c>
      <c r="BH63" s="57">
        <v>195.97</v>
      </c>
      <c r="BI63" s="57">
        <v>195.97</v>
      </c>
      <c r="BJ63" s="57">
        <v>195.97</v>
      </c>
      <c r="BK63" s="57">
        <v>195.97</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1171500</v>
      </c>
      <c r="AL64" s="57">
        <v>7187.7</v>
      </c>
      <c r="AM64" s="57">
        <v>6033.7</v>
      </c>
      <c r="AN64" s="57">
        <v>1616.6</v>
      </c>
      <c r="AO64" s="57">
        <v>27.542000000000002</v>
      </c>
      <c r="AP64" s="57">
        <v>17.893999999999998</v>
      </c>
      <c r="AQ64" s="37"/>
      <c r="AR64" s="37"/>
      <c r="AS64" s="37"/>
      <c r="AT64" s="37" t="s">
        <v>3</v>
      </c>
      <c r="AU64" s="57">
        <v>1161000</v>
      </c>
      <c r="AV64" s="57">
        <v>7096.8</v>
      </c>
      <c r="AW64" s="57">
        <v>5766.5</v>
      </c>
      <c r="AX64" s="57">
        <v>944.88</v>
      </c>
      <c r="AY64" s="57">
        <v>7.8737000000000004</v>
      </c>
      <c r="AZ64" s="57">
        <v>5.7428999999999997</v>
      </c>
      <c r="BA64" s="37"/>
      <c r="BB64" s="37"/>
      <c r="BC64" s="37"/>
      <c r="BD64" s="37"/>
      <c r="BE64" s="37" t="s">
        <v>3</v>
      </c>
      <c r="BF64" s="57">
        <v>1145800</v>
      </c>
      <c r="BG64" s="57">
        <v>6965.2</v>
      </c>
      <c r="BH64" s="57">
        <v>5355.7</v>
      </c>
      <c r="BI64" s="57">
        <v>433.87</v>
      </c>
      <c r="BJ64" s="57">
        <v>2.6608999999999998</v>
      </c>
      <c r="BK64" s="57">
        <v>2.0636000000000001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126.19</v>
      </c>
      <c r="AM66" s="57">
        <v>1280.0999999999999</v>
      </c>
      <c r="AN66" s="57">
        <v>5697.4</v>
      </c>
      <c r="AO66" s="57">
        <v>7286.6</v>
      </c>
      <c r="AP66" s="57">
        <v>7296.2</v>
      </c>
      <c r="AQ66" s="37"/>
      <c r="AR66" s="37"/>
      <c r="AS66" s="37"/>
      <c r="AT66" s="37" t="s">
        <v>5</v>
      </c>
      <c r="AU66" s="57">
        <v>0</v>
      </c>
      <c r="AV66" s="57">
        <v>151.4</v>
      </c>
      <c r="AW66" s="57">
        <v>1481.8</v>
      </c>
      <c r="AX66" s="57">
        <v>6303.6</v>
      </c>
      <c r="AY66" s="57">
        <v>7240.7</v>
      </c>
      <c r="AZ66" s="57">
        <v>7242.8</v>
      </c>
      <c r="BA66" s="37"/>
      <c r="BB66" s="37"/>
      <c r="BC66" s="37"/>
      <c r="BD66" s="37"/>
      <c r="BE66" s="37" t="s">
        <v>5</v>
      </c>
      <c r="BF66" s="57">
        <v>0</v>
      </c>
      <c r="BG66" s="57">
        <v>187.42</v>
      </c>
      <c r="BH66" s="57">
        <v>1797.2</v>
      </c>
      <c r="BI66" s="57">
        <v>6719.4</v>
      </c>
      <c r="BJ66" s="57">
        <v>7150.6</v>
      </c>
      <c r="BK66" s="57">
        <v>7151.2</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sheetPr codeName="Sheet16"/>
  <dimension ref="A1:BP150"/>
  <sheetViews>
    <sheetView zoomScale="90" zoomScaleNormal="90" workbookViewId="0">
      <pane xSplit="8" topLeftCell="BK1" activePane="topRight" state="frozen"/>
      <selection pane="topRight" activeCell="BN23" sqref="BN23"/>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2.6675849403122132</v>
      </c>
      <c r="E2" t="s">
        <v>119</v>
      </c>
      <c r="G2" s="103">
        <f>C2*12</f>
        <v>32.011019283746556</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1162000</v>
      </c>
      <c r="N4" s="10">
        <v>100</v>
      </c>
      <c r="O4" s="2">
        <f>L5/$L$4</f>
        <v>0.11419965576592082</v>
      </c>
      <c r="P4" s="32">
        <v>2.4529999999999999E-3</v>
      </c>
      <c r="Q4" s="9">
        <f t="shared" ref="Q4:Q9" si="0">2/((P4/(N4*0.35))*3600)</f>
        <v>7.9268016487747444</v>
      </c>
      <c r="S4" s="7"/>
      <c r="T4" s="26">
        <v>100</v>
      </c>
      <c r="U4" s="4" t="s">
        <v>0</v>
      </c>
      <c r="V4" s="5">
        <v>1162000</v>
      </c>
      <c r="X4" s="24">
        <v>100</v>
      </c>
      <c r="Y4" s="22">
        <f>V5/$V$4</f>
        <v>0.23796901893287437</v>
      </c>
      <c r="Z4" s="33">
        <v>9.0889999999999999E-3</v>
      </c>
      <c r="AA4" s="9">
        <f>2/((Z4/(X4*0.35))*3600)</f>
        <v>2.1393381499003676</v>
      </c>
      <c r="AD4" s="26">
        <v>100</v>
      </c>
      <c r="AE4" s="4" t="s">
        <v>0</v>
      </c>
      <c r="AF4" s="5">
        <v>1162000</v>
      </c>
      <c r="AH4" s="10">
        <v>100</v>
      </c>
      <c r="AI4" s="2">
        <f>AF5/$AF$4</f>
        <v>0.64185025817555941</v>
      </c>
      <c r="AJ4" s="32">
        <v>2.9433999999999998E-2</v>
      </c>
      <c r="AK4" s="9">
        <f t="shared" ref="AK4:AK9" si="1">2/((AJ4/(AH4*0.35))*3600)</f>
        <v>0.66061168867447329</v>
      </c>
      <c r="AN4" s="26">
        <v>100</v>
      </c>
      <c r="AO4" s="4" t="s">
        <v>0</v>
      </c>
      <c r="AP4" s="5">
        <v>1162000</v>
      </c>
      <c r="AR4" s="10">
        <v>100</v>
      </c>
      <c r="AS4" s="2">
        <f>AP5/AP$4</f>
        <v>0.27261617900172119</v>
      </c>
      <c r="AT4" s="32">
        <v>3.3004000000000002E-3</v>
      </c>
      <c r="AU4" s="9">
        <f t="shared" ref="AU4:AU9" si="2">2/((AT4/(AR4*0.35))*3600)</f>
        <v>5.8915417659812279</v>
      </c>
      <c r="AW4" s="7"/>
      <c r="AX4" s="26">
        <v>100</v>
      </c>
      <c r="AY4" s="4" t="s">
        <v>0</v>
      </c>
      <c r="AZ4" s="5">
        <v>1162000</v>
      </c>
      <c r="BB4" s="24">
        <v>100</v>
      </c>
      <c r="BC4" s="2">
        <f>AZ5/AZ$4</f>
        <v>0.4535370051635112</v>
      </c>
      <c r="BD4" s="33">
        <v>1.2636E-2</v>
      </c>
      <c r="BE4" s="9">
        <f t="shared" ref="BE4:BE9" si="3">2/((BD4/(BB4*0.35))*3600)</f>
        <v>1.538813267208329</v>
      </c>
      <c r="BH4" s="26">
        <v>100</v>
      </c>
      <c r="BI4" s="4" t="s">
        <v>0</v>
      </c>
      <c r="BJ4" s="5">
        <v>1162000</v>
      </c>
      <c r="BL4" s="10">
        <v>100</v>
      </c>
      <c r="BM4" s="2">
        <f>BJ5/BJ$4</f>
        <v>0.80465576592082622</v>
      </c>
      <c r="BN4" s="32">
        <v>3.8365999999999997E-2</v>
      </c>
      <c r="BO4" s="9">
        <f>2/((BN4/(BL4*0.35))*3600)</f>
        <v>0.50681448273065854</v>
      </c>
      <c r="BP4" s="12"/>
    </row>
    <row r="5" spans="1:68">
      <c r="J5" s="26"/>
      <c r="K5" s="4" t="s">
        <v>1</v>
      </c>
      <c r="L5" s="5">
        <v>132700</v>
      </c>
      <c r="N5" s="10">
        <v>200</v>
      </c>
      <c r="O5" s="2">
        <f>L12/$L$4</f>
        <v>0.20292598967297762</v>
      </c>
      <c r="P5" s="32">
        <v>4.3568000000000001E-3</v>
      </c>
      <c r="Q5" s="9">
        <f t="shared" si="0"/>
        <v>8.9260211368180506</v>
      </c>
      <c r="S5" s="7"/>
      <c r="T5" s="26"/>
      <c r="U5" s="4" t="s">
        <v>1</v>
      </c>
      <c r="V5" s="5">
        <v>276520</v>
      </c>
      <c r="X5" s="24">
        <v>200</v>
      </c>
      <c r="Y5" s="22">
        <f>V12/$V$4</f>
        <v>0.38921686746987949</v>
      </c>
      <c r="Z5" s="33">
        <v>1.4926999999999999E-2</v>
      </c>
      <c r="AA5" s="9">
        <f t="shared" ref="AA5:AA9" si="4">2/((Z5/(X5*0.35))*3600)</f>
        <v>2.6052715809532314</v>
      </c>
      <c r="AD5" s="26"/>
      <c r="AE5" s="4" t="s">
        <v>1</v>
      </c>
      <c r="AF5" s="5">
        <v>745830</v>
      </c>
      <c r="AH5" s="10">
        <v>200</v>
      </c>
      <c r="AI5" s="2">
        <f>AF12/$AF$4</f>
        <v>0.77913941480206539</v>
      </c>
      <c r="AJ5" s="32">
        <v>3.6671000000000002E-2</v>
      </c>
      <c r="AK5" s="9">
        <f t="shared" si="1"/>
        <v>1.0604807310651163</v>
      </c>
      <c r="AN5" s="26"/>
      <c r="AO5" s="4" t="s">
        <v>1</v>
      </c>
      <c r="AP5" s="5">
        <v>316780</v>
      </c>
      <c r="AR5" s="10">
        <v>200</v>
      </c>
      <c r="AS5" s="2">
        <f>AP12/AP$4</f>
        <v>0.44497418244406195</v>
      </c>
      <c r="AT5" s="32">
        <v>5.5982000000000002E-3</v>
      </c>
      <c r="AU5" s="9">
        <f t="shared" si="2"/>
        <v>6.9466773050067676</v>
      </c>
      <c r="AW5" s="7"/>
      <c r="AX5" s="26"/>
      <c r="AY5" s="4" t="s">
        <v>1</v>
      </c>
      <c r="AZ5" s="5">
        <v>527010</v>
      </c>
      <c r="BB5" s="24">
        <v>200</v>
      </c>
      <c r="BC5" s="2">
        <f>AZ12/AZ$4</f>
        <v>0.6521256454388985</v>
      </c>
      <c r="BD5" s="33">
        <v>1.9252999999999999E-2</v>
      </c>
      <c r="BE5" s="9">
        <f t="shared" si="3"/>
        <v>2.0198872325813579</v>
      </c>
      <c r="BH5" s="26"/>
      <c r="BI5" s="4" t="s">
        <v>1</v>
      </c>
      <c r="BJ5" s="5">
        <v>935010</v>
      </c>
      <c r="BL5" s="10">
        <v>200</v>
      </c>
      <c r="BM5" s="2">
        <f>BJ12/BJ$4</f>
        <v>0.90963855421686746</v>
      </c>
      <c r="BN5" s="32">
        <v>4.4408999999999997E-2</v>
      </c>
      <c r="BO5" s="9">
        <f t="shared" ref="BO5:BO7" si="5">2/((BN5/(BL5*0.35))*3600)</f>
        <v>0.87569836944963608</v>
      </c>
      <c r="BP5" s="12"/>
    </row>
    <row r="6" spans="1:68">
      <c r="J6" s="26"/>
      <c r="K6" s="4" t="s">
        <v>2</v>
      </c>
      <c r="L6" s="5">
        <v>1029300</v>
      </c>
      <c r="N6" s="10">
        <v>400</v>
      </c>
      <c r="O6" s="2">
        <f>L19/L$4</f>
        <v>0.34438898450946642</v>
      </c>
      <c r="P6" s="32">
        <v>7.4184000000000003E-3</v>
      </c>
      <c r="Q6" s="9">
        <f t="shared" si="0"/>
        <v>10.484441089423294</v>
      </c>
      <c r="S6" s="7"/>
      <c r="T6" s="26"/>
      <c r="U6" s="4" t="s">
        <v>2</v>
      </c>
      <c r="V6" s="5">
        <v>885480</v>
      </c>
      <c r="X6" s="24">
        <v>400</v>
      </c>
      <c r="Y6" s="22">
        <f>V19/$V$4</f>
        <v>0.57873493975903612</v>
      </c>
      <c r="Z6" s="33">
        <v>2.2908999999999999E-2</v>
      </c>
      <c r="AA6" s="9">
        <f t="shared" si="4"/>
        <v>3.3950752009157004</v>
      </c>
      <c r="AD6" s="26"/>
      <c r="AE6" s="4" t="s">
        <v>2</v>
      </c>
      <c r="AF6" s="5">
        <v>416190</v>
      </c>
      <c r="AH6" s="10">
        <v>400</v>
      </c>
      <c r="AI6" s="2">
        <f>AF19/$AF$4</f>
        <v>0.8866609294320138</v>
      </c>
      <c r="AJ6" s="32">
        <v>4.2834999999999998E-2</v>
      </c>
      <c r="AK6" s="9">
        <f t="shared" si="1"/>
        <v>1.8157529538409658</v>
      </c>
      <c r="AN6" s="26"/>
      <c r="AO6" s="4" t="s">
        <v>2</v>
      </c>
      <c r="AP6" s="5">
        <v>845240</v>
      </c>
      <c r="AR6" s="10">
        <v>400</v>
      </c>
      <c r="AS6" s="2">
        <f>AP19/AP$4</f>
        <v>0.66088640275387267</v>
      </c>
      <c r="AT6" s="32">
        <v>9.0057999999999996E-3</v>
      </c>
      <c r="AU6" s="9">
        <f t="shared" si="2"/>
        <v>8.636409622440846</v>
      </c>
      <c r="AW6" s="7"/>
      <c r="AX6" s="26"/>
      <c r="AY6" s="4" t="s">
        <v>2</v>
      </c>
      <c r="AZ6" s="5">
        <v>634990</v>
      </c>
      <c r="BB6" s="24">
        <v>400</v>
      </c>
      <c r="BC6" s="2">
        <f>AZ19/AZ$4</f>
        <v>0.82241824440619626</v>
      </c>
      <c r="BD6" s="33">
        <v>2.7092000000000001E-2</v>
      </c>
      <c r="BE6" s="9">
        <f t="shared" si="3"/>
        <v>2.8708761914136192</v>
      </c>
      <c r="BH6" s="26"/>
      <c r="BI6" s="4" t="s">
        <v>2</v>
      </c>
      <c r="BJ6" s="5">
        <v>227020</v>
      </c>
      <c r="BL6" s="10">
        <v>400</v>
      </c>
      <c r="BM6" s="2">
        <f>BJ19/BJ$4</f>
        <v>0.97418244406196208</v>
      </c>
      <c r="BN6" s="32">
        <v>4.8103E-2</v>
      </c>
      <c r="BO6" s="9">
        <f t="shared" si="5"/>
        <v>1.6169007707996959</v>
      </c>
      <c r="BP6" s="12"/>
    </row>
    <row r="7" spans="1:68">
      <c r="J7" s="26"/>
      <c r="K7" s="4" t="s">
        <v>3</v>
      </c>
      <c r="L7" s="5">
        <v>132040</v>
      </c>
      <c r="N7" s="10">
        <v>600</v>
      </c>
      <c r="O7" s="2">
        <f>L26/$L$4</f>
        <v>0.45223752151462993</v>
      </c>
      <c r="P7" s="32">
        <v>1.0012E-2</v>
      </c>
      <c r="Q7" s="9">
        <f>2/((P7/(N7*0.35))*3600)</f>
        <v>11.652683446530828</v>
      </c>
      <c r="S7" s="7"/>
      <c r="T7" s="26"/>
      <c r="U7" s="4" t="s">
        <v>3</v>
      </c>
      <c r="V7" s="5">
        <v>276280</v>
      </c>
      <c r="X7" s="24">
        <v>600</v>
      </c>
      <c r="Y7" s="22">
        <f>V26/$V$4</f>
        <v>0.68919104991394153</v>
      </c>
      <c r="Z7" s="33">
        <v>2.8074000000000002E-2</v>
      </c>
      <c r="AA7" s="9">
        <f t="shared" si="4"/>
        <v>4.1556837880838735</v>
      </c>
      <c r="AD7" s="26"/>
      <c r="AE7" s="4" t="s">
        <v>3</v>
      </c>
      <c r="AF7" s="5">
        <v>745660</v>
      </c>
      <c r="AH7" s="10">
        <v>600</v>
      </c>
      <c r="AI7" s="2">
        <f>AF26/$AF$4</f>
        <v>0.93760757314974186</v>
      </c>
      <c r="AJ7" s="32">
        <v>4.5891000000000001E-2</v>
      </c>
      <c r="AK7" s="9">
        <f t="shared" si="1"/>
        <v>2.5422559252722028</v>
      </c>
      <c r="AN7" s="26"/>
      <c r="AO7" s="4" t="s">
        <v>3</v>
      </c>
      <c r="AP7" s="5">
        <v>315740</v>
      </c>
      <c r="AR7" s="10">
        <v>600</v>
      </c>
      <c r="AS7" s="2">
        <f>AP26/AP$4</f>
        <v>0.7800602409638554</v>
      </c>
      <c r="AT7" s="32">
        <v>1.1627E-2</v>
      </c>
      <c r="AU7" s="9">
        <f t="shared" si="2"/>
        <v>10.034115994380896</v>
      </c>
      <c r="AW7" s="7"/>
      <c r="AX7" s="26"/>
      <c r="AY7" s="4" t="s">
        <v>3</v>
      </c>
      <c r="AZ7" s="5">
        <v>526670</v>
      </c>
      <c r="BB7" s="24">
        <v>600</v>
      </c>
      <c r="BC7" s="2">
        <f>AZ26/AZ$4</f>
        <v>0.8913080895008606</v>
      </c>
      <c r="BD7" s="33">
        <v>3.1711000000000003E-2</v>
      </c>
      <c r="BE7" s="9">
        <f t="shared" si="3"/>
        <v>3.6790598425362382</v>
      </c>
      <c r="BH7" s="26"/>
      <c r="BI7" s="4" t="s">
        <v>3</v>
      </c>
      <c r="BJ7" s="5">
        <v>934840</v>
      </c>
      <c r="BL7" s="10">
        <v>600</v>
      </c>
      <c r="BM7" s="2">
        <f>BJ26/BJ$4</f>
        <v>0.99087779690189326</v>
      </c>
      <c r="BN7" s="32">
        <v>4.9383999999999997E-2</v>
      </c>
      <c r="BO7" s="9">
        <f t="shared" si="5"/>
        <v>2.3624385765970088</v>
      </c>
      <c r="BP7" s="12"/>
    </row>
    <row r="8" spans="1:68">
      <c r="J8" s="26"/>
      <c r="K8" s="4" t="s">
        <v>4</v>
      </c>
      <c r="L8" s="5">
        <v>0</v>
      </c>
      <c r="N8" s="10">
        <v>800</v>
      </c>
      <c r="O8" s="2">
        <f>L33/$L$4</f>
        <v>0.53729776247848537</v>
      </c>
      <c r="P8" s="32">
        <v>1.2263E-2</v>
      </c>
      <c r="Q8" s="9">
        <f t="shared" si="0"/>
        <v>12.684951117634801</v>
      </c>
      <c r="S8" s="7"/>
      <c r="T8" s="26"/>
      <c r="U8" s="4" t="s">
        <v>4</v>
      </c>
      <c r="V8" s="5">
        <v>0</v>
      </c>
      <c r="X8" s="24">
        <v>800</v>
      </c>
      <c r="Y8" s="22">
        <f>V33/$V$4</f>
        <v>0.7577194492254733</v>
      </c>
      <c r="Z8" s="33">
        <v>3.1699999999999999E-2</v>
      </c>
      <c r="AA8" s="9">
        <f t="shared" si="4"/>
        <v>4.9071153172099544</v>
      </c>
      <c r="AD8" s="26"/>
      <c r="AE8" s="4" t="s">
        <v>4</v>
      </c>
      <c r="AF8" s="5">
        <v>0</v>
      </c>
      <c r="AH8" s="10">
        <v>800</v>
      </c>
      <c r="AI8" s="2">
        <f>AF33/$AF$4</f>
        <v>0.96402753872633395</v>
      </c>
      <c r="AJ8" s="32">
        <v>4.7407999999999999E-2</v>
      </c>
      <c r="AK8" s="9">
        <f t="shared" si="1"/>
        <v>3.2812089848876891</v>
      </c>
      <c r="AN8" s="26"/>
      <c r="AO8" s="4" t="s">
        <v>4</v>
      </c>
      <c r="AP8" s="5">
        <v>0</v>
      </c>
      <c r="AR8" s="10">
        <v>800</v>
      </c>
      <c r="AS8" s="2">
        <f>AP33/AP$4</f>
        <v>0.84684165232358</v>
      </c>
      <c r="AT8" s="32">
        <v>1.376E-2</v>
      </c>
      <c r="AU8" s="9">
        <f t="shared" si="2"/>
        <v>11.304909560723514</v>
      </c>
      <c r="AW8" s="7"/>
      <c r="AX8" s="26"/>
      <c r="AY8" s="4" t="s">
        <v>4</v>
      </c>
      <c r="AZ8" s="5">
        <v>0</v>
      </c>
      <c r="BB8" s="24">
        <v>800</v>
      </c>
      <c r="BC8" s="2">
        <f>AZ33/AZ$4</f>
        <v>0.92951807228915662</v>
      </c>
      <c r="BD8" s="33">
        <v>3.5000000000000003E-2</v>
      </c>
      <c r="BE8" s="9">
        <f t="shared" si="3"/>
        <v>4.4444444444444446</v>
      </c>
      <c r="BH8" s="26"/>
      <c r="BI8" s="4" t="s">
        <v>4</v>
      </c>
      <c r="BJ8" s="5">
        <v>0</v>
      </c>
      <c r="BL8" s="10">
        <v>800</v>
      </c>
      <c r="BM8" s="2">
        <f>BJ33/BJ$4</f>
        <v>0.99561101549053355</v>
      </c>
      <c r="BN8" s="32">
        <v>4.9875999999999997E-2</v>
      </c>
      <c r="BO8" s="9">
        <f>2/((BN8/(BL8*0.35))*3600)</f>
        <v>3.1188458488161754</v>
      </c>
      <c r="BP8" s="12"/>
    </row>
    <row r="9" spans="1:68">
      <c r="J9" s="26"/>
      <c r="K9" s="4" t="s">
        <v>5</v>
      </c>
      <c r="L9" s="5">
        <v>0</v>
      </c>
      <c r="M9" s="1"/>
      <c r="N9" s="10">
        <v>1000</v>
      </c>
      <c r="O9" s="2">
        <f>L40/$L$4</f>
        <v>0.60621342512908782</v>
      </c>
      <c r="P9" s="32">
        <v>1.4189E-2</v>
      </c>
      <c r="Q9" s="9">
        <f t="shared" si="0"/>
        <v>13.703886422189331</v>
      </c>
      <c r="S9" s="7"/>
      <c r="T9" s="26"/>
      <c r="U9" s="4" t="s">
        <v>5</v>
      </c>
      <c r="V9" s="5">
        <v>0</v>
      </c>
      <c r="W9" s="1"/>
      <c r="X9" s="24">
        <v>1000</v>
      </c>
      <c r="Y9" s="22">
        <f>V40/$V$4</f>
        <v>0.80352839931153186</v>
      </c>
      <c r="Z9" s="33">
        <v>3.4401000000000001E-2</v>
      </c>
      <c r="AA9" s="9">
        <f t="shared" si="4"/>
        <v>5.652290469592292</v>
      </c>
      <c r="AD9" s="26"/>
      <c r="AE9" s="4" t="s">
        <v>5</v>
      </c>
      <c r="AF9" s="5">
        <v>0</v>
      </c>
      <c r="AG9" s="1"/>
      <c r="AH9" s="10">
        <v>1000</v>
      </c>
      <c r="AI9" s="2">
        <f>AF40/$AF$4</f>
        <v>0.9771944922547332</v>
      </c>
      <c r="AJ9" s="32">
        <v>4.8235E-2</v>
      </c>
      <c r="AK9" s="9">
        <f t="shared" si="1"/>
        <v>4.0311898920792872</v>
      </c>
      <c r="AN9" s="26"/>
      <c r="AO9" s="4" t="s">
        <v>5</v>
      </c>
      <c r="AP9" s="5">
        <v>0</v>
      </c>
      <c r="AQ9" s="1"/>
      <c r="AR9" s="10">
        <v>1000</v>
      </c>
      <c r="AS9" s="2">
        <f>AP40/AP$4</f>
        <v>0.88907056798623063</v>
      </c>
      <c r="AT9" s="32">
        <v>1.5533E-2</v>
      </c>
      <c r="AU9" s="9">
        <f t="shared" si="2"/>
        <v>12.51815131941315</v>
      </c>
      <c r="AW9" s="7"/>
      <c r="AX9" s="26"/>
      <c r="AY9" s="4" t="s">
        <v>5</v>
      </c>
      <c r="AZ9" s="5">
        <v>0</v>
      </c>
      <c r="BA9" s="1"/>
      <c r="BB9" s="24">
        <v>1000</v>
      </c>
      <c r="BC9" s="2">
        <f>AZ40/AZ$4</f>
        <v>0.95034423407917379</v>
      </c>
      <c r="BD9" s="33">
        <v>3.7366000000000003E-2</v>
      </c>
      <c r="BE9" s="9">
        <f t="shared" si="3"/>
        <v>5.2037800258107483</v>
      </c>
      <c r="BH9" s="26"/>
      <c r="BI9" s="4" t="s">
        <v>5</v>
      </c>
      <c r="BJ9" s="5">
        <v>0</v>
      </c>
      <c r="BK9" s="1"/>
      <c r="BL9" s="10">
        <v>1000</v>
      </c>
      <c r="BM9" s="2">
        <f>BJ40/BJ$4</f>
        <v>0.99759036144578317</v>
      </c>
      <c r="BN9" s="32">
        <v>5.0133999999999998E-2</v>
      </c>
      <c r="BO9" s="9">
        <f t="shared" ref="BO9" si="6">2/((BN9/(BL9*0.35))*3600)</f>
        <v>3.8784945235657324</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1162000</v>
      </c>
      <c r="S11" s="7"/>
      <c r="T11" s="26">
        <v>200</v>
      </c>
      <c r="U11" s="4" t="s">
        <v>0</v>
      </c>
      <c r="V11" s="5">
        <v>1162000</v>
      </c>
      <c r="AD11" s="26">
        <v>200</v>
      </c>
      <c r="AE11" s="4" t="s">
        <v>0</v>
      </c>
      <c r="AF11" s="5">
        <v>1162000</v>
      </c>
      <c r="AN11" s="26">
        <v>200</v>
      </c>
      <c r="AO11" s="4" t="s">
        <v>0</v>
      </c>
      <c r="AP11" s="5">
        <v>1162000</v>
      </c>
      <c r="AW11" s="7"/>
      <c r="AX11" s="26">
        <v>200</v>
      </c>
      <c r="AY11" s="4" t="s">
        <v>0</v>
      </c>
      <c r="AZ11" s="5">
        <v>1162000</v>
      </c>
      <c r="BH11" s="26">
        <v>200</v>
      </c>
      <c r="BI11" s="4" t="s">
        <v>0</v>
      </c>
      <c r="BJ11" s="5">
        <v>1162000</v>
      </c>
      <c r="BP11" s="12"/>
    </row>
    <row r="12" spans="1:68">
      <c r="J12" s="26"/>
      <c r="K12" s="4" t="s">
        <v>1</v>
      </c>
      <c r="L12" s="5">
        <v>235800</v>
      </c>
      <c r="S12" s="7"/>
      <c r="T12" s="26"/>
      <c r="U12" s="4" t="s">
        <v>1</v>
      </c>
      <c r="V12" s="5">
        <v>452270</v>
      </c>
      <c r="AD12" s="26"/>
      <c r="AE12" s="4" t="s">
        <v>1</v>
      </c>
      <c r="AF12" s="5">
        <v>905360</v>
      </c>
      <c r="AN12" s="26"/>
      <c r="AO12" s="4" t="s">
        <v>1</v>
      </c>
      <c r="AP12" s="5">
        <v>517060</v>
      </c>
      <c r="AW12" s="7"/>
      <c r="AX12" s="26"/>
      <c r="AY12" s="4" t="s">
        <v>1</v>
      </c>
      <c r="AZ12" s="5">
        <v>757770</v>
      </c>
      <c r="BH12" s="26"/>
      <c r="BI12" s="4" t="s">
        <v>1</v>
      </c>
      <c r="BJ12" s="5">
        <v>1057000</v>
      </c>
      <c r="BP12" s="12"/>
    </row>
    <row r="13" spans="1:68">
      <c r="J13" s="26"/>
      <c r="K13" s="4" t="s">
        <v>2</v>
      </c>
      <c r="L13" s="5">
        <v>926250</v>
      </c>
      <c r="T13" s="26"/>
      <c r="U13" s="4" t="s">
        <v>2</v>
      </c>
      <c r="V13" s="5">
        <v>709720</v>
      </c>
      <c r="AD13" s="26"/>
      <c r="AE13" s="4" t="s">
        <v>2</v>
      </c>
      <c r="AF13" s="5">
        <v>256670</v>
      </c>
      <c r="AN13" s="26"/>
      <c r="AO13" s="4" t="s">
        <v>2</v>
      </c>
      <c r="AP13" s="5">
        <v>645030</v>
      </c>
      <c r="AX13" s="26"/>
      <c r="AY13" s="4" t="s">
        <v>2</v>
      </c>
      <c r="AZ13" s="5">
        <v>404240</v>
      </c>
      <c r="BH13" s="26"/>
      <c r="BI13" s="4" t="s">
        <v>2</v>
      </c>
      <c r="BJ13" s="5">
        <v>105070</v>
      </c>
    </row>
    <row r="14" spans="1:68">
      <c r="J14" s="26"/>
      <c r="K14" s="4" t="s">
        <v>3</v>
      </c>
      <c r="L14" s="5">
        <v>234610</v>
      </c>
      <c r="T14" s="26"/>
      <c r="U14" s="4" t="s">
        <v>3</v>
      </c>
      <c r="V14" s="5">
        <v>451800</v>
      </c>
      <c r="AD14" s="26"/>
      <c r="AE14" s="4" t="s">
        <v>3</v>
      </c>
      <c r="AF14" s="5">
        <v>905040</v>
      </c>
      <c r="AN14" s="26"/>
      <c r="AO14" s="4" t="s">
        <v>3</v>
      </c>
      <c r="AP14" s="5">
        <v>515280</v>
      </c>
      <c r="AX14" s="26"/>
      <c r="AY14" s="4" t="s">
        <v>3</v>
      </c>
      <c r="AZ14" s="5">
        <v>757200</v>
      </c>
      <c r="BH14" s="26"/>
      <c r="BI14" s="4" t="s">
        <v>3</v>
      </c>
      <c r="BJ14" s="5">
        <v>1056600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1162000</v>
      </c>
      <c r="T18" s="26">
        <v>400</v>
      </c>
      <c r="U18" s="4" t="s">
        <v>0</v>
      </c>
      <c r="V18" s="5">
        <v>1162000</v>
      </c>
      <c r="AD18" s="26">
        <v>400</v>
      </c>
      <c r="AE18" s="4" t="s">
        <v>0</v>
      </c>
      <c r="AF18" s="5">
        <v>1162000</v>
      </c>
      <c r="AN18" s="26">
        <v>400</v>
      </c>
      <c r="AO18" s="4" t="s">
        <v>0</v>
      </c>
      <c r="AP18" s="5">
        <v>1162000</v>
      </c>
      <c r="AX18" s="26">
        <v>400</v>
      </c>
      <c r="AY18" s="4" t="s">
        <v>0</v>
      </c>
      <c r="AZ18" s="5">
        <v>1162000</v>
      </c>
      <c r="BH18" s="26">
        <v>400</v>
      </c>
      <c r="BI18" s="4" t="s">
        <v>0</v>
      </c>
      <c r="BJ18" s="5">
        <v>1162000</v>
      </c>
    </row>
    <row r="19" spans="1:62">
      <c r="J19" s="26"/>
      <c r="K19" s="4" t="s">
        <v>1</v>
      </c>
      <c r="L19" s="5">
        <v>400180</v>
      </c>
      <c r="T19" s="26"/>
      <c r="U19" s="4" t="s">
        <v>1</v>
      </c>
      <c r="V19" s="5">
        <v>672490</v>
      </c>
      <c r="AD19" s="26"/>
      <c r="AE19" s="4" t="s">
        <v>1</v>
      </c>
      <c r="AF19" s="5">
        <v>1030300</v>
      </c>
      <c r="AN19" s="26"/>
      <c r="AO19" s="4" t="s">
        <v>1</v>
      </c>
      <c r="AP19" s="5">
        <v>767950</v>
      </c>
      <c r="AX19" s="26"/>
      <c r="AY19" s="4" t="s">
        <v>1</v>
      </c>
      <c r="AZ19" s="5">
        <v>955650</v>
      </c>
      <c r="BH19" s="26"/>
      <c r="BI19" s="4" t="s">
        <v>1</v>
      </c>
      <c r="BJ19" s="5">
        <v>1132000</v>
      </c>
    </row>
    <row r="20" spans="1:62">
      <c r="J20" s="26"/>
      <c r="K20" s="4" t="s">
        <v>2</v>
      </c>
      <c r="L20" s="5">
        <v>761850</v>
      </c>
      <c r="T20" s="26"/>
      <c r="U20" s="4" t="s">
        <v>2</v>
      </c>
      <c r="V20" s="5">
        <v>489510</v>
      </c>
      <c r="AD20" s="26"/>
      <c r="AE20" s="4" t="s">
        <v>2</v>
      </c>
      <c r="AF20" s="5">
        <v>131710</v>
      </c>
      <c r="AN20" s="26"/>
      <c r="AO20" s="4" t="s">
        <v>2</v>
      </c>
      <c r="AP20" s="5">
        <v>394100</v>
      </c>
      <c r="AX20" s="26"/>
      <c r="AY20" s="4" t="s">
        <v>2</v>
      </c>
      <c r="AZ20" s="5">
        <v>206380</v>
      </c>
      <c r="BH20" s="26"/>
      <c r="BI20" s="4" t="s">
        <v>2</v>
      </c>
      <c r="BJ20" s="5">
        <v>29990</v>
      </c>
    </row>
    <row r="21" spans="1:62">
      <c r="J21" s="26"/>
      <c r="K21" s="4" t="s">
        <v>3</v>
      </c>
      <c r="L21" s="5">
        <v>398210</v>
      </c>
      <c r="T21" s="26"/>
      <c r="U21" s="4" t="s">
        <v>3</v>
      </c>
      <c r="V21" s="5">
        <v>671650</v>
      </c>
      <c r="AD21" s="26"/>
      <c r="AE21" s="4" t="s">
        <v>3</v>
      </c>
      <c r="AF21" s="5">
        <v>1029700</v>
      </c>
      <c r="AN21" s="26"/>
      <c r="AO21" s="4" t="s">
        <v>3</v>
      </c>
      <c r="AP21" s="5">
        <v>765180</v>
      </c>
      <c r="AX21" s="26"/>
      <c r="AY21" s="4" t="s">
        <v>3</v>
      </c>
      <c r="AZ21" s="5">
        <v>954710</v>
      </c>
      <c r="BH21" s="26"/>
      <c r="BI21" s="4" t="s">
        <v>3</v>
      </c>
      <c r="BJ21" s="5">
        <v>1131400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1162000</v>
      </c>
      <c r="T25" s="26">
        <v>600</v>
      </c>
      <c r="U25" s="4" t="s">
        <v>0</v>
      </c>
      <c r="V25" s="5">
        <v>1162000</v>
      </c>
      <c r="AD25" s="26">
        <v>600</v>
      </c>
      <c r="AE25" s="4" t="s">
        <v>0</v>
      </c>
      <c r="AF25" s="5">
        <v>1162000</v>
      </c>
      <c r="AN25" s="26">
        <v>600</v>
      </c>
      <c r="AO25" s="4" t="s">
        <v>0</v>
      </c>
      <c r="AP25" s="5">
        <v>1162000</v>
      </c>
      <c r="AX25" s="26">
        <v>600</v>
      </c>
      <c r="AY25" s="4" t="s">
        <v>0</v>
      </c>
      <c r="AZ25" s="5">
        <v>1162000</v>
      </c>
      <c r="BH25" s="26">
        <v>600</v>
      </c>
      <c r="BI25" s="4" t="s">
        <v>0</v>
      </c>
      <c r="BJ25" s="5">
        <v>1162000</v>
      </c>
    </row>
    <row r="26" spans="1:62">
      <c r="J26" s="26"/>
      <c r="K26" s="4" t="s">
        <v>1</v>
      </c>
      <c r="L26" s="5">
        <v>525500</v>
      </c>
      <c r="T26" s="26"/>
      <c r="U26" s="4" t="s">
        <v>1</v>
      </c>
      <c r="V26" s="5">
        <v>800840</v>
      </c>
      <c r="AD26" s="26"/>
      <c r="AE26" s="4" t="s">
        <v>1</v>
      </c>
      <c r="AF26" s="5">
        <v>1089500</v>
      </c>
      <c r="AN26" s="26"/>
      <c r="AO26" s="4" t="s">
        <v>1</v>
      </c>
      <c r="AP26" s="5">
        <v>906430</v>
      </c>
      <c r="AX26" s="26"/>
      <c r="AY26" s="4" t="s">
        <v>1</v>
      </c>
      <c r="AZ26" s="5">
        <v>1035700</v>
      </c>
      <c r="BH26" s="26"/>
      <c r="BI26" s="4" t="s">
        <v>1</v>
      </c>
      <c r="BJ26" s="5">
        <v>1151400</v>
      </c>
    </row>
    <row r="27" spans="1:62">
      <c r="A27" s="120" t="s">
        <v>145</v>
      </c>
      <c r="J27" s="26"/>
      <c r="K27" s="4" t="s">
        <v>2</v>
      </c>
      <c r="L27" s="5">
        <v>636520</v>
      </c>
      <c r="T27" s="26"/>
      <c r="U27" s="4" t="s">
        <v>2</v>
      </c>
      <c r="V27" s="5">
        <v>361200</v>
      </c>
      <c r="AD27" s="26"/>
      <c r="AE27" s="4" t="s">
        <v>2</v>
      </c>
      <c r="AF27" s="5">
        <v>72541</v>
      </c>
      <c r="AN27" s="26"/>
      <c r="AO27" s="4" t="s">
        <v>2</v>
      </c>
      <c r="AP27" s="5">
        <v>255610</v>
      </c>
      <c r="AX27" s="26"/>
      <c r="AY27" s="4" t="s">
        <v>2</v>
      </c>
      <c r="AZ27" s="5">
        <v>126320</v>
      </c>
      <c r="BH27" s="26"/>
      <c r="BI27" s="4" t="s">
        <v>2</v>
      </c>
      <c r="BJ27" s="5">
        <v>10615</v>
      </c>
    </row>
    <row r="28" spans="1:62">
      <c r="A28" s="199" t="str">
        <f>AH3</f>
        <v>Filter Area (ft2)</v>
      </c>
      <c r="B28" s="200" t="s">
        <v>11</v>
      </c>
      <c r="C28" s="200"/>
      <c r="D28" s="200"/>
      <c r="E28" s="200" t="s">
        <v>12</v>
      </c>
      <c r="F28" s="200"/>
      <c r="G28" s="200"/>
      <c r="H28" s="6"/>
      <c r="J28" s="26"/>
      <c r="K28" s="4" t="s">
        <v>3</v>
      </c>
      <c r="L28" s="5">
        <v>522930</v>
      </c>
      <c r="T28" s="26"/>
      <c r="U28" s="4" t="s">
        <v>3</v>
      </c>
      <c r="V28" s="5">
        <v>799640</v>
      </c>
      <c r="AD28" s="26"/>
      <c r="AE28" s="4" t="s">
        <v>3</v>
      </c>
      <c r="AF28" s="5">
        <v>1088600</v>
      </c>
      <c r="AN28" s="26"/>
      <c r="AO28" s="4" t="s">
        <v>3</v>
      </c>
      <c r="AP28" s="5">
        <v>902920</v>
      </c>
      <c r="AX28" s="26"/>
      <c r="AY28" s="4" t="s">
        <v>3</v>
      </c>
      <c r="AZ28" s="5">
        <v>1034400</v>
      </c>
      <c r="BH28" s="26"/>
      <c r="BI28" s="4" t="s">
        <v>3</v>
      </c>
      <c r="BJ28" s="5">
        <v>1150500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0.11419965576592082</v>
      </c>
      <c r="C30" s="2">
        <f t="shared" ref="C30:C35" si="8">Y4</f>
        <v>0.23796901893287437</v>
      </c>
      <c r="D30" s="2">
        <f t="shared" ref="D30:D35" si="9">AI4</f>
        <v>0.64185025817555941</v>
      </c>
      <c r="E30" s="11">
        <f t="shared" ref="E30:E35" si="10">Q4</f>
        <v>7.9268016487747444</v>
      </c>
      <c r="F30" s="11">
        <f t="shared" ref="F30:F35" si="11">AA4</f>
        <v>2.1393381499003676</v>
      </c>
      <c r="G30" s="9">
        <f t="shared" ref="G30:G35" si="12">AK4</f>
        <v>0.66061168867447329</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0.20292598967297762</v>
      </c>
      <c r="C31" s="2">
        <f t="shared" si="8"/>
        <v>0.38921686746987949</v>
      </c>
      <c r="D31" s="2">
        <f t="shared" si="9"/>
        <v>0.77913941480206539</v>
      </c>
      <c r="E31" s="11">
        <f t="shared" si="10"/>
        <v>8.9260211368180506</v>
      </c>
      <c r="F31" s="11">
        <f t="shared" si="11"/>
        <v>2.6052715809532314</v>
      </c>
      <c r="G31" s="9">
        <f t="shared" si="12"/>
        <v>1.0604807310651163</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0.34438898450946642</v>
      </c>
      <c r="C32" s="2">
        <f t="shared" si="8"/>
        <v>0.57873493975903612</v>
      </c>
      <c r="D32" s="2">
        <f t="shared" si="9"/>
        <v>0.8866609294320138</v>
      </c>
      <c r="E32" s="11">
        <f t="shared" si="10"/>
        <v>10.484441089423294</v>
      </c>
      <c r="F32" s="11">
        <f t="shared" si="11"/>
        <v>3.3950752009157004</v>
      </c>
      <c r="G32" s="9">
        <f t="shared" si="12"/>
        <v>1.8157529538409658</v>
      </c>
      <c r="H32" s="12"/>
      <c r="J32" s="26">
        <v>800</v>
      </c>
      <c r="K32" s="4" t="s">
        <v>0</v>
      </c>
      <c r="L32" s="5">
        <v>1162000</v>
      </c>
      <c r="T32" s="26">
        <v>800</v>
      </c>
      <c r="U32" s="4" t="s">
        <v>0</v>
      </c>
      <c r="V32" s="5">
        <v>1162000</v>
      </c>
      <c r="AD32" s="26">
        <v>800</v>
      </c>
      <c r="AE32" s="4" t="s">
        <v>0</v>
      </c>
      <c r="AF32" s="5">
        <v>1162000</v>
      </c>
      <c r="AN32" s="26">
        <v>800</v>
      </c>
      <c r="AO32" s="4" t="s">
        <v>0</v>
      </c>
      <c r="AP32" s="5">
        <v>1162000</v>
      </c>
      <c r="AX32" s="26">
        <v>800</v>
      </c>
      <c r="AY32" s="4" t="s">
        <v>0</v>
      </c>
      <c r="AZ32" s="5">
        <v>1162000</v>
      </c>
      <c r="BH32" s="26">
        <v>800</v>
      </c>
      <c r="BI32" s="4" t="s">
        <v>0</v>
      </c>
      <c r="BJ32" s="5">
        <v>1162000</v>
      </c>
    </row>
    <row r="33" spans="1:62">
      <c r="A33" s="10">
        <v>600</v>
      </c>
      <c r="B33" s="2">
        <f t="shared" si="7"/>
        <v>0.45223752151462993</v>
      </c>
      <c r="C33" s="2">
        <f t="shared" si="8"/>
        <v>0.68919104991394153</v>
      </c>
      <c r="D33" s="2">
        <f t="shared" si="9"/>
        <v>0.93760757314974186</v>
      </c>
      <c r="E33" s="11">
        <f t="shared" si="10"/>
        <v>11.652683446530828</v>
      </c>
      <c r="F33" s="11">
        <f t="shared" si="11"/>
        <v>4.1556837880838735</v>
      </c>
      <c r="G33" s="9">
        <f t="shared" si="12"/>
        <v>2.5422559252722028</v>
      </c>
      <c r="H33" s="12"/>
      <c r="J33" s="26"/>
      <c r="K33" s="4" t="s">
        <v>1</v>
      </c>
      <c r="L33" s="5">
        <v>624340</v>
      </c>
      <c r="T33" s="26"/>
      <c r="U33" s="4" t="s">
        <v>1</v>
      </c>
      <c r="V33" s="5">
        <v>880470</v>
      </c>
      <c r="AD33" s="26"/>
      <c r="AE33" s="4" t="s">
        <v>1</v>
      </c>
      <c r="AF33" s="5">
        <v>1120200</v>
      </c>
      <c r="AN33" s="26"/>
      <c r="AO33" s="4" t="s">
        <v>1</v>
      </c>
      <c r="AP33" s="5">
        <v>984030</v>
      </c>
      <c r="AX33" s="26"/>
      <c r="AY33" s="4" t="s">
        <v>1</v>
      </c>
      <c r="AZ33" s="5">
        <v>1080100</v>
      </c>
      <c r="BH33" s="26"/>
      <c r="BI33" s="4" t="s">
        <v>1</v>
      </c>
      <c r="BJ33" s="5">
        <v>1156900</v>
      </c>
    </row>
    <row r="34" spans="1:62">
      <c r="A34" s="10">
        <v>800</v>
      </c>
      <c r="B34" s="2">
        <f t="shared" si="7"/>
        <v>0.53729776247848537</v>
      </c>
      <c r="C34" s="2">
        <f t="shared" si="8"/>
        <v>0.7577194492254733</v>
      </c>
      <c r="D34" s="2">
        <f t="shared" si="9"/>
        <v>0.96402753872633395</v>
      </c>
      <c r="E34" s="11">
        <f t="shared" si="10"/>
        <v>12.684951117634801</v>
      </c>
      <c r="F34" s="11">
        <f t="shared" si="11"/>
        <v>4.9071153172099544</v>
      </c>
      <c r="G34" s="9">
        <f t="shared" si="12"/>
        <v>3.2812089848876891</v>
      </c>
      <c r="H34" s="12"/>
      <c r="J34" s="26"/>
      <c r="K34" s="4" t="s">
        <v>2</v>
      </c>
      <c r="L34" s="5">
        <v>537680</v>
      </c>
      <c r="T34" s="26"/>
      <c r="U34" s="4" t="s">
        <v>2</v>
      </c>
      <c r="V34" s="5">
        <v>281550</v>
      </c>
      <c r="AD34" s="26"/>
      <c r="AE34" s="4" t="s">
        <v>2</v>
      </c>
      <c r="AF34" s="5">
        <v>41796</v>
      </c>
      <c r="AN34" s="26"/>
      <c r="AO34" s="4" t="s">
        <v>2</v>
      </c>
      <c r="AP34" s="5">
        <v>177990</v>
      </c>
      <c r="AX34" s="26"/>
      <c r="AY34" s="4" t="s">
        <v>2</v>
      </c>
      <c r="AZ34" s="5">
        <v>81924</v>
      </c>
      <c r="BH34" s="26"/>
      <c r="BI34" s="4" t="s">
        <v>2</v>
      </c>
      <c r="BJ34" s="5">
        <v>5155.7</v>
      </c>
    </row>
    <row r="35" spans="1:62">
      <c r="A35" s="10">
        <v>1000</v>
      </c>
      <c r="B35" s="2">
        <f t="shared" si="7"/>
        <v>0.60621342512908782</v>
      </c>
      <c r="C35" s="2">
        <f t="shared" si="8"/>
        <v>0.80352839931153186</v>
      </c>
      <c r="D35" s="2">
        <f t="shared" si="9"/>
        <v>0.9771944922547332</v>
      </c>
      <c r="E35" s="11">
        <f t="shared" si="10"/>
        <v>13.703886422189331</v>
      </c>
      <c r="F35" s="11">
        <f t="shared" si="11"/>
        <v>5.652290469592292</v>
      </c>
      <c r="G35" s="9">
        <f t="shared" si="12"/>
        <v>4.0311898920792872</v>
      </c>
      <c r="H35" s="12"/>
      <c r="J35" s="26"/>
      <c r="K35" s="4" t="s">
        <v>3</v>
      </c>
      <c r="L35" s="5">
        <v>621080</v>
      </c>
      <c r="T35" s="26"/>
      <c r="U35" s="4" t="s">
        <v>3</v>
      </c>
      <c r="V35" s="5">
        <v>878980</v>
      </c>
      <c r="AD35" s="26"/>
      <c r="AE35" s="4" t="s">
        <v>3</v>
      </c>
      <c r="AF35" s="5">
        <v>1119100</v>
      </c>
      <c r="AN35" s="26"/>
      <c r="AO35" s="4" t="s">
        <v>3</v>
      </c>
      <c r="AP35" s="5">
        <v>979950</v>
      </c>
      <c r="AX35" s="26"/>
      <c r="AY35" s="4" t="s">
        <v>3</v>
      </c>
      <c r="AZ35" s="5">
        <v>1078500</v>
      </c>
      <c r="BH35" s="26"/>
      <c r="BI35" s="4" t="s">
        <v>3</v>
      </c>
      <c r="BJ35" s="5">
        <v>1155700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1162000</v>
      </c>
      <c r="T39" s="26">
        <v>1000</v>
      </c>
      <c r="U39" s="4" t="s">
        <v>0</v>
      </c>
      <c r="V39" s="5">
        <v>1162000</v>
      </c>
      <c r="AD39" s="26">
        <v>1000</v>
      </c>
      <c r="AE39" s="4" t="s">
        <v>0</v>
      </c>
      <c r="AF39" s="5">
        <v>1162000</v>
      </c>
      <c r="AN39" s="26">
        <v>1000</v>
      </c>
      <c r="AO39" s="4" t="s">
        <v>0</v>
      </c>
      <c r="AP39" s="5">
        <v>1162000</v>
      </c>
      <c r="AX39" s="26">
        <v>1000</v>
      </c>
      <c r="AY39" s="4" t="s">
        <v>0</v>
      </c>
      <c r="AZ39" s="5">
        <v>1162000</v>
      </c>
      <c r="BH39" s="26">
        <v>1000</v>
      </c>
      <c r="BI39" s="4" t="s">
        <v>0</v>
      </c>
      <c r="BJ39" s="5">
        <v>1162000</v>
      </c>
    </row>
    <row r="40" spans="1:62">
      <c r="A40" s="199"/>
      <c r="B40" s="15" t="s">
        <v>15</v>
      </c>
      <c r="C40" s="15" t="s">
        <v>14</v>
      </c>
      <c r="D40" s="15" t="s">
        <v>13</v>
      </c>
      <c r="E40" s="15" t="s">
        <v>15</v>
      </c>
      <c r="F40" s="15" t="s">
        <v>14</v>
      </c>
      <c r="G40" s="15" t="s">
        <v>13</v>
      </c>
      <c r="J40" s="26"/>
      <c r="K40" s="4" t="s">
        <v>1</v>
      </c>
      <c r="L40" s="5">
        <v>704420</v>
      </c>
      <c r="T40" s="26"/>
      <c r="U40" s="4" t="s">
        <v>1</v>
      </c>
      <c r="V40" s="5">
        <v>933700</v>
      </c>
      <c r="AD40" s="26"/>
      <c r="AE40" s="4" t="s">
        <v>1</v>
      </c>
      <c r="AF40" s="5">
        <v>1135500</v>
      </c>
      <c r="AN40" s="26"/>
      <c r="AO40" s="4" t="s">
        <v>1</v>
      </c>
      <c r="AP40" s="5">
        <v>1033100</v>
      </c>
      <c r="AX40" s="26"/>
      <c r="AY40" s="4" t="s">
        <v>1</v>
      </c>
      <c r="AZ40" s="5">
        <v>1104300</v>
      </c>
      <c r="BH40" s="26"/>
      <c r="BI40" s="4" t="s">
        <v>1</v>
      </c>
      <c r="BJ40" s="5">
        <v>1159200</v>
      </c>
    </row>
    <row r="41" spans="1:62">
      <c r="A41" s="10">
        <v>100</v>
      </c>
      <c r="B41" s="2">
        <f>AS4</f>
        <v>0.27261617900172119</v>
      </c>
      <c r="C41" s="2">
        <f>BC4</f>
        <v>0.4535370051635112</v>
      </c>
      <c r="D41" s="2">
        <f>BM4</f>
        <v>0.80465576592082622</v>
      </c>
      <c r="E41" s="11">
        <f>AU4</f>
        <v>5.8915417659812279</v>
      </c>
      <c r="F41" s="11">
        <f>BE4</f>
        <v>1.538813267208329</v>
      </c>
      <c r="G41" s="9">
        <f>BO4</f>
        <v>0.50681448273065854</v>
      </c>
      <c r="J41" s="26"/>
      <c r="K41" s="4" t="s">
        <v>2</v>
      </c>
      <c r="L41" s="5">
        <v>457600</v>
      </c>
      <c r="T41" s="26"/>
      <c r="U41" s="4" t="s">
        <v>2</v>
      </c>
      <c r="V41" s="5">
        <v>228330</v>
      </c>
      <c r="AD41" s="26"/>
      <c r="AE41" s="4" t="s">
        <v>2</v>
      </c>
      <c r="AF41" s="5">
        <v>26498</v>
      </c>
      <c r="AN41" s="26"/>
      <c r="AO41" s="4" t="s">
        <v>2</v>
      </c>
      <c r="AP41" s="5">
        <v>128890</v>
      </c>
      <c r="AX41" s="26"/>
      <c r="AY41" s="4" t="s">
        <v>2</v>
      </c>
      <c r="AZ41" s="5">
        <v>57699</v>
      </c>
      <c r="BH41" s="26"/>
      <c r="BI41" s="4" t="s">
        <v>2</v>
      </c>
      <c r="BJ41" s="5">
        <v>2784.5</v>
      </c>
    </row>
    <row r="42" spans="1:62">
      <c r="A42" s="10">
        <v>200</v>
      </c>
      <c r="B42" s="2">
        <f t="shared" ref="B42:B46" si="13">AS5</f>
        <v>0.44497418244406195</v>
      </c>
      <c r="C42" s="2">
        <f t="shared" ref="C42:C46" si="14">BC5</f>
        <v>0.6521256454388985</v>
      </c>
      <c r="D42" s="2">
        <f t="shared" ref="D42:D46" si="15">BM5</f>
        <v>0.90963855421686746</v>
      </c>
      <c r="E42" s="11">
        <f t="shared" ref="E42:E46" si="16">AU5</f>
        <v>6.9466773050067676</v>
      </c>
      <c r="F42" s="11">
        <f t="shared" ref="F42:F46" si="17">BE5</f>
        <v>2.0198872325813579</v>
      </c>
      <c r="G42" s="9">
        <f t="shared" ref="G42:G46" si="18">BO5</f>
        <v>0.87569836944963608</v>
      </c>
      <c r="J42" s="26"/>
      <c r="K42" s="4" t="s">
        <v>3</v>
      </c>
      <c r="L42" s="5">
        <v>700650</v>
      </c>
      <c r="T42" s="26"/>
      <c r="U42" s="4" t="s">
        <v>3</v>
      </c>
      <c r="V42" s="5">
        <v>931860</v>
      </c>
      <c r="AD42" s="26"/>
      <c r="AE42" s="4" t="s">
        <v>3</v>
      </c>
      <c r="AF42" s="5">
        <v>1134100</v>
      </c>
      <c r="AN42" s="26"/>
      <c r="AO42" s="4" t="s">
        <v>3</v>
      </c>
      <c r="AP42" s="5">
        <v>1028500</v>
      </c>
      <c r="AX42" s="26"/>
      <c r="AY42" s="4" t="s">
        <v>3</v>
      </c>
      <c r="AZ42" s="5">
        <v>1102400</v>
      </c>
      <c r="BH42" s="26"/>
      <c r="BI42" s="4" t="s">
        <v>3</v>
      </c>
      <c r="BJ42" s="5">
        <v>1157800</v>
      </c>
    </row>
    <row r="43" spans="1:62">
      <c r="A43" s="10">
        <v>400</v>
      </c>
      <c r="B43" s="2">
        <f t="shared" si="13"/>
        <v>0.66088640275387267</v>
      </c>
      <c r="C43" s="2">
        <f t="shared" si="14"/>
        <v>0.82241824440619626</v>
      </c>
      <c r="D43" s="2">
        <f t="shared" si="15"/>
        <v>0.97418244406196208</v>
      </c>
      <c r="E43" s="11">
        <f t="shared" si="16"/>
        <v>8.636409622440846</v>
      </c>
      <c r="F43" s="11">
        <f t="shared" si="17"/>
        <v>2.8708761914136192</v>
      </c>
      <c r="G43" s="9">
        <f t="shared" si="18"/>
        <v>1.6169007707996959</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0.7800602409638554</v>
      </c>
      <c r="C44" s="2">
        <f t="shared" si="14"/>
        <v>0.8913080895008606</v>
      </c>
      <c r="D44" s="2">
        <f t="shared" si="15"/>
        <v>0.99087779690189326</v>
      </c>
      <c r="E44" s="11">
        <f t="shared" si="16"/>
        <v>10.034115994380896</v>
      </c>
      <c r="F44" s="11">
        <f t="shared" si="17"/>
        <v>3.6790598425362382</v>
      </c>
      <c r="G44" s="9">
        <f t="shared" si="18"/>
        <v>2.3624385765970088</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0.84684165232358</v>
      </c>
      <c r="C45" s="2">
        <f t="shared" si="14"/>
        <v>0.92951807228915662</v>
      </c>
      <c r="D45" s="2">
        <f t="shared" si="15"/>
        <v>0.99561101549053355</v>
      </c>
      <c r="E45" s="11">
        <f t="shared" si="16"/>
        <v>11.304909560723514</v>
      </c>
      <c r="F45" s="11">
        <f t="shared" si="17"/>
        <v>4.4444444444444446</v>
      </c>
      <c r="G45" s="9">
        <f t="shared" si="18"/>
        <v>3.1188458488161754</v>
      </c>
      <c r="Y45"/>
      <c r="Z45"/>
      <c r="AA45"/>
      <c r="AB45"/>
      <c r="BC45"/>
      <c r="BD45"/>
      <c r="BE45"/>
      <c r="BF45"/>
    </row>
    <row r="46" spans="1:62">
      <c r="A46" s="10">
        <v>1000</v>
      </c>
      <c r="B46" s="2">
        <f t="shared" si="13"/>
        <v>0.88907056798623063</v>
      </c>
      <c r="C46" s="2">
        <f t="shared" si="14"/>
        <v>0.95034423407917379</v>
      </c>
      <c r="D46" s="2">
        <f t="shared" si="15"/>
        <v>0.99759036144578317</v>
      </c>
      <c r="E46" s="11">
        <f t="shared" si="16"/>
        <v>12.51815131941315</v>
      </c>
      <c r="F46" s="11">
        <f t="shared" si="17"/>
        <v>5.2037800258107483</v>
      </c>
      <c r="G46" s="9">
        <f t="shared" si="18"/>
        <v>3.8784945235657324</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0.27261617900172119</v>
      </c>
      <c r="C52" s="2">
        <f>C30+(($A$25-1)/3)*(C41-C30)</f>
        <v>0.4535370051635112</v>
      </c>
      <c r="D52" s="2">
        <f>D30+(($A$25-1)/3)*(D41-D30)</f>
        <v>0.80465576592082622</v>
      </c>
      <c r="E52" s="9">
        <f>E30+(($A$25-1)/3)*(E41-E30)</f>
        <v>5.8915417659812279</v>
      </c>
      <c r="F52" s="9">
        <f t="shared" ref="F52:G57" si="19">F30+(($A$25-1)/3)*(F41-F30)</f>
        <v>1.538813267208329</v>
      </c>
      <c r="G52" s="9">
        <f t="shared" si="19"/>
        <v>0.50681448273065854</v>
      </c>
      <c r="Y52"/>
      <c r="Z52"/>
      <c r="AA52"/>
      <c r="AB52"/>
      <c r="BC52"/>
      <c r="BD52"/>
      <c r="BE52"/>
      <c r="BF52"/>
    </row>
    <row r="53" spans="1:58">
      <c r="A53" s="10">
        <v>200</v>
      </c>
      <c r="B53" s="2">
        <f t="shared" ref="B53:E57" si="20">B31+(($A$25-1)/3)*(B42-B31)</f>
        <v>0.44497418244406195</v>
      </c>
      <c r="C53" s="2">
        <f t="shared" si="20"/>
        <v>0.6521256454388985</v>
      </c>
      <c r="D53" s="2">
        <f t="shared" si="20"/>
        <v>0.90963855421686746</v>
      </c>
      <c r="E53" s="9">
        <f t="shared" si="20"/>
        <v>6.9466773050067676</v>
      </c>
      <c r="F53" s="9">
        <f t="shared" si="19"/>
        <v>2.0198872325813579</v>
      </c>
      <c r="G53" s="9">
        <f t="shared" si="19"/>
        <v>0.87569836944963608</v>
      </c>
      <c r="Y53"/>
      <c r="Z53"/>
      <c r="AA53"/>
      <c r="AB53"/>
      <c r="BC53"/>
      <c r="BD53"/>
      <c r="BE53"/>
      <c r="BF53"/>
    </row>
    <row r="54" spans="1:58">
      <c r="A54" s="10">
        <v>400</v>
      </c>
      <c r="B54" s="2">
        <f t="shared" si="20"/>
        <v>0.66088640275387267</v>
      </c>
      <c r="C54" s="2">
        <f t="shared" si="20"/>
        <v>0.82241824440619626</v>
      </c>
      <c r="D54" s="2">
        <f t="shared" si="20"/>
        <v>0.97418244406196208</v>
      </c>
      <c r="E54" s="9">
        <f t="shared" si="20"/>
        <v>8.636409622440846</v>
      </c>
      <c r="F54" s="9">
        <f t="shared" si="19"/>
        <v>2.8708761914136192</v>
      </c>
      <c r="G54" s="9">
        <f t="shared" si="19"/>
        <v>1.6169007707996959</v>
      </c>
      <c r="Y54"/>
      <c r="Z54"/>
      <c r="AA54"/>
      <c r="AB54"/>
      <c r="BC54"/>
      <c r="BD54"/>
      <c r="BE54"/>
      <c r="BF54"/>
    </row>
    <row r="55" spans="1:58">
      <c r="A55" s="10">
        <v>600</v>
      </c>
      <c r="B55" s="2">
        <f t="shared" si="20"/>
        <v>0.7800602409638554</v>
      </c>
      <c r="C55" s="2">
        <f t="shared" si="20"/>
        <v>0.8913080895008606</v>
      </c>
      <c r="D55" s="2">
        <f t="shared" si="20"/>
        <v>0.99087779690189326</v>
      </c>
      <c r="E55" s="9">
        <f t="shared" si="20"/>
        <v>10.034115994380896</v>
      </c>
      <c r="F55" s="9">
        <f t="shared" si="19"/>
        <v>3.6790598425362382</v>
      </c>
      <c r="G55" s="9">
        <f t="shared" si="19"/>
        <v>2.3624385765970088</v>
      </c>
      <c r="Y55"/>
      <c r="Z55"/>
      <c r="AA55"/>
      <c r="AB55"/>
      <c r="BC55"/>
      <c r="BD55"/>
      <c r="BE55"/>
      <c r="BF55"/>
    </row>
    <row r="56" spans="1:58">
      <c r="A56" s="10">
        <v>800</v>
      </c>
      <c r="B56" s="2">
        <f t="shared" si="20"/>
        <v>0.84684165232358</v>
      </c>
      <c r="C56" s="2">
        <f t="shared" si="20"/>
        <v>0.92951807228915662</v>
      </c>
      <c r="D56" s="2">
        <f t="shared" si="20"/>
        <v>0.99561101549053355</v>
      </c>
      <c r="E56" s="9">
        <f t="shared" si="20"/>
        <v>11.304909560723514</v>
      </c>
      <c r="F56" s="9">
        <f t="shared" si="19"/>
        <v>4.4444444444444446</v>
      </c>
      <c r="G56" s="9">
        <f t="shared" si="19"/>
        <v>3.1188458488161754</v>
      </c>
      <c r="Y56"/>
      <c r="Z56"/>
      <c r="AA56"/>
      <c r="AB56"/>
      <c r="BC56"/>
      <c r="BD56"/>
      <c r="BE56"/>
      <c r="BF56"/>
    </row>
    <row r="57" spans="1:58">
      <c r="A57" s="10">
        <v>1000</v>
      </c>
      <c r="B57" s="2">
        <f t="shared" si="20"/>
        <v>0.88907056798623063</v>
      </c>
      <c r="C57" s="2">
        <f t="shared" si="20"/>
        <v>0.95034423407917379</v>
      </c>
      <c r="D57" s="2">
        <f t="shared" si="20"/>
        <v>0.99759036144578317</v>
      </c>
      <c r="E57" s="9">
        <f t="shared" si="20"/>
        <v>12.51815131941315</v>
      </c>
      <c r="F57" s="9">
        <f t="shared" si="19"/>
        <v>5.2037800258107483</v>
      </c>
      <c r="G57" s="9">
        <f t="shared" si="19"/>
        <v>3.8784945235657324</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sheetPr codeName="Sheet17"/>
  <dimension ref="A1:DD96"/>
  <sheetViews>
    <sheetView topLeftCell="X1" zoomScale="80" zoomScaleNormal="80" workbookViewId="0">
      <selection activeCell="BF61" sqref="BF61:BK66"/>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1481000</v>
      </c>
      <c r="AL5" s="57">
        <v>9246.7000000000007</v>
      </c>
      <c r="AM5" s="57">
        <v>9246.7000000000007</v>
      </c>
      <c r="AN5" s="57">
        <v>9246.7000000000007</v>
      </c>
      <c r="AO5" s="57">
        <v>9246.7000000000007</v>
      </c>
      <c r="AP5" s="57">
        <v>9246.7000000000007</v>
      </c>
      <c r="AQ5" s="37"/>
      <c r="AR5" s="37"/>
      <c r="AS5" s="56">
        <v>0.1</v>
      </c>
      <c r="AT5" s="37" t="s">
        <v>0</v>
      </c>
      <c r="AU5" s="57">
        <v>1481000</v>
      </c>
      <c r="AV5" s="57">
        <v>9246.7000000000007</v>
      </c>
      <c r="AW5" s="57">
        <v>9246.7000000000007</v>
      </c>
      <c r="AX5" s="57">
        <v>9246.7000000000007</v>
      </c>
      <c r="AY5" s="57">
        <v>9246.7000000000007</v>
      </c>
      <c r="AZ5" s="57">
        <v>9246.7000000000007</v>
      </c>
      <c r="BA5" s="37"/>
      <c r="BB5" s="37"/>
      <c r="BC5" s="37"/>
      <c r="BD5" s="56">
        <v>0.1</v>
      </c>
      <c r="BE5" s="37" t="s">
        <v>0</v>
      </c>
      <c r="BF5" s="57">
        <v>1481000</v>
      </c>
      <c r="BG5" s="57">
        <v>9246.7000000000007</v>
      </c>
      <c r="BH5" s="57">
        <v>9246.7000000000007</v>
      </c>
      <c r="BI5" s="57">
        <v>9246.7000000000007</v>
      </c>
      <c r="BJ5" s="57">
        <v>9246.7000000000007</v>
      </c>
      <c r="BK5" s="57">
        <v>9246.7000000000007</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703550</v>
      </c>
      <c r="AL6" s="57">
        <v>4392.2</v>
      </c>
      <c r="AM6" s="57">
        <v>4392.2</v>
      </c>
      <c r="AN6" s="57">
        <v>4392.2</v>
      </c>
      <c r="AO6" s="57">
        <v>4392.2</v>
      </c>
      <c r="AP6" s="57">
        <v>4392.2</v>
      </c>
      <c r="AQ6" s="37"/>
      <c r="AR6" s="37"/>
      <c r="AS6" s="56"/>
      <c r="AT6" s="37" t="s">
        <v>1</v>
      </c>
      <c r="AU6" s="57">
        <v>538990</v>
      </c>
      <c r="AV6" s="57">
        <v>3364.7</v>
      </c>
      <c r="AW6" s="57">
        <v>3364.7</v>
      </c>
      <c r="AX6" s="57">
        <v>3364.7</v>
      </c>
      <c r="AY6" s="57">
        <v>3364.7</v>
      </c>
      <c r="AZ6" s="57">
        <v>3364.7</v>
      </c>
      <c r="BA6" s="37"/>
      <c r="BB6" s="37"/>
      <c r="BC6" s="37"/>
      <c r="BD6" s="56"/>
      <c r="BE6" s="37" t="s">
        <v>1</v>
      </c>
      <c r="BF6" s="57">
        <v>407920</v>
      </c>
      <c r="BG6" s="57">
        <v>2546.9</v>
      </c>
      <c r="BH6" s="57">
        <v>2546.9</v>
      </c>
      <c r="BI6" s="57">
        <v>2546.9</v>
      </c>
      <c r="BJ6" s="57">
        <v>2546.9</v>
      </c>
      <c r="BK6" s="57">
        <v>2546.9</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3.3999081726354454</v>
      </c>
      <c r="D7"/>
      <c r="E7" t="s">
        <v>119</v>
      </c>
      <c r="F7"/>
      <c r="G7" s="103">
        <f>C7*12</f>
        <v>40.798898071625345</v>
      </c>
      <c r="H7"/>
      <c r="I7"/>
      <c r="J7"/>
      <c r="K7"/>
      <c r="L7"/>
      <c r="M7"/>
      <c r="N7"/>
      <c r="O7"/>
      <c r="P7"/>
      <c r="Q7"/>
      <c r="R7"/>
      <c r="S7"/>
      <c r="T7"/>
      <c r="U7"/>
      <c r="V7"/>
      <c r="W7"/>
      <c r="X7"/>
      <c r="Y7"/>
      <c r="Z7"/>
      <c r="AA7"/>
      <c r="AB7"/>
      <c r="AC7"/>
      <c r="AD7"/>
      <c r="AE7"/>
      <c r="AF7"/>
      <c r="AG7"/>
      <c r="AH7" s="37"/>
      <c r="AI7" s="56"/>
      <c r="AJ7" s="37" t="s">
        <v>2</v>
      </c>
      <c r="AK7" s="57">
        <v>777500</v>
      </c>
      <c r="AL7" s="57">
        <v>4854.2</v>
      </c>
      <c r="AM7" s="57">
        <v>4854.2</v>
      </c>
      <c r="AN7" s="57">
        <v>4854.2</v>
      </c>
      <c r="AO7" s="57">
        <v>4854.2</v>
      </c>
      <c r="AP7" s="57">
        <v>4854.2</v>
      </c>
      <c r="AQ7" s="37"/>
      <c r="AR7" s="37"/>
      <c r="AS7" s="56"/>
      <c r="AT7" s="37" t="s">
        <v>2</v>
      </c>
      <c r="AU7" s="57">
        <v>942060</v>
      </c>
      <c r="AV7" s="57">
        <v>5881.6</v>
      </c>
      <c r="AW7" s="57">
        <v>5881.6</v>
      </c>
      <c r="AX7" s="57">
        <v>5881.6</v>
      </c>
      <c r="AY7" s="57">
        <v>5881.6</v>
      </c>
      <c r="AZ7" s="57">
        <v>5881.6</v>
      </c>
      <c r="BA7" s="37"/>
      <c r="BB7" s="37"/>
      <c r="BC7" s="37"/>
      <c r="BD7" s="56"/>
      <c r="BE7" s="37" t="s">
        <v>2</v>
      </c>
      <c r="BF7" s="57">
        <v>1073100</v>
      </c>
      <c r="BG7" s="57">
        <v>6699.6</v>
      </c>
      <c r="BH7" s="57">
        <v>6699.6</v>
      </c>
      <c r="BI7" s="57">
        <v>6699.6</v>
      </c>
      <c r="BJ7" s="57">
        <v>6699.6</v>
      </c>
      <c r="BK7" s="57">
        <v>6699.6</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703350</v>
      </c>
      <c r="AL8" s="57">
        <v>4380.7</v>
      </c>
      <c r="AM8" s="57">
        <v>4229</v>
      </c>
      <c r="AN8" s="57">
        <v>2392.6999999999998</v>
      </c>
      <c r="AO8" s="57">
        <v>23.451000000000001</v>
      </c>
      <c r="AP8" s="57">
        <v>6.5128000000000004</v>
      </c>
      <c r="AQ8" s="37"/>
      <c r="AR8" s="37"/>
      <c r="AS8" s="56"/>
      <c r="AT8" s="37" t="s">
        <v>3</v>
      </c>
      <c r="AU8" s="57">
        <v>538780</v>
      </c>
      <c r="AV8" s="57">
        <v>3351</v>
      </c>
      <c r="AW8" s="57">
        <v>3159.3</v>
      </c>
      <c r="AX8" s="57">
        <v>1011.5</v>
      </c>
      <c r="AY8" s="57">
        <v>9.1795000000000009</v>
      </c>
      <c r="AZ8" s="57">
        <v>3.2288999999999999</v>
      </c>
      <c r="BA8" s="37"/>
      <c r="BB8" s="37"/>
      <c r="BC8" s="37"/>
      <c r="BD8" s="56"/>
      <c r="BE8" s="37" t="s">
        <v>3</v>
      </c>
      <c r="BF8" s="57">
        <v>407370</v>
      </c>
      <c r="BG8" s="57">
        <v>2524.4</v>
      </c>
      <c r="BH8" s="57">
        <v>2244.9</v>
      </c>
      <c r="BI8" s="57">
        <v>300.45999999999998</v>
      </c>
      <c r="BJ8" s="57">
        <v>2.6168999999999998</v>
      </c>
      <c r="BK8" s="57">
        <v>0.77710999999999997</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10.627000000000001</v>
      </c>
      <c r="AM10" s="57">
        <v>162.09</v>
      </c>
      <c r="AN10" s="57">
        <v>1998.5</v>
      </c>
      <c r="AO10" s="57">
        <v>4367.6000000000004</v>
      </c>
      <c r="AP10" s="57">
        <v>4384.6000000000004</v>
      </c>
      <c r="AQ10" s="37"/>
      <c r="AR10" s="37"/>
      <c r="AS10" s="56"/>
      <c r="AT10" s="37" t="s">
        <v>5</v>
      </c>
      <c r="AU10" s="57">
        <v>0</v>
      </c>
      <c r="AV10" s="57">
        <v>13.096</v>
      </c>
      <c r="AW10" s="57">
        <v>204.59</v>
      </c>
      <c r="AX10" s="57">
        <v>2352.1999999999998</v>
      </c>
      <c r="AY10" s="57">
        <v>3354.6</v>
      </c>
      <c r="AZ10" s="57">
        <v>3360.5</v>
      </c>
      <c r="BA10" s="37"/>
      <c r="BB10" s="37"/>
      <c r="BC10" s="37"/>
      <c r="BD10" s="56"/>
      <c r="BE10" s="37" t="s">
        <v>5</v>
      </c>
      <c r="BF10" s="57">
        <v>0</v>
      </c>
      <c r="BG10" s="57">
        <v>19.641999999999999</v>
      </c>
      <c r="BH10" s="57">
        <v>298.93</v>
      </c>
      <c r="BI10" s="57">
        <v>2243.5</v>
      </c>
      <c r="BJ10" s="57">
        <v>2541.3000000000002</v>
      </c>
      <c r="BK10" s="57">
        <v>2543.1999999999998</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0.47505064145847398</v>
      </c>
      <c r="C11" s="75">
        <f t="shared" ref="C11:C19" si="0">(($C$4*D11)+($D$4*E11)+($E$4*F11)+($F$4*G11)+($G$4*I11))</f>
        <v>0.34304777380038282</v>
      </c>
      <c r="D11" s="75">
        <f>AL10/$AL$5</f>
        <v>1.1492748764424065E-3</v>
      </c>
      <c r="E11" s="75">
        <f>AM$10/AM$5</f>
        <v>1.7529497009744016E-2</v>
      </c>
      <c r="F11" s="75">
        <f>AN$10/AN$5</f>
        <v>0.21613116030583882</v>
      </c>
      <c r="G11" s="75">
        <f>AO$10/AO$5</f>
        <v>0.47234148398888254</v>
      </c>
      <c r="H11" s="76">
        <f t="shared" ref="H11:H19" si="1">($D$4*E11+$E$4*F11+$F$4*G11)/(SUM($D$4:$F$4))</f>
        <v>0.23533404710148847</v>
      </c>
      <c r="I11" s="75">
        <f>AP10/$AP$5</f>
        <v>0.47417997772178183</v>
      </c>
      <c r="J11" s="75">
        <f>(($C$5*D11)+($D$5*E11)+($E$5*F11)+($F$5*G11)+($G$5*I11))</f>
        <v>0.23195958558188329</v>
      </c>
      <c r="K11"/>
      <c r="L11" s="68">
        <v>0.1</v>
      </c>
      <c r="M11" s="69">
        <f>AU6/$AK$5</f>
        <v>0.3639365293720459</v>
      </c>
      <c r="N11" s="69">
        <f t="shared" ref="N11:N19" si="2">(($C$4*O11)+($D$4*P11)+($E$4*Q11)+($F$4*R11)+($G$4*T11))</f>
        <v>0.27767888003287655</v>
      </c>
      <c r="O11" s="69">
        <f>AV10/$AL$5</f>
        <v>1.4162890544734878E-3</v>
      </c>
      <c r="P11" s="69">
        <f>AW$10/AW$5</f>
        <v>2.2125731341992277E-2</v>
      </c>
      <c r="Q11" s="69">
        <f>AX$10/AX$5</f>
        <v>0.25438264461916138</v>
      </c>
      <c r="R11" s="69">
        <f>AY$10/AY$5</f>
        <v>0.36278888684611804</v>
      </c>
      <c r="S11" s="70">
        <f t="shared" ref="S11:S19" si="3">($D$4*P11+$E$4*Q11+$F$4*R11)/(SUM($D$4:$F$4))</f>
        <v>0.21309908760242391</v>
      </c>
      <c r="T11" s="69">
        <f>AZ10/$AP$5</f>
        <v>0.36342695231812427</v>
      </c>
      <c r="U11" s="69">
        <f>(($C$5*O11)+($D$5*P11)+($E$5*Q11)+($F$5*R11)+($G$5*T11))</f>
        <v>0.2152203056225464</v>
      </c>
      <c r="V11"/>
      <c r="W11" s="84">
        <v>0.1</v>
      </c>
      <c r="X11" s="85">
        <f>BF6/$AK$5</f>
        <v>0.27543551654287646</v>
      </c>
      <c r="Y11" s="85">
        <f t="shared" ref="Y11:Y19" si="4">(($C$4*Z11)+($D$4*AA11)+($E$4*AB11)+($F$4*AC11)+($G$4*AE11))</f>
        <v>0.22009382806839192</v>
      </c>
      <c r="Z11" s="85">
        <f>BG10/$AL$5</f>
        <v>2.1242172883298906E-3</v>
      </c>
      <c r="AA11" s="85">
        <f>BH$10/BH$5</f>
        <v>3.2328290092681712E-2</v>
      </c>
      <c r="AB11" s="85">
        <f>BI$10/BI$5</f>
        <v>0.24262709939762292</v>
      </c>
      <c r="AC11" s="85">
        <f>BJ$10/BJ$5</f>
        <v>0.27483318373041193</v>
      </c>
      <c r="AD11" s="86">
        <f t="shared" ref="AD11:AD19" si="5">($D$4*AA11+$E$4*AB11+$F$4*AC11)/(SUM($D$4:$F$4))</f>
        <v>0.18326285774023887</v>
      </c>
      <c r="AE11" s="85">
        <f>BK10/$AP$5</f>
        <v>0.27503866244173591</v>
      </c>
      <c r="AF11" s="85">
        <f>(($C$5*Z11)+($D$5*AA11)+($E$5*AB11)+($F$5*AC11)+($G$5*AE11))</f>
        <v>0.18619942249667448</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0.69871708305199187</v>
      </c>
      <c r="C12" s="75">
        <f t="shared" si="0"/>
        <v>0.51198804979073609</v>
      </c>
      <c r="D12" s="75">
        <f>AL17/$AL$5</f>
        <v>2.2070576530005301E-3</v>
      </c>
      <c r="E12" s="75">
        <f>AM17/AM$5</f>
        <v>3.2155255388408834E-2</v>
      </c>
      <c r="F12" s="75">
        <f>AN17/AN$5</f>
        <v>0.36009603426087139</v>
      </c>
      <c r="G12" s="75">
        <f>AO17/AO$5</f>
        <v>0.69576173121221618</v>
      </c>
      <c r="H12" s="76">
        <f t="shared" si="1"/>
        <v>0.3626710069538322</v>
      </c>
      <c r="I12" s="75">
        <f>AP17/$AP$5</f>
        <v>0.69735148755772325</v>
      </c>
      <c r="J12" s="75">
        <f t="shared" ref="J12:J18" si="6">(($C$5*D12)+($D$5*E12)+($E$5*F12)+($F$5*G12)+($G$5*I12))</f>
        <v>0.35957766554554593</v>
      </c>
      <c r="K12"/>
      <c r="L12" s="68">
        <v>0.2</v>
      </c>
      <c r="M12" s="69">
        <f>AU13/$AK$5</f>
        <v>0.5809588116137745</v>
      </c>
      <c r="N12" s="69">
        <f t="shared" si="2"/>
        <v>0.44860313949841557</v>
      </c>
      <c r="O12" s="69">
        <f>AV17/$AL$5</f>
        <v>3.0792607092259938E-3</v>
      </c>
      <c r="P12" s="69">
        <f>AW17/AW$5</f>
        <v>4.3648004152832903E-2</v>
      </c>
      <c r="Q12" s="69">
        <f>AX17/AX$5</f>
        <v>0.43179728984394428</v>
      </c>
      <c r="R12" s="69">
        <f>AY17/AY$5</f>
        <v>0.57979603534233826</v>
      </c>
      <c r="S12" s="70">
        <f t="shared" si="3"/>
        <v>0.35174710977970514</v>
      </c>
      <c r="T12" s="69">
        <f>AZ17/$AP$5</f>
        <v>0.58032595412417398</v>
      </c>
      <c r="U12" s="69">
        <f t="shared" ref="U12:U18" si="7">(($C$5*O12)+($D$5*P12)+($E$5*Q12)+($F$5*R12)+($G$5*T12))</f>
        <v>0.35574824531995192</v>
      </c>
      <c r="V12"/>
      <c r="W12" s="84">
        <v>0.2</v>
      </c>
      <c r="X12" s="85">
        <f>BF13/$AK$5</f>
        <v>0.48295070898041864</v>
      </c>
      <c r="Y12" s="85">
        <f t="shared" si="4"/>
        <v>0.38747141682978792</v>
      </c>
      <c r="Z12" s="85">
        <f>BG17/$AL$5</f>
        <v>4.1062216790855111E-3</v>
      </c>
      <c r="AA12" s="85">
        <f>BH17/BH$5</f>
        <v>5.9717520845274534E-2</v>
      </c>
      <c r="AB12" s="85">
        <f>BI17/BI$5</f>
        <v>0.43165669914672261</v>
      </c>
      <c r="AC12" s="85">
        <f>BJ17/BJ$5</f>
        <v>0.48225853547752168</v>
      </c>
      <c r="AD12" s="86">
        <f t="shared" si="5"/>
        <v>0.32454425182317298</v>
      </c>
      <c r="AE12" s="85">
        <f>BK17/$AP$5</f>
        <v>0.48244238485081159</v>
      </c>
      <c r="AF12" s="85">
        <f t="shared" ref="AF12:AF18" si="8">(($C$5*Z12)+($D$5*AA12)+($E$5*AB12)+($F$5*AC12)+($G$5*AE12))</f>
        <v>0.32971275157623803</v>
      </c>
      <c r="AG12"/>
      <c r="AH12" s="37"/>
      <c r="AI12" s="56">
        <v>0.2</v>
      </c>
      <c r="AJ12" s="37" t="s">
        <v>0</v>
      </c>
      <c r="AK12" s="57">
        <v>1481000</v>
      </c>
      <c r="AL12" s="57">
        <v>9246.7000000000007</v>
      </c>
      <c r="AM12" s="57">
        <v>9246.7000000000007</v>
      </c>
      <c r="AN12" s="57">
        <v>9246.7000000000007</v>
      </c>
      <c r="AO12" s="57">
        <v>9246.7000000000007</v>
      </c>
      <c r="AP12" s="57">
        <v>9246.7000000000007</v>
      </c>
      <c r="AQ12" s="37"/>
      <c r="AR12" s="37"/>
      <c r="AS12" s="56">
        <v>0.2</v>
      </c>
      <c r="AT12" s="37" t="s">
        <v>0</v>
      </c>
      <c r="AU12" s="57">
        <v>1481000</v>
      </c>
      <c r="AV12" s="57">
        <v>9246.7000000000007</v>
      </c>
      <c r="AW12" s="57">
        <v>9246.7000000000007</v>
      </c>
      <c r="AX12" s="57">
        <v>9246.7000000000007</v>
      </c>
      <c r="AY12" s="57">
        <v>9246.7000000000007</v>
      </c>
      <c r="AZ12" s="57">
        <v>9246.7000000000007</v>
      </c>
      <c r="BA12" s="37"/>
      <c r="BB12" s="37"/>
      <c r="BC12" s="37"/>
      <c r="BD12" s="56">
        <v>0.2</v>
      </c>
      <c r="BE12" s="37" t="s">
        <v>0</v>
      </c>
      <c r="BF12" s="57">
        <v>1481000</v>
      </c>
      <c r="BG12" s="57">
        <v>9246.7000000000007</v>
      </c>
      <c r="BH12" s="57">
        <v>9246.7000000000007</v>
      </c>
      <c r="BI12" s="57">
        <v>9246.7000000000007</v>
      </c>
      <c r="BJ12" s="57">
        <v>9246.7000000000007</v>
      </c>
      <c r="BK12" s="57">
        <v>9246.7000000000007</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0.87103308575286964</v>
      </c>
      <c r="C13" s="75">
        <f t="shared" si="0"/>
        <v>0.64998812549341922</v>
      </c>
      <c r="D13" s="75">
        <f>AL24/$AL$5</f>
        <v>4.1543469562114049E-3</v>
      </c>
      <c r="E13" s="75">
        <f>AM24/AM$5</f>
        <v>5.5255388408837744E-2</v>
      </c>
      <c r="F13" s="75">
        <f>AN24/AN$5</f>
        <v>0.51093903771075078</v>
      </c>
      <c r="G13" s="75">
        <f>AO24/AO$5</f>
        <v>0.86792044729471041</v>
      </c>
      <c r="H13" s="76">
        <f t="shared" si="1"/>
        <v>0.4780382911380997</v>
      </c>
      <c r="I13" s="75">
        <f>AP24/$AP$5</f>
        <v>0.8693263542669275</v>
      </c>
      <c r="J13" s="75">
        <f t="shared" si="6"/>
        <v>0.47635885234732389</v>
      </c>
      <c r="K13"/>
      <c r="L13" s="68">
        <v>0.4</v>
      </c>
      <c r="M13" s="69">
        <f>AU20/$AK$5</f>
        <v>0.79135719108710334</v>
      </c>
      <c r="N13" s="69">
        <f t="shared" si="2"/>
        <v>0.61657540527972143</v>
      </c>
      <c r="O13" s="69">
        <f>AV24/$AL$5</f>
        <v>5.1181502590113229E-3</v>
      </c>
      <c r="P13" s="69">
        <f>AW24/AW$5</f>
        <v>6.9182519169000825E-2</v>
      </c>
      <c r="Q13" s="69">
        <f>AX24/AX$5</f>
        <v>0.61439216152789644</v>
      </c>
      <c r="R13" s="69">
        <f>AY24/AY$5</f>
        <v>0.79011971838601869</v>
      </c>
      <c r="S13" s="70">
        <f t="shared" si="3"/>
        <v>0.49123146636097198</v>
      </c>
      <c r="T13" s="69">
        <f>AZ24/$AP$5</f>
        <v>0.79053067580866687</v>
      </c>
      <c r="U13" s="69">
        <f t="shared" si="7"/>
        <v>0.49718219472893033</v>
      </c>
      <c r="V13"/>
      <c r="W13" s="84">
        <v>0.4</v>
      </c>
      <c r="X13" s="85">
        <f>BF20/$AK$5</f>
        <v>0.69864956110735987</v>
      </c>
      <c r="Y13" s="85">
        <f t="shared" si="4"/>
        <v>0.5648336271318416</v>
      </c>
      <c r="Z13" s="85">
        <f>BG24/$AL$5</f>
        <v>7.3185028172212778E-3</v>
      </c>
      <c r="AA13" s="85">
        <f>BH24/BH$5</f>
        <v>9.9504688159018889E-2</v>
      </c>
      <c r="AB13" s="85">
        <f>BI24/BI$5</f>
        <v>0.63848724409789426</v>
      </c>
      <c r="AC13" s="85">
        <f>BJ24/BJ$5</f>
        <v>0.69798955302972954</v>
      </c>
      <c r="AD13" s="86">
        <f t="shared" si="5"/>
        <v>0.47866049509554759</v>
      </c>
      <c r="AE13" s="85">
        <f>BK24/$AP$5</f>
        <v>0.69814095839596824</v>
      </c>
      <c r="AF13" s="85">
        <f t="shared" si="8"/>
        <v>0.48543969199822645</v>
      </c>
      <c r="AG13"/>
      <c r="AH13" s="37"/>
      <c r="AI13" s="56"/>
      <c r="AJ13" s="37" t="s">
        <v>1</v>
      </c>
      <c r="AK13" s="57">
        <v>1034800</v>
      </c>
      <c r="AL13" s="57">
        <v>6460.4</v>
      </c>
      <c r="AM13" s="57">
        <v>6460.4</v>
      </c>
      <c r="AN13" s="57">
        <v>6460.4</v>
      </c>
      <c r="AO13" s="57">
        <v>6460.4</v>
      </c>
      <c r="AP13" s="57">
        <v>6460.4</v>
      </c>
      <c r="AQ13" s="37"/>
      <c r="AR13" s="37"/>
      <c r="AS13" s="56"/>
      <c r="AT13" s="37" t="s">
        <v>1</v>
      </c>
      <c r="AU13" s="57">
        <v>860400</v>
      </c>
      <c r="AV13" s="57">
        <v>5371.5</v>
      </c>
      <c r="AW13" s="57">
        <v>5371.5</v>
      </c>
      <c r="AX13" s="57">
        <v>5371.5</v>
      </c>
      <c r="AY13" s="57">
        <v>5371.5</v>
      </c>
      <c r="AZ13" s="57">
        <v>5371.5</v>
      </c>
      <c r="BA13" s="37"/>
      <c r="BB13" s="37"/>
      <c r="BC13" s="37"/>
      <c r="BD13" s="56"/>
      <c r="BE13" s="37" t="s">
        <v>1</v>
      </c>
      <c r="BF13" s="57">
        <v>715250</v>
      </c>
      <c r="BG13" s="57">
        <v>4465.3999999999996</v>
      </c>
      <c r="BH13" s="57">
        <v>4465.3999999999996</v>
      </c>
      <c r="BI13" s="57">
        <v>4465.3999999999996</v>
      </c>
      <c r="BJ13" s="57">
        <v>4465.3999999999996</v>
      </c>
      <c r="BK13" s="57">
        <v>4465.3999999999996</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0.94051316677920327</v>
      </c>
      <c r="C14" s="75">
        <f t="shared" si="0"/>
        <v>0.7128320481901651</v>
      </c>
      <c r="D14" s="75">
        <f>AL31/$AL$5</f>
        <v>6.0618382774395184E-3</v>
      </c>
      <c r="E14" s="75">
        <f>AM31/AM$5</f>
        <v>7.6114722008932906E-2</v>
      </c>
      <c r="F14" s="75">
        <f>AN31/AN$5</f>
        <v>0.60831431754031162</v>
      </c>
      <c r="G14" s="75">
        <f>AO31/AO$5</f>
        <v>0.93729654903911652</v>
      </c>
      <c r="H14" s="76">
        <f t="shared" si="1"/>
        <v>0.54057519619612038</v>
      </c>
      <c r="I14" s="75">
        <f>AP31/$AP$5</f>
        <v>0.93854023597607783</v>
      </c>
      <c r="J14" s="75">
        <f t="shared" si="6"/>
        <v>0.54046818865108626</v>
      </c>
      <c r="K14"/>
      <c r="L14" s="68">
        <v>0.6</v>
      </c>
      <c r="M14" s="69">
        <f>AU27/$AK$5</f>
        <v>0.89365293720459149</v>
      </c>
      <c r="N14" s="69">
        <f t="shared" si="2"/>
        <v>0.7029789276174202</v>
      </c>
      <c r="O14" s="69">
        <f>AV31/$AL$5</f>
        <v>7.556749975666994E-3</v>
      </c>
      <c r="P14" s="69">
        <f>AW31/AW$5</f>
        <v>9.4997134112710463E-2</v>
      </c>
      <c r="Q14" s="69">
        <f>AX31/AX$5</f>
        <v>0.72070035796554444</v>
      </c>
      <c r="R14" s="69">
        <f>AY31/AY$5</f>
        <v>0.89243730195637361</v>
      </c>
      <c r="S14" s="70">
        <f t="shared" si="3"/>
        <v>0.56937826467820951</v>
      </c>
      <c r="T14" s="69">
        <f>AZ31/$AP$5</f>
        <v>0.89276174202688519</v>
      </c>
      <c r="U14" s="69">
        <f t="shared" si="7"/>
        <v>0.57579887960028986</v>
      </c>
      <c r="V14"/>
      <c r="W14" s="84">
        <v>0.6</v>
      </c>
      <c r="X14" s="85">
        <f>BF27/$AK$5</f>
        <v>0.82457798784604996</v>
      </c>
      <c r="Y14" s="85">
        <f t="shared" si="4"/>
        <v>0.67025917895032816</v>
      </c>
      <c r="Z14" s="85">
        <f>BG31/$AL$5</f>
        <v>1.031838385586209E-2</v>
      </c>
      <c r="AA14" s="85">
        <f>BH31/BH$5</f>
        <v>0.13242562211383518</v>
      </c>
      <c r="AB14" s="85">
        <f>BI31/BI$5</f>
        <v>0.76192587625855701</v>
      </c>
      <c r="AC14" s="85">
        <f>BJ31/BJ$5</f>
        <v>0.82389392972628073</v>
      </c>
      <c r="AD14" s="86">
        <f t="shared" si="5"/>
        <v>0.57274847603289103</v>
      </c>
      <c r="AE14" s="85">
        <f>BK31/$AP$5</f>
        <v>0.82401289108546827</v>
      </c>
      <c r="AF14" s="85">
        <f t="shared" si="8"/>
        <v>0.57946738836557909</v>
      </c>
      <c r="AG14"/>
      <c r="AH14" s="37"/>
      <c r="AI14" s="56"/>
      <c r="AJ14" s="37" t="s">
        <v>2</v>
      </c>
      <c r="AK14" s="57">
        <v>446270</v>
      </c>
      <c r="AL14" s="57">
        <v>2786.2</v>
      </c>
      <c r="AM14" s="57">
        <v>2786.2</v>
      </c>
      <c r="AN14" s="57">
        <v>2786.2</v>
      </c>
      <c r="AO14" s="57">
        <v>2786.2</v>
      </c>
      <c r="AP14" s="57">
        <v>2786.2</v>
      </c>
      <c r="AQ14" s="37"/>
      <c r="AR14" s="37"/>
      <c r="AS14" s="56"/>
      <c r="AT14" s="37" t="s">
        <v>2</v>
      </c>
      <c r="AU14" s="57">
        <v>620640</v>
      </c>
      <c r="AV14" s="57">
        <v>3874.9</v>
      </c>
      <c r="AW14" s="57">
        <v>3874.9</v>
      </c>
      <c r="AX14" s="57">
        <v>3874.9</v>
      </c>
      <c r="AY14" s="57">
        <v>3874.9</v>
      </c>
      <c r="AZ14" s="57">
        <v>3874.9</v>
      </c>
      <c r="BA14" s="37"/>
      <c r="BB14" s="37"/>
      <c r="BC14" s="37"/>
      <c r="BD14" s="56"/>
      <c r="BE14" s="37" t="s">
        <v>2</v>
      </c>
      <c r="BF14" s="57">
        <v>765870</v>
      </c>
      <c r="BG14" s="57">
        <v>4781.6000000000004</v>
      </c>
      <c r="BH14" s="57">
        <v>4781.6000000000004</v>
      </c>
      <c r="BI14" s="57">
        <v>4781.6000000000004</v>
      </c>
      <c r="BJ14" s="57">
        <v>4781.6000000000004</v>
      </c>
      <c r="BK14" s="57">
        <v>4781.6000000000004</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0.96833220796758945</v>
      </c>
      <c r="C15" s="75">
        <f t="shared" si="0"/>
        <v>0.74268433603339568</v>
      </c>
      <c r="D15" s="75">
        <f>AL38/$AL$5</f>
        <v>7.8963305828025129E-3</v>
      </c>
      <c r="E15" s="75">
        <f>AM38/AM$5</f>
        <v>9.4573199087241933E-2</v>
      </c>
      <c r="F15" s="75">
        <f>AN38/AN$5</f>
        <v>0.6689737960569716</v>
      </c>
      <c r="G15" s="75">
        <f>AO38/AO$5</f>
        <v>0.96487395503260609</v>
      </c>
      <c r="H15" s="76">
        <f t="shared" si="1"/>
        <v>0.57614031672560662</v>
      </c>
      <c r="I15" s="75">
        <f>AP38/$AP$5</f>
        <v>0.96605275395546508</v>
      </c>
      <c r="J15" s="75">
        <f t="shared" si="6"/>
        <v>0.57687385770058508</v>
      </c>
      <c r="K15"/>
      <c r="L15" s="68">
        <v>0.8</v>
      </c>
      <c r="M15" s="69">
        <f>AU34/$AK$5</f>
        <v>0.94078325455773126</v>
      </c>
      <c r="N15" s="69">
        <f t="shared" si="2"/>
        <v>0.74791379627326493</v>
      </c>
      <c r="O15" s="69">
        <f>AV38/$AL$5</f>
        <v>9.9051553527204298E-3</v>
      </c>
      <c r="P15" s="69">
        <f>AW38/AW$5</f>
        <v>0.11823677636345938</v>
      </c>
      <c r="Q15" s="69">
        <f>AX38/AX$5</f>
        <v>0.79227183752041264</v>
      </c>
      <c r="R15" s="69">
        <f>AY38/AY$5</f>
        <v>0.93963251754680044</v>
      </c>
      <c r="S15" s="70">
        <f t="shared" si="3"/>
        <v>0.61671371047689083</v>
      </c>
      <c r="T15" s="69">
        <f>AZ38/$AP$5</f>
        <v>0.93979473758205623</v>
      </c>
      <c r="U15" s="69">
        <f t="shared" si="7"/>
        <v>0.62345258308369467</v>
      </c>
      <c r="V15"/>
      <c r="W15" s="84">
        <v>0.8</v>
      </c>
      <c r="X15" s="85">
        <f>BF34/$AK$5</f>
        <v>0.89736664415935175</v>
      </c>
      <c r="Y15" s="85">
        <f t="shared" si="4"/>
        <v>0.73274319486952089</v>
      </c>
      <c r="Z15" s="85">
        <f>BG38/$AL$5</f>
        <v>1.3067364573307233E-2</v>
      </c>
      <c r="AA15" s="85">
        <f>BH38/BH$5</f>
        <v>0.15947310932548908</v>
      </c>
      <c r="AB15" s="85">
        <f>BI38/BI$5</f>
        <v>0.83540073756042688</v>
      </c>
      <c r="AC15" s="85">
        <f>BJ38/BJ$5</f>
        <v>0.89662257886597363</v>
      </c>
      <c r="AD15" s="86">
        <f t="shared" si="5"/>
        <v>0.63049880858396312</v>
      </c>
      <c r="AE15" s="85">
        <f>BK38/$AP$5</f>
        <v>0.89673072555614419</v>
      </c>
      <c r="AF15" s="85">
        <f t="shared" si="8"/>
        <v>0.63635924167540847</v>
      </c>
      <c r="AG15"/>
      <c r="AH15" s="37"/>
      <c r="AI15" s="56"/>
      <c r="AJ15" s="37" t="s">
        <v>3</v>
      </c>
      <c r="AK15" s="57">
        <v>1034600</v>
      </c>
      <c r="AL15" s="57">
        <v>6439.3</v>
      </c>
      <c r="AM15" s="57">
        <v>6162</v>
      </c>
      <c r="AN15" s="57">
        <v>3129.6</v>
      </c>
      <c r="AO15" s="57">
        <v>25.882999999999999</v>
      </c>
      <c r="AP15" s="57">
        <v>11.207000000000001</v>
      </c>
      <c r="AQ15" s="37"/>
      <c r="AR15" s="37"/>
      <c r="AS15" s="56"/>
      <c r="AT15" s="37" t="s">
        <v>3</v>
      </c>
      <c r="AU15" s="57">
        <v>860060</v>
      </c>
      <c r="AV15" s="57">
        <v>5341.1</v>
      </c>
      <c r="AW15" s="57">
        <v>4965.5</v>
      </c>
      <c r="AX15" s="57">
        <v>1376.7</v>
      </c>
      <c r="AY15" s="57">
        <v>8.1128999999999998</v>
      </c>
      <c r="AZ15" s="57">
        <v>3.2704</v>
      </c>
      <c r="BA15" s="37"/>
      <c r="BB15" s="37"/>
      <c r="BC15" s="37"/>
      <c r="BD15" s="56"/>
      <c r="BE15" s="37" t="s">
        <v>3</v>
      </c>
      <c r="BF15" s="57">
        <v>714820</v>
      </c>
      <c r="BG15" s="57">
        <v>4424.2</v>
      </c>
      <c r="BH15" s="57">
        <v>3909.7</v>
      </c>
      <c r="BI15" s="57">
        <v>470.8</v>
      </c>
      <c r="BJ15" s="57">
        <v>2.9556</v>
      </c>
      <c r="BK15" s="57">
        <v>1.2556</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0.98197164078325461</v>
      </c>
      <c r="C16" s="75">
        <f t="shared" si="0"/>
        <v>0.76046259746720457</v>
      </c>
      <c r="D16" s="75">
        <f>AL45/$AL$5</f>
        <v>9.6996766413963882E-3</v>
      </c>
      <c r="E16" s="75">
        <f>AM45/AM$5</f>
        <v>0.11162901359403896</v>
      </c>
      <c r="F16" s="75">
        <f>AN45/AN$5</f>
        <v>0.71076167713887106</v>
      </c>
      <c r="G16" s="75">
        <f>AO45/AO$5</f>
        <v>0.97856532600819746</v>
      </c>
      <c r="H16" s="76">
        <f t="shared" si="1"/>
        <v>0.60031867224703583</v>
      </c>
      <c r="I16" s="75">
        <f>AP45/$AP$5</f>
        <v>0.97966842224793715</v>
      </c>
      <c r="J16" s="75">
        <f t="shared" si="6"/>
        <v>0.60128034866492908</v>
      </c>
      <c r="K16"/>
      <c r="L16" s="68">
        <v>1</v>
      </c>
      <c r="M16" s="69">
        <f>AU41/$AK$5</f>
        <v>0.96218771100607703</v>
      </c>
      <c r="N16" s="69">
        <f t="shared" si="2"/>
        <v>0.76806184909210851</v>
      </c>
      <c r="O16" s="69">
        <f>AV45/$AL$5</f>
        <v>1.164199119685942E-2</v>
      </c>
      <c r="P16" s="69">
        <f>AW45/AW$5</f>
        <v>0.13432900386083682</v>
      </c>
      <c r="Q16" s="69">
        <f>AX45/AX$5</f>
        <v>0.81757816302032071</v>
      </c>
      <c r="R16" s="69">
        <f>AY45/AY$5</f>
        <v>0.96085089815826186</v>
      </c>
      <c r="S16" s="70">
        <f t="shared" si="3"/>
        <v>0.63758602167980649</v>
      </c>
      <c r="T16" s="69">
        <f>AZ45/$AP$5</f>
        <v>0.96113207955270519</v>
      </c>
      <c r="U16" s="69">
        <f t="shared" si="7"/>
        <v>0.64334465268690455</v>
      </c>
      <c r="V16"/>
      <c r="W16" s="84">
        <v>1</v>
      </c>
      <c r="X16" s="85">
        <f>BF41/$AK$5</f>
        <v>0.93268062120189066</v>
      </c>
      <c r="Y16" s="85">
        <f t="shared" si="4"/>
        <v>0.76510149566872498</v>
      </c>
      <c r="Z16" s="85">
        <f>BG45/$AL$5</f>
        <v>1.5603404457806568E-2</v>
      </c>
      <c r="AA16" s="85">
        <f>BH45/BH$5</f>
        <v>0.18209739690916757</v>
      </c>
      <c r="AB16" s="85">
        <f>BI45/BI$5</f>
        <v>0.87467961543036965</v>
      </c>
      <c r="AC16" s="85">
        <f>BJ45/BJ$5</f>
        <v>0.9319324732066574</v>
      </c>
      <c r="AD16" s="86">
        <f t="shared" si="5"/>
        <v>0.66290316184873166</v>
      </c>
      <c r="AE16" s="85">
        <f>BK45/$AP$5</f>
        <v>0.93202980522781098</v>
      </c>
      <c r="AF16" s="85">
        <f t="shared" si="8"/>
        <v>0.66744114116387465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0.98926401080351112</v>
      </c>
      <c r="C17" s="75">
        <f t="shared" si="0"/>
        <v>0.77264526804157152</v>
      </c>
      <c r="D17" s="75">
        <f>AL52/$AL$5</f>
        <v>1.1461386224274606E-2</v>
      </c>
      <c r="E17" s="75">
        <f>AM52/AM$5</f>
        <v>0.1277861291055187</v>
      </c>
      <c r="F17" s="75">
        <f>AN52/AN$5</f>
        <v>0.74426552175370664</v>
      </c>
      <c r="G17" s="75">
        <f>AO52/AO$5</f>
        <v>0.98577871024257302</v>
      </c>
      <c r="H17" s="76">
        <f t="shared" si="1"/>
        <v>0.61927678703393285</v>
      </c>
      <c r="I17" s="75">
        <f>AP52/$AP$5</f>
        <v>0.98679528913017611</v>
      </c>
      <c r="J17" s="75">
        <f t="shared" si="6"/>
        <v>0.62024484410654601</v>
      </c>
      <c r="K17"/>
      <c r="L17" s="68">
        <v>1.2</v>
      </c>
      <c r="M17" s="69">
        <f>AU48/$AK$5</f>
        <v>0.97488183659689398</v>
      </c>
      <c r="N17" s="69">
        <f t="shared" si="2"/>
        <v>0.78301312900818665</v>
      </c>
      <c r="O17" s="69">
        <f>AV52/$AL$5</f>
        <v>1.3837369007321531E-2</v>
      </c>
      <c r="P17" s="69">
        <f>AW52/AW$5</f>
        <v>0.15298430791525622</v>
      </c>
      <c r="Q17" s="69">
        <f>AX52/AX$5</f>
        <v>0.8428736738512117</v>
      </c>
      <c r="R17" s="69">
        <f>AY52/AY$5</f>
        <v>0.97355813425330118</v>
      </c>
      <c r="S17" s="70">
        <f t="shared" si="3"/>
        <v>0.65647203867325632</v>
      </c>
      <c r="T17" s="69">
        <f>AZ52/$AP$5</f>
        <v>0.97381768630971044</v>
      </c>
      <c r="U17" s="69">
        <f t="shared" si="7"/>
        <v>0.66122346350589933</v>
      </c>
      <c r="V17"/>
      <c r="W17" s="84">
        <v>1.2</v>
      </c>
      <c r="X17" s="85">
        <f>BF48/$AK$5</f>
        <v>0.95489534098582041</v>
      </c>
      <c r="Y17" s="85">
        <f t="shared" si="4"/>
        <v>0.78665145403224934</v>
      </c>
      <c r="Z17" s="85">
        <f>BG52/$AL$5</f>
        <v>1.8103755934549621E-2</v>
      </c>
      <c r="AA17" s="85">
        <f>BH52/BH$5</f>
        <v>0.20263445337255453</v>
      </c>
      <c r="AB17" s="85">
        <f>BI52/BI$5</f>
        <v>0.90075378243048865</v>
      </c>
      <c r="AC17" s="85">
        <f>BJ52/BJ$5</f>
        <v>0.95414580336768795</v>
      </c>
      <c r="AD17" s="86">
        <f t="shared" si="5"/>
        <v>0.6858446797235771</v>
      </c>
      <c r="AE17" s="85">
        <f>BK52/$AP$5</f>
        <v>0.95423232071982433</v>
      </c>
      <c r="AF17" s="85">
        <f t="shared" si="8"/>
        <v>0.68889117198568139</v>
      </c>
      <c r="AG17"/>
      <c r="AH17" s="37"/>
      <c r="AI17" s="56"/>
      <c r="AJ17" s="37" t="s">
        <v>5</v>
      </c>
      <c r="AK17" s="57">
        <v>0</v>
      </c>
      <c r="AL17" s="57">
        <v>20.408000000000001</v>
      </c>
      <c r="AM17" s="57">
        <v>297.33</v>
      </c>
      <c r="AN17" s="57">
        <v>3329.7</v>
      </c>
      <c r="AO17" s="57">
        <v>6433.5</v>
      </c>
      <c r="AP17" s="57">
        <v>6448.2</v>
      </c>
      <c r="AQ17" s="37"/>
      <c r="AR17" s="37"/>
      <c r="AS17" s="56"/>
      <c r="AT17" s="37" t="s">
        <v>5</v>
      </c>
      <c r="AU17" s="57">
        <v>0</v>
      </c>
      <c r="AV17" s="57">
        <v>28.472999999999999</v>
      </c>
      <c r="AW17" s="57">
        <v>403.6</v>
      </c>
      <c r="AX17" s="57">
        <v>3992.7</v>
      </c>
      <c r="AY17" s="57">
        <v>5361.2</v>
      </c>
      <c r="AZ17" s="57">
        <v>5366.1</v>
      </c>
      <c r="BA17" s="37"/>
      <c r="BB17" s="37"/>
      <c r="BC17" s="37"/>
      <c r="BD17" s="56"/>
      <c r="BE17" s="37" t="s">
        <v>5</v>
      </c>
      <c r="BF17" s="57">
        <v>0</v>
      </c>
      <c r="BG17" s="57">
        <v>37.969000000000001</v>
      </c>
      <c r="BH17" s="57">
        <v>552.19000000000005</v>
      </c>
      <c r="BI17" s="57">
        <v>3991.4</v>
      </c>
      <c r="BJ17" s="57">
        <v>4459.3</v>
      </c>
      <c r="BK17" s="57">
        <v>4461</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0.99615124915597564</v>
      </c>
      <c r="C18" s="75">
        <f t="shared" si="0"/>
        <v>0.78846285701926089</v>
      </c>
      <c r="D18" s="75">
        <f>AL59/$AL$5</f>
        <v>1.4825829755480333E-2</v>
      </c>
      <c r="E18" s="75">
        <f>AM59/AM$5</f>
        <v>0.15688840343041299</v>
      </c>
      <c r="F18" s="75">
        <f>AN59/AN$5</f>
        <v>0.79021705040717216</v>
      </c>
      <c r="G18" s="75">
        <f>AO59/AO$5</f>
        <v>0.99266765440643678</v>
      </c>
      <c r="H18" s="76">
        <f t="shared" si="1"/>
        <v>0.64659103608134072</v>
      </c>
      <c r="I18" s="75">
        <f>AP59/$AP$5</f>
        <v>0.99351119858976711</v>
      </c>
      <c r="J18" s="75">
        <f t="shared" si="6"/>
        <v>0.64683173456476362</v>
      </c>
      <c r="K18"/>
      <c r="L18" s="68">
        <v>1.6</v>
      </c>
      <c r="M18" s="69">
        <f>AU55/$AK$5</f>
        <v>0.98811613774476703</v>
      </c>
      <c r="N18" s="69">
        <f t="shared" si="2"/>
        <v>0.80125871932689496</v>
      </c>
      <c r="O18" s="69">
        <f>AV59/$AL$5</f>
        <v>1.7647376902029912E-2</v>
      </c>
      <c r="P18" s="69">
        <f>AW59/AW$5</f>
        <v>0.18379529994484517</v>
      </c>
      <c r="Q18" s="69">
        <f>AX59/AX$5</f>
        <v>0.87556641828976822</v>
      </c>
      <c r="R18" s="69">
        <f>AY59/AY$5</f>
        <v>0.9867304011160738</v>
      </c>
      <c r="S18" s="70">
        <f t="shared" si="3"/>
        <v>0.68203070645022912</v>
      </c>
      <c r="T18" s="69">
        <f>AZ59/$AP$5</f>
        <v>0.98692506515838063</v>
      </c>
      <c r="U18" s="69">
        <f t="shared" si="7"/>
        <v>0.68478895173413212</v>
      </c>
      <c r="V18"/>
      <c r="W18" s="84">
        <v>1.6</v>
      </c>
      <c r="X18" s="85">
        <f>BF55/$AK$5</f>
        <v>0.97467927076299798</v>
      </c>
      <c r="Y18" s="85">
        <f t="shared" si="4"/>
        <v>0.80945780656882982</v>
      </c>
      <c r="Z18" s="85">
        <f>BG59/$AL$5</f>
        <v>2.3269923323996664E-2</v>
      </c>
      <c r="AA18" s="85">
        <f>BH59/BH$5</f>
        <v>0.24023705754485383</v>
      </c>
      <c r="AB18" s="85">
        <f>BI59/BI$5</f>
        <v>0.92787697232526178</v>
      </c>
      <c r="AC18" s="85">
        <f>BJ59/BJ$5</f>
        <v>0.97391501833086391</v>
      </c>
      <c r="AD18" s="86">
        <f t="shared" si="5"/>
        <v>0.71400968273365994</v>
      </c>
      <c r="AE18" s="85">
        <f>BK59/$AP$5</f>
        <v>0.97397990634496623</v>
      </c>
      <c r="AF18" s="85">
        <f t="shared" si="8"/>
        <v>0.71370618707214462</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0.34304777380038282</v>
      </c>
      <c r="CH18" s="62">
        <f t="shared" ref="CH18:CH26" si="10">N11</f>
        <v>0.27767888003287655</v>
      </c>
      <c r="CI18" s="62">
        <f t="shared" ref="CI18:CI26" si="11">Y11</f>
        <v>0.22009382806839192</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0.99810938555030382</v>
      </c>
      <c r="C19" s="75">
        <f t="shared" si="0"/>
        <v>0.79875777304335593</v>
      </c>
      <c r="D19" s="75">
        <f>AL66/$AL$5</f>
        <v>1.8197843554998001E-2</v>
      </c>
      <c r="E19" s="75">
        <f>AM66/AM$5</f>
        <v>0.18406566667027155</v>
      </c>
      <c r="F19" s="75">
        <f>AN66/AN$5</f>
        <v>0.82230417338077366</v>
      </c>
      <c r="G19" s="75">
        <f>AO66/AO$5</f>
        <v>0.99471162685066006</v>
      </c>
      <c r="H19" s="76">
        <f t="shared" si="1"/>
        <v>0.6670271556339018</v>
      </c>
      <c r="I19" s="75">
        <f>AP66/$AP$5</f>
        <v>0.99537132166070041</v>
      </c>
      <c r="J19" s="75">
        <f>(($C$5*D19)+($D$5*E19)+($E$5*F19)+($F$5*G19)+($G$5*I19))</f>
        <v>0.6660340445780657</v>
      </c>
      <c r="K19"/>
      <c r="L19" s="68">
        <v>2</v>
      </c>
      <c r="M19" s="69">
        <f>AU62/$AK$5</f>
        <v>0.99540850776502365</v>
      </c>
      <c r="N19" s="69">
        <f t="shared" si="2"/>
        <v>0.81442217223441871</v>
      </c>
      <c r="O19" s="69">
        <f>AV66/$AL$5</f>
        <v>2.174289205878854E-2</v>
      </c>
      <c r="P19" s="69">
        <f>AW66/AW$5</f>
        <v>0.21484421469280929</v>
      </c>
      <c r="Q19" s="69">
        <f>AX66/AX$5</f>
        <v>0.89918565542301576</v>
      </c>
      <c r="R19" s="69">
        <f>AY66/AY$5</f>
        <v>0.99408437604767097</v>
      </c>
      <c r="S19" s="70">
        <f t="shared" si="3"/>
        <v>0.70270474872116528</v>
      </c>
      <c r="T19" s="69">
        <f>AZ66/$AP$5</f>
        <v>0.99423578141390967</v>
      </c>
      <c r="U19" s="69">
        <f>(($C$5*O19)+($D$5*P19)+($E$5*Q19)+($F$5*R19)+($G$5*T19))</f>
        <v>0.70305784766457213</v>
      </c>
      <c r="V19"/>
      <c r="W19" s="84">
        <v>2</v>
      </c>
      <c r="X19" s="85">
        <f>BF62/$AK$5</f>
        <v>0.98501012829169476</v>
      </c>
      <c r="Y19" s="85">
        <f t="shared" si="4"/>
        <v>0.82267289952091005</v>
      </c>
      <c r="Z19" s="85">
        <f>BG66/$AL$5</f>
        <v>2.7024776406718069E-2</v>
      </c>
      <c r="AA19" s="85">
        <f>BH66/BH$5</f>
        <v>0.26637611255907512</v>
      </c>
      <c r="AB19" s="85">
        <f>BI66/BI$5</f>
        <v>0.94390431180853707</v>
      </c>
      <c r="AC19" s="85">
        <f>BJ66/BJ$5</f>
        <v>0.98424302724215118</v>
      </c>
      <c r="AD19" s="86">
        <f t="shared" si="5"/>
        <v>0.73150781720325442</v>
      </c>
      <c r="AE19" s="85">
        <f>BK66/$AP$5</f>
        <v>0.98428628591821932</v>
      </c>
      <c r="AF19" s="85">
        <f>(($C$5*Z19)+($D$5*AA19)+($E$5*AB19)+($F$5*AC19)+($G$5*AE19))</f>
        <v>0.72881665891615377</v>
      </c>
      <c r="AG19"/>
      <c r="AH19" s="37"/>
      <c r="AI19" s="56">
        <v>0.4</v>
      </c>
      <c r="AJ19" s="37" t="s">
        <v>0</v>
      </c>
      <c r="AK19" s="57">
        <v>1481000</v>
      </c>
      <c r="AL19" s="57">
        <v>9246.7000000000007</v>
      </c>
      <c r="AM19" s="57">
        <v>9246.7000000000007</v>
      </c>
      <c r="AN19" s="57">
        <v>9246.7000000000007</v>
      </c>
      <c r="AO19" s="57">
        <v>9246.7000000000007</v>
      </c>
      <c r="AP19" s="57">
        <v>9246.7000000000007</v>
      </c>
      <c r="AQ19" s="37"/>
      <c r="AR19" s="37"/>
      <c r="AS19" s="56">
        <v>0.4</v>
      </c>
      <c r="AT19" s="37" t="s">
        <v>0</v>
      </c>
      <c r="AU19" s="57">
        <v>1481000</v>
      </c>
      <c r="AV19" s="57">
        <v>9246.7000000000007</v>
      </c>
      <c r="AW19" s="57">
        <v>9246.7000000000007</v>
      </c>
      <c r="AX19" s="57">
        <v>9246.7000000000007</v>
      </c>
      <c r="AY19" s="57">
        <v>9246.7000000000007</v>
      </c>
      <c r="AZ19" s="57">
        <v>9246.7000000000007</v>
      </c>
      <c r="BA19" s="37"/>
      <c r="BB19" s="37"/>
      <c r="BC19" s="37"/>
      <c r="BD19" s="56">
        <v>0.4</v>
      </c>
      <c r="BE19" s="37" t="s">
        <v>0</v>
      </c>
      <c r="BF19" s="57">
        <v>1481000</v>
      </c>
      <c r="BG19" s="57">
        <v>9246.7000000000007</v>
      </c>
      <c r="BH19" s="57">
        <v>9246.7000000000007</v>
      </c>
      <c r="BI19" s="57">
        <v>9246.7000000000007</v>
      </c>
      <c r="BJ19" s="57">
        <v>9246.7000000000007</v>
      </c>
      <c r="BK19" s="57">
        <v>9246.7000000000007</v>
      </c>
      <c r="BL19" s="37"/>
      <c r="BM19" s="37"/>
      <c r="BN19" s="37"/>
      <c r="BO19" s="37"/>
      <c r="BY19" s="37"/>
      <c r="BZ19" s="37"/>
      <c r="CA19" s="37"/>
      <c r="CB19" s="37"/>
      <c r="CC19" s="61">
        <v>0.2</v>
      </c>
      <c r="CD19" s="62">
        <v>0.77280172734718189</v>
      </c>
      <c r="CE19" s="62">
        <v>0.62134241679696223</v>
      </c>
      <c r="CF19" s="62">
        <v>0.48760330578512395</v>
      </c>
      <c r="CG19" s="62">
        <f t="shared" si="9"/>
        <v>0.51198804979073609</v>
      </c>
      <c r="CH19" s="62">
        <f t="shared" si="10"/>
        <v>0.44860313949841557</v>
      </c>
      <c r="CI19" s="62">
        <f t="shared" si="11"/>
        <v>0.38747141682978792</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1290000</v>
      </c>
      <c r="AL20" s="57">
        <v>8053.8</v>
      </c>
      <c r="AM20" s="57">
        <v>8053.8</v>
      </c>
      <c r="AN20" s="57">
        <v>8053.8</v>
      </c>
      <c r="AO20" s="57">
        <v>8053.8</v>
      </c>
      <c r="AP20" s="57">
        <v>8053.8</v>
      </c>
      <c r="AQ20" s="37"/>
      <c r="AR20" s="37"/>
      <c r="AS20" s="56"/>
      <c r="AT20" s="37" t="s">
        <v>1</v>
      </c>
      <c r="AU20" s="57">
        <v>1172000</v>
      </c>
      <c r="AV20" s="57">
        <v>7317.2</v>
      </c>
      <c r="AW20" s="57">
        <v>7317.2</v>
      </c>
      <c r="AX20" s="57">
        <v>7317.2</v>
      </c>
      <c r="AY20" s="57">
        <v>7317.2</v>
      </c>
      <c r="AZ20" s="57">
        <v>7317.2</v>
      </c>
      <c r="BA20" s="37"/>
      <c r="BB20" s="37"/>
      <c r="BC20" s="37"/>
      <c r="BD20" s="56"/>
      <c r="BE20" s="37" t="s">
        <v>1</v>
      </c>
      <c r="BF20" s="57">
        <v>1034700</v>
      </c>
      <c r="BG20" s="57">
        <v>6460.3</v>
      </c>
      <c r="BH20" s="57">
        <v>6460.3</v>
      </c>
      <c r="BI20" s="57">
        <v>6460.3</v>
      </c>
      <c r="BJ20" s="57">
        <v>6460.3</v>
      </c>
      <c r="BK20" s="57">
        <v>6460.3</v>
      </c>
      <c r="BL20" s="37"/>
      <c r="BM20" s="37"/>
      <c r="BN20" s="37"/>
      <c r="BO20" s="37"/>
      <c r="BY20" s="37"/>
      <c r="BZ20" s="37"/>
      <c r="CA20" s="37"/>
      <c r="CB20" s="37"/>
      <c r="CC20" s="61">
        <v>0.4</v>
      </c>
      <c r="CD20" s="62">
        <v>0.93740227831136924</v>
      </c>
      <c r="CE20" s="62">
        <v>0.83551113096567642</v>
      </c>
      <c r="CF20" s="62">
        <v>0.7119350755714392</v>
      </c>
      <c r="CG20" s="62">
        <f t="shared" si="9"/>
        <v>0.64998812549341922</v>
      </c>
      <c r="CH20" s="62">
        <f t="shared" si="10"/>
        <v>0.61657540527972143</v>
      </c>
      <c r="CI20" s="62">
        <f t="shared" si="11"/>
        <v>0.5648336271318416</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191080</v>
      </c>
      <c r="AL21" s="57">
        <v>1193</v>
      </c>
      <c r="AM21" s="57">
        <v>1193</v>
      </c>
      <c r="AN21" s="57">
        <v>1193</v>
      </c>
      <c r="AO21" s="57">
        <v>1193</v>
      </c>
      <c r="AP21" s="57">
        <v>1193</v>
      </c>
      <c r="AQ21" s="57"/>
      <c r="AR21" s="37"/>
      <c r="AS21" s="56"/>
      <c r="AT21" s="37" t="s">
        <v>2</v>
      </c>
      <c r="AU21" s="57">
        <v>309040</v>
      </c>
      <c r="AV21" s="57">
        <v>1929.4</v>
      </c>
      <c r="AW21" s="57">
        <v>1929.4</v>
      </c>
      <c r="AX21" s="57">
        <v>1929.4</v>
      </c>
      <c r="AY21" s="57">
        <v>1929.4</v>
      </c>
      <c r="AZ21" s="57">
        <v>1929.4</v>
      </c>
      <c r="BA21" s="57"/>
      <c r="BB21" s="37"/>
      <c r="BC21" s="37"/>
      <c r="BD21" s="56"/>
      <c r="BE21" s="37" t="s">
        <v>2</v>
      </c>
      <c r="BF21" s="57">
        <v>446270</v>
      </c>
      <c r="BG21" s="57">
        <v>2786.2</v>
      </c>
      <c r="BH21" s="57">
        <v>2786.2</v>
      </c>
      <c r="BI21" s="57">
        <v>2786.2</v>
      </c>
      <c r="BJ21" s="57">
        <v>2786.2</v>
      </c>
      <c r="BK21" s="57">
        <v>2786.2</v>
      </c>
      <c r="BL21" s="57"/>
      <c r="BM21" s="57"/>
      <c r="BN21" s="57"/>
      <c r="BO21" s="37"/>
      <c r="BY21" s="37"/>
      <c r="BZ21" s="37"/>
      <c r="CA21" s="37"/>
      <c r="CB21" s="37"/>
      <c r="CC21" s="61">
        <v>0.6</v>
      </c>
      <c r="CD21" s="62">
        <v>0.98157248157248156</v>
      </c>
      <c r="CE21" s="62">
        <v>0.93494527585436671</v>
      </c>
      <c r="CF21" s="62">
        <v>0.84556250465341376</v>
      </c>
      <c r="CG21" s="62">
        <f t="shared" si="9"/>
        <v>0.7128320481901651</v>
      </c>
      <c r="CH21" s="62">
        <f t="shared" si="10"/>
        <v>0.7029789276174202</v>
      </c>
      <c r="CI21" s="62">
        <f t="shared" si="11"/>
        <v>0.67025917895032816</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1289800</v>
      </c>
      <c r="AL22" s="57">
        <v>8014</v>
      </c>
      <c r="AM22" s="57">
        <v>7541.4</v>
      </c>
      <c r="AN22" s="57">
        <v>3328</v>
      </c>
      <c r="AO22" s="57">
        <v>27.006</v>
      </c>
      <c r="AP22" s="57">
        <v>14.063000000000001</v>
      </c>
      <c r="AQ22" s="37"/>
      <c r="AR22" s="37"/>
      <c r="AS22" s="56"/>
      <c r="AT22" s="37" t="s">
        <v>3</v>
      </c>
      <c r="AU22" s="57">
        <v>1171800</v>
      </c>
      <c r="AV22" s="57">
        <v>7268.4</v>
      </c>
      <c r="AW22" s="57">
        <v>6675.5</v>
      </c>
      <c r="AX22" s="57">
        <v>1634.4</v>
      </c>
      <c r="AY22" s="57">
        <v>9.5617999999999999</v>
      </c>
      <c r="AZ22" s="57">
        <v>5.7439</v>
      </c>
      <c r="BA22" s="37"/>
      <c r="BB22" s="37"/>
      <c r="BC22" s="37"/>
      <c r="BD22" s="56"/>
      <c r="BE22" s="37" t="s">
        <v>3</v>
      </c>
      <c r="BF22" s="57">
        <v>1034300</v>
      </c>
      <c r="BG22" s="57">
        <v>6389.6</v>
      </c>
      <c r="BH22" s="57">
        <v>5536.6</v>
      </c>
      <c r="BI22" s="57">
        <v>553.49</v>
      </c>
      <c r="BJ22" s="57">
        <v>3.0929000000000002</v>
      </c>
      <c r="BK22" s="57">
        <v>1.6996</v>
      </c>
      <c r="BL22" s="37"/>
      <c r="BM22" s="37"/>
      <c r="BN22" s="37"/>
      <c r="BO22" s="37"/>
      <c r="BY22" s="37"/>
      <c r="BZ22" s="37"/>
      <c r="CA22" s="37"/>
      <c r="CB22" s="37"/>
      <c r="CC22" s="61">
        <v>0.8</v>
      </c>
      <c r="CD22" s="62">
        <v>0.99348522075794798</v>
      </c>
      <c r="CE22" s="62">
        <v>0.97371751917206462</v>
      </c>
      <c r="CF22" s="62">
        <v>0.92195294468021738</v>
      </c>
      <c r="CG22" s="62">
        <f t="shared" si="9"/>
        <v>0.74268433603339568</v>
      </c>
      <c r="CH22" s="62">
        <f t="shared" si="10"/>
        <v>0.74791379627326493</v>
      </c>
      <c r="CI22" s="62">
        <f t="shared" si="11"/>
        <v>0.73274319486952089</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0.76046259746720457</v>
      </c>
      <c r="CH23" s="62">
        <f t="shared" si="10"/>
        <v>0.76806184909210851</v>
      </c>
      <c r="CI23" s="62">
        <f t="shared" si="11"/>
        <v>0.76510149566872498</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38.414000000000001</v>
      </c>
      <c r="AM24" s="57">
        <v>510.93</v>
      </c>
      <c r="AN24" s="57">
        <v>4724.5</v>
      </c>
      <c r="AO24" s="57">
        <v>8025.4</v>
      </c>
      <c r="AP24" s="57">
        <v>8038.4</v>
      </c>
      <c r="AQ24" s="37"/>
      <c r="AR24" s="37"/>
      <c r="AS24" s="56"/>
      <c r="AT24" s="37" t="s">
        <v>5</v>
      </c>
      <c r="AU24" s="57">
        <v>0</v>
      </c>
      <c r="AV24" s="57">
        <v>47.326000000000001</v>
      </c>
      <c r="AW24" s="57">
        <v>639.71</v>
      </c>
      <c r="AX24" s="57">
        <v>5681.1</v>
      </c>
      <c r="AY24" s="57">
        <v>7306</v>
      </c>
      <c r="AZ24" s="57">
        <v>7309.8</v>
      </c>
      <c r="BA24" s="37"/>
      <c r="BB24" s="37"/>
      <c r="BC24" s="37"/>
      <c r="BD24" s="56"/>
      <c r="BE24" s="37" t="s">
        <v>5</v>
      </c>
      <c r="BF24" s="57">
        <v>0</v>
      </c>
      <c r="BG24" s="57">
        <v>67.671999999999997</v>
      </c>
      <c r="BH24" s="57">
        <v>920.09</v>
      </c>
      <c r="BI24" s="57">
        <v>5903.9</v>
      </c>
      <c r="BJ24" s="57">
        <v>6454.1</v>
      </c>
      <c r="BK24" s="57">
        <v>6455.5</v>
      </c>
      <c r="BL24" s="37"/>
      <c r="BM24" s="37"/>
      <c r="BN24" s="37"/>
      <c r="BO24" s="37"/>
      <c r="BY24" s="37"/>
      <c r="BZ24" s="37"/>
      <c r="CA24" s="37"/>
      <c r="CB24" s="37"/>
      <c r="CC24" s="61">
        <v>1.2</v>
      </c>
      <c r="CD24" s="62">
        <v>0.9987156578065669</v>
      </c>
      <c r="CE24" s="62">
        <v>0.99434144888690346</v>
      </c>
      <c r="CF24" s="62">
        <v>0.97799865981684164</v>
      </c>
      <c r="CG24" s="62">
        <f t="shared" si="9"/>
        <v>0.77264526804157152</v>
      </c>
      <c r="CH24" s="62">
        <f t="shared" si="10"/>
        <v>0.78301312900818665</v>
      </c>
      <c r="CI24" s="62">
        <f t="shared" si="11"/>
        <v>0.78665145403224934</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0.78846285701926089</v>
      </c>
      <c r="CH25" s="62">
        <f t="shared" si="10"/>
        <v>0.80125871932689496</v>
      </c>
      <c r="CI25" s="62">
        <f t="shared" si="11"/>
        <v>0.80945780656882982</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1481000</v>
      </c>
      <c r="AL26" s="57">
        <v>9246.7000000000007</v>
      </c>
      <c r="AM26" s="57">
        <v>9246.7000000000007</v>
      </c>
      <c r="AN26" s="57">
        <v>9246.7000000000007</v>
      </c>
      <c r="AO26" s="57">
        <v>9246.7000000000007</v>
      </c>
      <c r="AP26" s="57">
        <v>9246.7000000000007</v>
      </c>
      <c r="AQ26" s="37"/>
      <c r="AR26" s="37"/>
      <c r="AS26" s="56">
        <v>0.6</v>
      </c>
      <c r="AT26" s="37" t="s">
        <v>0</v>
      </c>
      <c r="AU26" s="57">
        <v>1481000</v>
      </c>
      <c r="AV26" s="57">
        <v>9246.7000000000007</v>
      </c>
      <c r="AW26" s="57">
        <v>9246.7000000000007</v>
      </c>
      <c r="AX26" s="57">
        <v>9246.7000000000007</v>
      </c>
      <c r="AY26" s="57">
        <v>9246.7000000000007</v>
      </c>
      <c r="AZ26" s="57">
        <v>9246.7000000000007</v>
      </c>
      <c r="BA26" s="37"/>
      <c r="BB26" s="37"/>
      <c r="BC26" s="37"/>
      <c r="BD26" s="56">
        <v>0.6</v>
      </c>
      <c r="BE26" s="37" t="s">
        <v>0</v>
      </c>
      <c r="BF26" s="57">
        <v>1481000</v>
      </c>
      <c r="BG26" s="57">
        <v>9246.7000000000007</v>
      </c>
      <c r="BH26" s="57">
        <v>9246.7000000000007</v>
      </c>
      <c r="BI26" s="57">
        <v>9246.7000000000007</v>
      </c>
      <c r="BJ26" s="57">
        <v>9246.7000000000007</v>
      </c>
      <c r="BK26" s="57">
        <v>9246.7000000000007</v>
      </c>
      <c r="BL26" s="37"/>
      <c r="BM26" s="37"/>
      <c r="BN26" s="37"/>
      <c r="BO26" s="37"/>
      <c r="BY26" s="37"/>
      <c r="BZ26" s="37"/>
      <c r="CA26" s="37"/>
      <c r="CB26" s="37"/>
      <c r="CC26" s="61">
        <v>2</v>
      </c>
      <c r="CD26" s="62">
        <v>1</v>
      </c>
      <c r="CE26" s="62">
        <v>1</v>
      </c>
      <c r="CF26" s="62">
        <v>1</v>
      </c>
      <c r="CG26" s="62">
        <f t="shared" si="9"/>
        <v>0.79875777304335593</v>
      </c>
      <c r="CH26" s="62">
        <f t="shared" si="10"/>
        <v>0.81442217223441871</v>
      </c>
      <c r="CI26" s="62">
        <f t="shared" si="11"/>
        <v>0.82267289952091005</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1392900</v>
      </c>
      <c r="AL27" s="57">
        <v>8696.6</v>
      </c>
      <c r="AM27" s="57">
        <v>8696.6</v>
      </c>
      <c r="AN27" s="57">
        <v>8696.6</v>
      </c>
      <c r="AO27" s="57">
        <v>8696.6</v>
      </c>
      <c r="AP27" s="57">
        <v>8696.6</v>
      </c>
      <c r="AQ27" s="37"/>
      <c r="AR27" s="37"/>
      <c r="AS27" s="56"/>
      <c r="AT27" s="37" t="s">
        <v>1</v>
      </c>
      <c r="AU27" s="57">
        <v>1323500</v>
      </c>
      <c r="AV27" s="57">
        <v>8263.1</v>
      </c>
      <c r="AW27" s="57">
        <v>8263.1</v>
      </c>
      <c r="AX27" s="57">
        <v>8263.1</v>
      </c>
      <c r="AY27" s="57">
        <v>8263.1</v>
      </c>
      <c r="AZ27" s="57">
        <v>8263.1</v>
      </c>
      <c r="BA27" s="37"/>
      <c r="BB27" s="37"/>
      <c r="BC27" s="37"/>
      <c r="BD27" s="56"/>
      <c r="BE27" s="37" t="s">
        <v>1</v>
      </c>
      <c r="BF27" s="57">
        <v>1221200</v>
      </c>
      <c r="BG27" s="57">
        <v>7624.3</v>
      </c>
      <c r="BH27" s="57">
        <v>7624.3</v>
      </c>
      <c r="BI27" s="57">
        <v>7624.3</v>
      </c>
      <c r="BJ27" s="57">
        <v>7624.3</v>
      </c>
      <c r="BK27" s="57">
        <v>7624.3</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88120</v>
      </c>
      <c r="AL28" s="57">
        <v>550.16999999999996</v>
      </c>
      <c r="AM28" s="57">
        <v>550.16999999999996</v>
      </c>
      <c r="AN28" s="57">
        <v>550.16999999999996</v>
      </c>
      <c r="AO28" s="57">
        <v>550.16999999999996</v>
      </c>
      <c r="AP28" s="57">
        <v>550.16999999999996</v>
      </c>
      <c r="AQ28" s="37"/>
      <c r="AR28" s="37"/>
      <c r="AS28" s="56"/>
      <c r="AT28" s="37" t="s">
        <v>2</v>
      </c>
      <c r="AU28" s="57">
        <v>157530</v>
      </c>
      <c r="AV28" s="57">
        <v>983.53</v>
      </c>
      <c r="AW28" s="57">
        <v>983.53</v>
      </c>
      <c r="AX28" s="57">
        <v>983.53</v>
      </c>
      <c r="AY28" s="57">
        <v>983.53</v>
      </c>
      <c r="AZ28" s="57">
        <v>983.53</v>
      </c>
      <c r="BA28" s="37"/>
      <c r="BB28" s="37"/>
      <c r="BC28" s="37"/>
      <c r="BD28" s="56"/>
      <c r="BE28" s="37" t="s">
        <v>2</v>
      </c>
      <c r="BF28" s="57">
        <v>259840</v>
      </c>
      <c r="BG28" s="57">
        <v>1622.2</v>
      </c>
      <c r="BH28" s="57">
        <v>1622.2</v>
      </c>
      <c r="BI28" s="57">
        <v>1622.2</v>
      </c>
      <c r="BJ28" s="57">
        <v>1622.2</v>
      </c>
      <c r="BK28" s="57">
        <v>1622.2</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1392700</v>
      </c>
      <c r="AL29" s="57">
        <v>8639.2999999999993</v>
      </c>
      <c r="AM29" s="57">
        <v>7991.2</v>
      </c>
      <c r="AN29" s="57">
        <v>3070.3</v>
      </c>
      <c r="AO29" s="57">
        <v>28.396000000000001</v>
      </c>
      <c r="AP29" s="57">
        <v>16.901</v>
      </c>
      <c r="AQ29" s="37"/>
      <c r="AR29" s="37"/>
      <c r="AS29" s="56"/>
      <c r="AT29" s="37" t="s">
        <v>3</v>
      </c>
      <c r="AU29" s="57">
        <v>1323200</v>
      </c>
      <c r="AV29" s="57">
        <v>8191.1</v>
      </c>
      <c r="AW29" s="57">
        <v>7382.4</v>
      </c>
      <c r="AX29" s="57">
        <v>1597.1</v>
      </c>
      <c r="AY29" s="57">
        <v>9.2757000000000005</v>
      </c>
      <c r="AZ29" s="57">
        <v>6.2464000000000004</v>
      </c>
      <c r="BA29" s="37"/>
      <c r="BB29" s="37"/>
      <c r="BC29" s="37"/>
      <c r="BD29" s="56"/>
      <c r="BE29" s="37" t="s">
        <v>3</v>
      </c>
      <c r="BF29" s="57">
        <v>1220800</v>
      </c>
      <c r="BG29" s="57">
        <v>7525.6</v>
      </c>
      <c r="BH29" s="57">
        <v>6396.2</v>
      </c>
      <c r="BI29" s="57">
        <v>576.08000000000004</v>
      </c>
      <c r="BJ29" s="57">
        <v>3.2063999999999999</v>
      </c>
      <c r="BK29" s="57">
        <v>2.1132</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56.052</v>
      </c>
      <c r="AM31" s="57">
        <v>703.81</v>
      </c>
      <c r="AN31" s="57">
        <v>5624.9</v>
      </c>
      <c r="AO31" s="57">
        <v>8666.9</v>
      </c>
      <c r="AP31" s="57">
        <v>8678.4</v>
      </c>
      <c r="AQ31" s="37"/>
      <c r="AR31" s="37"/>
      <c r="AS31" s="56"/>
      <c r="AT31" s="37" t="s">
        <v>5</v>
      </c>
      <c r="AU31" s="57">
        <v>0</v>
      </c>
      <c r="AV31" s="57">
        <v>69.875</v>
      </c>
      <c r="AW31" s="57">
        <v>878.41</v>
      </c>
      <c r="AX31" s="57">
        <v>6664.1</v>
      </c>
      <c r="AY31" s="57">
        <v>8252.1</v>
      </c>
      <c r="AZ31" s="57">
        <v>8255.1</v>
      </c>
      <c r="BA31" s="37"/>
      <c r="BB31" s="37"/>
      <c r="BC31" s="37"/>
      <c r="BD31" s="56"/>
      <c r="BE31" s="37" t="s">
        <v>5</v>
      </c>
      <c r="BF31" s="57">
        <v>0</v>
      </c>
      <c r="BG31" s="57">
        <v>95.411000000000001</v>
      </c>
      <c r="BH31" s="57">
        <v>1224.5</v>
      </c>
      <c r="BI31" s="57">
        <v>7045.3</v>
      </c>
      <c r="BJ31" s="57">
        <v>7618.3</v>
      </c>
      <c r="BK31" s="57">
        <v>7619.4</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1481000</v>
      </c>
      <c r="AL33" s="57">
        <v>9246.7000000000007</v>
      </c>
      <c r="AM33" s="57">
        <v>9246.7000000000007</v>
      </c>
      <c r="AN33" s="57">
        <v>9246.7000000000007</v>
      </c>
      <c r="AO33" s="57">
        <v>9246.7000000000007</v>
      </c>
      <c r="AP33" s="57">
        <v>9246.7000000000007</v>
      </c>
      <c r="AQ33" s="37"/>
      <c r="AR33" s="37"/>
      <c r="AS33" s="56">
        <v>0.8</v>
      </c>
      <c r="AT33" s="37" t="s">
        <v>0</v>
      </c>
      <c r="AU33" s="57">
        <v>1481000</v>
      </c>
      <c r="AV33" s="57">
        <v>9246.7000000000007</v>
      </c>
      <c r="AW33" s="57">
        <v>9246.7000000000007</v>
      </c>
      <c r="AX33" s="57">
        <v>9246.7000000000007</v>
      </c>
      <c r="AY33" s="57">
        <v>9246.7000000000007</v>
      </c>
      <c r="AZ33" s="57">
        <v>9246.7000000000007</v>
      </c>
      <c r="BA33" s="37"/>
      <c r="BB33" s="37"/>
      <c r="BC33" s="37"/>
      <c r="BD33" s="56">
        <v>0.8</v>
      </c>
      <c r="BE33" s="37" t="s">
        <v>0</v>
      </c>
      <c r="BF33" s="57">
        <v>1481000</v>
      </c>
      <c r="BG33" s="57">
        <v>9246.7000000000007</v>
      </c>
      <c r="BH33" s="57">
        <v>9246.7000000000007</v>
      </c>
      <c r="BI33" s="57">
        <v>9246.7000000000007</v>
      </c>
      <c r="BJ33" s="57">
        <v>9246.7000000000007</v>
      </c>
      <c r="BK33" s="57">
        <v>9246.7000000000007</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1434100</v>
      </c>
      <c r="AL34" s="57">
        <v>8953.5</v>
      </c>
      <c r="AM34" s="57">
        <v>8953.5</v>
      </c>
      <c r="AN34" s="57">
        <v>8953.5</v>
      </c>
      <c r="AO34" s="57">
        <v>8953.5</v>
      </c>
      <c r="AP34" s="57">
        <v>8953.5</v>
      </c>
      <c r="AQ34" s="37"/>
      <c r="AR34" s="37"/>
      <c r="AS34" s="56"/>
      <c r="AT34" s="37" t="s">
        <v>1</v>
      </c>
      <c r="AU34" s="57">
        <v>1393300</v>
      </c>
      <c r="AV34" s="57">
        <v>8698.7999999999993</v>
      </c>
      <c r="AW34" s="57">
        <v>8698.7999999999993</v>
      </c>
      <c r="AX34" s="57">
        <v>8698.7999999999993</v>
      </c>
      <c r="AY34" s="57">
        <v>8698.7999999999993</v>
      </c>
      <c r="AZ34" s="57">
        <v>8698.7999999999993</v>
      </c>
      <c r="BA34" s="37"/>
      <c r="BB34" s="37"/>
      <c r="BC34" s="37"/>
      <c r="BD34" s="56"/>
      <c r="BE34" s="37" t="s">
        <v>1</v>
      </c>
      <c r="BF34" s="57">
        <v>1329000</v>
      </c>
      <c r="BG34" s="57">
        <v>8297.4</v>
      </c>
      <c r="BH34" s="57">
        <v>8297.4</v>
      </c>
      <c r="BI34" s="57">
        <v>8297.4</v>
      </c>
      <c r="BJ34" s="57">
        <v>8297.4</v>
      </c>
      <c r="BK34" s="57">
        <v>8297.4</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46957</v>
      </c>
      <c r="AL35" s="57">
        <v>293.17</v>
      </c>
      <c r="AM35" s="57">
        <v>293.17</v>
      </c>
      <c r="AN35" s="57">
        <v>293.17</v>
      </c>
      <c r="AO35" s="57">
        <v>293.17</v>
      </c>
      <c r="AP35" s="57">
        <v>293.17</v>
      </c>
      <c r="AQ35" s="37"/>
      <c r="AR35" s="37"/>
      <c r="AS35" s="56"/>
      <c r="AT35" s="37" t="s">
        <v>2</v>
      </c>
      <c r="AU35" s="57">
        <v>87764</v>
      </c>
      <c r="AV35" s="57">
        <v>547.94000000000005</v>
      </c>
      <c r="AW35" s="57">
        <v>547.94000000000005</v>
      </c>
      <c r="AX35" s="57">
        <v>547.94000000000005</v>
      </c>
      <c r="AY35" s="57">
        <v>547.94000000000005</v>
      </c>
      <c r="AZ35" s="57">
        <v>547.94000000000005</v>
      </c>
      <c r="BA35" s="37"/>
      <c r="BB35" s="37"/>
      <c r="BC35" s="37"/>
      <c r="BD35" s="56"/>
      <c r="BE35" s="37" t="s">
        <v>2</v>
      </c>
      <c r="BF35" s="57">
        <v>152050</v>
      </c>
      <c r="BG35" s="57">
        <v>949.3</v>
      </c>
      <c r="BH35" s="57">
        <v>949.3</v>
      </c>
      <c r="BI35" s="57">
        <v>949.3</v>
      </c>
      <c r="BJ35" s="57">
        <v>949.3</v>
      </c>
      <c r="BK35" s="57">
        <v>949.3</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1433900</v>
      </c>
      <c r="AL36" s="57">
        <v>8879.1</v>
      </c>
      <c r="AM36" s="57">
        <v>8077.6</v>
      </c>
      <c r="AN36" s="57">
        <v>2766.5</v>
      </c>
      <c r="AO36" s="57">
        <v>30.398</v>
      </c>
      <c r="AP36" s="57">
        <v>19.518000000000001</v>
      </c>
      <c r="AQ36" s="37"/>
      <c r="AR36" s="37"/>
      <c r="AS36" s="56"/>
      <c r="AT36" s="37" t="s">
        <v>3</v>
      </c>
      <c r="AU36" s="57">
        <v>1393000</v>
      </c>
      <c r="AV36" s="57">
        <v>8604.7999999999993</v>
      </c>
      <c r="AW36" s="57">
        <v>7602.9</v>
      </c>
      <c r="AX36" s="57">
        <v>1370.8</v>
      </c>
      <c r="AY36" s="57">
        <v>8.1267999999999994</v>
      </c>
      <c r="AZ36" s="57">
        <v>6.5922999999999998</v>
      </c>
      <c r="BA36" s="37"/>
      <c r="BB36" s="37"/>
      <c r="BC36" s="37"/>
      <c r="BD36" s="56"/>
      <c r="BE36" s="37" t="s">
        <v>3</v>
      </c>
      <c r="BF36" s="57">
        <v>1328500</v>
      </c>
      <c r="BG36" s="57">
        <v>8173</v>
      </c>
      <c r="BH36" s="57">
        <v>6819.1</v>
      </c>
      <c r="BI36" s="57">
        <v>569.6</v>
      </c>
      <c r="BJ36" s="57">
        <v>3.4226999999999999</v>
      </c>
      <c r="BK36" s="57">
        <v>2.4272999999999998</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73.015000000000001</v>
      </c>
      <c r="AM38" s="57">
        <v>874.49</v>
      </c>
      <c r="AN38" s="57">
        <v>6185.8</v>
      </c>
      <c r="AO38" s="57">
        <v>8921.9</v>
      </c>
      <c r="AP38" s="57">
        <v>8932.7999999999993</v>
      </c>
      <c r="AQ38" s="37"/>
      <c r="AR38" s="37"/>
      <c r="AS38" s="56"/>
      <c r="AT38" s="37" t="s">
        <v>5</v>
      </c>
      <c r="AU38" s="57">
        <v>0</v>
      </c>
      <c r="AV38" s="57">
        <v>91.59</v>
      </c>
      <c r="AW38" s="57">
        <v>1093.3</v>
      </c>
      <c r="AX38" s="57">
        <v>7325.9</v>
      </c>
      <c r="AY38" s="57">
        <v>8688.5</v>
      </c>
      <c r="AZ38" s="57">
        <v>8690</v>
      </c>
      <c r="BA38" s="37"/>
      <c r="BB38" s="37"/>
      <c r="BC38" s="37"/>
      <c r="BD38" s="56"/>
      <c r="BE38" s="37" t="s">
        <v>5</v>
      </c>
      <c r="BF38" s="57">
        <v>0</v>
      </c>
      <c r="BG38" s="57">
        <v>120.83</v>
      </c>
      <c r="BH38" s="57">
        <v>1474.6</v>
      </c>
      <c r="BI38" s="57">
        <v>7724.7</v>
      </c>
      <c r="BJ38" s="57">
        <v>8290.7999999999993</v>
      </c>
      <c r="BK38" s="57">
        <v>8291.7999999999993</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1481000</v>
      </c>
      <c r="AL40" s="57">
        <v>9246.7000000000007</v>
      </c>
      <c r="AM40" s="57">
        <v>9246.7000000000007</v>
      </c>
      <c r="AN40" s="57">
        <v>9246.7000000000007</v>
      </c>
      <c r="AO40" s="57">
        <v>9246.7000000000007</v>
      </c>
      <c r="AP40" s="57">
        <v>9246.7000000000007</v>
      </c>
      <c r="AQ40" s="37"/>
      <c r="AR40" s="37"/>
      <c r="AS40" s="56">
        <v>1</v>
      </c>
      <c r="AT40" s="37" t="s">
        <v>0</v>
      </c>
      <c r="AU40" s="57">
        <v>1481000</v>
      </c>
      <c r="AV40" s="57">
        <v>9246.7000000000007</v>
      </c>
      <c r="AW40" s="57">
        <v>9246.7000000000007</v>
      </c>
      <c r="AX40" s="57">
        <v>9246.7000000000007</v>
      </c>
      <c r="AY40" s="57">
        <v>9246.7000000000007</v>
      </c>
      <c r="AZ40" s="57">
        <v>9246.7000000000007</v>
      </c>
      <c r="BA40" s="37"/>
      <c r="BB40" s="37"/>
      <c r="BC40" s="37"/>
      <c r="BD40" s="56">
        <v>1</v>
      </c>
      <c r="BE40" s="37" t="s">
        <v>0</v>
      </c>
      <c r="BF40" s="57">
        <v>1481000</v>
      </c>
      <c r="BG40" s="57">
        <v>9246.7000000000007</v>
      </c>
      <c r="BH40" s="57">
        <v>9246.7000000000007</v>
      </c>
      <c r="BI40" s="57">
        <v>9246.7000000000007</v>
      </c>
      <c r="BJ40" s="57">
        <v>9246.7000000000007</v>
      </c>
      <c r="BK40" s="57">
        <v>9246.7000000000007</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1454300</v>
      </c>
      <c r="AL41" s="57">
        <v>9079.9</v>
      </c>
      <c r="AM41" s="57">
        <v>9079.9</v>
      </c>
      <c r="AN41" s="57">
        <v>9079.9</v>
      </c>
      <c r="AO41" s="57">
        <v>9079.9</v>
      </c>
      <c r="AP41" s="57">
        <v>9079.9</v>
      </c>
      <c r="AQ41" s="37"/>
      <c r="AR41" s="37"/>
      <c r="AS41" s="56"/>
      <c r="AT41" s="37" t="s">
        <v>1</v>
      </c>
      <c r="AU41" s="57">
        <v>1425000</v>
      </c>
      <c r="AV41" s="57">
        <v>8896.9</v>
      </c>
      <c r="AW41" s="57">
        <v>8896.9</v>
      </c>
      <c r="AX41" s="57">
        <v>8896.9</v>
      </c>
      <c r="AY41" s="57">
        <v>8896.9</v>
      </c>
      <c r="AZ41" s="57">
        <v>8896.9</v>
      </c>
      <c r="BA41" s="37"/>
      <c r="BB41" s="37"/>
      <c r="BC41" s="37"/>
      <c r="BD41" s="56"/>
      <c r="BE41" s="37" t="s">
        <v>1</v>
      </c>
      <c r="BF41" s="57">
        <v>1381300</v>
      </c>
      <c r="BG41" s="57">
        <v>8624</v>
      </c>
      <c r="BH41" s="57">
        <v>8624</v>
      </c>
      <c r="BI41" s="57">
        <v>8624</v>
      </c>
      <c r="BJ41" s="57">
        <v>8624</v>
      </c>
      <c r="BK41" s="57">
        <v>8624</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26721</v>
      </c>
      <c r="AL42" s="57">
        <v>166.83</v>
      </c>
      <c r="AM42" s="57">
        <v>166.83</v>
      </c>
      <c r="AN42" s="57">
        <v>166.83</v>
      </c>
      <c r="AO42" s="57">
        <v>166.83</v>
      </c>
      <c r="AP42" s="57">
        <v>166.83</v>
      </c>
      <c r="AQ42" s="37"/>
      <c r="AR42" s="37"/>
      <c r="AS42" s="56"/>
      <c r="AT42" s="37" t="s">
        <v>2</v>
      </c>
      <c r="AU42" s="57">
        <v>56025</v>
      </c>
      <c r="AV42" s="57">
        <v>349.78</v>
      </c>
      <c r="AW42" s="57">
        <v>349.78</v>
      </c>
      <c r="AX42" s="57">
        <v>349.78</v>
      </c>
      <c r="AY42" s="57">
        <v>349.78</v>
      </c>
      <c r="AZ42" s="57">
        <v>349.78</v>
      </c>
      <c r="BA42" s="37"/>
      <c r="BB42" s="37"/>
      <c r="BC42" s="37"/>
      <c r="BD42" s="56"/>
      <c r="BE42" s="37" t="s">
        <v>2</v>
      </c>
      <c r="BF42" s="57">
        <v>99743</v>
      </c>
      <c r="BG42" s="57">
        <v>622.73</v>
      </c>
      <c r="BH42" s="57">
        <v>622.73</v>
      </c>
      <c r="BI42" s="57">
        <v>622.73</v>
      </c>
      <c r="BJ42" s="57">
        <v>622.73</v>
      </c>
      <c r="BK42" s="57">
        <v>622.73</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1454100</v>
      </c>
      <c r="AL43" s="57">
        <v>8988.6</v>
      </c>
      <c r="AM43" s="57">
        <v>8046.1</v>
      </c>
      <c r="AN43" s="57">
        <v>2506.3000000000002</v>
      </c>
      <c r="AO43" s="57">
        <v>29.954000000000001</v>
      </c>
      <c r="AP43" s="57">
        <v>19.779</v>
      </c>
      <c r="AQ43" s="37"/>
      <c r="AR43" s="37"/>
      <c r="AS43" s="56"/>
      <c r="AT43" s="37" t="s">
        <v>3</v>
      </c>
      <c r="AU43" s="57">
        <v>1424700</v>
      </c>
      <c r="AV43" s="57">
        <v>8787</v>
      </c>
      <c r="AW43" s="57">
        <v>7652.6</v>
      </c>
      <c r="AX43" s="57">
        <v>1335.1</v>
      </c>
      <c r="AY43" s="57">
        <v>10.297000000000001</v>
      </c>
      <c r="AZ43" s="57">
        <v>7.7030000000000003</v>
      </c>
      <c r="BA43" s="37"/>
      <c r="BB43" s="37"/>
      <c r="BC43" s="37"/>
      <c r="BD43" s="56"/>
      <c r="BE43" s="37" t="s">
        <v>3</v>
      </c>
      <c r="BF43" s="57">
        <v>1380800</v>
      </c>
      <c r="BG43" s="57">
        <v>8475.9</v>
      </c>
      <c r="BH43" s="57">
        <v>6936.4</v>
      </c>
      <c r="BI43" s="57">
        <v>533</v>
      </c>
      <c r="BJ43" s="57">
        <v>3.5246</v>
      </c>
      <c r="BK43" s="57">
        <v>2.6145</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89.69</v>
      </c>
      <c r="AM45" s="57">
        <v>1032.2</v>
      </c>
      <c r="AN45" s="57">
        <v>6572.2</v>
      </c>
      <c r="AO45" s="57">
        <v>9048.5</v>
      </c>
      <c r="AP45" s="57">
        <v>9058.7000000000007</v>
      </c>
      <c r="AQ45" s="37"/>
      <c r="AR45" s="37"/>
      <c r="AS45" s="56"/>
      <c r="AT45" s="37" t="s">
        <v>5</v>
      </c>
      <c r="AU45" s="57">
        <v>0</v>
      </c>
      <c r="AV45" s="57">
        <v>107.65</v>
      </c>
      <c r="AW45" s="57">
        <v>1242.0999999999999</v>
      </c>
      <c r="AX45" s="57">
        <v>7559.9</v>
      </c>
      <c r="AY45" s="57">
        <v>8884.7000000000007</v>
      </c>
      <c r="AZ45" s="57">
        <v>8887.2999999999993</v>
      </c>
      <c r="BA45" s="37"/>
      <c r="BB45" s="37"/>
      <c r="BC45" s="37"/>
      <c r="BD45" s="56"/>
      <c r="BE45" s="37" t="s">
        <v>5</v>
      </c>
      <c r="BF45" s="57">
        <v>0</v>
      </c>
      <c r="BG45" s="57">
        <v>144.28</v>
      </c>
      <c r="BH45" s="57">
        <v>1683.8</v>
      </c>
      <c r="BI45" s="57">
        <v>8087.9</v>
      </c>
      <c r="BJ45" s="57">
        <v>8617.2999999999993</v>
      </c>
      <c r="BK45" s="57">
        <v>8618.2000000000007</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1481000</v>
      </c>
      <c r="AL47" s="57">
        <v>9246.7000000000007</v>
      </c>
      <c r="AM47" s="57">
        <v>9246.7000000000007</v>
      </c>
      <c r="AN47" s="57">
        <v>9246.7000000000007</v>
      </c>
      <c r="AO47" s="57">
        <v>9246.7000000000007</v>
      </c>
      <c r="AP47" s="57">
        <v>9246.7000000000007</v>
      </c>
      <c r="AQ47" s="37"/>
      <c r="AR47" s="37"/>
      <c r="AS47" s="56">
        <v>1.2</v>
      </c>
      <c r="AT47" s="37" t="s">
        <v>0</v>
      </c>
      <c r="AU47" s="57">
        <v>1481000</v>
      </c>
      <c r="AV47" s="57">
        <v>9246.7000000000007</v>
      </c>
      <c r="AW47" s="57">
        <v>9246.7000000000007</v>
      </c>
      <c r="AX47" s="57">
        <v>9246.7000000000007</v>
      </c>
      <c r="AY47" s="57">
        <v>9246.7000000000007</v>
      </c>
      <c r="AZ47" s="57">
        <v>9246.7000000000007</v>
      </c>
      <c r="BA47" s="37"/>
      <c r="BB47" s="37"/>
      <c r="BC47" s="37"/>
      <c r="BD47" s="56">
        <v>1.2</v>
      </c>
      <c r="BE47" s="37" t="s">
        <v>0</v>
      </c>
      <c r="BF47" s="57">
        <v>1481000</v>
      </c>
      <c r="BG47" s="57">
        <v>9246.7000000000007</v>
      </c>
      <c r="BH47" s="57">
        <v>9246.7000000000007</v>
      </c>
      <c r="BI47" s="57">
        <v>9246.7000000000007</v>
      </c>
      <c r="BJ47" s="57">
        <v>9246.7000000000007</v>
      </c>
      <c r="BK47" s="57">
        <v>9246.7000000000007</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1465100</v>
      </c>
      <c r="AL48" s="57">
        <v>9147.1</v>
      </c>
      <c r="AM48" s="57">
        <v>9147.1</v>
      </c>
      <c r="AN48" s="57">
        <v>9147.1</v>
      </c>
      <c r="AO48" s="57">
        <v>9147.1</v>
      </c>
      <c r="AP48" s="57">
        <v>9147.1</v>
      </c>
      <c r="AQ48" s="37"/>
      <c r="AR48" s="37"/>
      <c r="AS48" s="56"/>
      <c r="AT48" s="37" t="s">
        <v>1</v>
      </c>
      <c r="AU48" s="57">
        <v>1443800</v>
      </c>
      <c r="AV48" s="57">
        <v>9014.2999999999993</v>
      </c>
      <c r="AW48" s="57">
        <v>9014.2999999999993</v>
      </c>
      <c r="AX48" s="57">
        <v>9014.2999999999993</v>
      </c>
      <c r="AY48" s="57">
        <v>9014.2999999999993</v>
      </c>
      <c r="AZ48" s="57">
        <v>9014.2999999999993</v>
      </c>
      <c r="BA48" s="37"/>
      <c r="BB48" s="37"/>
      <c r="BC48" s="37"/>
      <c r="BD48" s="56"/>
      <c r="BE48" s="37" t="s">
        <v>1</v>
      </c>
      <c r="BF48" s="57">
        <v>1414200</v>
      </c>
      <c r="BG48" s="57">
        <v>8829.6</v>
      </c>
      <c r="BH48" s="57">
        <v>8829.6</v>
      </c>
      <c r="BI48" s="57">
        <v>8829.6</v>
      </c>
      <c r="BJ48" s="57">
        <v>8829.6</v>
      </c>
      <c r="BK48" s="57">
        <v>8829.6</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15949</v>
      </c>
      <c r="AL49" s="57">
        <v>99.576999999999998</v>
      </c>
      <c r="AM49" s="57">
        <v>99.576999999999998</v>
      </c>
      <c r="AN49" s="57">
        <v>99.576999999999998</v>
      </c>
      <c r="AO49" s="57">
        <v>99.576999999999998</v>
      </c>
      <c r="AP49" s="57">
        <v>99.576999999999998</v>
      </c>
      <c r="AQ49" s="37"/>
      <c r="AR49" s="37"/>
      <c r="AS49" s="56"/>
      <c r="AT49" s="37" t="s">
        <v>2</v>
      </c>
      <c r="AU49" s="57">
        <v>37223</v>
      </c>
      <c r="AV49" s="57">
        <v>232.4</v>
      </c>
      <c r="AW49" s="57">
        <v>232.4</v>
      </c>
      <c r="AX49" s="57">
        <v>232.4</v>
      </c>
      <c r="AY49" s="57">
        <v>232.4</v>
      </c>
      <c r="AZ49" s="57">
        <v>232.4</v>
      </c>
      <c r="BA49" s="37"/>
      <c r="BB49" s="37"/>
      <c r="BC49" s="37"/>
      <c r="BD49" s="56"/>
      <c r="BE49" s="37" t="s">
        <v>2</v>
      </c>
      <c r="BF49" s="57">
        <v>66817</v>
      </c>
      <c r="BG49" s="57">
        <v>417.16</v>
      </c>
      <c r="BH49" s="57">
        <v>417.16</v>
      </c>
      <c r="BI49" s="57">
        <v>417.16</v>
      </c>
      <c r="BJ49" s="57">
        <v>417.16</v>
      </c>
      <c r="BK49" s="57">
        <v>417.16</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1464900</v>
      </c>
      <c r="AL50" s="57">
        <v>9039.7999999999993</v>
      </c>
      <c r="AM50" s="57">
        <v>7964.1</v>
      </c>
      <c r="AN50" s="57">
        <v>2263.9</v>
      </c>
      <c r="AO50" s="57">
        <v>30.573</v>
      </c>
      <c r="AP50" s="57">
        <v>21.178999999999998</v>
      </c>
      <c r="AQ50" s="37"/>
      <c r="AR50" s="37"/>
      <c r="AS50" s="56"/>
      <c r="AT50" s="37" t="s">
        <v>3</v>
      </c>
      <c r="AU50" s="57">
        <v>1443500</v>
      </c>
      <c r="AV50" s="57">
        <v>8884</v>
      </c>
      <c r="AW50" s="57">
        <v>7597.5</v>
      </c>
      <c r="AX50" s="57">
        <v>1218.5999999999999</v>
      </c>
      <c r="AY50" s="57">
        <v>10.098000000000001</v>
      </c>
      <c r="AZ50" s="57">
        <v>7.7319000000000004</v>
      </c>
      <c r="BA50" s="37"/>
      <c r="BB50" s="37"/>
      <c r="BC50" s="37"/>
      <c r="BD50" s="56"/>
      <c r="BE50" s="37" t="s">
        <v>3</v>
      </c>
      <c r="BF50" s="57">
        <v>1413700</v>
      </c>
      <c r="BG50" s="57">
        <v>8658.2999999999993</v>
      </c>
      <c r="BH50" s="57">
        <v>6952.2</v>
      </c>
      <c r="BI50" s="57">
        <v>497.45</v>
      </c>
      <c r="BJ50" s="57">
        <v>3.6337000000000002</v>
      </c>
      <c r="BK50" s="57">
        <v>2.8378999999999999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105.98</v>
      </c>
      <c r="AM52" s="57">
        <v>1181.5999999999999</v>
      </c>
      <c r="AN52" s="57">
        <v>6882</v>
      </c>
      <c r="AO52" s="57">
        <v>9115.2000000000007</v>
      </c>
      <c r="AP52" s="57">
        <v>9124.6</v>
      </c>
      <c r="AQ52" s="37"/>
      <c r="AR52" s="37"/>
      <c r="AS52" s="56"/>
      <c r="AT52" s="37" t="s">
        <v>5</v>
      </c>
      <c r="AU52" s="57">
        <v>0</v>
      </c>
      <c r="AV52" s="57">
        <v>127.95</v>
      </c>
      <c r="AW52" s="57">
        <v>1414.6</v>
      </c>
      <c r="AX52" s="57">
        <v>7793.8</v>
      </c>
      <c r="AY52" s="57">
        <v>9002.2000000000007</v>
      </c>
      <c r="AZ52" s="57">
        <v>9004.6</v>
      </c>
      <c r="BA52" s="37"/>
      <c r="BB52" s="37"/>
      <c r="BC52" s="37"/>
      <c r="BD52" s="56"/>
      <c r="BE52" s="37" t="s">
        <v>5</v>
      </c>
      <c r="BF52" s="57">
        <v>0</v>
      </c>
      <c r="BG52" s="57">
        <v>167.4</v>
      </c>
      <c r="BH52" s="57">
        <v>1873.7</v>
      </c>
      <c r="BI52" s="57">
        <v>8329</v>
      </c>
      <c r="BJ52" s="57">
        <v>8822.7000000000007</v>
      </c>
      <c r="BK52" s="57">
        <v>8823.5</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1481000</v>
      </c>
      <c r="AL54" s="57">
        <v>9246.7000000000007</v>
      </c>
      <c r="AM54" s="57">
        <v>9246.7000000000007</v>
      </c>
      <c r="AN54" s="57">
        <v>9246.7000000000007</v>
      </c>
      <c r="AO54" s="57">
        <v>9246.7000000000007</v>
      </c>
      <c r="AP54" s="57">
        <v>9246.7000000000007</v>
      </c>
      <c r="AQ54" s="37"/>
      <c r="AR54" s="37"/>
      <c r="AS54" s="56">
        <v>1.6</v>
      </c>
      <c r="AT54" s="37" t="s">
        <v>0</v>
      </c>
      <c r="AU54" s="57">
        <v>1481000</v>
      </c>
      <c r="AV54" s="57">
        <v>9246.7000000000007</v>
      </c>
      <c r="AW54" s="57">
        <v>9246.7000000000007</v>
      </c>
      <c r="AX54" s="57">
        <v>9246.7000000000007</v>
      </c>
      <c r="AY54" s="57">
        <v>9246.7000000000007</v>
      </c>
      <c r="AZ54" s="57">
        <v>9246.7000000000007</v>
      </c>
      <c r="BA54" s="37"/>
      <c r="BB54" s="37"/>
      <c r="BC54" s="37"/>
      <c r="BD54" s="56">
        <v>1.6</v>
      </c>
      <c r="BE54" s="37" t="s">
        <v>0</v>
      </c>
      <c r="BF54" s="57">
        <v>1481000</v>
      </c>
      <c r="BG54" s="57">
        <v>9246.7000000000007</v>
      </c>
      <c r="BH54" s="57">
        <v>9246.7000000000007</v>
      </c>
      <c r="BI54" s="57">
        <v>9246.7000000000007</v>
      </c>
      <c r="BJ54" s="57">
        <v>9246.7000000000007</v>
      </c>
      <c r="BK54" s="57">
        <v>9246.7000000000007</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1475300</v>
      </c>
      <c r="AL55" s="57">
        <v>9211.2000000000007</v>
      </c>
      <c r="AM55" s="57">
        <v>9211.2000000000007</v>
      </c>
      <c r="AN55" s="57">
        <v>9211.2000000000007</v>
      </c>
      <c r="AO55" s="57">
        <v>9211.2000000000007</v>
      </c>
      <c r="AP55" s="57">
        <v>9211.2000000000007</v>
      </c>
      <c r="AQ55" s="37"/>
      <c r="AR55" s="37"/>
      <c r="AS55" s="56"/>
      <c r="AT55" s="37" t="s">
        <v>1</v>
      </c>
      <c r="AU55" s="57">
        <v>1463400</v>
      </c>
      <c r="AV55" s="57">
        <v>9136.4</v>
      </c>
      <c r="AW55" s="57">
        <v>9136.4</v>
      </c>
      <c r="AX55" s="57">
        <v>9136.4</v>
      </c>
      <c r="AY55" s="57">
        <v>9136.4</v>
      </c>
      <c r="AZ55" s="57">
        <v>9136.4</v>
      </c>
      <c r="BA55" s="37"/>
      <c r="BB55" s="37"/>
      <c r="BC55" s="37"/>
      <c r="BD55" s="56"/>
      <c r="BE55" s="37" t="s">
        <v>1</v>
      </c>
      <c r="BF55" s="57">
        <v>1443500</v>
      </c>
      <c r="BG55" s="57">
        <v>9012.4</v>
      </c>
      <c r="BH55" s="57">
        <v>9012.4</v>
      </c>
      <c r="BI55" s="57">
        <v>9012.4</v>
      </c>
      <c r="BJ55" s="57">
        <v>9012.4</v>
      </c>
      <c r="BK55" s="57">
        <v>9012.4</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5687.6</v>
      </c>
      <c r="AL56" s="57">
        <v>35.51</v>
      </c>
      <c r="AM56" s="57">
        <v>35.51</v>
      </c>
      <c r="AN56" s="57">
        <v>35.51</v>
      </c>
      <c r="AO56" s="57">
        <v>35.51</v>
      </c>
      <c r="AP56" s="57">
        <v>35.51</v>
      </c>
      <c r="AQ56" s="37"/>
      <c r="AR56" s="37"/>
      <c r="AS56" s="56"/>
      <c r="AT56" s="37" t="s">
        <v>2</v>
      </c>
      <c r="AU56" s="57">
        <v>17665</v>
      </c>
      <c r="AV56" s="57">
        <v>110.29</v>
      </c>
      <c r="AW56" s="57">
        <v>110.29</v>
      </c>
      <c r="AX56" s="57">
        <v>110.29</v>
      </c>
      <c r="AY56" s="57">
        <v>110.29</v>
      </c>
      <c r="AZ56" s="57">
        <v>110.29</v>
      </c>
      <c r="BA56" s="37"/>
      <c r="BB56" s="37"/>
      <c r="BC56" s="37"/>
      <c r="BD56" s="56"/>
      <c r="BE56" s="37" t="s">
        <v>2</v>
      </c>
      <c r="BF56" s="57">
        <v>37523</v>
      </c>
      <c r="BG56" s="57">
        <v>234.27</v>
      </c>
      <c r="BH56" s="57">
        <v>234.27</v>
      </c>
      <c r="BI56" s="57">
        <v>234.27</v>
      </c>
      <c r="BJ56" s="57">
        <v>234.27</v>
      </c>
      <c r="BK56" s="57">
        <v>234.27</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1475200</v>
      </c>
      <c r="AL57" s="57">
        <v>9072.7000000000007</v>
      </c>
      <c r="AM57" s="57">
        <v>7759.1</v>
      </c>
      <c r="AN57" s="57">
        <v>1903.1</v>
      </c>
      <c r="AO57" s="57">
        <v>31.045999999999999</v>
      </c>
      <c r="AP57" s="57">
        <v>23.358000000000001</v>
      </c>
      <c r="AQ57" s="37"/>
      <c r="AR57" s="37"/>
      <c r="AS57" s="56"/>
      <c r="AT57" s="37" t="s">
        <v>3</v>
      </c>
      <c r="AU57" s="57">
        <v>1463100</v>
      </c>
      <c r="AV57" s="57">
        <v>8970.9</v>
      </c>
      <c r="AW57" s="57">
        <v>7434.7</v>
      </c>
      <c r="AX57" s="57">
        <v>1038.3</v>
      </c>
      <c r="AY57" s="57">
        <v>10.436</v>
      </c>
      <c r="AZ57" s="57">
        <v>8.5884</v>
      </c>
      <c r="BA57" s="37"/>
      <c r="BB57" s="37"/>
      <c r="BC57" s="37"/>
      <c r="BD57" s="56"/>
      <c r="BE57" s="37" t="s">
        <v>3</v>
      </c>
      <c r="BF57" s="57">
        <v>1443000</v>
      </c>
      <c r="BG57" s="57">
        <v>8793.2000000000007</v>
      </c>
      <c r="BH57" s="57">
        <v>6787.2</v>
      </c>
      <c r="BI57" s="57">
        <v>429.15</v>
      </c>
      <c r="BJ57" s="57">
        <v>3.4338000000000002</v>
      </c>
      <c r="BK57" s="57">
        <v>2.8605</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137.09</v>
      </c>
      <c r="AM59" s="57">
        <v>1450.7</v>
      </c>
      <c r="AN59" s="57">
        <v>7306.9</v>
      </c>
      <c r="AO59" s="57">
        <v>9178.9</v>
      </c>
      <c r="AP59" s="57">
        <v>9186.7000000000007</v>
      </c>
      <c r="AQ59" s="37"/>
      <c r="AR59" s="37"/>
      <c r="AS59" s="56"/>
      <c r="AT59" s="37" t="s">
        <v>5</v>
      </c>
      <c r="AU59" s="57">
        <v>0</v>
      </c>
      <c r="AV59" s="57">
        <v>163.18</v>
      </c>
      <c r="AW59" s="57">
        <v>1699.5</v>
      </c>
      <c r="AX59" s="57">
        <v>8096.1</v>
      </c>
      <c r="AY59" s="57">
        <v>9124</v>
      </c>
      <c r="AZ59" s="57">
        <v>9125.7999999999993</v>
      </c>
      <c r="BA59" s="37"/>
      <c r="BB59" s="37"/>
      <c r="BC59" s="37"/>
      <c r="BD59" s="56"/>
      <c r="BE59" s="37" t="s">
        <v>5</v>
      </c>
      <c r="BF59" s="57">
        <v>0</v>
      </c>
      <c r="BG59" s="57">
        <v>215.17</v>
      </c>
      <c r="BH59" s="57">
        <v>2221.4</v>
      </c>
      <c r="BI59" s="57">
        <v>8579.7999999999993</v>
      </c>
      <c r="BJ59" s="57">
        <v>9005.5</v>
      </c>
      <c r="BK59" s="57">
        <v>9006.1</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1481000</v>
      </c>
      <c r="AL61" s="57">
        <v>9246.7000000000007</v>
      </c>
      <c r="AM61" s="57">
        <v>9246.7000000000007</v>
      </c>
      <c r="AN61" s="57">
        <v>9246.7000000000007</v>
      </c>
      <c r="AO61" s="57">
        <v>9246.7000000000007</v>
      </c>
      <c r="AP61" s="57">
        <v>9246.7000000000007</v>
      </c>
      <c r="AQ61" s="37"/>
      <c r="AR61" s="37"/>
      <c r="AS61" s="56">
        <v>2</v>
      </c>
      <c r="AT61" s="37" t="s">
        <v>0</v>
      </c>
      <c r="AU61" s="57">
        <v>1481000</v>
      </c>
      <c r="AV61" s="57">
        <v>9246.7000000000007</v>
      </c>
      <c r="AW61" s="57">
        <v>9246.7000000000007</v>
      </c>
      <c r="AX61" s="57">
        <v>9246.7000000000007</v>
      </c>
      <c r="AY61" s="57">
        <v>9246.7000000000007</v>
      </c>
      <c r="AZ61" s="57">
        <v>9246.7000000000007</v>
      </c>
      <c r="BA61" s="37"/>
      <c r="BB61" s="37"/>
      <c r="BC61" s="37"/>
      <c r="BD61" s="56">
        <v>2</v>
      </c>
      <c r="BE61" s="37" t="s">
        <v>0</v>
      </c>
      <c r="BF61" s="57">
        <v>1481000</v>
      </c>
      <c r="BG61" s="57">
        <v>9246.7000000000007</v>
      </c>
      <c r="BH61" s="57">
        <v>9246.7000000000007</v>
      </c>
      <c r="BI61" s="57">
        <v>9246.7000000000007</v>
      </c>
      <c r="BJ61" s="57">
        <v>9246.7000000000007</v>
      </c>
      <c r="BK61" s="57">
        <v>9246.7000000000007</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1478200</v>
      </c>
      <c r="AL62" s="57">
        <v>9228.9</v>
      </c>
      <c r="AM62" s="57">
        <v>9228.9</v>
      </c>
      <c r="AN62" s="57">
        <v>9228.9</v>
      </c>
      <c r="AO62" s="57">
        <v>9228.9</v>
      </c>
      <c r="AP62" s="57">
        <v>9228.9</v>
      </c>
      <c r="AQ62" s="37"/>
      <c r="AR62" s="37"/>
      <c r="AS62" s="37"/>
      <c r="AT62" s="37" t="s">
        <v>1</v>
      </c>
      <c r="AU62" s="57">
        <v>1474200</v>
      </c>
      <c r="AV62" s="57">
        <v>9203.7999999999993</v>
      </c>
      <c r="AW62" s="57">
        <v>9203.7999999999993</v>
      </c>
      <c r="AX62" s="57">
        <v>9203.7999999999993</v>
      </c>
      <c r="AY62" s="57">
        <v>9203.7999999999993</v>
      </c>
      <c r="AZ62" s="57">
        <v>9203.7999999999993</v>
      </c>
      <c r="BA62" s="37"/>
      <c r="BB62" s="37"/>
      <c r="BC62" s="37"/>
      <c r="BD62" s="37"/>
      <c r="BE62" s="37" t="s">
        <v>1</v>
      </c>
      <c r="BF62" s="57">
        <v>1458800</v>
      </c>
      <c r="BG62" s="57">
        <v>9108.1</v>
      </c>
      <c r="BH62" s="57">
        <v>9108.1</v>
      </c>
      <c r="BI62" s="57">
        <v>9108.1</v>
      </c>
      <c r="BJ62" s="57">
        <v>9108.1</v>
      </c>
      <c r="BK62" s="57">
        <v>9108.1</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2854.8</v>
      </c>
      <c r="AL63" s="57">
        <v>17.824000000000002</v>
      </c>
      <c r="AM63" s="57">
        <v>17.824000000000002</v>
      </c>
      <c r="AN63" s="57">
        <v>17.824000000000002</v>
      </c>
      <c r="AO63" s="57">
        <v>17.824000000000002</v>
      </c>
      <c r="AP63" s="57">
        <v>17.824000000000002</v>
      </c>
      <c r="AQ63" s="37"/>
      <c r="AR63" s="37"/>
      <c r="AS63" s="37"/>
      <c r="AT63" s="37" t="s">
        <v>2</v>
      </c>
      <c r="AU63" s="57">
        <v>6869.4</v>
      </c>
      <c r="AV63" s="57">
        <v>42.887999999999998</v>
      </c>
      <c r="AW63" s="57">
        <v>42.887999999999998</v>
      </c>
      <c r="AX63" s="57">
        <v>42.887999999999998</v>
      </c>
      <c r="AY63" s="57">
        <v>42.887999999999998</v>
      </c>
      <c r="AZ63" s="57">
        <v>42.887999999999998</v>
      </c>
      <c r="BA63" s="37"/>
      <c r="BB63" s="37"/>
      <c r="BC63" s="37"/>
      <c r="BD63" s="37"/>
      <c r="BE63" s="37" t="s">
        <v>2</v>
      </c>
      <c r="BF63" s="57">
        <v>22201</v>
      </c>
      <c r="BG63" s="57">
        <v>138.61000000000001</v>
      </c>
      <c r="BH63" s="57">
        <v>138.61000000000001</v>
      </c>
      <c r="BI63" s="57">
        <v>138.61000000000001</v>
      </c>
      <c r="BJ63" s="57">
        <v>138.61000000000001</v>
      </c>
      <c r="BK63" s="57">
        <v>138.61000000000001</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1478000</v>
      </c>
      <c r="AL64" s="57">
        <v>9059.2000000000007</v>
      </c>
      <c r="AM64" s="57">
        <v>7525.6</v>
      </c>
      <c r="AN64" s="57">
        <v>1624.1</v>
      </c>
      <c r="AO64" s="57">
        <v>29.933</v>
      </c>
      <c r="AP64" s="57">
        <v>23.832999999999998</v>
      </c>
      <c r="AQ64" s="37"/>
      <c r="AR64" s="37"/>
      <c r="AS64" s="37"/>
      <c r="AT64" s="37" t="s">
        <v>3</v>
      </c>
      <c r="AU64" s="57">
        <v>1473900</v>
      </c>
      <c r="AV64" s="57">
        <v>9000.2999999999993</v>
      </c>
      <c r="AW64" s="57">
        <v>7214.9</v>
      </c>
      <c r="AX64" s="57">
        <v>887.29</v>
      </c>
      <c r="AY64" s="57">
        <v>9.6954999999999991</v>
      </c>
      <c r="AZ64" s="57">
        <v>8.3292999999999999</v>
      </c>
      <c r="BA64" s="37"/>
      <c r="BB64" s="37"/>
      <c r="BC64" s="37"/>
      <c r="BD64" s="37"/>
      <c r="BE64" s="37" t="s">
        <v>3</v>
      </c>
      <c r="BF64" s="57">
        <v>1458300</v>
      </c>
      <c r="BG64" s="57">
        <v>8854.4</v>
      </c>
      <c r="BH64" s="57">
        <v>6641.5</v>
      </c>
      <c r="BI64" s="57">
        <v>376.88</v>
      </c>
      <c r="BJ64" s="57">
        <v>3.8822000000000001</v>
      </c>
      <c r="BK64" s="57">
        <v>3.4952000000000001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168.27</v>
      </c>
      <c r="AM66" s="57">
        <v>1702</v>
      </c>
      <c r="AN66" s="57">
        <v>7603.6</v>
      </c>
      <c r="AO66" s="57">
        <v>9197.7999999999993</v>
      </c>
      <c r="AP66" s="57">
        <v>9203.9</v>
      </c>
      <c r="AQ66" s="37"/>
      <c r="AR66" s="37"/>
      <c r="AS66" s="37"/>
      <c r="AT66" s="37" t="s">
        <v>5</v>
      </c>
      <c r="AU66" s="57">
        <v>0</v>
      </c>
      <c r="AV66" s="57">
        <v>201.05</v>
      </c>
      <c r="AW66" s="57">
        <v>1986.6</v>
      </c>
      <c r="AX66" s="57">
        <v>8314.5</v>
      </c>
      <c r="AY66" s="57">
        <v>9192</v>
      </c>
      <c r="AZ66" s="57">
        <v>9193.4</v>
      </c>
      <c r="BA66" s="37"/>
      <c r="BB66" s="37"/>
      <c r="BC66" s="37"/>
      <c r="BD66" s="37"/>
      <c r="BE66" s="37" t="s">
        <v>5</v>
      </c>
      <c r="BF66" s="57">
        <v>0</v>
      </c>
      <c r="BG66" s="57">
        <v>249.89</v>
      </c>
      <c r="BH66" s="57">
        <v>2463.1</v>
      </c>
      <c r="BI66" s="57">
        <v>8728</v>
      </c>
      <c r="BJ66" s="57">
        <v>9101</v>
      </c>
      <c r="BK66" s="57">
        <v>9101.4</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sheetPr codeName="Sheet18"/>
  <dimension ref="A1:BO150"/>
  <sheetViews>
    <sheetView workbookViewId="0">
      <pane xSplit="8" topLeftCell="BK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s>
  <sheetData>
    <row r="1" spans="1:67">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7">
      <c r="A2" t="s">
        <v>117</v>
      </c>
      <c r="C2" s="91">
        <f>L4/C1/43560</f>
        <v>3.3891184573002753</v>
      </c>
      <c r="E2" t="s">
        <v>119</v>
      </c>
      <c r="G2" s="103">
        <f>C2*12</f>
        <v>40.669421487603302</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7"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row>
    <row r="4" spans="1:67">
      <c r="J4" s="26">
        <v>100</v>
      </c>
      <c r="K4" s="4" t="s">
        <v>0</v>
      </c>
      <c r="L4" s="5">
        <v>1476300</v>
      </c>
      <c r="N4" s="10">
        <v>100</v>
      </c>
      <c r="O4" s="2">
        <f>L5/$L$4</f>
        <v>9.2068007857481537E-2</v>
      </c>
      <c r="P4" s="32">
        <v>2.5271E-3</v>
      </c>
      <c r="Q4" s="9">
        <f t="shared" ref="Q4:Q9" si="0">2/((P4/(N4*0.35))*3600)</f>
        <v>7.6943707983239475</v>
      </c>
      <c r="S4" s="7"/>
      <c r="T4" s="26">
        <v>100</v>
      </c>
      <c r="U4" s="4" t="s">
        <v>0</v>
      </c>
      <c r="V4" s="5">
        <v>1476300</v>
      </c>
      <c r="X4" s="24">
        <v>100</v>
      </c>
      <c r="Y4" s="22">
        <f>V5/$V$4</f>
        <v>0.19874686716791981</v>
      </c>
      <c r="Z4" s="33">
        <v>9.6510999999999993E-3</v>
      </c>
      <c r="AA4" s="9">
        <f t="shared" ref="AA4:AA9" si="1">2/((Z4/(X4*0.35))*3600)</f>
        <v>2.0147386768808162</v>
      </c>
      <c r="AD4" s="26">
        <v>100</v>
      </c>
      <c r="AE4" s="4" t="s">
        <v>0</v>
      </c>
      <c r="AF4" s="5">
        <v>1476300</v>
      </c>
      <c r="AH4" s="10">
        <v>100</v>
      </c>
      <c r="AI4" s="2">
        <f>AF5/$AF$4</f>
        <v>0.61697486960644854</v>
      </c>
      <c r="AJ4" s="32">
        <v>3.6012000000000002E-2</v>
      </c>
      <c r="AK4" s="9">
        <f t="shared" ref="AK4:AK9" si="2">2/((AJ4/(AH4*0.35))*3600)</f>
        <v>0.53994347563157963</v>
      </c>
      <c r="AN4" s="26">
        <v>100</v>
      </c>
      <c r="AO4" s="4" t="s">
        <v>0</v>
      </c>
      <c r="AP4" s="5">
        <v>1476300</v>
      </c>
      <c r="AR4" s="10">
        <v>100</v>
      </c>
      <c r="AS4" s="2">
        <f>AP5/AP$4</f>
        <v>0.23377362324730747</v>
      </c>
      <c r="AT4" s="32">
        <v>3.5768000000000002E-3</v>
      </c>
      <c r="AU4" s="9">
        <f t="shared" ref="AU4:AU9" si="3">2/((AT4/(AR4*0.35))*3600)</f>
        <v>5.4362682969258671</v>
      </c>
      <c r="AW4" s="7"/>
      <c r="AX4" s="26">
        <v>100</v>
      </c>
      <c r="AY4" s="4" t="s">
        <v>0</v>
      </c>
      <c r="AZ4" s="5">
        <v>1476300</v>
      </c>
      <c r="BB4" s="24">
        <v>100</v>
      </c>
      <c r="BC4" s="2">
        <f>AZ5/AZ$4</f>
        <v>0.40333942965521913</v>
      </c>
      <c r="BD4" s="33">
        <v>1.4317E-2</v>
      </c>
      <c r="BE4" s="9">
        <f t="shared" ref="BE4:BE9" si="4">2/((BD4/(BB4*0.35))*3600)</f>
        <v>1.3581367915376437</v>
      </c>
      <c r="BH4" s="26">
        <v>100</v>
      </c>
      <c r="BI4" s="4" t="s">
        <v>0</v>
      </c>
      <c r="BJ4" s="5">
        <v>1476300</v>
      </c>
      <c r="BL4" s="10">
        <v>100</v>
      </c>
      <c r="BM4" s="2">
        <f>BJ5/BJ$4</f>
        <v>0.80295332926911878</v>
      </c>
      <c r="BN4" s="32">
        <v>5.0347999999999997E-2</v>
      </c>
      <c r="BO4" s="9">
        <f t="shared" ref="BO4:BO7" si="5">2/((BN4/(BL4*0.35))*3600)</f>
        <v>0.38620093041321296</v>
      </c>
    </row>
    <row r="5" spans="1:67">
      <c r="J5" s="26"/>
      <c r="K5" s="4" t="s">
        <v>1</v>
      </c>
      <c r="L5" s="5">
        <v>135920</v>
      </c>
      <c r="N5" s="10">
        <v>200</v>
      </c>
      <c r="O5" s="2">
        <f>L12/$L$4</f>
        <v>0.16849556323240533</v>
      </c>
      <c r="P5" s="32">
        <v>4.5862000000000003E-3</v>
      </c>
      <c r="Q5" s="9">
        <f t="shared" si="0"/>
        <v>8.4795449149380495</v>
      </c>
      <c r="S5" s="7"/>
      <c r="T5" s="26"/>
      <c r="U5" s="4" t="s">
        <v>1</v>
      </c>
      <c r="V5" s="5">
        <v>293410</v>
      </c>
      <c r="X5" s="24">
        <v>200</v>
      </c>
      <c r="Y5" s="22">
        <f>V12/$V$4</f>
        <v>0.33753302174354805</v>
      </c>
      <c r="Z5" s="33">
        <v>1.6469000000000001E-2</v>
      </c>
      <c r="AA5" s="9">
        <f t="shared" si="1"/>
        <v>2.3613388116393761</v>
      </c>
      <c r="AD5" s="26"/>
      <c r="AE5" s="4" t="s">
        <v>1</v>
      </c>
      <c r="AF5" s="5">
        <v>910840</v>
      </c>
      <c r="AH5" s="10">
        <v>200</v>
      </c>
      <c r="AI5" s="2">
        <f>AF12/$AF$4</f>
        <v>0.77423287949603736</v>
      </c>
      <c r="AJ5" s="32">
        <v>4.7372999999999998E-2</v>
      </c>
      <c r="AK5" s="9">
        <f t="shared" si="2"/>
        <v>0.82090829985200198</v>
      </c>
      <c r="AN5" s="26"/>
      <c r="AO5" s="4" t="s">
        <v>1</v>
      </c>
      <c r="AP5" s="5">
        <v>345120</v>
      </c>
      <c r="AR5" s="10">
        <v>200</v>
      </c>
      <c r="AS5" s="2">
        <f>AP12/AP$4</f>
        <v>0.40456546772336244</v>
      </c>
      <c r="AT5" s="32">
        <v>6.3043999999999999E-3</v>
      </c>
      <c r="AU5" s="9">
        <f t="shared" si="3"/>
        <v>6.1685313255645084</v>
      </c>
      <c r="AW5" s="7"/>
      <c r="AX5" s="26"/>
      <c r="AY5" s="4" t="s">
        <v>1</v>
      </c>
      <c r="AZ5" s="5">
        <v>595450</v>
      </c>
      <c r="BB5" s="24">
        <v>200</v>
      </c>
      <c r="BC5" s="2">
        <f>AZ12/AZ$4</f>
        <v>0.61659554291133234</v>
      </c>
      <c r="BD5" s="33">
        <v>2.3002999999999999E-2</v>
      </c>
      <c r="BE5" s="9">
        <f t="shared" si="4"/>
        <v>1.6906007428982692</v>
      </c>
      <c r="BH5" s="26"/>
      <c r="BI5" s="4" t="s">
        <v>1</v>
      </c>
      <c r="BJ5" s="5">
        <v>1185400</v>
      </c>
      <c r="BL5" s="10">
        <v>200</v>
      </c>
      <c r="BM5" s="2">
        <f>BJ12/BJ$4</f>
        <v>0.91763191763191765</v>
      </c>
      <c r="BN5" s="32">
        <v>6.0326999999999999E-2</v>
      </c>
      <c r="BO5" s="9">
        <f t="shared" si="5"/>
        <v>0.64463488800850188</v>
      </c>
    </row>
    <row r="6" spans="1:67">
      <c r="J6" s="26"/>
      <c r="K6" s="4" t="s">
        <v>2</v>
      </c>
      <c r="L6" s="5">
        <v>1340400</v>
      </c>
      <c r="N6" s="10">
        <v>400</v>
      </c>
      <c r="O6" s="2">
        <f>L19/L$4</f>
        <v>0.29863171442118813</v>
      </c>
      <c r="P6" s="32">
        <v>8.0920999999999996E-3</v>
      </c>
      <c r="Q6" s="9">
        <f t="shared" si="0"/>
        <v>9.6115690337215032</v>
      </c>
      <c r="S6" s="7"/>
      <c r="T6" s="26"/>
      <c r="U6" s="4" t="s">
        <v>2</v>
      </c>
      <c r="V6" s="5">
        <v>1182800</v>
      </c>
      <c r="X6" s="24">
        <v>400</v>
      </c>
      <c r="Y6" s="22">
        <f>V19/$V$4</f>
        <v>0.53352299668089143</v>
      </c>
      <c r="Z6" s="33">
        <v>2.6853999999999999E-2</v>
      </c>
      <c r="AA6" s="9">
        <f t="shared" si="1"/>
        <v>2.8963200185364482</v>
      </c>
      <c r="AD6" s="26"/>
      <c r="AE6" s="4" t="s">
        <v>2</v>
      </c>
      <c r="AF6" s="5">
        <v>565400</v>
      </c>
      <c r="AH6" s="10">
        <v>400</v>
      </c>
      <c r="AI6" s="2">
        <f>AF19/$AF$4</f>
        <v>0.89290794553952446</v>
      </c>
      <c r="AJ6" s="32">
        <v>5.7596000000000001E-2</v>
      </c>
      <c r="AK6" s="9">
        <f t="shared" si="2"/>
        <v>1.3504024199211364</v>
      </c>
      <c r="AN6" s="26"/>
      <c r="AO6" s="4" t="s">
        <v>2</v>
      </c>
      <c r="AP6" s="5">
        <v>1131100</v>
      </c>
      <c r="AR6" s="10">
        <v>400</v>
      </c>
      <c r="AS6" s="2">
        <f>AP19/AP$4</f>
        <v>0.63186344238975822</v>
      </c>
      <c r="AT6" s="32">
        <v>1.0534E-2</v>
      </c>
      <c r="AU6" s="9">
        <f t="shared" si="3"/>
        <v>7.3834989346665818</v>
      </c>
      <c r="AW6" s="7"/>
      <c r="AX6" s="26"/>
      <c r="AY6" s="4" t="s">
        <v>2</v>
      </c>
      <c r="AZ6" s="5">
        <v>880830</v>
      </c>
      <c r="BB6" s="24">
        <v>400</v>
      </c>
      <c r="BC6" s="2">
        <f>AZ19/AZ$4</f>
        <v>0.82578066788593107</v>
      </c>
      <c r="BD6" s="33">
        <v>3.3863999999999998E-2</v>
      </c>
      <c r="BE6" s="9">
        <f t="shared" si="4"/>
        <v>2.2967687744441823</v>
      </c>
      <c r="BH6" s="26"/>
      <c r="BI6" s="4" t="s">
        <v>2</v>
      </c>
      <c r="BJ6" s="5">
        <v>290860</v>
      </c>
      <c r="BL6" s="10">
        <v>400</v>
      </c>
      <c r="BM6" s="2">
        <f>BJ19/BJ$4</f>
        <v>0.98157556052292894</v>
      </c>
      <c r="BN6" s="32">
        <v>6.6647999999999999E-2</v>
      </c>
      <c r="BO6" s="9">
        <f t="shared" si="5"/>
        <v>1.166993424825618</v>
      </c>
    </row>
    <row r="7" spans="1:67">
      <c r="J7" s="26"/>
      <c r="K7" s="4" t="s">
        <v>3</v>
      </c>
      <c r="L7" s="5">
        <v>135280</v>
      </c>
      <c r="N7" s="10">
        <v>600</v>
      </c>
      <c r="O7" s="2">
        <f>L26/$L$4</f>
        <v>0.40651629072681705</v>
      </c>
      <c r="P7" s="32">
        <v>1.1200999999999999E-2</v>
      </c>
      <c r="Q7" s="9">
        <f t="shared" si="0"/>
        <v>10.415736690176473</v>
      </c>
      <c r="S7" s="7"/>
      <c r="T7" s="26"/>
      <c r="U7" s="4" t="s">
        <v>3</v>
      </c>
      <c r="V7" s="5">
        <v>293180</v>
      </c>
      <c r="X7" s="24">
        <v>600</v>
      </c>
      <c r="Y7" s="22">
        <f>V26/$V$4</f>
        <v>0.65921560658402767</v>
      </c>
      <c r="Z7" s="33">
        <v>3.4275E-2</v>
      </c>
      <c r="AA7" s="9">
        <f t="shared" si="1"/>
        <v>3.4038414782397282</v>
      </c>
      <c r="AD7" s="26"/>
      <c r="AE7" s="4" t="s">
        <v>3</v>
      </c>
      <c r="AF7" s="5">
        <v>910690</v>
      </c>
      <c r="AH7" s="10">
        <v>600</v>
      </c>
      <c r="AI7" s="2">
        <f>AF26/$AF$4</f>
        <v>0.94255910045383728</v>
      </c>
      <c r="AJ7" s="32">
        <v>6.2321000000000001E-2</v>
      </c>
      <c r="AK7" s="9">
        <f t="shared" si="2"/>
        <v>1.8720281553034559</v>
      </c>
      <c r="AN7" s="26"/>
      <c r="AO7" s="4" t="s">
        <v>3</v>
      </c>
      <c r="AP7" s="5">
        <v>344070</v>
      </c>
      <c r="AR7" s="10">
        <v>600</v>
      </c>
      <c r="AS7" s="2">
        <f>AP26/AP$4</f>
        <v>0.76949129580708531</v>
      </c>
      <c r="AT7" s="32">
        <v>1.3816999999999999E-2</v>
      </c>
      <c r="AU7" s="9">
        <f t="shared" si="3"/>
        <v>8.4437046150876931</v>
      </c>
      <c r="AW7" s="7"/>
      <c r="AX7" s="26"/>
      <c r="AY7" s="4" t="s">
        <v>3</v>
      </c>
      <c r="AZ7" s="5">
        <v>595130</v>
      </c>
      <c r="BB7" s="24">
        <v>600</v>
      </c>
      <c r="BC7" s="2">
        <f>AZ26/AZ$4</f>
        <v>0.91593849488586332</v>
      </c>
      <c r="BD7" s="33">
        <v>4.0624E-2</v>
      </c>
      <c r="BE7" s="9">
        <f t="shared" si="4"/>
        <v>2.8718655638702901</v>
      </c>
      <c r="BH7" s="26"/>
      <c r="BI7" s="4" t="s">
        <v>3</v>
      </c>
      <c r="BJ7" s="5">
        <v>1185200</v>
      </c>
      <c r="BL7" s="10">
        <v>600</v>
      </c>
      <c r="BM7" s="2">
        <f>BJ26/BJ$4</f>
        <v>0.99512294249136357</v>
      </c>
      <c r="BN7" s="32">
        <v>6.8130999999999997E-2</v>
      </c>
      <c r="BO7" s="9">
        <f t="shared" si="5"/>
        <v>1.7123874105277579</v>
      </c>
    </row>
    <row r="8" spans="1:67">
      <c r="J8" s="26"/>
      <c r="K8" s="4" t="s">
        <v>4</v>
      </c>
      <c r="L8" s="5">
        <v>0</v>
      </c>
      <c r="N8" s="10">
        <v>800</v>
      </c>
      <c r="O8" s="2">
        <f>L33/$L$4</f>
        <v>0.49469619995935787</v>
      </c>
      <c r="P8" s="32">
        <v>1.3942E-2</v>
      </c>
      <c r="Q8" s="9">
        <f t="shared" si="0"/>
        <v>11.157334353432475</v>
      </c>
      <c r="S8" s="7"/>
      <c r="T8" s="26"/>
      <c r="U8" s="4" t="s">
        <v>4</v>
      </c>
      <c r="V8" s="5">
        <v>0</v>
      </c>
      <c r="X8" s="24">
        <v>800</v>
      </c>
      <c r="Y8" s="22">
        <f>V33/$V$4</f>
        <v>0.74381900697690173</v>
      </c>
      <c r="Z8" s="33">
        <v>3.9944E-2</v>
      </c>
      <c r="AA8" s="9">
        <f t="shared" si="1"/>
        <v>3.8943409662416273</v>
      </c>
      <c r="AD8" s="26"/>
      <c r="AE8" s="4" t="s">
        <v>4</v>
      </c>
      <c r="AF8" s="5">
        <v>0</v>
      </c>
      <c r="AH8" s="10">
        <v>800</v>
      </c>
      <c r="AI8" s="2">
        <f>AF33/$AF$4</f>
        <v>0.96816365237417867</v>
      </c>
      <c r="AJ8" s="32">
        <v>6.4890000000000003E-2</v>
      </c>
      <c r="AK8" s="9">
        <f t="shared" si="2"/>
        <v>2.3972192256981901</v>
      </c>
      <c r="AN8" s="26"/>
      <c r="AO8" s="4" t="s">
        <v>4</v>
      </c>
      <c r="AP8" s="5">
        <v>0</v>
      </c>
      <c r="AR8" s="10">
        <v>800</v>
      </c>
      <c r="AS8" s="2">
        <f>AP33/AP$4</f>
        <v>0.85267222109327367</v>
      </c>
      <c r="AT8" s="32">
        <v>1.6490000000000001E-2</v>
      </c>
      <c r="AU8" s="9">
        <f t="shared" si="3"/>
        <v>9.4333265952429066</v>
      </c>
      <c r="AW8" s="7"/>
      <c r="AX8" s="26"/>
      <c r="AY8" s="4" t="s">
        <v>4</v>
      </c>
      <c r="AZ8" s="5">
        <v>0</v>
      </c>
      <c r="BB8" s="24">
        <v>800</v>
      </c>
      <c r="BC8" s="2">
        <f>AZ33/AZ$4</f>
        <v>0.95360021675811146</v>
      </c>
      <c r="BD8" s="33">
        <v>4.5199999999999997E-2</v>
      </c>
      <c r="BE8" s="9">
        <f t="shared" si="4"/>
        <v>3.4414945919370696</v>
      </c>
      <c r="BH8" s="26"/>
      <c r="BI8" s="4" t="s">
        <v>4</v>
      </c>
      <c r="BJ8" s="5">
        <v>0</v>
      </c>
      <c r="BL8" s="10">
        <v>800</v>
      </c>
      <c r="BM8" s="2">
        <f>BJ33/BJ$4</f>
        <v>0.99796789270473485</v>
      </c>
      <c r="BN8" s="32">
        <v>6.8359000000000003E-2</v>
      </c>
      <c r="BO8" s="9">
        <f>2/((BN8/(BL8*0.35))*3600)</f>
        <v>2.2755680386716532</v>
      </c>
    </row>
    <row r="9" spans="1:67">
      <c r="J9" s="26"/>
      <c r="K9" s="4" t="s">
        <v>5</v>
      </c>
      <c r="L9" s="5">
        <v>0</v>
      </c>
      <c r="M9" s="1"/>
      <c r="N9" s="10">
        <v>1000</v>
      </c>
      <c r="O9" s="2">
        <f>L40/$L$4</f>
        <v>0.56726275147327776</v>
      </c>
      <c r="P9" s="32">
        <v>1.6466000000000001E-2</v>
      </c>
      <c r="Q9" s="9">
        <f t="shared" si="0"/>
        <v>11.808845162422228</v>
      </c>
      <c r="S9" s="7"/>
      <c r="T9" s="26"/>
      <c r="U9" s="4" t="s">
        <v>5</v>
      </c>
      <c r="V9" s="5">
        <v>0</v>
      </c>
      <c r="W9" s="1"/>
      <c r="X9" s="24">
        <v>1000</v>
      </c>
      <c r="Y9" s="22">
        <f>V40/$V$4</f>
        <v>0.80478222583485737</v>
      </c>
      <c r="Z9" s="33">
        <v>4.437E-2</v>
      </c>
      <c r="AA9" s="9">
        <f t="shared" si="1"/>
        <v>4.3823404202038416</v>
      </c>
      <c r="AD9" s="26"/>
      <c r="AE9" s="4" t="s">
        <v>5</v>
      </c>
      <c r="AF9" s="5">
        <v>0</v>
      </c>
      <c r="AG9" s="1"/>
      <c r="AH9" s="10">
        <v>1000</v>
      </c>
      <c r="AI9" s="2">
        <f>AF40/$AF$4</f>
        <v>0.98225292962135069</v>
      </c>
      <c r="AJ9" s="32">
        <v>6.6381999999999997E-2</v>
      </c>
      <c r="AK9" s="9">
        <f t="shared" si="2"/>
        <v>2.9291742406743464</v>
      </c>
      <c r="AN9" s="26"/>
      <c r="AO9" s="4" t="s">
        <v>5</v>
      </c>
      <c r="AP9" s="5">
        <v>0</v>
      </c>
      <c r="AQ9" s="1"/>
      <c r="AR9" s="10">
        <v>1000</v>
      </c>
      <c r="AS9" s="2">
        <f>AP40/AP$4</f>
        <v>0.90354264038474563</v>
      </c>
      <c r="AT9" s="32">
        <v>1.8786000000000001E-2</v>
      </c>
      <c r="AU9" s="9">
        <f t="shared" si="3"/>
        <v>10.350497415332931</v>
      </c>
      <c r="AW9" s="7"/>
      <c r="AX9" s="26"/>
      <c r="AY9" s="4" t="s">
        <v>5</v>
      </c>
      <c r="AZ9" s="5">
        <v>0</v>
      </c>
      <c r="BA9" s="1"/>
      <c r="BB9" s="24">
        <v>1000</v>
      </c>
      <c r="BC9" s="2">
        <f>AZ40/AZ$4</f>
        <v>0.97168597168597171</v>
      </c>
      <c r="BD9" s="33">
        <v>4.8654000000000003E-2</v>
      </c>
      <c r="BE9" s="9">
        <f t="shared" si="4"/>
        <v>3.9964739681104211</v>
      </c>
      <c r="BH9" s="26"/>
      <c r="BI9" s="4" t="s">
        <v>5</v>
      </c>
      <c r="BJ9" s="5">
        <v>0</v>
      </c>
      <c r="BK9" s="1"/>
      <c r="BL9" s="10">
        <v>1000</v>
      </c>
      <c r="BM9" s="2">
        <f>BJ40/BJ$4</f>
        <v>0.99918715708189387</v>
      </c>
      <c r="BN9" s="32">
        <v>6.8325999999999998E-2</v>
      </c>
      <c r="BO9" s="9">
        <f t="shared" ref="BO9" si="6">2/((BN9/(BL9*0.35))*3600)</f>
        <v>2.8458338618453358</v>
      </c>
    </row>
    <row r="10" spans="1:67">
      <c r="J10" s="26"/>
      <c r="K10" s="4"/>
      <c r="L10" s="4"/>
      <c r="S10" s="7"/>
      <c r="T10" s="26"/>
      <c r="U10" s="4"/>
      <c r="V10" s="4"/>
      <c r="AD10" s="26"/>
      <c r="AE10" s="4"/>
      <c r="AF10" s="4"/>
      <c r="AN10" s="26"/>
      <c r="AO10" s="4"/>
      <c r="AP10" s="4"/>
      <c r="AW10" s="7"/>
      <c r="AX10" s="26"/>
      <c r="AY10" s="4"/>
      <c r="AZ10" s="4"/>
      <c r="BH10" s="26"/>
      <c r="BI10" s="4"/>
      <c r="BJ10" s="4"/>
    </row>
    <row r="11" spans="1:67">
      <c r="J11" s="26">
        <v>200</v>
      </c>
      <c r="K11" s="4" t="s">
        <v>0</v>
      </c>
      <c r="L11" s="5">
        <v>1476300</v>
      </c>
      <c r="S11" s="7"/>
      <c r="T11" s="26">
        <v>200</v>
      </c>
      <c r="U11" s="4" t="s">
        <v>0</v>
      </c>
      <c r="V11" s="5">
        <v>1476300</v>
      </c>
      <c r="AD11" s="26">
        <v>200</v>
      </c>
      <c r="AE11" s="4" t="s">
        <v>0</v>
      </c>
      <c r="AF11" s="5">
        <v>1476300</v>
      </c>
      <c r="AN11" s="26">
        <v>200</v>
      </c>
      <c r="AO11" s="4" t="s">
        <v>0</v>
      </c>
      <c r="AP11" s="5">
        <v>1476300</v>
      </c>
      <c r="AW11" s="7"/>
      <c r="AX11" s="26">
        <v>200</v>
      </c>
      <c r="AY11" s="4" t="s">
        <v>0</v>
      </c>
      <c r="AZ11" s="5">
        <v>1476300</v>
      </c>
      <c r="BH11" s="26">
        <v>200</v>
      </c>
      <c r="BI11" s="4" t="s">
        <v>0</v>
      </c>
      <c r="BJ11" s="5">
        <v>1476300</v>
      </c>
    </row>
    <row r="12" spans="1:67">
      <c r="J12" s="26"/>
      <c r="K12" s="4" t="s">
        <v>1</v>
      </c>
      <c r="L12" s="5">
        <v>248750</v>
      </c>
      <c r="S12" s="7"/>
      <c r="T12" s="26"/>
      <c r="U12" s="4" t="s">
        <v>1</v>
      </c>
      <c r="V12" s="5">
        <v>498300</v>
      </c>
      <c r="AD12" s="26"/>
      <c r="AE12" s="4" t="s">
        <v>1</v>
      </c>
      <c r="AF12" s="5">
        <v>1143000</v>
      </c>
      <c r="AN12" s="26"/>
      <c r="AO12" s="4" t="s">
        <v>1</v>
      </c>
      <c r="AP12" s="5">
        <v>597260</v>
      </c>
      <c r="AW12" s="7"/>
      <c r="AX12" s="26"/>
      <c r="AY12" s="4" t="s">
        <v>1</v>
      </c>
      <c r="AZ12" s="5">
        <v>910280</v>
      </c>
      <c r="BH12" s="26"/>
      <c r="BI12" s="4" t="s">
        <v>1</v>
      </c>
      <c r="BJ12" s="5">
        <v>1354700</v>
      </c>
    </row>
    <row r="13" spans="1:67">
      <c r="J13" s="26"/>
      <c r="K13" s="4" t="s">
        <v>2</v>
      </c>
      <c r="L13" s="5">
        <v>1227600</v>
      </c>
      <c r="T13" s="26"/>
      <c r="U13" s="4" t="s">
        <v>2</v>
      </c>
      <c r="V13" s="5">
        <v>977910</v>
      </c>
      <c r="AD13" s="26"/>
      <c r="AE13" s="4" t="s">
        <v>2</v>
      </c>
      <c r="AF13" s="5">
        <v>333270</v>
      </c>
      <c r="AN13" s="26"/>
      <c r="AO13" s="4" t="s">
        <v>2</v>
      </c>
      <c r="AP13" s="5">
        <v>879110</v>
      </c>
      <c r="AX13" s="26"/>
      <c r="AY13" s="4" t="s">
        <v>2</v>
      </c>
      <c r="AZ13" s="5">
        <v>565940</v>
      </c>
      <c r="BH13" s="26"/>
      <c r="BI13" s="4" t="s">
        <v>2</v>
      </c>
      <c r="BJ13" s="5">
        <v>121580</v>
      </c>
    </row>
    <row r="14" spans="1:67">
      <c r="J14" s="26"/>
      <c r="K14" s="4" t="s">
        <v>3</v>
      </c>
      <c r="L14" s="5">
        <v>247570</v>
      </c>
      <c r="T14" s="26"/>
      <c r="U14" s="4" t="s">
        <v>3</v>
      </c>
      <c r="V14" s="5">
        <v>497860</v>
      </c>
      <c r="AD14" s="26"/>
      <c r="AE14" s="4" t="s">
        <v>3</v>
      </c>
      <c r="AF14" s="5">
        <v>1142700</v>
      </c>
      <c r="AN14" s="26"/>
      <c r="AO14" s="4" t="s">
        <v>3</v>
      </c>
      <c r="AP14" s="5">
        <v>595430</v>
      </c>
      <c r="AX14" s="26"/>
      <c r="AY14" s="4" t="s">
        <v>3</v>
      </c>
      <c r="AZ14" s="5">
        <v>909720</v>
      </c>
      <c r="BH14" s="26"/>
      <c r="BI14" s="4" t="s">
        <v>3</v>
      </c>
      <c r="BJ14" s="5">
        <v>1354400</v>
      </c>
    </row>
    <row r="15" spans="1:67">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7">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1476300</v>
      </c>
      <c r="T18" s="26">
        <v>400</v>
      </c>
      <c r="U18" s="4" t="s">
        <v>0</v>
      </c>
      <c r="V18" s="5">
        <v>1476300</v>
      </c>
      <c r="AD18" s="26">
        <v>400</v>
      </c>
      <c r="AE18" s="4" t="s">
        <v>0</v>
      </c>
      <c r="AF18" s="5">
        <v>1476300</v>
      </c>
      <c r="AN18" s="26">
        <v>400</v>
      </c>
      <c r="AO18" s="4" t="s">
        <v>0</v>
      </c>
      <c r="AP18" s="5">
        <v>1476300</v>
      </c>
      <c r="AX18" s="26">
        <v>400</v>
      </c>
      <c r="AY18" s="4" t="s">
        <v>0</v>
      </c>
      <c r="AZ18" s="5">
        <v>1476300</v>
      </c>
      <c r="BH18" s="26">
        <v>400</v>
      </c>
      <c r="BI18" s="4" t="s">
        <v>0</v>
      </c>
      <c r="BJ18" s="5">
        <v>1476300</v>
      </c>
    </row>
    <row r="19" spans="1:62">
      <c r="J19" s="26"/>
      <c r="K19" s="4" t="s">
        <v>1</v>
      </c>
      <c r="L19" s="5">
        <v>440870</v>
      </c>
      <c r="T19" s="26"/>
      <c r="U19" s="4" t="s">
        <v>1</v>
      </c>
      <c r="V19" s="5">
        <v>787640</v>
      </c>
      <c r="AD19" s="26"/>
      <c r="AE19" s="4" t="s">
        <v>1</v>
      </c>
      <c r="AF19" s="5">
        <v>1318200</v>
      </c>
      <c r="AN19" s="26"/>
      <c r="AO19" s="4" t="s">
        <v>1</v>
      </c>
      <c r="AP19" s="5">
        <v>932820</v>
      </c>
      <c r="AX19" s="26"/>
      <c r="AY19" s="4" t="s">
        <v>1</v>
      </c>
      <c r="AZ19" s="5">
        <v>1219100</v>
      </c>
      <c r="BH19" s="26"/>
      <c r="BI19" s="4" t="s">
        <v>1</v>
      </c>
      <c r="BJ19" s="5">
        <v>1449100</v>
      </c>
    </row>
    <row r="20" spans="1:62">
      <c r="J20" s="26"/>
      <c r="K20" s="4" t="s">
        <v>2</v>
      </c>
      <c r="L20" s="5">
        <v>1035400</v>
      </c>
      <c r="T20" s="26"/>
      <c r="U20" s="4" t="s">
        <v>2</v>
      </c>
      <c r="V20" s="5">
        <v>688590</v>
      </c>
      <c r="AD20" s="26"/>
      <c r="AE20" s="4" t="s">
        <v>2</v>
      </c>
      <c r="AF20" s="5">
        <v>158090</v>
      </c>
      <c r="AN20" s="26"/>
      <c r="AO20" s="4" t="s">
        <v>2</v>
      </c>
      <c r="AP20" s="5">
        <v>543520</v>
      </c>
      <c r="AX20" s="26"/>
      <c r="AY20" s="4" t="s">
        <v>2</v>
      </c>
      <c r="AZ20" s="5">
        <v>257190</v>
      </c>
      <c r="BH20" s="26"/>
      <c r="BI20" s="4" t="s">
        <v>2</v>
      </c>
      <c r="BJ20" s="5">
        <v>27185</v>
      </c>
    </row>
    <row r="21" spans="1:62">
      <c r="J21" s="26"/>
      <c r="K21" s="4" t="s">
        <v>3</v>
      </c>
      <c r="L21" s="5">
        <v>438840</v>
      </c>
      <c r="T21" s="26"/>
      <c r="U21" s="4" t="s">
        <v>3</v>
      </c>
      <c r="V21" s="5">
        <v>786830</v>
      </c>
      <c r="AD21" s="26"/>
      <c r="AE21" s="4" t="s">
        <v>3</v>
      </c>
      <c r="AF21" s="5">
        <v>1317600</v>
      </c>
      <c r="AN21" s="26"/>
      <c r="AO21" s="4" t="s">
        <v>3</v>
      </c>
      <c r="AP21" s="5">
        <v>929810</v>
      </c>
      <c r="AX21" s="26"/>
      <c r="AY21" s="4" t="s">
        <v>3</v>
      </c>
      <c r="AZ21" s="5">
        <v>1218100</v>
      </c>
      <c r="BH21" s="26"/>
      <c r="BI21" s="4" t="s">
        <v>3</v>
      </c>
      <c r="BJ21" s="5">
        <v>1448500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1476300</v>
      </c>
      <c r="T25" s="26">
        <v>600</v>
      </c>
      <c r="U25" s="4" t="s">
        <v>0</v>
      </c>
      <c r="V25" s="5">
        <v>1476300</v>
      </c>
      <c r="AD25" s="26">
        <v>600</v>
      </c>
      <c r="AE25" s="4" t="s">
        <v>0</v>
      </c>
      <c r="AF25" s="5">
        <v>1476300</v>
      </c>
      <c r="AN25" s="26">
        <v>600</v>
      </c>
      <c r="AO25" s="4" t="s">
        <v>0</v>
      </c>
      <c r="AP25" s="5">
        <v>1476300</v>
      </c>
      <c r="AX25" s="26">
        <v>600</v>
      </c>
      <c r="AY25" s="4" t="s">
        <v>0</v>
      </c>
      <c r="AZ25" s="5">
        <v>1476300</v>
      </c>
      <c r="BH25" s="26">
        <v>600</v>
      </c>
      <c r="BI25" s="4" t="s">
        <v>0</v>
      </c>
      <c r="BJ25" s="5">
        <v>1476300</v>
      </c>
    </row>
    <row r="26" spans="1:62">
      <c r="J26" s="26"/>
      <c r="K26" s="4" t="s">
        <v>1</v>
      </c>
      <c r="L26" s="5">
        <v>600140</v>
      </c>
      <c r="T26" s="26"/>
      <c r="U26" s="4" t="s">
        <v>1</v>
      </c>
      <c r="V26" s="5">
        <v>973200</v>
      </c>
      <c r="AD26" s="26"/>
      <c r="AE26" s="4" t="s">
        <v>1</v>
      </c>
      <c r="AF26" s="5">
        <v>1391500</v>
      </c>
      <c r="AN26" s="26"/>
      <c r="AO26" s="4" t="s">
        <v>1</v>
      </c>
      <c r="AP26" s="5">
        <v>1136000</v>
      </c>
      <c r="AX26" s="26"/>
      <c r="AY26" s="4" t="s">
        <v>1</v>
      </c>
      <c r="AZ26" s="5">
        <v>1352200</v>
      </c>
      <c r="BH26" s="26"/>
      <c r="BI26" s="4" t="s">
        <v>1</v>
      </c>
      <c r="BJ26" s="5">
        <v>1469100</v>
      </c>
    </row>
    <row r="27" spans="1:62">
      <c r="A27" s="120" t="s">
        <v>145</v>
      </c>
      <c r="J27" s="26"/>
      <c r="K27" s="4" t="s">
        <v>2</v>
      </c>
      <c r="L27" s="5">
        <v>876100</v>
      </c>
      <c r="T27" s="26"/>
      <c r="U27" s="4" t="s">
        <v>2</v>
      </c>
      <c r="V27" s="5">
        <v>503050</v>
      </c>
      <c r="AD27" s="26"/>
      <c r="AE27" s="4" t="s">
        <v>2</v>
      </c>
      <c r="AF27" s="5">
        <v>84734</v>
      </c>
      <c r="AN27" s="26"/>
      <c r="AO27" s="4" t="s">
        <v>2</v>
      </c>
      <c r="AP27" s="5">
        <v>340280</v>
      </c>
      <c r="AX27" s="26"/>
      <c r="AY27" s="4" t="s">
        <v>2</v>
      </c>
      <c r="AZ27" s="5">
        <v>124020</v>
      </c>
      <c r="BH27" s="26"/>
      <c r="BI27" s="4" t="s">
        <v>2</v>
      </c>
      <c r="BJ27" s="5">
        <v>7155.7</v>
      </c>
    </row>
    <row r="28" spans="1:62">
      <c r="A28" s="199" t="str">
        <f>AH3</f>
        <v>Filter Area (ft2)</v>
      </c>
      <c r="B28" s="200" t="s">
        <v>11</v>
      </c>
      <c r="C28" s="200"/>
      <c r="D28" s="200"/>
      <c r="E28" s="200" t="s">
        <v>12</v>
      </c>
      <c r="F28" s="200"/>
      <c r="G28" s="200"/>
      <c r="H28" s="6"/>
      <c r="J28" s="26"/>
      <c r="K28" s="4" t="s">
        <v>3</v>
      </c>
      <c r="L28" s="5">
        <v>597570</v>
      </c>
      <c r="T28" s="26"/>
      <c r="U28" s="4" t="s">
        <v>3</v>
      </c>
      <c r="V28" s="5">
        <v>972050</v>
      </c>
      <c r="AD28" s="26"/>
      <c r="AE28" s="4" t="s">
        <v>3</v>
      </c>
      <c r="AF28" s="5">
        <v>1390700</v>
      </c>
      <c r="AN28" s="26"/>
      <c r="AO28" s="4" t="s">
        <v>3</v>
      </c>
      <c r="AP28" s="5">
        <v>1132200</v>
      </c>
      <c r="AX28" s="26"/>
      <c r="AY28" s="4" t="s">
        <v>3</v>
      </c>
      <c r="AZ28" s="5">
        <v>1351000</v>
      </c>
      <c r="BH28" s="26"/>
      <c r="BI28" s="4" t="s">
        <v>3</v>
      </c>
      <c r="BJ28" s="5">
        <v>1468300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9.2068007857481537E-2</v>
      </c>
      <c r="C30" s="2">
        <f t="shared" ref="C30:C35" si="8">Y4</f>
        <v>0.19874686716791981</v>
      </c>
      <c r="D30" s="2">
        <f t="shared" ref="D30:D35" si="9">AI4</f>
        <v>0.61697486960644854</v>
      </c>
      <c r="E30" s="11">
        <f t="shared" ref="E30:E35" si="10">Q4</f>
        <v>7.6943707983239475</v>
      </c>
      <c r="F30" s="11">
        <f t="shared" ref="F30:F35" si="11">AA4</f>
        <v>2.0147386768808162</v>
      </c>
      <c r="G30" s="9">
        <f t="shared" ref="G30:G35" si="12">AK4</f>
        <v>0.53994347563157963</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0.16849556323240533</v>
      </c>
      <c r="C31" s="2">
        <f t="shared" si="8"/>
        <v>0.33753302174354805</v>
      </c>
      <c r="D31" s="2">
        <f t="shared" si="9"/>
        <v>0.77423287949603736</v>
      </c>
      <c r="E31" s="11">
        <f t="shared" si="10"/>
        <v>8.4795449149380495</v>
      </c>
      <c r="F31" s="11">
        <f t="shared" si="11"/>
        <v>2.3613388116393761</v>
      </c>
      <c r="G31" s="9">
        <f t="shared" si="12"/>
        <v>0.82090829985200198</v>
      </c>
      <c r="H31" s="12"/>
      <c r="J31" s="26"/>
      <c r="K31" s="4"/>
      <c r="L31" s="4"/>
      <c r="T31" s="26"/>
      <c r="U31" s="4"/>
      <c r="V31" s="4"/>
      <c r="AD31" s="26"/>
      <c r="AE31" s="4"/>
      <c r="AF31" s="4"/>
      <c r="AN31" s="26"/>
      <c r="AO31" s="4"/>
      <c r="AP31" s="4"/>
      <c r="AX31" s="26"/>
      <c r="AY31" s="4"/>
      <c r="AZ31" s="4"/>
      <c r="BH31" s="26"/>
      <c r="BI31" s="4"/>
      <c r="BJ31" s="4"/>
    </row>
    <row r="32" spans="1:62">
      <c r="A32" s="10">
        <v>400</v>
      </c>
      <c r="B32" s="2">
        <f t="shared" si="7"/>
        <v>0.29863171442118813</v>
      </c>
      <c r="C32" s="2">
        <f t="shared" si="8"/>
        <v>0.53352299668089143</v>
      </c>
      <c r="D32" s="2">
        <f t="shared" si="9"/>
        <v>0.89290794553952446</v>
      </c>
      <c r="E32" s="11">
        <f t="shared" si="10"/>
        <v>9.6115690337215032</v>
      </c>
      <c r="F32" s="11">
        <f t="shared" si="11"/>
        <v>2.8963200185364482</v>
      </c>
      <c r="G32" s="9">
        <f t="shared" si="12"/>
        <v>1.3504024199211364</v>
      </c>
      <c r="H32" s="12"/>
      <c r="J32" s="26">
        <v>800</v>
      </c>
      <c r="K32" s="4" t="s">
        <v>0</v>
      </c>
      <c r="L32" s="5">
        <v>1476300</v>
      </c>
      <c r="T32" s="26">
        <v>800</v>
      </c>
      <c r="U32" s="4" t="s">
        <v>0</v>
      </c>
      <c r="V32" s="5">
        <v>1476300</v>
      </c>
      <c r="AD32" s="26">
        <v>800</v>
      </c>
      <c r="AE32" s="4" t="s">
        <v>0</v>
      </c>
      <c r="AF32" s="5">
        <v>1476300</v>
      </c>
      <c r="AN32" s="26">
        <v>800</v>
      </c>
      <c r="AO32" s="4" t="s">
        <v>0</v>
      </c>
      <c r="AP32" s="5">
        <v>1476300</v>
      </c>
      <c r="AX32" s="26">
        <v>800</v>
      </c>
      <c r="AY32" s="4" t="s">
        <v>0</v>
      </c>
      <c r="AZ32" s="5">
        <v>1476300</v>
      </c>
      <c r="BH32" s="26">
        <v>800</v>
      </c>
      <c r="BI32" s="4" t="s">
        <v>0</v>
      </c>
      <c r="BJ32" s="5">
        <v>1476300</v>
      </c>
    </row>
    <row r="33" spans="1:62">
      <c r="A33" s="10">
        <v>600</v>
      </c>
      <c r="B33" s="2">
        <f t="shared" si="7"/>
        <v>0.40651629072681705</v>
      </c>
      <c r="C33" s="2">
        <f t="shared" si="8"/>
        <v>0.65921560658402767</v>
      </c>
      <c r="D33" s="2">
        <f t="shared" si="9"/>
        <v>0.94255910045383728</v>
      </c>
      <c r="E33" s="11">
        <f t="shared" si="10"/>
        <v>10.415736690176473</v>
      </c>
      <c r="F33" s="11">
        <f t="shared" si="11"/>
        <v>3.4038414782397282</v>
      </c>
      <c r="G33" s="9">
        <f t="shared" si="12"/>
        <v>1.8720281553034559</v>
      </c>
      <c r="H33" s="12"/>
      <c r="J33" s="26"/>
      <c r="K33" s="4" t="s">
        <v>1</v>
      </c>
      <c r="L33" s="5">
        <v>730320</v>
      </c>
      <c r="T33" s="26"/>
      <c r="U33" s="4" t="s">
        <v>1</v>
      </c>
      <c r="V33" s="5">
        <v>1098100</v>
      </c>
      <c r="AD33" s="26"/>
      <c r="AE33" s="4" t="s">
        <v>1</v>
      </c>
      <c r="AF33" s="5">
        <v>1429300</v>
      </c>
      <c r="AN33" s="26"/>
      <c r="AO33" s="4" t="s">
        <v>1</v>
      </c>
      <c r="AP33" s="5">
        <v>1258800</v>
      </c>
      <c r="AX33" s="26"/>
      <c r="AY33" s="4" t="s">
        <v>1</v>
      </c>
      <c r="AZ33" s="5">
        <v>1407800</v>
      </c>
      <c r="BH33" s="26"/>
      <c r="BI33" s="4" t="s">
        <v>1</v>
      </c>
      <c r="BJ33" s="5">
        <v>1473300</v>
      </c>
    </row>
    <row r="34" spans="1:62">
      <c r="A34" s="10">
        <v>800</v>
      </c>
      <c r="B34" s="2">
        <f t="shared" si="7"/>
        <v>0.49469619995935787</v>
      </c>
      <c r="C34" s="2">
        <f t="shared" si="8"/>
        <v>0.74381900697690173</v>
      </c>
      <c r="D34" s="2">
        <f t="shared" si="9"/>
        <v>0.96816365237417867</v>
      </c>
      <c r="E34" s="11">
        <f t="shared" si="10"/>
        <v>11.157334353432475</v>
      </c>
      <c r="F34" s="11">
        <f t="shared" si="11"/>
        <v>3.8943409662416273</v>
      </c>
      <c r="G34" s="9">
        <f t="shared" si="12"/>
        <v>2.3972192256981901</v>
      </c>
      <c r="H34" s="12"/>
      <c r="J34" s="26"/>
      <c r="K34" s="4" t="s">
        <v>2</v>
      </c>
      <c r="L34" s="5">
        <v>745960</v>
      </c>
      <c r="T34" s="26"/>
      <c r="U34" s="4" t="s">
        <v>2</v>
      </c>
      <c r="V34" s="5">
        <v>378170</v>
      </c>
      <c r="AD34" s="26"/>
      <c r="AE34" s="4" t="s">
        <v>2</v>
      </c>
      <c r="AF34" s="5">
        <v>46912</v>
      </c>
      <c r="AN34" s="26"/>
      <c r="AO34" s="4" t="s">
        <v>2</v>
      </c>
      <c r="AP34" s="5">
        <v>217480</v>
      </c>
      <c r="AX34" s="26"/>
      <c r="AY34" s="4" t="s">
        <v>2</v>
      </c>
      <c r="AZ34" s="5">
        <v>68487</v>
      </c>
      <c r="BH34" s="26"/>
      <c r="BI34" s="4" t="s">
        <v>2</v>
      </c>
      <c r="BJ34" s="5">
        <v>2957.2</v>
      </c>
    </row>
    <row r="35" spans="1:62">
      <c r="A35" s="10">
        <v>1000</v>
      </c>
      <c r="B35" s="2">
        <f t="shared" si="7"/>
        <v>0.56726275147327776</v>
      </c>
      <c r="C35" s="2">
        <f t="shared" si="8"/>
        <v>0.80478222583485737</v>
      </c>
      <c r="D35" s="2">
        <f t="shared" si="9"/>
        <v>0.98225292962135069</v>
      </c>
      <c r="E35" s="11">
        <f t="shared" si="10"/>
        <v>11.808845162422228</v>
      </c>
      <c r="F35" s="11">
        <f t="shared" si="11"/>
        <v>4.3823404202038416</v>
      </c>
      <c r="G35" s="9">
        <f t="shared" si="12"/>
        <v>2.9291742406743464</v>
      </c>
      <c r="H35" s="12"/>
      <c r="J35" s="26"/>
      <c r="K35" s="4" t="s">
        <v>3</v>
      </c>
      <c r="L35" s="5">
        <v>726910</v>
      </c>
      <c r="T35" s="26"/>
      <c r="U35" s="4" t="s">
        <v>3</v>
      </c>
      <c r="V35" s="5">
        <v>1096600</v>
      </c>
      <c r="AD35" s="26"/>
      <c r="AE35" s="4" t="s">
        <v>3</v>
      </c>
      <c r="AF35" s="5">
        <v>1428200</v>
      </c>
      <c r="AN35" s="26"/>
      <c r="AO35" s="4" t="s">
        <v>3</v>
      </c>
      <c r="AP35" s="5">
        <v>1254300</v>
      </c>
      <c r="AX35" s="26"/>
      <c r="AY35" s="4" t="s">
        <v>3</v>
      </c>
      <c r="AZ35" s="5">
        <v>1406200</v>
      </c>
      <c r="BH35" s="26"/>
      <c r="BI35" s="4" t="s">
        <v>3</v>
      </c>
      <c r="BJ35" s="5">
        <v>1472200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1476300</v>
      </c>
      <c r="T39" s="26">
        <v>1000</v>
      </c>
      <c r="U39" s="4" t="s">
        <v>0</v>
      </c>
      <c r="V39" s="5">
        <v>1476300</v>
      </c>
      <c r="AD39" s="26">
        <v>1000</v>
      </c>
      <c r="AE39" s="4" t="s">
        <v>0</v>
      </c>
      <c r="AF39" s="5">
        <v>1476300</v>
      </c>
      <c r="AN39" s="26">
        <v>1000</v>
      </c>
      <c r="AO39" s="4" t="s">
        <v>0</v>
      </c>
      <c r="AP39" s="5">
        <v>1476300</v>
      </c>
      <c r="AX39" s="26">
        <v>1000</v>
      </c>
      <c r="AY39" s="4" t="s">
        <v>0</v>
      </c>
      <c r="AZ39" s="5">
        <v>1476300</v>
      </c>
      <c r="BH39" s="26">
        <v>1000</v>
      </c>
      <c r="BI39" s="4" t="s">
        <v>0</v>
      </c>
      <c r="BJ39" s="5">
        <v>1476300</v>
      </c>
    </row>
    <row r="40" spans="1:62">
      <c r="A40" s="199"/>
      <c r="B40" s="15" t="s">
        <v>15</v>
      </c>
      <c r="C40" s="15" t="s">
        <v>14</v>
      </c>
      <c r="D40" s="15" t="s">
        <v>13</v>
      </c>
      <c r="E40" s="15" t="s">
        <v>15</v>
      </c>
      <c r="F40" s="15" t="s">
        <v>14</v>
      </c>
      <c r="G40" s="15" t="s">
        <v>13</v>
      </c>
      <c r="J40" s="26"/>
      <c r="K40" s="4" t="s">
        <v>1</v>
      </c>
      <c r="L40" s="5">
        <v>837450</v>
      </c>
      <c r="T40" s="26"/>
      <c r="U40" s="4" t="s">
        <v>1</v>
      </c>
      <c r="V40" s="5">
        <v>1188100</v>
      </c>
      <c r="AD40" s="26"/>
      <c r="AE40" s="4" t="s">
        <v>1</v>
      </c>
      <c r="AF40" s="5">
        <v>1450100</v>
      </c>
      <c r="AN40" s="26"/>
      <c r="AO40" s="4" t="s">
        <v>1</v>
      </c>
      <c r="AP40" s="5">
        <v>1333900</v>
      </c>
      <c r="AX40" s="26"/>
      <c r="AY40" s="4" t="s">
        <v>1</v>
      </c>
      <c r="AZ40" s="5">
        <v>1434500</v>
      </c>
      <c r="BH40" s="26"/>
      <c r="BI40" s="4" t="s">
        <v>1</v>
      </c>
      <c r="BJ40" s="5">
        <v>1475100</v>
      </c>
    </row>
    <row r="41" spans="1:62">
      <c r="A41" s="10">
        <v>100</v>
      </c>
      <c r="B41" s="2">
        <f>AS4</f>
        <v>0.23377362324730747</v>
      </c>
      <c r="C41" s="2">
        <f>BC4</f>
        <v>0.40333942965521913</v>
      </c>
      <c r="D41" s="2">
        <f>BM4</f>
        <v>0.80295332926911878</v>
      </c>
      <c r="E41" s="11">
        <f>AU4</f>
        <v>5.4362682969258671</v>
      </c>
      <c r="F41" s="11">
        <f>BE4</f>
        <v>1.3581367915376437</v>
      </c>
      <c r="G41" s="9">
        <f>BO4</f>
        <v>0.38620093041321296</v>
      </c>
      <c r="J41" s="26"/>
      <c r="K41" s="4" t="s">
        <v>2</v>
      </c>
      <c r="L41" s="5">
        <v>638820</v>
      </c>
      <c r="T41" s="26"/>
      <c r="U41" s="4" t="s">
        <v>2</v>
      </c>
      <c r="V41" s="5">
        <v>288190</v>
      </c>
      <c r="AD41" s="26"/>
      <c r="AE41" s="4" t="s">
        <v>2</v>
      </c>
      <c r="AF41" s="5">
        <v>26160</v>
      </c>
      <c r="AN41" s="26"/>
      <c r="AO41" s="4" t="s">
        <v>2</v>
      </c>
      <c r="AP41" s="5">
        <v>142420</v>
      </c>
      <c r="AX41" s="26"/>
      <c r="AY41" s="4" t="s">
        <v>2</v>
      </c>
      <c r="AZ41" s="5">
        <v>41710</v>
      </c>
      <c r="BH41" s="26"/>
      <c r="BI41" s="4" t="s">
        <v>2</v>
      </c>
      <c r="BJ41" s="5">
        <v>1112.0999999999999</v>
      </c>
    </row>
    <row r="42" spans="1:62">
      <c r="A42" s="10">
        <v>200</v>
      </c>
      <c r="B42" s="2">
        <f t="shared" ref="B42:B46" si="13">AS5</f>
        <v>0.40456546772336244</v>
      </c>
      <c r="C42" s="2">
        <f t="shared" ref="C42:C46" si="14">BC5</f>
        <v>0.61659554291133234</v>
      </c>
      <c r="D42" s="2">
        <f t="shared" ref="D42:D46" si="15">BM5</f>
        <v>0.91763191763191765</v>
      </c>
      <c r="E42" s="11">
        <f t="shared" ref="E42:E46" si="16">AU5</f>
        <v>6.1685313255645084</v>
      </c>
      <c r="F42" s="11">
        <f t="shared" ref="F42:F46" si="17">BE5</f>
        <v>1.6906007428982692</v>
      </c>
      <c r="G42" s="9">
        <f t="shared" ref="G42:G46" si="18">BO5</f>
        <v>0.64463488800850188</v>
      </c>
      <c r="J42" s="26"/>
      <c r="K42" s="4" t="s">
        <v>3</v>
      </c>
      <c r="L42" s="5">
        <v>833610</v>
      </c>
      <c r="T42" s="26"/>
      <c r="U42" s="4" t="s">
        <v>3</v>
      </c>
      <c r="V42" s="5">
        <v>1186300</v>
      </c>
      <c r="AD42" s="26"/>
      <c r="AE42" s="4" t="s">
        <v>3</v>
      </c>
      <c r="AF42" s="5">
        <v>1448700</v>
      </c>
      <c r="AN42" s="26"/>
      <c r="AO42" s="4" t="s">
        <v>3</v>
      </c>
      <c r="AP42" s="5">
        <v>1328900</v>
      </c>
      <c r="AX42" s="26"/>
      <c r="AY42" s="4" t="s">
        <v>3</v>
      </c>
      <c r="AZ42" s="5">
        <v>1432700</v>
      </c>
      <c r="BH42" s="26"/>
      <c r="BI42" s="4" t="s">
        <v>3</v>
      </c>
      <c r="BJ42" s="5">
        <v>1473800</v>
      </c>
    </row>
    <row r="43" spans="1:62">
      <c r="A43" s="10">
        <v>400</v>
      </c>
      <c r="B43" s="2">
        <f t="shared" si="13"/>
        <v>0.63186344238975822</v>
      </c>
      <c r="C43" s="2">
        <f t="shared" si="14"/>
        <v>0.82578066788593107</v>
      </c>
      <c r="D43" s="2">
        <f t="shared" si="15"/>
        <v>0.98157556052292894</v>
      </c>
      <c r="E43" s="11">
        <f t="shared" si="16"/>
        <v>7.3834989346665818</v>
      </c>
      <c r="F43" s="11">
        <f t="shared" si="17"/>
        <v>2.2967687744441823</v>
      </c>
      <c r="G43" s="9">
        <f t="shared" si="18"/>
        <v>1.166993424825618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0.76949129580708531</v>
      </c>
      <c r="C44" s="2">
        <f t="shared" si="14"/>
        <v>0.91593849488586332</v>
      </c>
      <c r="D44" s="2">
        <f t="shared" si="15"/>
        <v>0.99512294249136357</v>
      </c>
      <c r="E44" s="11">
        <f t="shared" si="16"/>
        <v>8.4437046150876931</v>
      </c>
      <c r="F44" s="11">
        <f t="shared" si="17"/>
        <v>2.8718655638702901</v>
      </c>
      <c r="G44" s="9">
        <f t="shared" si="18"/>
        <v>1.7123874105277579</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0.85267222109327367</v>
      </c>
      <c r="C45" s="2">
        <f t="shared" si="14"/>
        <v>0.95360021675811146</v>
      </c>
      <c r="D45" s="2">
        <f t="shared" si="15"/>
        <v>0.99796789270473485</v>
      </c>
      <c r="E45" s="11">
        <f t="shared" si="16"/>
        <v>9.4333265952429066</v>
      </c>
      <c r="F45" s="11">
        <f t="shared" si="17"/>
        <v>3.4414945919370696</v>
      </c>
      <c r="G45" s="9">
        <f t="shared" si="18"/>
        <v>2.2755680386716532</v>
      </c>
      <c r="Y45"/>
      <c r="Z45"/>
      <c r="AA45"/>
      <c r="AB45"/>
      <c r="BC45"/>
      <c r="BD45"/>
      <c r="BE45"/>
      <c r="BF45"/>
    </row>
    <row r="46" spans="1:62">
      <c r="A46" s="10">
        <v>1000</v>
      </c>
      <c r="B46" s="2">
        <f t="shared" si="13"/>
        <v>0.90354264038474563</v>
      </c>
      <c r="C46" s="2">
        <f t="shared" si="14"/>
        <v>0.97168597168597171</v>
      </c>
      <c r="D46" s="2">
        <f t="shared" si="15"/>
        <v>0.99918715708189387</v>
      </c>
      <c r="E46" s="11">
        <f t="shared" si="16"/>
        <v>10.350497415332931</v>
      </c>
      <c r="F46" s="11">
        <f t="shared" si="17"/>
        <v>3.9964739681104211</v>
      </c>
      <c r="G46" s="9">
        <f t="shared" si="18"/>
        <v>2.8458338618453358</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0.23377362324730747</v>
      </c>
      <c r="C52" s="2">
        <f>C30+(($A$25-1)/3)*(C41-C30)</f>
        <v>0.40333942965521913</v>
      </c>
      <c r="D52" s="2">
        <f>D30+(($A$25-1)/3)*(D41-D30)</f>
        <v>0.80295332926911878</v>
      </c>
      <c r="E52" s="9">
        <f>E30+(($A$25-1)/3)*(E41-E30)</f>
        <v>5.4362682969258671</v>
      </c>
      <c r="F52" s="9">
        <f t="shared" ref="F52:G57" si="19">F30+(($A$25-1)/3)*(F41-F30)</f>
        <v>1.3581367915376437</v>
      </c>
      <c r="G52" s="9">
        <f t="shared" si="19"/>
        <v>0.38620093041321296</v>
      </c>
      <c r="Y52"/>
      <c r="Z52"/>
      <c r="AA52"/>
      <c r="AB52"/>
      <c r="BC52"/>
      <c r="BD52"/>
      <c r="BE52"/>
      <c r="BF52"/>
    </row>
    <row r="53" spans="1:58">
      <c r="A53" s="10">
        <v>200</v>
      </c>
      <c r="B53" s="2">
        <f t="shared" ref="B53:E57" si="20">B31+(($A$25-1)/3)*(B42-B31)</f>
        <v>0.40456546772336244</v>
      </c>
      <c r="C53" s="2">
        <f t="shared" si="20"/>
        <v>0.61659554291133234</v>
      </c>
      <c r="D53" s="2">
        <f t="shared" si="20"/>
        <v>0.91763191763191765</v>
      </c>
      <c r="E53" s="9">
        <f t="shared" si="20"/>
        <v>6.1685313255645084</v>
      </c>
      <c r="F53" s="9">
        <f t="shared" si="19"/>
        <v>1.6906007428982692</v>
      </c>
      <c r="G53" s="9">
        <f t="shared" si="19"/>
        <v>0.64463488800850188</v>
      </c>
      <c r="Y53"/>
      <c r="Z53"/>
      <c r="AA53"/>
      <c r="AB53"/>
      <c r="BC53"/>
      <c r="BD53"/>
      <c r="BE53"/>
      <c r="BF53"/>
    </row>
    <row r="54" spans="1:58">
      <c r="A54" s="10">
        <v>400</v>
      </c>
      <c r="B54" s="2">
        <f t="shared" si="20"/>
        <v>0.63186344238975822</v>
      </c>
      <c r="C54" s="2">
        <f t="shared" si="20"/>
        <v>0.82578066788593107</v>
      </c>
      <c r="D54" s="2">
        <f t="shared" si="20"/>
        <v>0.98157556052292894</v>
      </c>
      <c r="E54" s="9">
        <f t="shared" si="20"/>
        <v>7.3834989346665818</v>
      </c>
      <c r="F54" s="9">
        <f t="shared" si="19"/>
        <v>2.2967687744441823</v>
      </c>
      <c r="G54" s="9">
        <f t="shared" si="19"/>
        <v>1.166993424825618</v>
      </c>
      <c r="Y54"/>
      <c r="Z54"/>
      <c r="AA54"/>
      <c r="AB54"/>
      <c r="BC54"/>
      <c r="BD54"/>
      <c r="BE54"/>
      <c r="BF54"/>
    </row>
    <row r="55" spans="1:58">
      <c r="A55" s="10">
        <v>600</v>
      </c>
      <c r="B55" s="2">
        <f t="shared" si="20"/>
        <v>0.76949129580708531</v>
      </c>
      <c r="C55" s="2">
        <f t="shared" si="20"/>
        <v>0.91593849488586332</v>
      </c>
      <c r="D55" s="2">
        <f t="shared" si="20"/>
        <v>0.99512294249136357</v>
      </c>
      <c r="E55" s="9">
        <f t="shared" si="20"/>
        <v>8.4437046150876931</v>
      </c>
      <c r="F55" s="9">
        <f t="shared" si="19"/>
        <v>2.8718655638702901</v>
      </c>
      <c r="G55" s="9">
        <f t="shared" si="19"/>
        <v>1.7123874105277579</v>
      </c>
      <c r="Y55"/>
      <c r="Z55"/>
      <c r="AA55"/>
      <c r="AB55"/>
      <c r="BC55"/>
      <c r="BD55"/>
      <c r="BE55"/>
      <c r="BF55"/>
    </row>
    <row r="56" spans="1:58">
      <c r="A56" s="10">
        <v>800</v>
      </c>
      <c r="B56" s="2">
        <f t="shared" si="20"/>
        <v>0.85267222109327367</v>
      </c>
      <c r="C56" s="2">
        <f t="shared" si="20"/>
        <v>0.95360021675811146</v>
      </c>
      <c r="D56" s="2">
        <f t="shared" si="20"/>
        <v>0.99796789270473485</v>
      </c>
      <c r="E56" s="9">
        <f t="shared" si="20"/>
        <v>9.4333265952429066</v>
      </c>
      <c r="F56" s="9">
        <f t="shared" si="19"/>
        <v>3.4414945919370696</v>
      </c>
      <c r="G56" s="9">
        <f t="shared" si="19"/>
        <v>2.2755680386716532</v>
      </c>
      <c r="Y56"/>
      <c r="Z56"/>
      <c r="AA56"/>
      <c r="AB56"/>
      <c r="BC56"/>
      <c r="BD56"/>
      <c r="BE56"/>
      <c r="BF56"/>
    </row>
    <row r="57" spans="1:58">
      <c r="A57" s="10">
        <v>1000</v>
      </c>
      <c r="B57" s="2">
        <f t="shared" si="20"/>
        <v>0.90354264038474563</v>
      </c>
      <c r="C57" s="2">
        <f t="shared" si="20"/>
        <v>0.97168597168597171</v>
      </c>
      <c r="D57" s="2">
        <f t="shared" si="20"/>
        <v>0.99918715708189387</v>
      </c>
      <c r="E57" s="9">
        <f t="shared" si="20"/>
        <v>10.350497415332931</v>
      </c>
      <c r="F57" s="9">
        <f t="shared" si="19"/>
        <v>3.9964739681104211</v>
      </c>
      <c r="G57" s="9">
        <f t="shared" si="19"/>
        <v>2.8458338618453358</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sheetPr codeName="Sheet30"/>
  <dimension ref="A1:DD96"/>
  <sheetViews>
    <sheetView topLeftCell="S28" zoomScale="80" zoomScaleNormal="80" workbookViewId="0">
      <pane xSplit="9960" topLeftCell="BD1" activePane="topRight"/>
      <selection activeCell="G7" sqref="G7"/>
      <selection pane="topRight" activeCell="BF61" sqref="BF61:BK66"/>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1869700</v>
      </c>
      <c r="AL5" s="57">
        <v>11673</v>
      </c>
      <c r="AM5" s="57">
        <v>11673</v>
      </c>
      <c r="AN5" s="57">
        <v>11673</v>
      </c>
      <c r="AO5" s="57">
        <v>11673</v>
      </c>
      <c r="AP5" s="57">
        <v>11673</v>
      </c>
      <c r="AQ5" s="37"/>
      <c r="AR5" s="37"/>
      <c r="AS5" s="56">
        <v>0.1</v>
      </c>
      <c r="AT5" s="37" t="s">
        <v>0</v>
      </c>
      <c r="AU5" s="57">
        <v>1869700</v>
      </c>
      <c r="AV5" s="57">
        <v>11673</v>
      </c>
      <c r="AW5" s="57">
        <v>11673</v>
      </c>
      <c r="AX5" s="57">
        <v>11673</v>
      </c>
      <c r="AY5" s="57">
        <v>11673</v>
      </c>
      <c r="AZ5" s="57">
        <v>11673</v>
      </c>
      <c r="BA5" s="37"/>
      <c r="BB5" s="37"/>
      <c r="BC5" s="37"/>
      <c r="BD5" s="56">
        <v>0.1</v>
      </c>
      <c r="BE5" s="37" t="s">
        <v>0</v>
      </c>
      <c r="BF5" s="57">
        <v>1869700</v>
      </c>
      <c r="BG5" s="57">
        <v>11673</v>
      </c>
      <c r="BH5" s="57">
        <v>11673</v>
      </c>
      <c r="BI5" s="57">
        <v>11673</v>
      </c>
      <c r="BJ5" s="57">
        <v>11673</v>
      </c>
      <c r="BK5" s="57">
        <v>11673</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671130</v>
      </c>
      <c r="AL6" s="57">
        <v>4189.8999999999996</v>
      </c>
      <c r="AM6" s="57">
        <v>4189.8999999999996</v>
      </c>
      <c r="AN6" s="57">
        <v>4189.8999999999996</v>
      </c>
      <c r="AO6" s="57">
        <v>4189.8999999999996</v>
      </c>
      <c r="AP6" s="57">
        <v>4189.8999999999996</v>
      </c>
      <c r="AQ6" s="37"/>
      <c r="AR6" s="37"/>
      <c r="AS6" s="56"/>
      <c r="AT6" s="37" t="s">
        <v>1</v>
      </c>
      <c r="AU6" s="57">
        <v>543880</v>
      </c>
      <c r="AV6" s="57">
        <v>3395.4</v>
      </c>
      <c r="AW6" s="57">
        <v>3395.4</v>
      </c>
      <c r="AX6" s="57">
        <v>3395.4</v>
      </c>
      <c r="AY6" s="57">
        <v>3395.4</v>
      </c>
      <c r="AZ6" s="57">
        <v>3395.4</v>
      </c>
      <c r="BA6" s="37"/>
      <c r="BB6" s="37"/>
      <c r="BC6" s="37"/>
      <c r="BD6" s="56"/>
      <c r="BE6" s="37" t="s">
        <v>1</v>
      </c>
      <c r="BF6" s="57">
        <v>437440</v>
      </c>
      <c r="BG6" s="57">
        <v>2731.2</v>
      </c>
      <c r="BH6" s="57">
        <v>2731.2</v>
      </c>
      <c r="BI6" s="57">
        <v>2731.2</v>
      </c>
      <c r="BJ6" s="57">
        <v>2731.2</v>
      </c>
      <c r="BK6" s="57">
        <v>2731.2</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4.2922405876951331</v>
      </c>
      <c r="D7"/>
      <c r="E7" t="s">
        <v>119</v>
      </c>
      <c r="F7"/>
      <c r="G7" s="103">
        <f>C7*12</f>
        <v>51.506887052341597</v>
      </c>
      <c r="H7"/>
      <c r="I7"/>
      <c r="J7"/>
      <c r="K7"/>
      <c r="L7"/>
      <c r="M7"/>
      <c r="N7"/>
      <c r="O7"/>
      <c r="P7"/>
      <c r="Q7"/>
      <c r="R7"/>
      <c r="S7"/>
      <c r="T7"/>
      <c r="U7"/>
      <c r="V7"/>
      <c r="W7"/>
      <c r="X7"/>
      <c r="Y7"/>
      <c r="Z7"/>
      <c r="AA7"/>
      <c r="AB7"/>
      <c r="AC7"/>
      <c r="AD7"/>
      <c r="AE7"/>
      <c r="AF7"/>
      <c r="AG7"/>
      <c r="AH7" s="37"/>
      <c r="AI7" s="56"/>
      <c r="AJ7" s="37" t="s">
        <v>2</v>
      </c>
      <c r="AK7" s="57">
        <v>1198600</v>
      </c>
      <c r="AL7" s="57">
        <v>7483.4</v>
      </c>
      <c r="AM7" s="57">
        <v>7483.4</v>
      </c>
      <c r="AN7" s="57">
        <v>7483.4</v>
      </c>
      <c r="AO7" s="57">
        <v>7483.4</v>
      </c>
      <c r="AP7" s="57">
        <v>7483.4</v>
      </c>
      <c r="AQ7" s="37"/>
      <c r="AR7" s="37"/>
      <c r="AS7" s="56"/>
      <c r="AT7" s="37" t="s">
        <v>2</v>
      </c>
      <c r="AU7" s="57">
        <v>1325900</v>
      </c>
      <c r="AV7" s="57">
        <v>8277.9</v>
      </c>
      <c r="AW7" s="57">
        <v>8277.9</v>
      </c>
      <c r="AX7" s="57">
        <v>8277.9</v>
      </c>
      <c r="AY7" s="57">
        <v>8277.9</v>
      </c>
      <c r="AZ7" s="57">
        <v>8277.9</v>
      </c>
      <c r="BA7" s="37"/>
      <c r="BB7" s="37"/>
      <c r="BC7" s="37"/>
      <c r="BD7" s="56"/>
      <c r="BE7" s="37" t="s">
        <v>2</v>
      </c>
      <c r="BF7" s="57">
        <v>1432300</v>
      </c>
      <c r="BG7" s="57">
        <v>8942.2000000000007</v>
      </c>
      <c r="BH7" s="57">
        <v>8942.2000000000007</v>
      </c>
      <c r="BI7" s="57">
        <v>8942.2000000000007</v>
      </c>
      <c r="BJ7" s="57">
        <v>8942.2000000000007</v>
      </c>
      <c r="BK7" s="57">
        <v>8942.2000000000007</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670880</v>
      </c>
      <c r="AL8" s="57">
        <v>4178.3</v>
      </c>
      <c r="AM8" s="57">
        <v>4032.2</v>
      </c>
      <c r="AN8" s="57">
        <v>2261.9</v>
      </c>
      <c r="AO8" s="57">
        <v>51.168999999999997</v>
      </c>
      <c r="AP8" s="57">
        <v>14.33</v>
      </c>
      <c r="AQ8" s="37"/>
      <c r="AR8" s="37"/>
      <c r="AS8" s="56"/>
      <c r="AT8" s="37" t="s">
        <v>3</v>
      </c>
      <c r="AU8" s="57">
        <v>543620</v>
      </c>
      <c r="AV8" s="57">
        <v>3380.4</v>
      </c>
      <c r="AW8" s="57">
        <v>3180.9</v>
      </c>
      <c r="AX8" s="57">
        <v>1046.5999999999999</v>
      </c>
      <c r="AY8" s="57">
        <v>19.100000000000001</v>
      </c>
      <c r="AZ8" s="57">
        <v>6.665</v>
      </c>
      <c r="BA8" s="37"/>
      <c r="BB8" s="37"/>
      <c r="BC8" s="37"/>
      <c r="BD8" s="56"/>
      <c r="BE8" s="37" t="s">
        <v>3</v>
      </c>
      <c r="BF8" s="57">
        <v>436780</v>
      </c>
      <c r="BG8" s="57">
        <v>2705.1</v>
      </c>
      <c r="BH8" s="57">
        <v>2390.4</v>
      </c>
      <c r="BI8" s="57">
        <v>388.31</v>
      </c>
      <c r="BJ8" s="57">
        <v>4.9542999999999999</v>
      </c>
      <c r="BK8" s="57">
        <v>1.4188000000000001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10.208</v>
      </c>
      <c r="AM10" s="57">
        <v>156.15</v>
      </c>
      <c r="AN10" s="57">
        <v>1926.5</v>
      </c>
      <c r="AO10" s="57">
        <v>4137.2</v>
      </c>
      <c r="AP10" s="57">
        <v>4174</v>
      </c>
      <c r="AQ10" s="37"/>
      <c r="AR10" s="37"/>
      <c r="AS10" s="56"/>
      <c r="AT10" s="37" t="s">
        <v>5</v>
      </c>
      <c r="AU10" s="57">
        <v>0</v>
      </c>
      <c r="AV10" s="57">
        <v>13.595000000000001</v>
      </c>
      <c r="AW10" s="57">
        <v>213.08</v>
      </c>
      <c r="AX10" s="57">
        <v>2347.4</v>
      </c>
      <c r="AY10" s="57">
        <v>3374.9</v>
      </c>
      <c r="AZ10" s="57">
        <v>3387.3</v>
      </c>
      <c r="BA10" s="37"/>
      <c r="BB10" s="37"/>
      <c r="BC10" s="37"/>
      <c r="BD10" s="56"/>
      <c r="BE10" s="37" t="s">
        <v>5</v>
      </c>
      <c r="BF10" s="57">
        <v>0</v>
      </c>
      <c r="BG10" s="57">
        <v>22.295999999999999</v>
      </c>
      <c r="BH10" s="57">
        <v>336.87</v>
      </c>
      <c r="BI10" s="57">
        <v>2339.1999999999998</v>
      </c>
      <c r="BJ10" s="57">
        <v>2722.6</v>
      </c>
      <c r="BK10" s="57">
        <v>2726.1</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0.35895063379151737</v>
      </c>
      <c r="C11" s="75">
        <f t="shared" ref="C11:C19" si="0">(($C$4*D11)+($D$4*E11)+($E$4*F11)+($F$4*G11)+($G$4*I11))</f>
        <v>0.2587584939604215</v>
      </c>
      <c r="D11" s="75">
        <f>AL10/$AL$5</f>
        <v>8.7449670179045658E-4</v>
      </c>
      <c r="E11" s="75">
        <f>AM$10/AM$5</f>
        <v>1.3377023901310717E-2</v>
      </c>
      <c r="F11" s="75">
        <f>AN$10/AN$5</f>
        <v>0.16503897884005825</v>
      </c>
      <c r="G11" s="75">
        <f>AO$10/AO$5</f>
        <v>0.35442474085496445</v>
      </c>
      <c r="H11" s="76">
        <f t="shared" ref="H11:H19" si="1">($D$4*E11+$E$4*F11+$F$4*G11)/(SUM($D$4:$F$4))</f>
        <v>0.17761358119877782</v>
      </c>
      <c r="I11" s="75">
        <f>AP10/$AP$5</f>
        <v>0.35757731517176389</v>
      </c>
      <c r="J11" s="75">
        <f>(($C$5*D11)+($D$5*E11)+($E$5*F11)+($F$5*G11)+($G$5*I11))</f>
        <v>0.17542112567463378</v>
      </c>
      <c r="K11"/>
      <c r="L11" s="68">
        <v>0.1</v>
      </c>
      <c r="M11" s="69">
        <f>AU6/$AK$5</f>
        <v>0.29089158688559663</v>
      </c>
      <c r="N11" s="69">
        <f t="shared" ref="N11:N19" si="2">(($C$4*O11)+($D$4*P11)+($E$4*Q11)+($F$4*R11)+($G$4*T11))</f>
        <v>0.2214200933778806</v>
      </c>
      <c r="O11" s="69">
        <f>AV10/$AL$5</f>
        <v>1.1646534738284932E-3</v>
      </c>
      <c r="P11" s="69">
        <f>AW$10/AW$5</f>
        <v>1.8254090636511608E-2</v>
      </c>
      <c r="Q11" s="69">
        <f>AX$10/AX$5</f>
        <v>0.201096547588452</v>
      </c>
      <c r="R11" s="69">
        <f>AY$10/AY$5</f>
        <v>0.28912019189582799</v>
      </c>
      <c r="S11" s="70">
        <f t="shared" ref="S11:S19" si="3">($D$4*P11+$E$4*Q11+$F$4*R11)/(SUM($D$4:$F$4))</f>
        <v>0.16949027670693056</v>
      </c>
      <c r="T11" s="69">
        <f>AZ10/$AP$5</f>
        <v>0.29018247237214084</v>
      </c>
      <c r="U11" s="69">
        <f>(($C$5*O11)+($D$5*P11)+($E$5*Q11)+($F$5*R11)+($G$5*T11))</f>
        <v>0.17104818812644565</v>
      </c>
      <c r="V11"/>
      <c r="W11" s="84">
        <v>0.1</v>
      </c>
      <c r="X11" s="85">
        <f>BF6/$AK$5</f>
        <v>0.23396266780766967</v>
      </c>
      <c r="Y11" s="85">
        <f t="shared" ref="Y11:Y19" si="4">(($C$4*Z11)+($D$4*AA11)+($E$4*AB11)+($F$4*AC11)+($G$4*AE11))</f>
        <v>0.18623878180416342</v>
      </c>
      <c r="Z11" s="85">
        <f>BG10/$AL$5</f>
        <v>1.9100488306347983E-3</v>
      </c>
      <c r="AA11" s="85">
        <f>BH$10/BH$5</f>
        <v>2.8858905165767154E-2</v>
      </c>
      <c r="AB11" s="85">
        <f>BI$10/BI$5</f>
        <v>0.20039407178959992</v>
      </c>
      <c r="AC11" s="85">
        <f>BJ$10/BJ$5</f>
        <v>0.23323909877495072</v>
      </c>
      <c r="AD11" s="86">
        <f t="shared" ref="AD11:AD19" si="5">($D$4*AA11+$E$4*AB11+$F$4*AC11)/(SUM($D$4:$F$4))</f>
        <v>0.15416402524343928</v>
      </c>
      <c r="AE11" s="85">
        <f>BK10/$AP$5</f>
        <v>0.23353893600616807</v>
      </c>
      <c r="AF11" s="85">
        <f>(($C$5*Z11)+($D$5*AA11)+($E$5*AB11)+($F$5*AC11)+($G$5*AE11))</f>
        <v>0.15612212798766384</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0.55816441140289885</v>
      </c>
      <c r="C12" s="75">
        <f t="shared" si="0"/>
        <v>0.4062200976612696</v>
      </c>
      <c r="D12" s="75">
        <f>AL17/$AL$5</f>
        <v>1.6425940203889317E-3</v>
      </c>
      <c r="E12" s="75">
        <f>AM17/AM$5</f>
        <v>2.4157457380279277E-2</v>
      </c>
      <c r="F12" s="75">
        <f>AN17/AN$5</f>
        <v>0.27680116508181274</v>
      </c>
      <c r="G12" s="75">
        <f>AO17/AO$5</f>
        <v>0.55331962648847766</v>
      </c>
      <c r="H12" s="76">
        <f t="shared" si="1"/>
        <v>0.28475941631685658</v>
      </c>
      <c r="I12" s="75">
        <f>AP17/$AP$5</f>
        <v>0.55599246123532942</v>
      </c>
      <c r="J12" s="75">
        <f t="shared" ref="J12:J18" si="6">(($C$5*D12)+($D$5*E12)+($E$5*F12)+($F$5*G12)+($G$5*I12))</f>
        <v>0.28197938833204833</v>
      </c>
      <c r="K12"/>
      <c r="L12" s="68">
        <v>0.2</v>
      </c>
      <c r="M12" s="69">
        <f>AU13/$AK$5</f>
        <v>0.47494785259667327</v>
      </c>
      <c r="N12" s="69">
        <f t="shared" si="2"/>
        <v>0.36483346611839285</v>
      </c>
      <c r="O12" s="69">
        <f>AV17/$AL$5</f>
        <v>2.5572689111625119E-3</v>
      </c>
      <c r="P12" s="69">
        <f>AW17/AW$5</f>
        <v>3.6159513407007619E-2</v>
      </c>
      <c r="Q12" s="69">
        <f>AX17/AX$5</f>
        <v>0.34143750535423628</v>
      </c>
      <c r="R12" s="69">
        <f>AY17/AY$5</f>
        <v>0.47337445386790028</v>
      </c>
      <c r="S12" s="70">
        <f t="shared" si="3"/>
        <v>0.2836571575430481</v>
      </c>
      <c r="T12" s="69">
        <f>AZ17/$AP$5</f>
        <v>0.4741197635569262</v>
      </c>
      <c r="U12" s="69">
        <f t="shared" ref="U12:U18" si="7">(($C$5*O12)+($D$5*P12)+($E$5*Q12)+($F$5*R12)+($G$5*T12))</f>
        <v>0.28614949884348495</v>
      </c>
      <c r="V12"/>
      <c r="W12" s="84">
        <v>0.2</v>
      </c>
      <c r="X12" s="85">
        <f>BF13/$AK$5</f>
        <v>0.40753596833716638</v>
      </c>
      <c r="Y12" s="85">
        <f t="shared" si="4"/>
        <v>0.32526581855564118</v>
      </c>
      <c r="Z12" s="85">
        <f>BG17/$AL$5</f>
        <v>3.6244324509551958E-3</v>
      </c>
      <c r="AA12" s="85">
        <f>BH17/BH$5</f>
        <v>5.2501499186156091E-2</v>
      </c>
      <c r="AB12" s="85">
        <f>BI17/BI$5</f>
        <v>0.35134070076244323</v>
      </c>
      <c r="AC12" s="85">
        <f>BJ17/BJ$5</f>
        <v>0.40672492075730315</v>
      </c>
      <c r="AD12" s="86">
        <f t="shared" si="5"/>
        <v>0.27018904023530088</v>
      </c>
      <c r="AE12" s="85">
        <f>BK17/$AP$5</f>
        <v>0.40699905765441613</v>
      </c>
      <c r="AF12" s="85">
        <f t="shared" ref="AF12:AF18" si="8">(($C$5*Z12)+($D$5*AA12)+($E$5*AB12)+($F$5*AC12)+($G$5*AE12))</f>
        <v>0.27344391330420631</v>
      </c>
      <c r="AG12"/>
      <c r="AH12" s="37"/>
      <c r="AI12" s="56">
        <v>0.2</v>
      </c>
      <c r="AJ12" s="37" t="s">
        <v>0</v>
      </c>
      <c r="AK12" s="57">
        <v>1869700</v>
      </c>
      <c r="AL12" s="57">
        <v>11673</v>
      </c>
      <c r="AM12" s="57">
        <v>11673</v>
      </c>
      <c r="AN12" s="57">
        <v>11673</v>
      </c>
      <c r="AO12" s="57">
        <v>11673</v>
      </c>
      <c r="AP12" s="57">
        <v>11673</v>
      </c>
      <c r="AQ12" s="37"/>
      <c r="AR12" s="37"/>
      <c r="AS12" s="56">
        <v>0.2</v>
      </c>
      <c r="AT12" s="37" t="s">
        <v>0</v>
      </c>
      <c r="AU12" s="57">
        <v>1869700</v>
      </c>
      <c r="AV12" s="57">
        <v>11673</v>
      </c>
      <c r="AW12" s="57">
        <v>11673</v>
      </c>
      <c r="AX12" s="57">
        <v>11673</v>
      </c>
      <c r="AY12" s="57">
        <v>11673</v>
      </c>
      <c r="AZ12" s="57">
        <v>11673</v>
      </c>
      <c r="BA12" s="37"/>
      <c r="BB12" s="37"/>
      <c r="BC12" s="37"/>
      <c r="BD12" s="56">
        <v>0.2</v>
      </c>
      <c r="BE12" s="37" t="s">
        <v>0</v>
      </c>
      <c r="BF12" s="57">
        <v>1869700</v>
      </c>
      <c r="BG12" s="57">
        <v>11673</v>
      </c>
      <c r="BH12" s="57">
        <v>11673</v>
      </c>
      <c r="BI12" s="57">
        <v>11673</v>
      </c>
      <c r="BJ12" s="57">
        <v>11673</v>
      </c>
      <c r="BK12" s="57">
        <v>11673</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0.75028079371022094</v>
      </c>
      <c r="C13" s="75">
        <f t="shared" si="0"/>
        <v>0.55205893514949023</v>
      </c>
      <c r="D13" s="75">
        <f>AL24/$AL$5</f>
        <v>3.0479739569947745E-3</v>
      </c>
      <c r="E13" s="75">
        <f>AM24/AM$5</f>
        <v>4.1026300008566774E-2</v>
      </c>
      <c r="F13" s="75">
        <f>AN24/AN$5</f>
        <v>0.40151631971215623</v>
      </c>
      <c r="G13" s="75">
        <f>AO24/AO$5</f>
        <v>0.74521545446757476</v>
      </c>
      <c r="H13" s="76">
        <f t="shared" si="1"/>
        <v>0.39591935806276596</v>
      </c>
      <c r="I13" s="75">
        <f>AP24/$AP$5</f>
        <v>0.74748565064679173</v>
      </c>
      <c r="J13" s="75">
        <f t="shared" si="6"/>
        <v>0.39290824124046952</v>
      </c>
      <c r="K13"/>
      <c r="L13" s="68">
        <v>0.4</v>
      </c>
      <c r="M13" s="69">
        <f>AU20/$AK$5</f>
        <v>0.67818366582874257</v>
      </c>
      <c r="N13" s="69">
        <f t="shared" si="2"/>
        <v>0.52330520860104524</v>
      </c>
      <c r="O13" s="69">
        <f>AV24/$AL$5</f>
        <v>4.1132528056198065E-3</v>
      </c>
      <c r="P13" s="69">
        <f>AW24/AW$5</f>
        <v>5.6210057397412833E-2</v>
      </c>
      <c r="Q13" s="69">
        <f>AX24/AX$5</f>
        <v>0.4980896084982438</v>
      </c>
      <c r="R13" s="69">
        <f>AY24/AY$5</f>
        <v>0.67639852651417809</v>
      </c>
      <c r="S13" s="70">
        <f t="shared" si="3"/>
        <v>0.41023273080327832</v>
      </c>
      <c r="T13" s="69">
        <f>AZ24/$AP$5</f>
        <v>0.67698963419857794</v>
      </c>
      <c r="U13" s="69">
        <f t="shared" si="7"/>
        <v>0.41386784888203554</v>
      </c>
      <c r="V13"/>
      <c r="W13" s="84">
        <v>0.4</v>
      </c>
      <c r="X13" s="85">
        <f>BF20/$AK$5</f>
        <v>0.60555169278493881</v>
      </c>
      <c r="Y13" s="85">
        <f t="shared" si="4"/>
        <v>0.48621748479396898</v>
      </c>
      <c r="Z13" s="85">
        <f>BG24/$AL$5</f>
        <v>6.453696564722008E-3</v>
      </c>
      <c r="AA13" s="85">
        <f>BH24/BH$5</f>
        <v>8.721836717210657E-2</v>
      </c>
      <c r="AB13" s="85">
        <f>BI24/BI$5</f>
        <v>0.53084040092521201</v>
      </c>
      <c r="AC13" s="85">
        <f>BJ24/BJ$5</f>
        <v>0.60476312858733827</v>
      </c>
      <c r="AD13" s="86">
        <f t="shared" si="5"/>
        <v>0.40760729889488562</v>
      </c>
      <c r="AE13" s="85">
        <f>BK24/$AP$5</f>
        <v>0.60494303092606871</v>
      </c>
      <c r="AF13" s="85">
        <f t="shared" si="8"/>
        <v>0.4118721322710529</v>
      </c>
      <c r="AG13"/>
      <c r="AH13" s="37"/>
      <c r="AI13" s="56"/>
      <c r="AJ13" s="37" t="s">
        <v>1</v>
      </c>
      <c r="AK13" s="57">
        <v>1043600</v>
      </c>
      <c r="AL13" s="57">
        <v>6515.7</v>
      </c>
      <c r="AM13" s="57">
        <v>6515.7</v>
      </c>
      <c r="AN13" s="57">
        <v>6515.7</v>
      </c>
      <c r="AO13" s="57">
        <v>6515.7</v>
      </c>
      <c r="AP13" s="57">
        <v>6515.7</v>
      </c>
      <c r="AQ13" s="37"/>
      <c r="AR13" s="37"/>
      <c r="AS13" s="56"/>
      <c r="AT13" s="37" t="s">
        <v>1</v>
      </c>
      <c r="AU13" s="57">
        <v>888010</v>
      </c>
      <c r="AV13" s="57">
        <v>5544</v>
      </c>
      <c r="AW13" s="57">
        <v>5544</v>
      </c>
      <c r="AX13" s="57">
        <v>5544</v>
      </c>
      <c r="AY13" s="57">
        <v>5544</v>
      </c>
      <c r="AZ13" s="57">
        <v>5544</v>
      </c>
      <c r="BA13" s="37"/>
      <c r="BB13" s="37"/>
      <c r="BC13" s="37"/>
      <c r="BD13" s="56"/>
      <c r="BE13" s="37" t="s">
        <v>1</v>
      </c>
      <c r="BF13" s="57">
        <v>761970</v>
      </c>
      <c r="BG13" s="57">
        <v>4757.2</v>
      </c>
      <c r="BH13" s="57">
        <v>4757.2</v>
      </c>
      <c r="BI13" s="57">
        <v>4757.2</v>
      </c>
      <c r="BJ13" s="57">
        <v>4757.2</v>
      </c>
      <c r="BK13" s="57">
        <v>4757.2</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0.85521741455848532</v>
      </c>
      <c r="C14" s="75">
        <f t="shared" si="0"/>
        <v>0.63538876467060745</v>
      </c>
      <c r="D14" s="75">
        <f>AL31/$AL$5</f>
        <v>4.3888460549987149E-3</v>
      </c>
      <c r="E14" s="75">
        <f>AM31/AM$5</f>
        <v>5.5916216910819841E-2</v>
      </c>
      <c r="F14" s="75">
        <f>AN31/AN$5</f>
        <v>0.48906879122761926</v>
      </c>
      <c r="G14" s="75">
        <f>AO31/AO$5</f>
        <v>0.84996144949884356</v>
      </c>
      <c r="H14" s="76">
        <f t="shared" si="1"/>
        <v>0.46498215254576092</v>
      </c>
      <c r="I14" s="75">
        <f>AP31/$AP$5</f>
        <v>0.85185470744453018</v>
      </c>
      <c r="J14" s="75">
        <f t="shared" si="6"/>
        <v>0.46242740512293334</v>
      </c>
      <c r="K14"/>
      <c r="L14" s="68">
        <v>0.6</v>
      </c>
      <c r="M14" s="69">
        <f>AU27/$AK$5</f>
        <v>0.79499384928063321</v>
      </c>
      <c r="N14" s="69">
        <f t="shared" si="2"/>
        <v>0.61765544847083009</v>
      </c>
      <c r="O14" s="69">
        <f>AV31/$AL$5</f>
        <v>6.0370941488906028E-3</v>
      </c>
      <c r="P14" s="69">
        <f>AW31/AW$5</f>
        <v>7.6851709072217944E-2</v>
      </c>
      <c r="Q14" s="69">
        <f>AX31/AX$5</f>
        <v>0.60034267112139128</v>
      </c>
      <c r="R14" s="69">
        <f>AY31/AY$5</f>
        <v>0.79310374368200121</v>
      </c>
      <c r="S14" s="70">
        <f t="shared" si="3"/>
        <v>0.49009937462520353</v>
      </c>
      <c r="T14" s="69">
        <f>AZ31/$AP$5</f>
        <v>0.79361775036408799</v>
      </c>
      <c r="U14" s="69">
        <f t="shared" si="7"/>
        <v>0.49409364345069823</v>
      </c>
      <c r="V14"/>
      <c r="W14" s="84">
        <v>0.6</v>
      </c>
      <c r="X14" s="85">
        <f>BF27/$AK$5</f>
        <v>0.7358399743274322</v>
      </c>
      <c r="Y14" s="85">
        <f t="shared" si="4"/>
        <v>0.59347584168594192</v>
      </c>
      <c r="Z14" s="85">
        <f>BG31/$AL$5</f>
        <v>9.0439475713184267E-3</v>
      </c>
      <c r="AA14" s="85">
        <f>BH31/BH$5</f>
        <v>0.11577143836203205</v>
      </c>
      <c r="AB14" s="85">
        <f>BI31/BI$5</f>
        <v>0.65207744367343445</v>
      </c>
      <c r="AC14" s="85">
        <f>BJ31/BJ$5</f>
        <v>0.73502955538421999</v>
      </c>
      <c r="AD14" s="86">
        <f t="shared" si="5"/>
        <v>0.50095947913989558</v>
      </c>
      <c r="AE14" s="85">
        <f>BK31/$AP$5</f>
        <v>0.735183757388846</v>
      </c>
      <c r="AF14" s="85">
        <f t="shared" si="8"/>
        <v>0.50541394671464068</v>
      </c>
      <c r="AG14"/>
      <c r="AH14" s="37"/>
      <c r="AI14" s="56"/>
      <c r="AJ14" s="37" t="s">
        <v>2</v>
      </c>
      <c r="AK14" s="57">
        <v>826100</v>
      </c>
      <c r="AL14" s="57">
        <v>5157.6000000000004</v>
      </c>
      <c r="AM14" s="57">
        <v>5157.6000000000004</v>
      </c>
      <c r="AN14" s="57">
        <v>5157.6000000000004</v>
      </c>
      <c r="AO14" s="57">
        <v>5157.6000000000004</v>
      </c>
      <c r="AP14" s="57">
        <v>5157.6000000000004</v>
      </c>
      <c r="AQ14" s="37"/>
      <c r="AR14" s="37"/>
      <c r="AS14" s="56"/>
      <c r="AT14" s="37" t="s">
        <v>2</v>
      </c>
      <c r="AU14" s="57">
        <v>981720</v>
      </c>
      <c r="AV14" s="57">
        <v>6129.3</v>
      </c>
      <c r="AW14" s="57">
        <v>6129.3</v>
      </c>
      <c r="AX14" s="57">
        <v>6129.3</v>
      </c>
      <c r="AY14" s="57">
        <v>6129.3</v>
      </c>
      <c r="AZ14" s="57">
        <v>6129.3</v>
      </c>
      <c r="BA14" s="37"/>
      <c r="BB14" s="37"/>
      <c r="BC14" s="37"/>
      <c r="BD14" s="56"/>
      <c r="BE14" s="37" t="s">
        <v>2</v>
      </c>
      <c r="BF14" s="57">
        <v>1107800</v>
      </c>
      <c r="BG14" s="57">
        <v>6916.5</v>
      </c>
      <c r="BH14" s="57">
        <v>6916.5</v>
      </c>
      <c r="BI14" s="57">
        <v>6916.5</v>
      </c>
      <c r="BJ14" s="57">
        <v>6916.5</v>
      </c>
      <c r="BK14" s="57">
        <v>6916.5</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0.91394341338182594</v>
      </c>
      <c r="C15" s="75">
        <f t="shared" si="0"/>
        <v>0.68434739998286642</v>
      </c>
      <c r="D15" s="75">
        <f>AL38/$AL$5</f>
        <v>5.6595562408977979E-3</v>
      </c>
      <c r="E15" s="75">
        <f>AM38/AM$5</f>
        <v>6.8847768354321937E-2</v>
      </c>
      <c r="F15" s="75">
        <f>AN38/AN$5</f>
        <v>0.54955024415317399</v>
      </c>
      <c r="G15" s="75">
        <f>AO38/AO$5</f>
        <v>0.90824980724749427</v>
      </c>
      <c r="H15" s="76">
        <f t="shared" si="1"/>
        <v>0.50888260658499684</v>
      </c>
      <c r="I15" s="75">
        <f>AP38/$AP$5</f>
        <v>0.91013449841514604</v>
      </c>
      <c r="J15" s="75">
        <f t="shared" si="6"/>
        <v>0.50681901824723719</v>
      </c>
      <c r="K15"/>
      <c r="L15" s="68">
        <v>0.8</v>
      </c>
      <c r="M15" s="69">
        <f>AU34/$AK$5</f>
        <v>0.8653794726426699</v>
      </c>
      <c r="N15" s="69">
        <f t="shared" si="2"/>
        <v>0.67772807333162</v>
      </c>
      <c r="O15" s="69">
        <f>AV38/$AL$5</f>
        <v>7.872526342842457E-3</v>
      </c>
      <c r="P15" s="69">
        <f>AW38/AW$5</f>
        <v>9.5322539193009509E-2</v>
      </c>
      <c r="Q15" s="69">
        <f>AX38/AX$5</f>
        <v>0.67667266341129106</v>
      </c>
      <c r="R15" s="69">
        <f>AY38/AY$5</f>
        <v>0.86370256146663238</v>
      </c>
      <c r="S15" s="70">
        <f t="shared" si="3"/>
        <v>0.54523258802364438</v>
      </c>
      <c r="T15" s="69">
        <f>AZ38/$AP$5</f>
        <v>0.86395956480767588</v>
      </c>
      <c r="U15" s="69">
        <f t="shared" si="7"/>
        <v>0.54965729461149671</v>
      </c>
      <c r="V15"/>
      <c r="W15" s="84">
        <v>0.8</v>
      </c>
      <c r="X15" s="85">
        <f>BF34/$AK$5</f>
        <v>0.81713643900090926</v>
      </c>
      <c r="Y15" s="85">
        <f t="shared" si="4"/>
        <v>0.66152647134412745</v>
      </c>
      <c r="Z15" s="85">
        <f>BG38/$AL$5</f>
        <v>1.1382677974813673E-2</v>
      </c>
      <c r="AA15" s="85">
        <f>BH38/BH$5</f>
        <v>0.13891030583397584</v>
      </c>
      <c r="AB15" s="85">
        <f>BI38/BI$5</f>
        <v>0.72978668722693385</v>
      </c>
      <c r="AC15" s="85">
        <f>BJ38/BJ$5</f>
        <v>0.81627687826608408</v>
      </c>
      <c r="AD15" s="86">
        <f t="shared" si="5"/>
        <v>0.56165795710899802</v>
      </c>
      <c r="AE15" s="85">
        <f>BK38/$AP$5</f>
        <v>0.81642251349267547</v>
      </c>
      <c r="AF15" s="85">
        <f t="shared" si="8"/>
        <v>0.56573263085753456</v>
      </c>
      <c r="AG15"/>
      <c r="AH15" s="37"/>
      <c r="AI15" s="56"/>
      <c r="AJ15" s="37" t="s">
        <v>3</v>
      </c>
      <c r="AK15" s="57">
        <v>1043500</v>
      </c>
      <c r="AL15" s="57">
        <v>6495.5</v>
      </c>
      <c r="AM15" s="57">
        <v>6232.4</v>
      </c>
      <c r="AN15" s="57">
        <v>3283.3</v>
      </c>
      <c r="AO15" s="57">
        <v>55.558999999999997</v>
      </c>
      <c r="AP15" s="57">
        <v>24.417000000000002</v>
      </c>
      <c r="AQ15" s="37"/>
      <c r="AR15" s="37"/>
      <c r="AS15" s="56"/>
      <c r="AT15" s="37" t="s">
        <v>3</v>
      </c>
      <c r="AU15" s="57">
        <v>887590</v>
      </c>
      <c r="AV15" s="57">
        <v>5511.2</v>
      </c>
      <c r="AW15" s="57">
        <v>5118.7</v>
      </c>
      <c r="AX15" s="57">
        <v>1555.6</v>
      </c>
      <c r="AY15" s="57">
        <v>15.477</v>
      </c>
      <c r="AZ15" s="57">
        <v>6.6924000000000001</v>
      </c>
      <c r="BA15" s="37"/>
      <c r="BB15" s="37"/>
      <c r="BC15" s="37"/>
      <c r="BD15" s="56"/>
      <c r="BE15" s="37" t="s">
        <v>3</v>
      </c>
      <c r="BF15" s="57">
        <v>761460</v>
      </c>
      <c r="BG15" s="57">
        <v>4711.1000000000004</v>
      </c>
      <c r="BH15" s="57">
        <v>4140.1000000000004</v>
      </c>
      <c r="BI15" s="57">
        <v>652.21</v>
      </c>
      <c r="BJ15" s="57">
        <v>5.6635999999999997</v>
      </c>
      <c r="BK15" s="57">
        <v>2.4260999999999999</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0.94565973150772853</v>
      </c>
      <c r="C16" s="75">
        <f t="shared" si="0"/>
        <v>0.71333273365887084</v>
      </c>
      <c r="D16" s="75">
        <f>AL45/$AL$5</f>
        <v>6.9313801079414032E-3</v>
      </c>
      <c r="E16" s="75">
        <f>AM45/AM$5</f>
        <v>8.0994602929838094E-2</v>
      </c>
      <c r="F16" s="75">
        <f>AN45/AN$5</f>
        <v>0.59314657757217515</v>
      </c>
      <c r="G16" s="75">
        <f>AO45/AO$5</f>
        <v>0.93994688597618437</v>
      </c>
      <c r="H16" s="76">
        <f t="shared" si="1"/>
        <v>0.53802935549273256</v>
      </c>
      <c r="I16" s="75">
        <f>AP45/$AP$5</f>
        <v>0.94174590936348834</v>
      </c>
      <c r="J16" s="75">
        <f t="shared" si="6"/>
        <v>0.53631465775721754</v>
      </c>
      <c r="K16"/>
      <c r="L16" s="68">
        <v>1</v>
      </c>
      <c r="M16" s="69">
        <f>AU41/$AK$5</f>
        <v>0.90832753917740816</v>
      </c>
      <c r="N16" s="69">
        <f t="shared" si="2"/>
        <v>0.7129893343613467</v>
      </c>
      <c r="O16" s="69">
        <f>AV45/$AL$5</f>
        <v>9.1313287072731942E-3</v>
      </c>
      <c r="P16" s="69">
        <f>AW45/AW$5</f>
        <v>0.10743596333419</v>
      </c>
      <c r="Q16" s="69">
        <f>AX45/AX$5</f>
        <v>0.71422941831577147</v>
      </c>
      <c r="R16" s="69">
        <f>AY45/AY$5</f>
        <v>0.90619378051914679</v>
      </c>
      <c r="S16" s="70">
        <f t="shared" si="3"/>
        <v>0.57595305405636943</v>
      </c>
      <c r="T16" s="69">
        <f>AZ45/$AP$5</f>
        <v>0.90670778720123357</v>
      </c>
      <c r="U16" s="69">
        <f t="shared" si="7"/>
        <v>0.58000162768782659</v>
      </c>
      <c r="V16"/>
      <c r="W16" s="84">
        <v>1</v>
      </c>
      <c r="X16" s="85">
        <f>BF41/$AK$5</f>
        <v>0.86816066748676257</v>
      </c>
      <c r="Y16" s="85">
        <f t="shared" si="4"/>
        <v>0.70536888546217769</v>
      </c>
      <c r="Z16" s="85">
        <f>BG45/$AL$5</f>
        <v>1.3545789428595906E-2</v>
      </c>
      <c r="AA16" s="85">
        <f>BH45/BH$5</f>
        <v>0.15845112653131158</v>
      </c>
      <c r="AB16" s="85">
        <f>BI45/BI$5</f>
        <v>0.78090465176047286</v>
      </c>
      <c r="AC16" s="85">
        <f>BJ45/BJ$5</f>
        <v>0.86730060824124044</v>
      </c>
      <c r="AD16" s="86">
        <f t="shared" si="5"/>
        <v>0.60221879551100832</v>
      </c>
      <c r="AE16" s="85">
        <f>BK45/$AP$5</f>
        <v>0.86738627602158824</v>
      </c>
      <c r="AF16" s="85">
        <f t="shared" si="8"/>
        <v>0.60560541420371794</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0.96486067283521415</v>
      </c>
      <c r="C17" s="75">
        <f t="shared" si="0"/>
        <v>0.73288221536879972</v>
      </c>
      <c r="D17" s="75">
        <f>AL52/$AL$5</f>
        <v>8.145463891030583E-3</v>
      </c>
      <c r="E17" s="75">
        <f>AM52/AM$5</f>
        <v>9.2247065878523077E-2</v>
      </c>
      <c r="F17" s="75">
        <f>AN52/AN$5</f>
        <v>0.62969245266855134</v>
      </c>
      <c r="G17" s="75">
        <f>AO52/AO$5</f>
        <v>0.95896513321339849</v>
      </c>
      <c r="H17" s="76">
        <f t="shared" si="1"/>
        <v>0.56030155058682429</v>
      </c>
      <c r="I17" s="75">
        <f>AP52/$AP$5</f>
        <v>0.96067848882035467</v>
      </c>
      <c r="J17" s="75">
        <f t="shared" si="6"/>
        <v>0.55900181615694344</v>
      </c>
      <c r="K17"/>
      <c r="L17" s="68">
        <v>1.2</v>
      </c>
      <c r="M17" s="69">
        <f>AU48/$AK$5</f>
        <v>0.93517676632614855</v>
      </c>
      <c r="N17" s="69">
        <f t="shared" si="2"/>
        <v>0.73782331020303271</v>
      </c>
      <c r="O17" s="69">
        <f>AV52/$AL$5</f>
        <v>1.0813843913304207E-2</v>
      </c>
      <c r="P17" s="69">
        <f>AW52/AW$5</f>
        <v>0.1218195836545875</v>
      </c>
      <c r="Q17" s="69">
        <f>AX52/AX$5</f>
        <v>0.74856506467917416</v>
      </c>
      <c r="R17" s="69">
        <f>AY52/AY$5</f>
        <v>0.93309346354835943</v>
      </c>
      <c r="S17" s="70">
        <f t="shared" si="3"/>
        <v>0.60115937062737379</v>
      </c>
      <c r="T17" s="69">
        <f>AZ52/$AP$5</f>
        <v>0.93352180245009853</v>
      </c>
      <c r="U17" s="69">
        <f t="shared" si="7"/>
        <v>0.60484219994859934</v>
      </c>
      <c r="V17"/>
      <c r="W17" s="84">
        <v>1.2</v>
      </c>
      <c r="X17" s="85">
        <f>BF48/$AK$5</f>
        <v>0.90463710755736215</v>
      </c>
      <c r="Y17" s="85">
        <f t="shared" si="4"/>
        <v>0.73759967446243468</v>
      </c>
      <c r="Z17" s="85">
        <f>BG52/$AL$5</f>
        <v>1.5636083269082498E-2</v>
      </c>
      <c r="AA17" s="85">
        <f>BH52/BH$5</f>
        <v>0.17591022016619551</v>
      </c>
      <c r="AB17" s="85">
        <f>BI52/BI$5</f>
        <v>0.81984922470658783</v>
      </c>
      <c r="AC17" s="85">
        <f>BJ52/BJ$5</f>
        <v>0.9037094148890602</v>
      </c>
      <c r="AD17" s="86">
        <f t="shared" si="5"/>
        <v>0.63315628658728118</v>
      </c>
      <c r="AE17" s="85">
        <f>BK52/$AP$5</f>
        <v>0.903795082669408</v>
      </c>
      <c r="AF17" s="85">
        <f t="shared" si="8"/>
        <v>0.63580673348753547</v>
      </c>
      <c r="AG17"/>
      <c r="AH17" s="37"/>
      <c r="AI17" s="56"/>
      <c r="AJ17" s="37" t="s">
        <v>5</v>
      </c>
      <c r="AK17" s="57">
        <v>0</v>
      </c>
      <c r="AL17" s="57">
        <v>19.173999999999999</v>
      </c>
      <c r="AM17" s="57">
        <v>281.99</v>
      </c>
      <c r="AN17" s="57">
        <v>3231.1</v>
      </c>
      <c r="AO17" s="57">
        <v>6458.9</v>
      </c>
      <c r="AP17" s="57">
        <v>6490.1</v>
      </c>
      <c r="AQ17" s="37"/>
      <c r="AR17" s="37"/>
      <c r="AS17" s="56"/>
      <c r="AT17" s="37" t="s">
        <v>5</v>
      </c>
      <c r="AU17" s="57">
        <v>0</v>
      </c>
      <c r="AV17" s="57">
        <v>29.850999999999999</v>
      </c>
      <c r="AW17" s="57">
        <v>422.09</v>
      </c>
      <c r="AX17" s="57">
        <v>3985.6</v>
      </c>
      <c r="AY17" s="57">
        <v>5525.7</v>
      </c>
      <c r="AZ17" s="57">
        <v>5534.4</v>
      </c>
      <c r="BA17" s="37"/>
      <c r="BB17" s="37"/>
      <c r="BC17" s="37"/>
      <c r="BD17" s="56"/>
      <c r="BE17" s="37" t="s">
        <v>5</v>
      </c>
      <c r="BF17" s="57">
        <v>0</v>
      </c>
      <c r="BG17" s="57">
        <v>42.308</v>
      </c>
      <c r="BH17" s="57">
        <v>612.85</v>
      </c>
      <c r="BI17" s="57">
        <v>4101.2</v>
      </c>
      <c r="BJ17" s="57">
        <v>4747.7</v>
      </c>
      <c r="BK17" s="57">
        <v>4750.8999999999996</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0.9874311386853506</v>
      </c>
      <c r="C18" s="75">
        <f t="shared" si="0"/>
        <v>0.75848132442388416</v>
      </c>
      <c r="D18" s="75">
        <f>AL59/$AL$5</f>
        <v>1.0455752591450354E-2</v>
      </c>
      <c r="E18" s="75">
        <f>AM59/AM$5</f>
        <v>0.11248179559667609</v>
      </c>
      <c r="F18" s="75">
        <f>AN59/AN$5</f>
        <v>0.68302921271309858</v>
      </c>
      <c r="G18" s="75">
        <f>AO59/AO$5</f>
        <v>0.98132442388417718</v>
      </c>
      <c r="H18" s="76">
        <f t="shared" si="1"/>
        <v>0.592278477397984</v>
      </c>
      <c r="I18" s="75">
        <f>AP59/$AP$5</f>
        <v>0.98286644393043776</v>
      </c>
      <c r="J18" s="75">
        <f t="shared" si="6"/>
        <v>0.59130514863359895</v>
      </c>
      <c r="K18"/>
      <c r="L18" s="68">
        <v>1.6</v>
      </c>
      <c r="M18" s="69">
        <f>AU55/$AK$5</f>
        <v>0.96705353800074878</v>
      </c>
      <c r="N18" s="69">
        <f t="shared" si="2"/>
        <v>0.7692190953482394</v>
      </c>
      <c r="O18" s="69">
        <f>AV59/$AL$5</f>
        <v>1.3611753619463719E-2</v>
      </c>
      <c r="P18" s="69">
        <f>AW59/AW$5</f>
        <v>0.14473571489762702</v>
      </c>
      <c r="Q18" s="69">
        <f>AX59/AX$5</f>
        <v>0.79666752334447011</v>
      </c>
      <c r="R18" s="69">
        <f>AY59/AY$5</f>
        <v>0.96479054227704963</v>
      </c>
      <c r="S18" s="70">
        <f t="shared" si="3"/>
        <v>0.63539792683971563</v>
      </c>
      <c r="T18" s="69">
        <f>AZ59/$AP$5</f>
        <v>0.96521888117878862</v>
      </c>
      <c r="U18" s="69">
        <f t="shared" si="7"/>
        <v>0.63845532425254869</v>
      </c>
      <c r="V18"/>
      <c r="W18" s="84">
        <v>1.6</v>
      </c>
      <c r="X18" s="85">
        <f>BF55/$AK$5</f>
        <v>0.94523185537786814</v>
      </c>
      <c r="Y18" s="85">
        <f t="shared" si="4"/>
        <v>0.77604047802621434</v>
      </c>
      <c r="Z18" s="85">
        <f>BG59/$AL$5</f>
        <v>2.0004283389017389E-2</v>
      </c>
      <c r="AA18" s="85">
        <f>BH59/BH$5</f>
        <v>0.20759873211685087</v>
      </c>
      <c r="AB18" s="85">
        <f>BI59/BI$5</f>
        <v>0.86738627602158824</v>
      </c>
      <c r="AC18" s="85">
        <f>BJ59/BJ$5</f>
        <v>0.94423027499357493</v>
      </c>
      <c r="AD18" s="86">
        <f t="shared" si="5"/>
        <v>0.67307176104400468</v>
      </c>
      <c r="AE18" s="85">
        <f>BK59/$AP$5</f>
        <v>0.94431594277392272</v>
      </c>
      <c r="AF18" s="85">
        <f t="shared" si="8"/>
        <v>0.67375233444701466</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0.2587584939604215</v>
      </c>
      <c r="CH18" s="62">
        <f t="shared" ref="CH18:CH26" si="10">N11</f>
        <v>0.2214200933778806</v>
      </c>
      <c r="CI18" s="62">
        <f t="shared" ref="CI18:CI26" si="11">Y11</f>
        <v>0.18623878180416342</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0.99812804193186078</v>
      </c>
      <c r="C19" s="75">
        <f t="shared" si="0"/>
        <v>0.774283988691853</v>
      </c>
      <c r="D19" s="75">
        <f>AL66/$AL$5</f>
        <v>1.2802193095176904E-2</v>
      </c>
      <c r="E19" s="75">
        <f>AM66/AM$5</f>
        <v>0.13167994517262058</v>
      </c>
      <c r="F19" s="75">
        <f>AN66/AN$5</f>
        <v>0.72211085410777009</v>
      </c>
      <c r="G19" s="75">
        <f>AO66/AO$5</f>
        <v>0.99220423198834917</v>
      </c>
      <c r="H19" s="76">
        <f t="shared" si="1"/>
        <v>0.61533167708957992</v>
      </c>
      <c r="I19" s="75">
        <f>AP66/$AP$5</f>
        <v>0.99348924869356636</v>
      </c>
      <c r="J19" s="75">
        <f>(($C$5*D19)+($D$5*E19)+($E$5*F19)+($F$5*G19)+($G$5*I19))</f>
        <v>0.61425032125417633</v>
      </c>
      <c r="K19"/>
      <c r="L19" s="68">
        <v>2</v>
      </c>
      <c r="M19" s="69">
        <f>AU62/$AK$5</f>
        <v>0.98395464513023478</v>
      </c>
      <c r="N19" s="69">
        <f t="shared" si="2"/>
        <v>0.78910331534309952</v>
      </c>
      <c r="O19" s="69">
        <f>AV66/$AL$5</f>
        <v>1.6744624346783175E-2</v>
      </c>
      <c r="P19" s="69">
        <f>AW66/AW$5</f>
        <v>0.16862845883663155</v>
      </c>
      <c r="Q19" s="69">
        <f>AX66/AX$5</f>
        <v>0.83070333247665551</v>
      </c>
      <c r="R19" s="69">
        <f>AY66/AY$5</f>
        <v>0.98183843056626408</v>
      </c>
      <c r="S19" s="70">
        <f t="shared" si="3"/>
        <v>0.6603900739598505</v>
      </c>
      <c r="T19" s="69">
        <f>AZ66/$AP$5</f>
        <v>0.98218110168765527</v>
      </c>
      <c r="U19" s="69">
        <f>(($C$5*O19)+($D$5*P19)+($E$5*Q19)+($F$5*R19)+($G$5*T19))</f>
        <v>0.66226728347468522</v>
      </c>
      <c r="V19"/>
      <c r="W19" s="84">
        <v>2</v>
      </c>
      <c r="X19" s="85">
        <f>BF62/$AK$5</f>
        <v>0.96860458897149271</v>
      </c>
      <c r="Y19" s="85">
        <f t="shared" si="4"/>
        <v>0.79908318341471773</v>
      </c>
      <c r="Z19" s="85">
        <f>BG66/$AL$5</f>
        <v>2.2887004197721238E-2</v>
      </c>
      <c r="AA19" s="85">
        <f>BH66/BH$5</f>
        <v>0.22852737085582112</v>
      </c>
      <c r="AB19" s="85">
        <f>BI66/BI$5</f>
        <v>0.89805534138610466</v>
      </c>
      <c r="AC19" s="85">
        <f>BJ66/BJ$5</f>
        <v>0.96761757902852741</v>
      </c>
      <c r="AD19" s="86">
        <f t="shared" si="5"/>
        <v>0.69806676375681775</v>
      </c>
      <c r="AE19" s="85">
        <f>BK66/$AP$5</f>
        <v>0.96761757902852741</v>
      </c>
      <c r="AF19" s="85">
        <f>(($C$5*Z19)+($D$5*AA19)+($E$5*AB19)+($F$5*AC19)+($G$5*AE19))</f>
        <v>0.69750158485393654</v>
      </c>
      <c r="AG19"/>
      <c r="AH19" s="37"/>
      <c r="AI19" s="56">
        <v>0.4</v>
      </c>
      <c r="AJ19" s="37" t="s">
        <v>0</v>
      </c>
      <c r="AK19" s="57">
        <v>1869700</v>
      </c>
      <c r="AL19" s="57">
        <v>11673</v>
      </c>
      <c r="AM19" s="57">
        <v>11673</v>
      </c>
      <c r="AN19" s="57">
        <v>11673</v>
      </c>
      <c r="AO19" s="57">
        <v>11673</v>
      </c>
      <c r="AP19" s="57">
        <v>11673</v>
      </c>
      <c r="AQ19" s="37"/>
      <c r="AR19" s="37"/>
      <c r="AS19" s="56">
        <v>0.4</v>
      </c>
      <c r="AT19" s="37" t="s">
        <v>0</v>
      </c>
      <c r="AU19" s="57">
        <v>1869700</v>
      </c>
      <c r="AV19" s="57">
        <v>11673</v>
      </c>
      <c r="AW19" s="57">
        <v>11673</v>
      </c>
      <c r="AX19" s="57">
        <v>11673</v>
      </c>
      <c r="AY19" s="57">
        <v>11673</v>
      </c>
      <c r="AZ19" s="57">
        <v>11673</v>
      </c>
      <c r="BA19" s="37"/>
      <c r="BB19" s="37"/>
      <c r="BC19" s="37"/>
      <c r="BD19" s="56">
        <v>0.4</v>
      </c>
      <c r="BE19" s="37" t="s">
        <v>0</v>
      </c>
      <c r="BF19" s="57">
        <v>1869700</v>
      </c>
      <c r="BG19" s="57">
        <v>11673</v>
      </c>
      <c r="BH19" s="57">
        <v>11673</v>
      </c>
      <c r="BI19" s="57">
        <v>11673</v>
      </c>
      <c r="BJ19" s="57">
        <v>11673</v>
      </c>
      <c r="BK19" s="57">
        <v>11673</v>
      </c>
      <c r="BL19" s="37"/>
      <c r="BM19" s="37"/>
      <c r="BN19" s="37"/>
      <c r="BO19" s="37"/>
      <c r="BY19" s="37"/>
      <c r="BZ19" s="37"/>
      <c r="CA19" s="37"/>
      <c r="CB19" s="37"/>
      <c r="CC19" s="61">
        <v>0.2</v>
      </c>
      <c r="CD19" s="62">
        <v>0.77280172734718189</v>
      </c>
      <c r="CE19" s="62">
        <v>0.62134241679696223</v>
      </c>
      <c r="CF19" s="62">
        <v>0.48760330578512395</v>
      </c>
      <c r="CG19" s="62">
        <f t="shared" si="9"/>
        <v>0.4062200976612696</v>
      </c>
      <c r="CH19" s="62">
        <f t="shared" si="10"/>
        <v>0.36483346611839285</v>
      </c>
      <c r="CI19" s="62">
        <f t="shared" si="11"/>
        <v>0.32526581855564118</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1402800</v>
      </c>
      <c r="AL20" s="57">
        <v>8758.6</v>
      </c>
      <c r="AM20" s="57">
        <v>8758.6</v>
      </c>
      <c r="AN20" s="57">
        <v>8758.6</v>
      </c>
      <c r="AO20" s="57">
        <v>8758.6</v>
      </c>
      <c r="AP20" s="57">
        <v>8758.6</v>
      </c>
      <c r="AQ20" s="37"/>
      <c r="AR20" s="37"/>
      <c r="AS20" s="56"/>
      <c r="AT20" s="37" t="s">
        <v>1</v>
      </c>
      <c r="AU20" s="57">
        <v>1268000</v>
      </c>
      <c r="AV20" s="57">
        <v>7916.8</v>
      </c>
      <c r="AW20" s="57">
        <v>7916.8</v>
      </c>
      <c r="AX20" s="57">
        <v>7916.8</v>
      </c>
      <c r="AY20" s="57">
        <v>7916.8</v>
      </c>
      <c r="AZ20" s="57">
        <v>7916.8</v>
      </c>
      <c r="BA20" s="37"/>
      <c r="BB20" s="37"/>
      <c r="BC20" s="37"/>
      <c r="BD20" s="56"/>
      <c r="BE20" s="37" t="s">
        <v>1</v>
      </c>
      <c r="BF20" s="57">
        <v>1132200</v>
      </c>
      <c r="BG20" s="57">
        <v>7068.5</v>
      </c>
      <c r="BH20" s="57">
        <v>7068.5</v>
      </c>
      <c r="BI20" s="57">
        <v>7068.5</v>
      </c>
      <c r="BJ20" s="57">
        <v>7068.5</v>
      </c>
      <c r="BK20" s="57">
        <v>7068.5</v>
      </c>
      <c r="BL20" s="37"/>
      <c r="BM20" s="37"/>
      <c r="BN20" s="37"/>
      <c r="BO20" s="37"/>
      <c r="BY20" s="37"/>
      <c r="BZ20" s="37"/>
      <c r="CA20" s="37"/>
      <c r="CB20" s="37"/>
      <c r="CC20" s="61">
        <v>0.4</v>
      </c>
      <c r="CD20" s="62">
        <v>0.93740227831136924</v>
      </c>
      <c r="CE20" s="62">
        <v>0.83551113096567642</v>
      </c>
      <c r="CF20" s="62">
        <v>0.7119350755714392</v>
      </c>
      <c r="CG20" s="62">
        <f t="shared" si="9"/>
        <v>0.55205893514949023</v>
      </c>
      <c r="CH20" s="62">
        <f t="shared" si="10"/>
        <v>0.52330520860104524</v>
      </c>
      <c r="CI20" s="62">
        <f t="shared" si="11"/>
        <v>0.48621748479396898</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466890</v>
      </c>
      <c r="AL21" s="57">
        <v>2915</v>
      </c>
      <c r="AM21" s="57">
        <v>2915</v>
      </c>
      <c r="AN21" s="57">
        <v>2915</v>
      </c>
      <c r="AO21" s="57">
        <v>2915</v>
      </c>
      <c r="AP21" s="57">
        <v>2915</v>
      </c>
      <c r="AQ21" s="57"/>
      <c r="AR21" s="37"/>
      <c r="AS21" s="56"/>
      <c r="AT21" s="37" t="s">
        <v>2</v>
      </c>
      <c r="AU21" s="57">
        <v>601690</v>
      </c>
      <c r="AV21" s="57">
        <v>3756.6</v>
      </c>
      <c r="AW21" s="57">
        <v>3756.6</v>
      </c>
      <c r="AX21" s="57">
        <v>3756.6</v>
      </c>
      <c r="AY21" s="57">
        <v>3756.6</v>
      </c>
      <c r="AZ21" s="57">
        <v>3756.6</v>
      </c>
      <c r="BA21" s="57"/>
      <c r="BB21" s="37"/>
      <c r="BC21" s="37"/>
      <c r="BD21" s="56"/>
      <c r="BE21" s="37" t="s">
        <v>2</v>
      </c>
      <c r="BF21" s="57">
        <v>737560</v>
      </c>
      <c r="BG21" s="57">
        <v>4604.8</v>
      </c>
      <c r="BH21" s="57">
        <v>4604.8</v>
      </c>
      <c r="BI21" s="57">
        <v>4604.8</v>
      </c>
      <c r="BJ21" s="57">
        <v>4604.8</v>
      </c>
      <c r="BK21" s="57">
        <v>4604.8</v>
      </c>
      <c r="BL21" s="57"/>
      <c r="BM21" s="57"/>
      <c r="BN21" s="57"/>
      <c r="BO21" s="37"/>
      <c r="BY21" s="37"/>
      <c r="BZ21" s="37"/>
      <c r="CA21" s="37"/>
      <c r="CB21" s="37"/>
      <c r="CC21" s="61">
        <v>0.6</v>
      </c>
      <c r="CD21" s="62">
        <v>0.98157248157248156</v>
      </c>
      <c r="CE21" s="62">
        <v>0.93494527585436671</v>
      </c>
      <c r="CF21" s="62">
        <v>0.84556250465341376</v>
      </c>
      <c r="CG21" s="62">
        <f t="shared" si="9"/>
        <v>0.63538876467060745</v>
      </c>
      <c r="CH21" s="62">
        <f t="shared" si="10"/>
        <v>0.61765544847083009</v>
      </c>
      <c r="CI21" s="62">
        <f t="shared" si="11"/>
        <v>0.59347584168594192</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1402600</v>
      </c>
      <c r="AL22" s="57">
        <v>8721.1</v>
      </c>
      <c r="AM22" s="57">
        <v>8277.7999999999993</v>
      </c>
      <c r="AN22" s="57">
        <v>4070.1</v>
      </c>
      <c r="AO22" s="57">
        <v>57.965000000000003</v>
      </c>
      <c r="AP22" s="57">
        <v>31.472999999999999</v>
      </c>
      <c r="AQ22" s="37"/>
      <c r="AR22" s="37"/>
      <c r="AS22" s="56"/>
      <c r="AT22" s="37" t="s">
        <v>3</v>
      </c>
      <c r="AU22" s="57">
        <v>1267700</v>
      </c>
      <c r="AV22" s="57">
        <v>7866.8</v>
      </c>
      <c r="AW22" s="57">
        <v>7258.1</v>
      </c>
      <c r="AX22" s="57">
        <v>2100.5</v>
      </c>
      <c r="AY22" s="57">
        <v>19.143999999999998</v>
      </c>
      <c r="AZ22" s="57">
        <v>12.257999999999999</v>
      </c>
      <c r="BA22" s="37"/>
      <c r="BB22" s="37"/>
      <c r="BC22" s="37"/>
      <c r="BD22" s="56"/>
      <c r="BE22" s="37" t="s">
        <v>3</v>
      </c>
      <c r="BF22" s="57">
        <v>1131600</v>
      </c>
      <c r="BG22" s="57">
        <v>6989.3</v>
      </c>
      <c r="BH22" s="57">
        <v>6045.8</v>
      </c>
      <c r="BI22" s="57">
        <v>868.42</v>
      </c>
      <c r="BJ22" s="57">
        <v>5.3396999999999997</v>
      </c>
      <c r="BK22" s="57">
        <v>3.2606999999999999</v>
      </c>
      <c r="BL22" s="37"/>
      <c r="BM22" s="37"/>
      <c r="BN22" s="37"/>
      <c r="BO22" s="37"/>
      <c r="BY22" s="37"/>
      <c r="BZ22" s="37"/>
      <c r="CA22" s="37"/>
      <c r="CB22" s="37"/>
      <c r="CC22" s="61">
        <v>0.8</v>
      </c>
      <c r="CD22" s="62">
        <v>0.99348522075794798</v>
      </c>
      <c r="CE22" s="62">
        <v>0.97371751917206462</v>
      </c>
      <c r="CF22" s="62">
        <v>0.92195294468021738</v>
      </c>
      <c r="CG22" s="62">
        <f t="shared" si="9"/>
        <v>0.68434739998286642</v>
      </c>
      <c r="CH22" s="62">
        <f t="shared" si="10"/>
        <v>0.67772807333162</v>
      </c>
      <c r="CI22" s="62">
        <f t="shared" si="11"/>
        <v>0.66152647134412745</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0.71333273365887084</v>
      </c>
      <c r="CH23" s="62">
        <f t="shared" si="10"/>
        <v>0.7129893343613467</v>
      </c>
      <c r="CI23" s="62">
        <f t="shared" si="11"/>
        <v>0.70536888546217769</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35.579000000000001</v>
      </c>
      <c r="AM24" s="57">
        <v>478.9</v>
      </c>
      <c r="AN24" s="57">
        <v>4686.8999999999996</v>
      </c>
      <c r="AO24" s="57">
        <v>8698.9</v>
      </c>
      <c r="AP24" s="57">
        <v>8725.4</v>
      </c>
      <c r="AQ24" s="37"/>
      <c r="AR24" s="37"/>
      <c r="AS24" s="56"/>
      <c r="AT24" s="37" t="s">
        <v>5</v>
      </c>
      <c r="AU24" s="57">
        <v>0</v>
      </c>
      <c r="AV24" s="57">
        <v>48.014000000000003</v>
      </c>
      <c r="AW24" s="57">
        <v>656.14</v>
      </c>
      <c r="AX24" s="57">
        <v>5814.2</v>
      </c>
      <c r="AY24" s="57">
        <v>7895.6</v>
      </c>
      <c r="AZ24" s="57">
        <v>7902.5</v>
      </c>
      <c r="BA24" s="37"/>
      <c r="BB24" s="37"/>
      <c r="BC24" s="37"/>
      <c r="BD24" s="56"/>
      <c r="BE24" s="37" t="s">
        <v>5</v>
      </c>
      <c r="BF24" s="57">
        <v>0</v>
      </c>
      <c r="BG24" s="57">
        <v>75.334000000000003</v>
      </c>
      <c r="BH24" s="57">
        <v>1018.1</v>
      </c>
      <c r="BI24" s="57">
        <v>6196.5</v>
      </c>
      <c r="BJ24" s="57">
        <v>7059.4</v>
      </c>
      <c r="BK24" s="57">
        <v>7061.5</v>
      </c>
      <c r="BL24" s="37"/>
      <c r="BM24" s="37"/>
      <c r="BN24" s="37"/>
      <c r="BO24" s="37"/>
      <c r="BY24" s="37"/>
      <c r="BZ24" s="37"/>
      <c r="CA24" s="37"/>
      <c r="CB24" s="37"/>
      <c r="CC24" s="61">
        <v>1.2</v>
      </c>
      <c r="CD24" s="62">
        <v>0.9987156578065669</v>
      </c>
      <c r="CE24" s="62">
        <v>0.99434144888690346</v>
      </c>
      <c r="CF24" s="62">
        <v>0.97799865981684164</v>
      </c>
      <c r="CG24" s="62">
        <f t="shared" si="9"/>
        <v>0.73288221536879972</v>
      </c>
      <c r="CH24" s="62">
        <f t="shared" si="10"/>
        <v>0.73782331020303271</v>
      </c>
      <c r="CI24" s="62">
        <f t="shared" si="11"/>
        <v>0.73759967446243468</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0.75848132442388416</v>
      </c>
      <c r="CH25" s="62">
        <f t="shared" si="10"/>
        <v>0.7692190953482394</v>
      </c>
      <c r="CI25" s="62">
        <f t="shared" si="11"/>
        <v>0.77604047802621434</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1869700</v>
      </c>
      <c r="AL26" s="57">
        <v>11673</v>
      </c>
      <c r="AM26" s="57">
        <v>11673</v>
      </c>
      <c r="AN26" s="57">
        <v>11673</v>
      </c>
      <c r="AO26" s="57">
        <v>11673</v>
      </c>
      <c r="AP26" s="57">
        <v>11673</v>
      </c>
      <c r="AQ26" s="37"/>
      <c r="AR26" s="37"/>
      <c r="AS26" s="56">
        <v>0.6</v>
      </c>
      <c r="AT26" s="37" t="s">
        <v>0</v>
      </c>
      <c r="AU26" s="57">
        <v>1869700</v>
      </c>
      <c r="AV26" s="57">
        <v>11673</v>
      </c>
      <c r="AW26" s="57">
        <v>11673</v>
      </c>
      <c r="AX26" s="57">
        <v>11673</v>
      </c>
      <c r="AY26" s="57">
        <v>11673</v>
      </c>
      <c r="AZ26" s="57">
        <v>11673</v>
      </c>
      <c r="BA26" s="37"/>
      <c r="BB26" s="37"/>
      <c r="BC26" s="37"/>
      <c r="BD26" s="56">
        <v>0.6</v>
      </c>
      <c r="BE26" s="37" t="s">
        <v>0</v>
      </c>
      <c r="BF26" s="57">
        <v>1869700</v>
      </c>
      <c r="BG26" s="57">
        <v>11673</v>
      </c>
      <c r="BH26" s="57">
        <v>11673</v>
      </c>
      <c r="BI26" s="57">
        <v>11673</v>
      </c>
      <c r="BJ26" s="57">
        <v>11673</v>
      </c>
      <c r="BK26" s="57">
        <v>11673</v>
      </c>
      <c r="BL26" s="37"/>
      <c r="BM26" s="37"/>
      <c r="BN26" s="37"/>
      <c r="BO26" s="37"/>
      <c r="BY26" s="37"/>
      <c r="BZ26" s="37"/>
      <c r="CA26" s="37"/>
      <c r="CB26" s="37"/>
      <c r="CC26" s="61">
        <v>2</v>
      </c>
      <c r="CD26" s="62">
        <v>1</v>
      </c>
      <c r="CE26" s="62">
        <v>1</v>
      </c>
      <c r="CF26" s="62">
        <v>1</v>
      </c>
      <c r="CG26" s="62">
        <f t="shared" si="9"/>
        <v>0.774283988691853</v>
      </c>
      <c r="CH26" s="62">
        <f t="shared" si="10"/>
        <v>0.78910331534309952</v>
      </c>
      <c r="CI26" s="62">
        <f t="shared" si="11"/>
        <v>0.79908318341471773</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1599000</v>
      </c>
      <c r="AL27" s="57">
        <v>9983.2999999999993</v>
      </c>
      <c r="AM27" s="57">
        <v>9983.2999999999993</v>
      </c>
      <c r="AN27" s="57">
        <v>9983.2999999999993</v>
      </c>
      <c r="AO27" s="57">
        <v>9983.2999999999993</v>
      </c>
      <c r="AP27" s="57">
        <v>9983.2999999999993</v>
      </c>
      <c r="AQ27" s="37"/>
      <c r="AR27" s="37"/>
      <c r="AS27" s="56"/>
      <c r="AT27" s="37" t="s">
        <v>1</v>
      </c>
      <c r="AU27" s="57">
        <v>1486400</v>
      </c>
      <c r="AV27" s="57">
        <v>9279.9</v>
      </c>
      <c r="AW27" s="57">
        <v>9279.9</v>
      </c>
      <c r="AX27" s="57">
        <v>9279.9</v>
      </c>
      <c r="AY27" s="57">
        <v>9279.9</v>
      </c>
      <c r="AZ27" s="57">
        <v>9279.9</v>
      </c>
      <c r="BA27" s="37"/>
      <c r="BB27" s="37"/>
      <c r="BC27" s="37"/>
      <c r="BD27" s="56"/>
      <c r="BE27" s="37" t="s">
        <v>1</v>
      </c>
      <c r="BF27" s="57">
        <v>1375800</v>
      </c>
      <c r="BG27" s="57">
        <v>8589.5</v>
      </c>
      <c r="BH27" s="57">
        <v>8589.5</v>
      </c>
      <c r="BI27" s="57">
        <v>8589.5</v>
      </c>
      <c r="BJ27" s="57">
        <v>8589.5</v>
      </c>
      <c r="BK27" s="57">
        <v>8589.5</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270700</v>
      </c>
      <c r="AL28" s="57">
        <v>1690.1</v>
      </c>
      <c r="AM28" s="57">
        <v>1690.1</v>
      </c>
      <c r="AN28" s="57">
        <v>1690.1</v>
      </c>
      <c r="AO28" s="57">
        <v>1690.1</v>
      </c>
      <c r="AP28" s="57">
        <v>1690.1</v>
      </c>
      <c r="AQ28" s="37"/>
      <c r="AR28" s="37"/>
      <c r="AS28" s="56"/>
      <c r="AT28" s="37" t="s">
        <v>2</v>
      </c>
      <c r="AU28" s="57">
        <v>383360</v>
      </c>
      <c r="AV28" s="57">
        <v>2393.4</v>
      </c>
      <c r="AW28" s="57">
        <v>2393.4</v>
      </c>
      <c r="AX28" s="57">
        <v>2393.4</v>
      </c>
      <c r="AY28" s="57">
        <v>2393.4</v>
      </c>
      <c r="AZ28" s="57">
        <v>2393.4</v>
      </c>
      <c r="BA28" s="37"/>
      <c r="BB28" s="37"/>
      <c r="BC28" s="37"/>
      <c r="BD28" s="56"/>
      <c r="BE28" s="37" t="s">
        <v>2</v>
      </c>
      <c r="BF28" s="57">
        <v>493950</v>
      </c>
      <c r="BG28" s="57">
        <v>3083.9</v>
      </c>
      <c r="BH28" s="57">
        <v>3083.9</v>
      </c>
      <c r="BI28" s="57">
        <v>3083.9</v>
      </c>
      <c r="BJ28" s="57">
        <v>3083.9</v>
      </c>
      <c r="BK28" s="57">
        <v>3083.9</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1598800</v>
      </c>
      <c r="AL29" s="57">
        <v>9930.5</v>
      </c>
      <c r="AM29" s="57">
        <v>9328.7999999999993</v>
      </c>
      <c r="AN29" s="57">
        <v>4272.8999999999996</v>
      </c>
      <c r="AO29" s="57">
        <v>59.851999999999997</v>
      </c>
      <c r="AP29" s="57">
        <v>37.743000000000002</v>
      </c>
      <c r="AQ29" s="37"/>
      <c r="AR29" s="37"/>
      <c r="AS29" s="56"/>
      <c r="AT29" s="37" t="s">
        <v>3</v>
      </c>
      <c r="AU29" s="57">
        <v>1486000</v>
      </c>
      <c r="AV29" s="57">
        <v>9206.6</v>
      </c>
      <c r="AW29" s="57">
        <v>8379.7999999999993</v>
      </c>
      <c r="AX29" s="57">
        <v>2269.6999999999998</v>
      </c>
      <c r="AY29" s="57">
        <v>19.288</v>
      </c>
      <c r="AZ29" s="57">
        <v>13.37</v>
      </c>
      <c r="BA29" s="37"/>
      <c r="BB29" s="37"/>
      <c r="BC29" s="37"/>
      <c r="BD29" s="56"/>
      <c r="BE29" s="37" t="s">
        <v>3</v>
      </c>
      <c r="BF29" s="57">
        <v>1375200</v>
      </c>
      <c r="BG29" s="57">
        <v>8479.5</v>
      </c>
      <c r="BH29" s="57">
        <v>7233.5</v>
      </c>
      <c r="BI29" s="57">
        <v>974.1</v>
      </c>
      <c r="BJ29" s="57">
        <v>5.7385000000000002</v>
      </c>
      <c r="BK29" s="57">
        <v>3.9708000000000001</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51.231000000000002</v>
      </c>
      <c r="AM31" s="57">
        <v>652.71</v>
      </c>
      <c r="AN31" s="57">
        <v>5708.9</v>
      </c>
      <c r="AO31" s="57">
        <v>9921.6</v>
      </c>
      <c r="AP31" s="57">
        <v>9943.7000000000007</v>
      </c>
      <c r="AQ31" s="37"/>
      <c r="AR31" s="37"/>
      <c r="AS31" s="56"/>
      <c r="AT31" s="37" t="s">
        <v>5</v>
      </c>
      <c r="AU31" s="57">
        <v>0</v>
      </c>
      <c r="AV31" s="57">
        <v>70.471000000000004</v>
      </c>
      <c r="AW31" s="57">
        <v>897.09</v>
      </c>
      <c r="AX31" s="57">
        <v>7007.8</v>
      </c>
      <c r="AY31" s="57">
        <v>9257.9</v>
      </c>
      <c r="AZ31" s="57">
        <v>9263.9</v>
      </c>
      <c r="BA31" s="37"/>
      <c r="BB31" s="37"/>
      <c r="BC31" s="37"/>
      <c r="BD31" s="56"/>
      <c r="BE31" s="37" t="s">
        <v>5</v>
      </c>
      <c r="BF31" s="57">
        <v>0</v>
      </c>
      <c r="BG31" s="57">
        <v>105.57</v>
      </c>
      <c r="BH31" s="57">
        <v>1351.4</v>
      </c>
      <c r="BI31" s="57">
        <v>7611.7</v>
      </c>
      <c r="BJ31" s="57">
        <v>8580</v>
      </c>
      <c r="BK31" s="57">
        <v>8581.7999999999993</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1869700</v>
      </c>
      <c r="AL33" s="57">
        <v>11673</v>
      </c>
      <c r="AM33" s="57">
        <v>11673</v>
      </c>
      <c r="AN33" s="57">
        <v>11673</v>
      </c>
      <c r="AO33" s="57">
        <v>11673</v>
      </c>
      <c r="AP33" s="57">
        <v>11673</v>
      </c>
      <c r="AQ33" s="37"/>
      <c r="AR33" s="37"/>
      <c r="AS33" s="56">
        <v>0.8</v>
      </c>
      <c r="AT33" s="37" t="s">
        <v>0</v>
      </c>
      <c r="AU33" s="57">
        <v>1869700</v>
      </c>
      <c r="AV33" s="57">
        <v>11673</v>
      </c>
      <c r="AW33" s="57">
        <v>11673</v>
      </c>
      <c r="AX33" s="57">
        <v>11673</v>
      </c>
      <c r="AY33" s="57">
        <v>11673</v>
      </c>
      <c r="AZ33" s="57">
        <v>11673</v>
      </c>
      <c r="BA33" s="37"/>
      <c r="BB33" s="37"/>
      <c r="BC33" s="37"/>
      <c r="BD33" s="56">
        <v>0.8</v>
      </c>
      <c r="BE33" s="37" t="s">
        <v>0</v>
      </c>
      <c r="BF33" s="57">
        <v>1869700</v>
      </c>
      <c r="BG33" s="57">
        <v>11673</v>
      </c>
      <c r="BH33" s="57">
        <v>11673</v>
      </c>
      <c r="BI33" s="57">
        <v>11673</v>
      </c>
      <c r="BJ33" s="57">
        <v>11673</v>
      </c>
      <c r="BK33" s="57">
        <v>11673</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1708800</v>
      </c>
      <c r="AL34" s="57">
        <v>10669</v>
      </c>
      <c r="AM34" s="57">
        <v>10669</v>
      </c>
      <c r="AN34" s="57">
        <v>10669</v>
      </c>
      <c r="AO34" s="57">
        <v>10669</v>
      </c>
      <c r="AP34" s="57">
        <v>10669</v>
      </c>
      <c r="AQ34" s="37"/>
      <c r="AR34" s="37"/>
      <c r="AS34" s="56"/>
      <c r="AT34" s="37" t="s">
        <v>1</v>
      </c>
      <c r="AU34" s="57">
        <v>1618000</v>
      </c>
      <c r="AV34" s="57">
        <v>10102</v>
      </c>
      <c r="AW34" s="57">
        <v>10102</v>
      </c>
      <c r="AX34" s="57">
        <v>10102</v>
      </c>
      <c r="AY34" s="57">
        <v>10102</v>
      </c>
      <c r="AZ34" s="57">
        <v>10102</v>
      </c>
      <c r="BA34" s="37"/>
      <c r="BB34" s="37"/>
      <c r="BC34" s="37"/>
      <c r="BD34" s="56"/>
      <c r="BE34" s="37" t="s">
        <v>1</v>
      </c>
      <c r="BF34" s="57">
        <v>1527800</v>
      </c>
      <c r="BG34" s="57">
        <v>9538.7999999999993</v>
      </c>
      <c r="BH34" s="57">
        <v>9538.7999999999993</v>
      </c>
      <c r="BI34" s="57">
        <v>9538.7999999999993</v>
      </c>
      <c r="BJ34" s="57">
        <v>9538.7999999999993</v>
      </c>
      <c r="BK34" s="57">
        <v>9538.7999999999993</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160890</v>
      </c>
      <c r="AL35" s="57">
        <v>1004.5</v>
      </c>
      <c r="AM35" s="57">
        <v>1004.5</v>
      </c>
      <c r="AN35" s="57">
        <v>1004.5</v>
      </c>
      <c r="AO35" s="57">
        <v>1004.5</v>
      </c>
      <c r="AP35" s="57">
        <v>1004.5</v>
      </c>
      <c r="AQ35" s="37"/>
      <c r="AR35" s="37"/>
      <c r="AS35" s="56"/>
      <c r="AT35" s="37" t="s">
        <v>2</v>
      </c>
      <c r="AU35" s="57">
        <v>251670</v>
      </c>
      <c r="AV35" s="57">
        <v>1571.3</v>
      </c>
      <c r="AW35" s="57">
        <v>1571.3</v>
      </c>
      <c r="AX35" s="57">
        <v>1571.3</v>
      </c>
      <c r="AY35" s="57">
        <v>1571.3</v>
      </c>
      <c r="AZ35" s="57">
        <v>1571.3</v>
      </c>
      <c r="BA35" s="37"/>
      <c r="BB35" s="37"/>
      <c r="BC35" s="37"/>
      <c r="BD35" s="56"/>
      <c r="BE35" s="37" t="s">
        <v>2</v>
      </c>
      <c r="BF35" s="57">
        <v>341890</v>
      </c>
      <c r="BG35" s="57">
        <v>2134.6</v>
      </c>
      <c r="BH35" s="57">
        <v>2134.6</v>
      </c>
      <c r="BI35" s="57">
        <v>2134.6</v>
      </c>
      <c r="BJ35" s="57">
        <v>2134.6</v>
      </c>
      <c r="BK35" s="57">
        <v>2134.6</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1708600</v>
      </c>
      <c r="AL36" s="57">
        <v>10601</v>
      </c>
      <c r="AM36" s="57">
        <v>9863.2999999999993</v>
      </c>
      <c r="AN36" s="57">
        <v>4252.5</v>
      </c>
      <c r="AO36" s="57">
        <v>64.808999999999997</v>
      </c>
      <c r="AP36" s="57">
        <v>43.276000000000003</v>
      </c>
      <c r="AQ36" s="37"/>
      <c r="AR36" s="37"/>
      <c r="AS36" s="56"/>
      <c r="AT36" s="37" t="s">
        <v>3</v>
      </c>
      <c r="AU36" s="57">
        <v>1617600</v>
      </c>
      <c r="AV36" s="57">
        <v>10007</v>
      </c>
      <c r="AW36" s="57">
        <v>8986.1</v>
      </c>
      <c r="AX36" s="57">
        <v>2200.6999999999998</v>
      </c>
      <c r="AY36" s="57">
        <v>16.843</v>
      </c>
      <c r="AZ36" s="57">
        <v>13.920999999999999</v>
      </c>
      <c r="BA36" s="37"/>
      <c r="BB36" s="37"/>
      <c r="BC36" s="37"/>
      <c r="BD36" s="56"/>
      <c r="BE36" s="37" t="s">
        <v>3</v>
      </c>
      <c r="BF36" s="57">
        <v>1527200</v>
      </c>
      <c r="BG36" s="57">
        <v>9401.2000000000007</v>
      </c>
      <c r="BH36" s="57">
        <v>7912.8</v>
      </c>
      <c r="BI36" s="57">
        <v>1016.3</v>
      </c>
      <c r="BJ36" s="57">
        <v>6.1341999999999999</v>
      </c>
      <c r="BK36" s="57">
        <v>4.4812000000000003</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66.063999999999993</v>
      </c>
      <c r="AM38" s="57">
        <v>803.66</v>
      </c>
      <c r="AN38" s="57">
        <v>6414.9</v>
      </c>
      <c r="AO38" s="57">
        <v>10602</v>
      </c>
      <c r="AP38" s="57">
        <v>10624</v>
      </c>
      <c r="AQ38" s="37"/>
      <c r="AR38" s="37"/>
      <c r="AS38" s="56"/>
      <c r="AT38" s="37" t="s">
        <v>5</v>
      </c>
      <c r="AU38" s="57">
        <v>0</v>
      </c>
      <c r="AV38" s="57">
        <v>91.896000000000001</v>
      </c>
      <c r="AW38" s="57">
        <v>1112.7</v>
      </c>
      <c r="AX38" s="57">
        <v>7898.8</v>
      </c>
      <c r="AY38" s="57">
        <v>10082</v>
      </c>
      <c r="AZ38" s="57">
        <v>10085</v>
      </c>
      <c r="BA38" s="37"/>
      <c r="BB38" s="37"/>
      <c r="BC38" s="37"/>
      <c r="BD38" s="56"/>
      <c r="BE38" s="37" t="s">
        <v>5</v>
      </c>
      <c r="BF38" s="57">
        <v>0</v>
      </c>
      <c r="BG38" s="57">
        <v>132.87</v>
      </c>
      <c r="BH38" s="57">
        <v>1621.5</v>
      </c>
      <c r="BI38" s="57">
        <v>8518.7999999999993</v>
      </c>
      <c r="BJ38" s="57">
        <v>9528.4</v>
      </c>
      <c r="BK38" s="57">
        <v>9530.1</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1869700</v>
      </c>
      <c r="AL40" s="57">
        <v>11673</v>
      </c>
      <c r="AM40" s="57">
        <v>11673</v>
      </c>
      <c r="AN40" s="57">
        <v>11673</v>
      </c>
      <c r="AO40" s="57">
        <v>11673</v>
      </c>
      <c r="AP40" s="57">
        <v>11673</v>
      </c>
      <c r="AQ40" s="37"/>
      <c r="AR40" s="37"/>
      <c r="AS40" s="56">
        <v>1</v>
      </c>
      <c r="AT40" s="37" t="s">
        <v>0</v>
      </c>
      <c r="AU40" s="57">
        <v>1869700</v>
      </c>
      <c r="AV40" s="57">
        <v>11673</v>
      </c>
      <c r="AW40" s="57">
        <v>11673</v>
      </c>
      <c r="AX40" s="57">
        <v>11673</v>
      </c>
      <c r="AY40" s="57">
        <v>11673</v>
      </c>
      <c r="AZ40" s="57">
        <v>11673</v>
      </c>
      <c r="BA40" s="37"/>
      <c r="BB40" s="37"/>
      <c r="BC40" s="37"/>
      <c r="BD40" s="56">
        <v>1</v>
      </c>
      <c r="BE40" s="37" t="s">
        <v>0</v>
      </c>
      <c r="BF40" s="57">
        <v>1869700</v>
      </c>
      <c r="BG40" s="57">
        <v>11673</v>
      </c>
      <c r="BH40" s="57">
        <v>11673</v>
      </c>
      <c r="BI40" s="57">
        <v>11673</v>
      </c>
      <c r="BJ40" s="57">
        <v>11673</v>
      </c>
      <c r="BK40" s="57">
        <v>11673</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1768100</v>
      </c>
      <c r="AL41" s="57">
        <v>11039</v>
      </c>
      <c r="AM41" s="57">
        <v>11039</v>
      </c>
      <c r="AN41" s="57">
        <v>11039</v>
      </c>
      <c r="AO41" s="57">
        <v>11039</v>
      </c>
      <c r="AP41" s="57">
        <v>11039</v>
      </c>
      <c r="AQ41" s="37"/>
      <c r="AR41" s="37"/>
      <c r="AS41" s="56"/>
      <c r="AT41" s="37" t="s">
        <v>1</v>
      </c>
      <c r="AU41" s="57">
        <v>1698300</v>
      </c>
      <c r="AV41" s="57">
        <v>10603</v>
      </c>
      <c r="AW41" s="57">
        <v>10603</v>
      </c>
      <c r="AX41" s="57">
        <v>10603</v>
      </c>
      <c r="AY41" s="57">
        <v>10603</v>
      </c>
      <c r="AZ41" s="57">
        <v>10603</v>
      </c>
      <c r="BA41" s="37"/>
      <c r="BB41" s="37"/>
      <c r="BC41" s="37"/>
      <c r="BD41" s="56"/>
      <c r="BE41" s="37" t="s">
        <v>1</v>
      </c>
      <c r="BF41" s="57">
        <v>1623200</v>
      </c>
      <c r="BG41" s="57">
        <v>10135</v>
      </c>
      <c r="BH41" s="57">
        <v>10135</v>
      </c>
      <c r="BI41" s="57">
        <v>10135</v>
      </c>
      <c r="BJ41" s="57">
        <v>10135</v>
      </c>
      <c r="BK41" s="57">
        <v>10135</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101620</v>
      </c>
      <c r="AL42" s="57">
        <v>634.44000000000005</v>
      </c>
      <c r="AM42" s="57">
        <v>634.44000000000005</v>
      </c>
      <c r="AN42" s="57">
        <v>634.44000000000005</v>
      </c>
      <c r="AO42" s="57">
        <v>634.44000000000005</v>
      </c>
      <c r="AP42" s="57">
        <v>634.44000000000005</v>
      </c>
      <c r="AQ42" s="37"/>
      <c r="AR42" s="37"/>
      <c r="AS42" s="56"/>
      <c r="AT42" s="37" t="s">
        <v>2</v>
      </c>
      <c r="AU42" s="57">
        <v>171420</v>
      </c>
      <c r="AV42" s="57">
        <v>1070.3</v>
      </c>
      <c r="AW42" s="57">
        <v>1070.3</v>
      </c>
      <c r="AX42" s="57">
        <v>1070.3</v>
      </c>
      <c r="AY42" s="57">
        <v>1070.3</v>
      </c>
      <c r="AZ42" s="57">
        <v>1070.3</v>
      </c>
      <c r="BA42" s="37"/>
      <c r="BB42" s="37"/>
      <c r="BC42" s="37"/>
      <c r="BD42" s="56"/>
      <c r="BE42" s="37" t="s">
        <v>2</v>
      </c>
      <c r="BF42" s="57">
        <v>246470</v>
      </c>
      <c r="BG42" s="57">
        <v>1538.8</v>
      </c>
      <c r="BH42" s="57">
        <v>1538.8</v>
      </c>
      <c r="BI42" s="57">
        <v>1538.8</v>
      </c>
      <c r="BJ42" s="57">
        <v>1538.8</v>
      </c>
      <c r="BK42" s="57">
        <v>1538.8</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1767800</v>
      </c>
      <c r="AL43" s="57">
        <v>10956</v>
      </c>
      <c r="AM43" s="57">
        <v>10092</v>
      </c>
      <c r="AN43" s="57">
        <v>4113.6000000000004</v>
      </c>
      <c r="AO43" s="57">
        <v>65.076999999999998</v>
      </c>
      <c r="AP43" s="57">
        <v>43.802999999999997</v>
      </c>
      <c r="AQ43" s="37"/>
      <c r="AR43" s="37"/>
      <c r="AS43" s="56"/>
      <c r="AT43" s="37" t="s">
        <v>3</v>
      </c>
      <c r="AU43" s="57">
        <v>1697900</v>
      </c>
      <c r="AV43" s="57">
        <v>10493</v>
      </c>
      <c r="AW43" s="57">
        <v>9346.1</v>
      </c>
      <c r="AX43" s="57">
        <v>2263.4</v>
      </c>
      <c r="AY43" s="57">
        <v>21.744</v>
      </c>
      <c r="AZ43" s="57">
        <v>16.454999999999998</v>
      </c>
      <c r="BA43" s="37"/>
      <c r="BB43" s="37"/>
      <c r="BC43" s="37"/>
      <c r="BD43" s="56"/>
      <c r="BE43" s="37" t="s">
        <v>3</v>
      </c>
      <c r="BF43" s="57">
        <v>1622600</v>
      </c>
      <c r="BG43" s="57">
        <v>9971.1</v>
      </c>
      <c r="BH43" s="57">
        <v>8280.4</v>
      </c>
      <c r="BI43" s="57">
        <v>1014.8</v>
      </c>
      <c r="BJ43" s="57">
        <v>6.29</v>
      </c>
      <c r="BK43" s="57">
        <v>4.7443999999999997</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80.91</v>
      </c>
      <c r="AM45" s="57">
        <v>945.45</v>
      </c>
      <c r="AN45" s="57">
        <v>6923.8</v>
      </c>
      <c r="AO45" s="57">
        <v>10972</v>
      </c>
      <c r="AP45" s="57">
        <v>10993</v>
      </c>
      <c r="AQ45" s="37"/>
      <c r="AR45" s="37"/>
      <c r="AS45" s="56"/>
      <c r="AT45" s="37" t="s">
        <v>5</v>
      </c>
      <c r="AU45" s="57">
        <v>0</v>
      </c>
      <c r="AV45" s="57">
        <v>106.59</v>
      </c>
      <c r="AW45" s="57">
        <v>1254.0999999999999</v>
      </c>
      <c r="AX45" s="57">
        <v>8337.2000000000007</v>
      </c>
      <c r="AY45" s="57">
        <v>10578</v>
      </c>
      <c r="AZ45" s="57">
        <v>10584</v>
      </c>
      <c r="BA45" s="37"/>
      <c r="BB45" s="37"/>
      <c r="BC45" s="37"/>
      <c r="BD45" s="56"/>
      <c r="BE45" s="37" t="s">
        <v>5</v>
      </c>
      <c r="BF45" s="57">
        <v>0</v>
      </c>
      <c r="BG45" s="57">
        <v>158.12</v>
      </c>
      <c r="BH45" s="57">
        <v>1849.6</v>
      </c>
      <c r="BI45" s="57">
        <v>9115.5</v>
      </c>
      <c r="BJ45" s="57">
        <v>10124</v>
      </c>
      <c r="BK45" s="57">
        <v>10125</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1869700</v>
      </c>
      <c r="AL47" s="57">
        <v>11673</v>
      </c>
      <c r="AM47" s="57">
        <v>11673</v>
      </c>
      <c r="AN47" s="57">
        <v>11673</v>
      </c>
      <c r="AO47" s="57">
        <v>11673</v>
      </c>
      <c r="AP47" s="57">
        <v>11673</v>
      </c>
      <c r="AQ47" s="37"/>
      <c r="AR47" s="37"/>
      <c r="AS47" s="56">
        <v>1.2</v>
      </c>
      <c r="AT47" s="37" t="s">
        <v>0</v>
      </c>
      <c r="AU47" s="57">
        <v>1869700</v>
      </c>
      <c r="AV47" s="57">
        <v>11673</v>
      </c>
      <c r="AW47" s="57">
        <v>11673</v>
      </c>
      <c r="AX47" s="57">
        <v>11673</v>
      </c>
      <c r="AY47" s="57">
        <v>11673</v>
      </c>
      <c r="AZ47" s="57">
        <v>11673</v>
      </c>
      <c r="BA47" s="37"/>
      <c r="BB47" s="37"/>
      <c r="BC47" s="37"/>
      <c r="BD47" s="56">
        <v>1.2</v>
      </c>
      <c r="BE47" s="37" t="s">
        <v>0</v>
      </c>
      <c r="BF47" s="57">
        <v>1869700</v>
      </c>
      <c r="BG47" s="57">
        <v>11673</v>
      </c>
      <c r="BH47" s="57">
        <v>11673</v>
      </c>
      <c r="BI47" s="57">
        <v>11673</v>
      </c>
      <c r="BJ47" s="57">
        <v>11673</v>
      </c>
      <c r="BK47" s="57">
        <v>11673</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1804000</v>
      </c>
      <c r="AL48" s="57">
        <v>11263</v>
      </c>
      <c r="AM48" s="57">
        <v>11263</v>
      </c>
      <c r="AN48" s="57">
        <v>11263</v>
      </c>
      <c r="AO48" s="57">
        <v>11263</v>
      </c>
      <c r="AP48" s="57">
        <v>11263</v>
      </c>
      <c r="AQ48" s="37"/>
      <c r="AR48" s="37"/>
      <c r="AS48" s="56"/>
      <c r="AT48" s="37" t="s">
        <v>1</v>
      </c>
      <c r="AU48" s="57">
        <v>1748500</v>
      </c>
      <c r="AV48" s="57">
        <v>10917</v>
      </c>
      <c r="AW48" s="57">
        <v>10917</v>
      </c>
      <c r="AX48" s="57">
        <v>10917</v>
      </c>
      <c r="AY48" s="57">
        <v>10917</v>
      </c>
      <c r="AZ48" s="57">
        <v>10917</v>
      </c>
      <c r="BA48" s="37"/>
      <c r="BB48" s="37"/>
      <c r="BC48" s="37"/>
      <c r="BD48" s="56"/>
      <c r="BE48" s="37" t="s">
        <v>1</v>
      </c>
      <c r="BF48" s="57">
        <v>1691400</v>
      </c>
      <c r="BG48" s="57">
        <v>10560</v>
      </c>
      <c r="BH48" s="57">
        <v>10560</v>
      </c>
      <c r="BI48" s="57">
        <v>10560</v>
      </c>
      <c r="BJ48" s="57">
        <v>10560</v>
      </c>
      <c r="BK48" s="57">
        <v>10560</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65757</v>
      </c>
      <c r="AL49" s="57">
        <v>410.54</v>
      </c>
      <c r="AM49" s="57">
        <v>410.54</v>
      </c>
      <c r="AN49" s="57">
        <v>410.54</v>
      </c>
      <c r="AO49" s="57">
        <v>410.54</v>
      </c>
      <c r="AP49" s="57">
        <v>410.54</v>
      </c>
      <c r="AQ49" s="37"/>
      <c r="AR49" s="37"/>
      <c r="AS49" s="56"/>
      <c r="AT49" s="37" t="s">
        <v>2</v>
      </c>
      <c r="AU49" s="57">
        <v>121170</v>
      </c>
      <c r="AV49" s="57">
        <v>756.52</v>
      </c>
      <c r="AW49" s="57">
        <v>756.52</v>
      </c>
      <c r="AX49" s="57">
        <v>756.52</v>
      </c>
      <c r="AY49" s="57">
        <v>756.52</v>
      </c>
      <c r="AZ49" s="57">
        <v>756.52</v>
      </c>
      <c r="BA49" s="37"/>
      <c r="BB49" s="37"/>
      <c r="BC49" s="37"/>
      <c r="BD49" s="56"/>
      <c r="BE49" s="37" t="s">
        <v>2</v>
      </c>
      <c r="BF49" s="57">
        <v>178310</v>
      </c>
      <c r="BG49" s="57">
        <v>1113.2</v>
      </c>
      <c r="BH49" s="57">
        <v>1113.2</v>
      </c>
      <c r="BI49" s="57">
        <v>1113.2</v>
      </c>
      <c r="BJ49" s="57">
        <v>1113.2</v>
      </c>
      <c r="BK49" s="57">
        <v>1113.2</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1803700</v>
      </c>
      <c r="AL50" s="57">
        <v>11166</v>
      </c>
      <c r="AM50" s="57">
        <v>10184</v>
      </c>
      <c r="AN50" s="57">
        <v>3910.8</v>
      </c>
      <c r="AO50" s="57">
        <v>67.111999999999995</v>
      </c>
      <c r="AP50" s="57">
        <v>46.841999999999999</v>
      </c>
      <c r="AQ50" s="37"/>
      <c r="AR50" s="37"/>
      <c r="AS50" s="56"/>
      <c r="AT50" s="37" t="s">
        <v>3</v>
      </c>
      <c r="AU50" s="57">
        <v>1748200</v>
      </c>
      <c r="AV50" s="57">
        <v>10787</v>
      </c>
      <c r="AW50" s="57">
        <v>9491.9</v>
      </c>
      <c r="AX50" s="57">
        <v>2176.1</v>
      </c>
      <c r="AY50" s="57">
        <v>21.422000000000001</v>
      </c>
      <c r="AZ50" s="57">
        <v>16.521999999999998</v>
      </c>
      <c r="BA50" s="37"/>
      <c r="BB50" s="37"/>
      <c r="BC50" s="37"/>
      <c r="BD50" s="56"/>
      <c r="BE50" s="37" t="s">
        <v>3</v>
      </c>
      <c r="BF50" s="57">
        <v>1690700</v>
      </c>
      <c r="BG50" s="57">
        <v>10372</v>
      </c>
      <c r="BH50" s="57">
        <v>8502.1</v>
      </c>
      <c r="BI50" s="57">
        <v>985.63</v>
      </c>
      <c r="BJ50" s="57">
        <v>6.4870999999999999</v>
      </c>
      <c r="BK50" s="57">
        <v>5.0913000000000004</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95.081999999999994</v>
      </c>
      <c r="AM52" s="57">
        <v>1076.8</v>
      </c>
      <c r="AN52" s="57">
        <v>7350.4</v>
      </c>
      <c r="AO52" s="57">
        <v>11194</v>
      </c>
      <c r="AP52" s="57">
        <v>11214</v>
      </c>
      <c r="AQ52" s="37"/>
      <c r="AR52" s="37"/>
      <c r="AS52" s="56"/>
      <c r="AT52" s="37" t="s">
        <v>5</v>
      </c>
      <c r="AU52" s="57">
        <v>0</v>
      </c>
      <c r="AV52" s="57">
        <v>126.23</v>
      </c>
      <c r="AW52" s="57">
        <v>1422</v>
      </c>
      <c r="AX52" s="57">
        <v>8738</v>
      </c>
      <c r="AY52" s="57">
        <v>10892</v>
      </c>
      <c r="AZ52" s="57">
        <v>10897</v>
      </c>
      <c r="BA52" s="37"/>
      <c r="BB52" s="37"/>
      <c r="BC52" s="37"/>
      <c r="BD52" s="56"/>
      <c r="BE52" s="37" t="s">
        <v>5</v>
      </c>
      <c r="BF52" s="57">
        <v>0</v>
      </c>
      <c r="BG52" s="57">
        <v>182.52</v>
      </c>
      <c r="BH52" s="57">
        <v>2053.4</v>
      </c>
      <c r="BI52" s="57">
        <v>9570.1</v>
      </c>
      <c r="BJ52" s="57">
        <v>10549</v>
      </c>
      <c r="BK52" s="57">
        <v>10550</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1869700</v>
      </c>
      <c r="AL54" s="57">
        <v>11673</v>
      </c>
      <c r="AM54" s="57">
        <v>11673</v>
      </c>
      <c r="AN54" s="57">
        <v>11673</v>
      </c>
      <c r="AO54" s="57">
        <v>11673</v>
      </c>
      <c r="AP54" s="57">
        <v>11673</v>
      </c>
      <c r="AQ54" s="37"/>
      <c r="AR54" s="37"/>
      <c r="AS54" s="56">
        <v>1.6</v>
      </c>
      <c r="AT54" s="37" t="s">
        <v>0</v>
      </c>
      <c r="AU54" s="57">
        <v>1869700</v>
      </c>
      <c r="AV54" s="57">
        <v>11673</v>
      </c>
      <c r="AW54" s="57">
        <v>11673</v>
      </c>
      <c r="AX54" s="57">
        <v>11673</v>
      </c>
      <c r="AY54" s="57">
        <v>11673</v>
      </c>
      <c r="AZ54" s="57">
        <v>11673</v>
      </c>
      <c r="BA54" s="37"/>
      <c r="BB54" s="37"/>
      <c r="BC54" s="37"/>
      <c r="BD54" s="56">
        <v>1.6</v>
      </c>
      <c r="BE54" s="37" t="s">
        <v>0</v>
      </c>
      <c r="BF54" s="57">
        <v>1869700</v>
      </c>
      <c r="BG54" s="57">
        <v>11673</v>
      </c>
      <c r="BH54" s="57">
        <v>11673</v>
      </c>
      <c r="BI54" s="57">
        <v>11673</v>
      </c>
      <c r="BJ54" s="57">
        <v>11673</v>
      </c>
      <c r="BK54" s="57">
        <v>11673</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1846200</v>
      </c>
      <c r="AL55" s="57">
        <v>11526</v>
      </c>
      <c r="AM55" s="57">
        <v>11526</v>
      </c>
      <c r="AN55" s="57">
        <v>11526</v>
      </c>
      <c r="AO55" s="57">
        <v>11526</v>
      </c>
      <c r="AP55" s="57">
        <v>11526</v>
      </c>
      <c r="AQ55" s="37"/>
      <c r="AR55" s="37"/>
      <c r="AS55" s="56"/>
      <c r="AT55" s="37" t="s">
        <v>1</v>
      </c>
      <c r="AU55" s="57">
        <v>1808100</v>
      </c>
      <c r="AV55" s="57">
        <v>11288</v>
      </c>
      <c r="AW55" s="57">
        <v>11288</v>
      </c>
      <c r="AX55" s="57">
        <v>11288</v>
      </c>
      <c r="AY55" s="57">
        <v>11288</v>
      </c>
      <c r="AZ55" s="57">
        <v>11288</v>
      </c>
      <c r="BA55" s="37"/>
      <c r="BB55" s="37"/>
      <c r="BC55" s="37"/>
      <c r="BD55" s="56"/>
      <c r="BE55" s="37" t="s">
        <v>1</v>
      </c>
      <c r="BF55" s="57">
        <v>1767300</v>
      </c>
      <c r="BG55" s="57">
        <v>11034</v>
      </c>
      <c r="BH55" s="57">
        <v>11034</v>
      </c>
      <c r="BI55" s="57">
        <v>11034</v>
      </c>
      <c r="BJ55" s="57">
        <v>11034</v>
      </c>
      <c r="BK55" s="57">
        <v>11034</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23558</v>
      </c>
      <c r="AL56" s="57">
        <v>147.08000000000001</v>
      </c>
      <c r="AM56" s="57">
        <v>147.08000000000001</v>
      </c>
      <c r="AN56" s="57">
        <v>147.08000000000001</v>
      </c>
      <c r="AO56" s="57">
        <v>147.08000000000001</v>
      </c>
      <c r="AP56" s="57">
        <v>147.08000000000001</v>
      </c>
      <c r="AQ56" s="37"/>
      <c r="AR56" s="37"/>
      <c r="AS56" s="56"/>
      <c r="AT56" s="37" t="s">
        <v>2</v>
      </c>
      <c r="AU56" s="57">
        <v>61664</v>
      </c>
      <c r="AV56" s="57">
        <v>384.99</v>
      </c>
      <c r="AW56" s="57">
        <v>384.99</v>
      </c>
      <c r="AX56" s="57">
        <v>384.99</v>
      </c>
      <c r="AY56" s="57">
        <v>384.99</v>
      </c>
      <c r="AZ56" s="57">
        <v>384.99</v>
      </c>
      <c r="BA56" s="37"/>
      <c r="BB56" s="37"/>
      <c r="BC56" s="37"/>
      <c r="BD56" s="56"/>
      <c r="BE56" s="37" t="s">
        <v>2</v>
      </c>
      <c r="BF56" s="57">
        <v>102470</v>
      </c>
      <c r="BG56" s="57">
        <v>639.73</v>
      </c>
      <c r="BH56" s="57">
        <v>639.73</v>
      </c>
      <c r="BI56" s="57">
        <v>639.73</v>
      </c>
      <c r="BJ56" s="57">
        <v>639.73</v>
      </c>
      <c r="BK56" s="57">
        <v>639.73</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1845900</v>
      </c>
      <c r="AL57" s="57">
        <v>11402</v>
      </c>
      <c r="AM57" s="57">
        <v>10212</v>
      </c>
      <c r="AN57" s="57">
        <v>3551.9</v>
      </c>
      <c r="AO57" s="57">
        <v>69.491</v>
      </c>
      <c r="AP57" s="57">
        <v>51.356000000000002</v>
      </c>
      <c r="AQ57" s="37"/>
      <c r="AR57" s="37"/>
      <c r="AS57" s="56"/>
      <c r="AT57" s="37" t="s">
        <v>3</v>
      </c>
      <c r="AU57" s="57">
        <v>1807600</v>
      </c>
      <c r="AV57" s="57">
        <v>11126</v>
      </c>
      <c r="AW57" s="57">
        <v>9596.1</v>
      </c>
      <c r="AX57" s="57">
        <v>1985.9</v>
      </c>
      <c r="AY57" s="57">
        <v>22.616</v>
      </c>
      <c r="AZ57" s="57">
        <v>18.472000000000001</v>
      </c>
      <c r="BA57" s="37"/>
      <c r="BB57" s="37"/>
      <c r="BC57" s="37"/>
      <c r="BD57" s="56"/>
      <c r="BE57" s="37" t="s">
        <v>3</v>
      </c>
      <c r="BF57" s="57">
        <v>1766500</v>
      </c>
      <c r="BG57" s="57">
        <v>10795</v>
      </c>
      <c r="BH57" s="57">
        <v>8605.4</v>
      </c>
      <c r="BI57" s="57">
        <v>903.39</v>
      </c>
      <c r="BJ57" s="57">
        <v>6.1113</v>
      </c>
      <c r="BK57" s="57">
        <v>5.0134999999999996</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122.05</v>
      </c>
      <c r="AM59" s="57">
        <v>1313</v>
      </c>
      <c r="AN59" s="57">
        <v>7973</v>
      </c>
      <c r="AO59" s="57">
        <v>11455</v>
      </c>
      <c r="AP59" s="57">
        <v>11473</v>
      </c>
      <c r="AQ59" s="37"/>
      <c r="AR59" s="37"/>
      <c r="AS59" s="56"/>
      <c r="AT59" s="37" t="s">
        <v>5</v>
      </c>
      <c r="AU59" s="57">
        <v>0</v>
      </c>
      <c r="AV59" s="57">
        <v>158.88999999999999</v>
      </c>
      <c r="AW59" s="57">
        <v>1689.5</v>
      </c>
      <c r="AX59" s="57">
        <v>9299.5</v>
      </c>
      <c r="AY59" s="57">
        <v>11262</v>
      </c>
      <c r="AZ59" s="57">
        <v>11267</v>
      </c>
      <c r="BA59" s="37"/>
      <c r="BB59" s="37"/>
      <c r="BC59" s="37"/>
      <c r="BD59" s="56"/>
      <c r="BE59" s="37" t="s">
        <v>5</v>
      </c>
      <c r="BF59" s="57">
        <v>0</v>
      </c>
      <c r="BG59" s="57">
        <v>233.51</v>
      </c>
      <c r="BH59" s="57">
        <v>2423.3000000000002</v>
      </c>
      <c r="BI59" s="57">
        <v>10125</v>
      </c>
      <c r="BJ59" s="57">
        <v>11022</v>
      </c>
      <c r="BK59" s="57">
        <v>11023</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1869700</v>
      </c>
      <c r="AL61" s="57">
        <v>11673</v>
      </c>
      <c r="AM61" s="57">
        <v>11673</v>
      </c>
      <c r="AN61" s="57">
        <v>11673</v>
      </c>
      <c r="AO61" s="57">
        <v>11673</v>
      </c>
      <c r="AP61" s="57">
        <v>11673</v>
      </c>
      <c r="AQ61" s="37"/>
      <c r="AR61" s="37"/>
      <c r="AS61" s="56">
        <v>2</v>
      </c>
      <c r="AT61" s="37" t="s">
        <v>0</v>
      </c>
      <c r="AU61" s="57">
        <v>1869700</v>
      </c>
      <c r="AV61" s="57">
        <v>11673</v>
      </c>
      <c r="AW61" s="57">
        <v>11673</v>
      </c>
      <c r="AX61" s="57">
        <v>11673</v>
      </c>
      <c r="AY61" s="57">
        <v>11673</v>
      </c>
      <c r="AZ61" s="57">
        <v>11673</v>
      </c>
      <c r="BA61" s="37"/>
      <c r="BB61" s="37"/>
      <c r="BC61" s="37"/>
      <c r="BD61" s="56">
        <v>2</v>
      </c>
      <c r="BE61" s="37" t="s">
        <v>0</v>
      </c>
      <c r="BF61" s="57">
        <v>1869700</v>
      </c>
      <c r="BG61" s="57">
        <v>11673</v>
      </c>
      <c r="BH61" s="57">
        <v>11673</v>
      </c>
      <c r="BI61" s="57">
        <v>11673</v>
      </c>
      <c r="BJ61" s="57">
        <v>11673</v>
      </c>
      <c r="BK61" s="57">
        <v>11673</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1866200</v>
      </c>
      <c r="AL62" s="57">
        <v>11651</v>
      </c>
      <c r="AM62" s="57">
        <v>11651</v>
      </c>
      <c r="AN62" s="57">
        <v>11651</v>
      </c>
      <c r="AO62" s="57">
        <v>11651</v>
      </c>
      <c r="AP62" s="57">
        <v>11651</v>
      </c>
      <c r="AQ62" s="37"/>
      <c r="AR62" s="37"/>
      <c r="AS62" s="37"/>
      <c r="AT62" s="37" t="s">
        <v>1</v>
      </c>
      <c r="AU62" s="57">
        <v>1839700</v>
      </c>
      <c r="AV62" s="57">
        <v>11486</v>
      </c>
      <c r="AW62" s="57">
        <v>11486</v>
      </c>
      <c r="AX62" s="57">
        <v>11486</v>
      </c>
      <c r="AY62" s="57">
        <v>11486</v>
      </c>
      <c r="AZ62" s="57">
        <v>11486</v>
      </c>
      <c r="BA62" s="37"/>
      <c r="BB62" s="37"/>
      <c r="BC62" s="37"/>
      <c r="BD62" s="37"/>
      <c r="BE62" s="37" t="s">
        <v>1</v>
      </c>
      <c r="BF62" s="57">
        <v>1811000</v>
      </c>
      <c r="BG62" s="57">
        <v>11307</v>
      </c>
      <c r="BH62" s="57">
        <v>11307</v>
      </c>
      <c r="BI62" s="57">
        <v>11307</v>
      </c>
      <c r="BJ62" s="57">
        <v>11307</v>
      </c>
      <c r="BK62" s="57">
        <v>11307</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3563.8</v>
      </c>
      <c r="AL63" s="57">
        <v>22.25</v>
      </c>
      <c r="AM63" s="57">
        <v>22.25</v>
      </c>
      <c r="AN63" s="57">
        <v>22.25</v>
      </c>
      <c r="AO63" s="57">
        <v>22.25</v>
      </c>
      <c r="AP63" s="57">
        <v>22.25</v>
      </c>
      <c r="AQ63" s="37"/>
      <c r="AR63" s="37"/>
      <c r="AS63" s="37"/>
      <c r="AT63" s="37" t="s">
        <v>2</v>
      </c>
      <c r="AU63" s="57">
        <v>30025</v>
      </c>
      <c r="AV63" s="57">
        <v>187.46</v>
      </c>
      <c r="AW63" s="57">
        <v>187.46</v>
      </c>
      <c r="AX63" s="57">
        <v>187.46</v>
      </c>
      <c r="AY63" s="57">
        <v>187.46</v>
      </c>
      <c r="AZ63" s="57">
        <v>187.46</v>
      </c>
      <c r="BA63" s="37"/>
      <c r="BB63" s="37"/>
      <c r="BC63" s="37"/>
      <c r="BD63" s="37"/>
      <c r="BE63" s="37" t="s">
        <v>2</v>
      </c>
      <c r="BF63" s="57">
        <v>58728</v>
      </c>
      <c r="BG63" s="57">
        <v>366.66</v>
      </c>
      <c r="BH63" s="57">
        <v>366.66</v>
      </c>
      <c r="BI63" s="57">
        <v>366.66</v>
      </c>
      <c r="BJ63" s="57">
        <v>366.66</v>
      </c>
      <c r="BK63" s="57">
        <v>366.66</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1865900</v>
      </c>
      <c r="AL64" s="57">
        <v>11500</v>
      </c>
      <c r="AM64" s="57">
        <v>10112</v>
      </c>
      <c r="AN64" s="57">
        <v>3220.5</v>
      </c>
      <c r="AO64" s="57">
        <v>67.277000000000001</v>
      </c>
      <c r="AP64" s="57">
        <v>51.726999999999997</v>
      </c>
      <c r="AQ64" s="37"/>
      <c r="AR64" s="37"/>
      <c r="AS64" s="37"/>
      <c r="AT64" s="37" t="s">
        <v>3</v>
      </c>
      <c r="AU64" s="57">
        <v>1839300</v>
      </c>
      <c r="AV64" s="57">
        <v>11287</v>
      </c>
      <c r="AW64" s="57">
        <v>9514.6</v>
      </c>
      <c r="AX64" s="57">
        <v>1786</v>
      </c>
      <c r="AY64" s="57">
        <v>20.975000000000001</v>
      </c>
      <c r="AZ64" s="57">
        <v>17.608000000000001</v>
      </c>
      <c r="BA64" s="37"/>
      <c r="BB64" s="37"/>
      <c r="BC64" s="37"/>
      <c r="BD64" s="37"/>
      <c r="BE64" s="37" t="s">
        <v>3</v>
      </c>
      <c r="BF64" s="57">
        <v>1810300</v>
      </c>
      <c r="BG64" s="57">
        <v>11034</v>
      </c>
      <c r="BH64" s="57">
        <v>8634.6</v>
      </c>
      <c r="BI64" s="57">
        <v>818.43</v>
      </c>
      <c r="BJ64" s="57">
        <v>7.1117999999999997</v>
      </c>
      <c r="BK64" s="57">
        <v>6.2674000000000003</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149.44</v>
      </c>
      <c r="AM66" s="57">
        <v>1537.1</v>
      </c>
      <c r="AN66" s="57">
        <v>8429.2000000000007</v>
      </c>
      <c r="AO66" s="57">
        <v>11582</v>
      </c>
      <c r="AP66" s="57">
        <v>11597</v>
      </c>
      <c r="AQ66" s="37"/>
      <c r="AR66" s="37"/>
      <c r="AS66" s="37"/>
      <c r="AT66" s="37" t="s">
        <v>5</v>
      </c>
      <c r="AU66" s="57">
        <v>0</v>
      </c>
      <c r="AV66" s="57">
        <v>195.46</v>
      </c>
      <c r="AW66" s="57">
        <v>1968.4</v>
      </c>
      <c r="AX66" s="57">
        <v>9696.7999999999993</v>
      </c>
      <c r="AY66" s="57">
        <v>11461</v>
      </c>
      <c r="AZ66" s="57">
        <v>11465</v>
      </c>
      <c r="BA66" s="37"/>
      <c r="BB66" s="37"/>
      <c r="BC66" s="37"/>
      <c r="BD66" s="37"/>
      <c r="BE66" s="37" t="s">
        <v>5</v>
      </c>
      <c r="BF66" s="57">
        <v>0</v>
      </c>
      <c r="BG66" s="57">
        <v>267.16000000000003</v>
      </c>
      <c r="BH66" s="57">
        <v>2667.6</v>
      </c>
      <c r="BI66" s="57">
        <v>10483</v>
      </c>
      <c r="BJ66" s="57">
        <v>11295</v>
      </c>
      <c r="BK66" s="57">
        <v>11295</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Sheet19"/>
  <dimension ref="A1:BP150"/>
  <sheetViews>
    <sheetView workbookViewId="0">
      <pane xSplit="8" topLeftCell="BJ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4.2575757575757578</v>
      </c>
      <c r="E2" t="s">
        <v>119</v>
      </c>
      <c r="G2" s="103">
        <f>C2*12</f>
        <v>51.090909090909093</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16" t="s">
        <v>8</v>
      </c>
      <c r="O3" s="15" t="s">
        <v>16</v>
      </c>
      <c r="P3" s="15" t="s">
        <v>18</v>
      </c>
      <c r="Q3" s="15" t="s">
        <v>19</v>
      </c>
      <c r="S3" s="6"/>
      <c r="T3" s="15" t="s">
        <v>8</v>
      </c>
      <c r="U3" s="4"/>
      <c r="V3" s="15" t="s">
        <v>21</v>
      </c>
      <c r="X3" s="16" t="s">
        <v>8</v>
      </c>
      <c r="Y3" s="15" t="s">
        <v>16</v>
      </c>
      <c r="Z3" s="15" t="s">
        <v>18</v>
      </c>
      <c r="AA3" s="15" t="s">
        <v>19</v>
      </c>
      <c r="AD3" s="15" t="s">
        <v>8</v>
      </c>
      <c r="AE3" s="4"/>
      <c r="AF3" s="15" t="s">
        <v>21</v>
      </c>
      <c r="AH3" s="16"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1854600</v>
      </c>
      <c r="N4" s="10">
        <v>100</v>
      </c>
      <c r="O4" s="2">
        <f>L5/$L$4</f>
        <v>8.0820662137388116E-2</v>
      </c>
      <c r="P4" s="8">
        <v>2.4987999999999998E-3</v>
      </c>
      <c r="Q4" s="9">
        <f t="shared" ref="Q4:Q9" si="0">2/((P4/(N4*0.35))*3600)</f>
        <v>7.7815129039716844</v>
      </c>
      <c r="S4" s="7"/>
      <c r="T4" s="26">
        <v>100</v>
      </c>
      <c r="U4" s="4" t="s">
        <v>0</v>
      </c>
      <c r="V4" s="5">
        <v>1854600</v>
      </c>
      <c r="X4" s="24">
        <v>100</v>
      </c>
      <c r="Y4" s="22">
        <f>V5/$V$4</f>
        <v>0.14640892914914266</v>
      </c>
      <c r="Z4" s="23">
        <v>9.8081000000000002E-3</v>
      </c>
      <c r="AA4" s="25">
        <f t="shared" ref="AA4:AA9" si="1">2/((Z4/(X4*0.35))*3600)</f>
        <v>1.9824883967786262</v>
      </c>
      <c r="AD4" s="26">
        <v>100</v>
      </c>
      <c r="AE4" s="4" t="s">
        <v>0</v>
      </c>
      <c r="AF4" s="5">
        <v>1854600</v>
      </c>
      <c r="AH4" s="10">
        <v>100</v>
      </c>
      <c r="AI4" s="2">
        <f>AF5/$AF$4</f>
        <v>0.41364175563463818</v>
      </c>
      <c r="AJ4" s="13">
        <v>3.9419999999999997E-2</v>
      </c>
      <c r="AK4" s="14">
        <f t="shared" ref="AK4:AK9" si="2">2/((AJ4/(AH4*0.35))*3600)</f>
        <v>0.49326343085856028</v>
      </c>
      <c r="AN4" s="26">
        <v>100</v>
      </c>
      <c r="AO4" s="4" t="s">
        <v>0</v>
      </c>
      <c r="AP4" s="5">
        <v>1854600</v>
      </c>
      <c r="AR4" s="10">
        <v>100</v>
      </c>
      <c r="AS4" s="2">
        <f>AP5/AP$4</f>
        <v>0.20387684675940904</v>
      </c>
      <c r="AT4" s="32">
        <v>3.3679000000000001E-3</v>
      </c>
      <c r="AU4" s="9">
        <f t="shared" ref="AU4:AU9" si="3">2/((AT4/(AR4*0.35))*3600)</f>
        <v>5.7734625269290794</v>
      </c>
      <c r="AW4" s="7"/>
      <c r="AX4" s="26">
        <v>100</v>
      </c>
      <c r="AY4" s="4" t="s">
        <v>0</v>
      </c>
      <c r="AZ4" s="5">
        <v>1854600</v>
      </c>
      <c r="BB4" s="24">
        <v>100</v>
      </c>
      <c r="BC4" s="2">
        <f>AZ5/AZ$4</f>
        <v>0.32060821740537043</v>
      </c>
      <c r="BD4" s="33">
        <v>1.3986E-2</v>
      </c>
      <c r="BE4" s="9">
        <f t="shared" ref="BE4:BE9" si="4">2/((BD4/(BB4*0.35))*3600)</f>
        <v>1.3902791680569457</v>
      </c>
      <c r="BH4" s="26">
        <v>100</v>
      </c>
      <c r="BI4" s="4" t="s">
        <v>0</v>
      </c>
      <c r="BJ4" s="5">
        <v>1854600</v>
      </c>
      <c r="BL4" s="10">
        <v>100</v>
      </c>
      <c r="BM4" s="2">
        <f>BJ5/BJ$4</f>
        <v>0.63016283834789177</v>
      </c>
      <c r="BN4" s="32">
        <v>6.1773000000000002E-2</v>
      </c>
      <c r="BO4" s="9">
        <f t="shared" ref="BO4:BO7" si="5">2/((BN4/(BL4*0.35))*3600)</f>
        <v>0.31477254535872379</v>
      </c>
      <c r="BP4" s="12"/>
    </row>
    <row r="5" spans="1:68">
      <c r="J5" s="26"/>
      <c r="K5" s="4" t="s">
        <v>1</v>
      </c>
      <c r="L5" s="5">
        <v>149890</v>
      </c>
      <c r="N5" s="10">
        <v>200</v>
      </c>
      <c r="O5" s="2">
        <f>L12/$L$4</f>
        <v>0.14540062547179985</v>
      </c>
      <c r="P5" s="8">
        <v>4.5208999999999996E-3</v>
      </c>
      <c r="Q5" s="9">
        <f t="shared" si="0"/>
        <v>8.6020236875155156</v>
      </c>
      <c r="S5" s="7"/>
      <c r="T5" s="26"/>
      <c r="U5" s="4" t="s">
        <v>1</v>
      </c>
      <c r="V5" s="5">
        <v>271530</v>
      </c>
      <c r="X5" s="24">
        <v>200</v>
      </c>
      <c r="Y5" s="22">
        <f>V12/$V$4</f>
        <v>0.24933678421222905</v>
      </c>
      <c r="Z5" s="23">
        <v>1.7080999999999999E-2</v>
      </c>
      <c r="AA5" s="25">
        <f t="shared" si="1"/>
        <v>2.2767337327374797</v>
      </c>
      <c r="AD5" s="26"/>
      <c r="AE5" s="4" t="s">
        <v>1</v>
      </c>
      <c r="AF5" s="5">
        <v>767140</v>
      </c>
      <c r="AH5" s="10">
        <v>200</v>
      </c>
      <c r="AI5" s="2">
        <f>AF12/$AF$4</f>
        <v>0.58265933354901323</v>
      </c>
      <c r="AJ5" s="13">
        <v>5.6457E-2</v>
      </c>
      <c r="AK5" s="14">
        <f t="shared" si="2"/>
        <v>0.68882315547919459</v>
      </c>
      <c r="AN5" s="26"/>
      <c r="AO5" s="4" t="s">
        <v>1</v>
      </c>
      <c r="AP5" s="5">
        <v>378110</v>
      </c>
      <c r="AR5" s="10">
        <v>200</v>
      </c>
      <c r="AS5" s="2">
        <f>AP12/AP$4</f>
        <v>0.34835544052625905</v>
      </c>
      <c r="AT5" s="32">
        <v>5.9011000000000003E-3</v>
      </c>
      <c r="AU5" s="9">
        <f t="shared" si="3"/>
        <v>6.5901084355270854</v>
      </c>
      <c r="AW5" s="7"/>
      <c r="AX5" s="26"/>
      <c r="AY5" s="4" t="s">
        <v>1</v>
      </c>
      <c r="AZ5" s="5">
        <v>594600</v>
      </c>
      <c r="BB5" s="24">
        <v>200</v>
      </c>
      <c r="BC5" s="2">
        <f>AZ12/AZ$4</f>
        <v>0.5040655666990187</v>
      </c>
      <c r="BD5" s="33">
        <v>2.3362999999999998E-2</v>
      </c>
      <c r="BE5" s="9">
        <f t="shared" si="4"/>
        <v>1.6645503098441505</v>
      </c>
      <c r="BH5" s="26"/>
      <c r="BI5" s="4" t="s">
        <v>1</v>
      </c>
      <c r="BJ5" s="5">
        <v>1168700</v>
      </c>
      <c r="BL5" s="10">
        <v>200</v>
      </c>
      <c r="BM5" s="2">
        <f>BJ12/BJ$4</f>
        <v>0.81483877925159065</v>
      </c>
      <c r="BN5" s="32">
        <v>8.0812999999999996E-2</v>
      </c>
      <c r="BO5" s="9">
        <f t="shared" si="5"/>
        <v>0.48122070568954112</v>
      </c>
      <c r="BP5" s="12"/>
    </row>
    <row r="6" spans="1:68">
      <c r="J6" s="26"/>
      <c r="K6" s="4" t="s">
        <v>2</v>
      </c>
      <c r="L6" s="5">
        <v>1704700</v>
      </c>
      <c r="N6" s="10">
        <v>400</v>
      </c>
      <c r="O6" s="2">
        <f>L19/L$4</f>
        <v>0.2535910708508573</v>
      </c>
      <c r="P6" s="8">
        <v>7.9777000000000008E-3</v>
      </c>
      <c r="Q6" s="9">
        <f t="shared" si="0"/>
        <v>9.7493986710176834</v>
      </c>
      <c r="S6" s="7"/>
      <c r="T6" s="26"/>
      <c r="U6" s="4" t="s">
        <v>2</v>
      </c>
      <c r="V6" s="5">
        <v>1583000</v>
      </c>
      <c r="X6" s="24">
        <v>400</v>
      </c>
      <c r="Y6" s="22">
        <f>V19/$V$4</f>
        <v>0.4010083036773428</v>
      </c>
      <c r="Z6" s="23">
        <v>2.8705000000000001E-2</v>
      </c>
      <c r="AA6" s="25">
        <f t="shared" si="1"/>
        <v>2.7095550523524743</v>
      </c>
      <c r="AD6" s="26"/>
      <c r="AE6" s="4" t="s">
        <v>2</v>
      </c>
      <c r="AF6" s="5">
        <v>1087400</v>
      </c>
      <c r="AH6" s="10">
        <v>400</v>
      </c>
      <c r="AI6" s="2">
        <f>AF19/$AF$4</f>
        <v>0.7698695136417556</v>
      </c>
      <c r="AJ6" s="13">
        <v>7.5806999999999999E-2</v>
      </c>
      <c r="AK6" s="14">
        <f t="shared" si="2"/>
        <v>1.0259973060242165</v>
      </c>
      <c r="AN6" s="26"/>
      <c r="AO6" s="4" t="s">
        <v>2</v>
      </c>
      <c r="AP6" s="5">
        <v>1476500</v>
      </c>
      <c r="AR6" s="10">
        <v>400</v>
      </c>
      <c r="AS6" s="2">
        <f>AP19/AP$4</f>
        <v>0.55284158309069342</v>
      </c>
      <c r="AT6" s="32">
        <v>9.8362999999999992E-3</v>
      </c>
      <c r="AU6" s="9">
        <f t="shared" si="3"/>
        <v>7.9072189520223857</v>
      </c>
      <c r="AW6" s="7"/>
      <c r="AX6" s="26"/>
      <c r="AY6" s="4" t="s">
        <v>2</v>
      </c>
      <c r="AZ6" s="5">
        <v>1260000</v>
      </c>
      <c r="BB6" s="24">
        <v>400</v>
      </c>
      <c r="BC6" s="2">
        <f>AZ19/AZ$4</f>
        <v>0.7134152917071066</v>
      </c>
      <c r="BD6" s="33">
        <v>3.6546000000000002E-2</v>
      </c>
      <c r="BE6" s="9">
        <f t="shared" si="4"/>
        <v>2.1282158862194982</v>
      </c>
      <c r="BH6" s="26"/>
      <c r="BI6" s="4" t="s">
        <v>2</v>
      </c>
      <c r="BJ6" s="5">
        <v>685930</v>
      </c>
      <c r="BL6" s="10">
        <v>400</v>
      </c>
      <c r="BM6" s="2">
        <f>BJ19/BJ$4</f>
        <v>0.95023185592580606</v>
      </c>
      <c r="BN6" s="32">
        <v>9.3854000000000007E-2</v>
      </c>
      <c r="BO6" s="9">
        <f t="shared" si="5"/>
        <v>0.8287103136550148</v>
      </c>
      <c r="BP6" s="12"/>
    </row>
    <row r="7" spans="1:68">
      <c r="J7" s="26"/>
      <c r="K7" s="4" t="s">
        <v>3</v>
      </c>
      <c r="L7" s="5">
        <v>149080</v>
      </c>
      <c r="N7" s="10">
        <v>600</v>
      </c>
      <c r="O7" s="2">
        <f>L26/$L$4</f>
        <v>0.34337323412056509</v>
      </c>
      <c r="P7" s="8">
        <v>1.1042E-2</v>
      </c>
      <c r="Q7" s="9">
        <f t="shared" si="0"/>
        <v>10.56571877075409</v>
      </c>
      <c r="S7" s="7"/>
      <c r="T7" s="26"/>
      <c r="U7" s="4" t="s">
        <v>3</v>
      </c>
      <c r="V7" s="5">
        <v>271260</v>
      </c>
      <c r="X7" s="24">
        <v>600</v>
      </c>
      <c r="Y7" s="22">
        <f>V26/$V$4</f>
        <v>0.51222366008842879</v>
      </c>
      <c r="Z7" s="23">
        <v>3.7692000000000003E-2</v>
      </c>
      <c r="AA7" s="25">
        <f t="shared" si="1"/>
        <v>3.0952633626941166</v>
      </c>
      <c r="AD7" s="26"/>
      <c r="AE7" s="4" t="s">
        <v>3</v>
      </c>
      <c r="AF7" s="5">
        <v>766990</v>
      </c>
      <c r="AH7" s="10">
        <v>600</v>
      </c>
      <c r="AI7" s="2">
        <f>AF26/$AF$4</f>
        <v>0.86816564218699455</v>
      </c>
      <c r="AJ7" s="13">
        <v>8.5789000000000004E-2</v>
      </c>
      <c r="AK7" s="14">
        <f t="shared" si="2"/>
        <v>1.3599257092012573</v>
      </c>
      <c r="AN7" s="26"/>
      <c r="AO7" s="4" t="s">
        <v>3</v>
      </c>
      <c r="AP7" s="5">
        <v>376810</v>
      </c>
      <c r="AR7" s="10">
        <v>600</v>
      </c>
      <c r="AS7" s="2">
        <f>AP26/AP$4</f>
        <v>0.68823465976490883</v>
      </c>
      <c r="AT7" s="32">
        <v>1.3061E-2</v>
      </c>
      <c r="AU7" s="9">
        <f t="shared" si="3"/>
        <v>8.932445193068423</v>
      </c>
      <c r="AW7" s="7"/>
      <c r="AX7" s="26"/>
      <c r="AY7" s="4" t="s">
        <v>3</v>
      </c>
      <c r="AZ7" s="5">
        <v>594200</v>
      </c>
      <c r="BB7" s="24">
        <v>600</v>
      </c>
      <c r="BC7" s="2">
        <f>AZ26/AZ$4</f>
        <v>0.82427477623207157</v>
      </c>
      <c r="BD7" s="33">
        <v>4.5787000000000001E-2</v>
      </c>
      <c r="BE7" s="9">
        <f t="shared" si="4"/>
        <v>2.5480303725220401</v>
      </c>
      <c r="BH7" s="26"/>
      <c r="BI7" s="4" t="s">
        <v>3</v>
      </c>
      <c r="BJ7" s="5">
        <v>1168500</v>
      </c>
      <c r="BL7" s="10">
        <v>600</v>
      </c>
      <c r="BM7" s="2">
        <f>BJ26/BJ$4</f>
        <v>0.98635824436536179</v>
      </c>
      <c r="BN7" s="32">
        <v>9.7104999999999997E-2</v>
      </c>
      <c r="BO7" s="9">
        <f t="shared" si="5"/>
        <v>1.2014486037450869</v>
      </c>
      <c r="BP7" s="12"/>
    </row>
    <row r="8" spans="1:68">
      <c r="J8" s="26"/>
      <c r="K8" s="4" t="s">
        <v>4</v>
      </c>
      <c r="L8" s="5">
        <v>0</v>
      </c>
      <c r="N8" s="10">
        <v>800</v>
      </c>
      <c r="O8" s="2">
        <f>L33/$L$4</f>
        <v>0.41971314569179335</v>
      </c>
      <c r="P8" s="8">
        <v>1.3811E-2</v>
      </c>
      <c r="Q8" s="9">
        <f t="shared" si="0"/>
        <v>11.263163822717802</v>
      </c>
      <c r="S8" s="7"/>
      <c r="T8" s="26"/>
      <c r="U8" s="4" t="s">
        <v>4</v>
      </c>
      <c r="V8" s="5">
        <v>0</v>
      </c>
      <c r="X8" s="24">
        <v>800</v>
      </c>
      <c r="Y8" s="22">
        <f>V33/$V$4</f>
        <v>0.59700204895934428</v>
      </c>
      <c r="Z8" s="23">
        <v>4.5113E-2</v>
      </c>
      <c r="AA8" s="25">
        <f t="shared" si="1"/>
        <v>3.4481314821793179</v>
      </c>
      <c r="AD8" s="26"/>
      <c r="AE8" s="4" t="s">
        <v>4</v>
      </c>
      <c r="AF8" s="5">
        <v>0</v>
      </c>
      <c r="AH8" s="10">
        <v>800</v>
      </c>
      <c r="AI8" s="2">
        <f>AF33/$AF$4</f>
        <v>0.92461986412164343</v>
      </c>
      <c r="AJ8" s="13">
        <v>9.1215000000000004E-2</v>
      </c>
      <c r="AK8" s="14">
        <f t="shared" si="2"/>
        <v>1.7053725325391169</v>
      </c>
      <c r="AN8" s="26"/>
      <c r="AO8" s="4" t="s">
        <v>4</v>
      </c>
      <c r="AP8" s="5">
        <v>0</v>
      </c>
      <c r="AR8" s="10">
        <v>800</v>
      </c>
      <c r="AS8" s="2">
        <f>AP33/AP$4</f>
        <v>0.78124663000107841</v>
      </c>
      <c r="AT8" s="32">
        <v>1.5893000000000001E-2</v>
      </c>
      <c r="AU8" s="9">
        <f t="shared" si="3"/>
        <v>9.7876773142613445</v>
      </c>
      <c r="AW8" s="7"/>
      <c r="AX8" s="26"/>
      <c r="AY8" s="4" t="s">
        <v>4</v>
      </c>
      <c r="AZ8" s="5">
        <v>0</v>
      </c>
      <c r="BB8" s="24">
        <v>800</v>
      </c>
      <c r="BC8" s="2">
        <f>AZ33/AZ$4</f>
        <v>0.89011107516445598</v>
      </c>
      <c r="BD8" s="33">
        <v>5.2805999999999999E-2</v>
      </c>
      <c r="BE8" s="9">
        <f t="shared" si="4"/>
        <v>2.9457931969010254</v>
      </c>
      <c r="BH8" s="26"/>
      <c r="BI8" s="4" t="s">
        <v>4</v>
      </c>
      <c r="BJ8" s="5">
        <v>0</v>
      </c>
      <c r="BL8" s="10">
        <v>800</v>
      </c>
      <c r="BM8" s="2">
        <f>BJ33/BJ$4</f>
        <v>0.99725008087997413</v>
      </c>
      <c r="BN8" s="32">
        <v>9.8303000000000001E-2</v>
      </c>
      <c r="BO8" s="9">
        <f>2/((BN8/(BL8*0.35))*3600)</f>
        <v>1.5824090369119512</v>
      </c>
      <c r="BP8" s="12"/>
    </row>
    <row r="9" spans="1:68">
      <c r="J9" s="26"/>
      <c r="K9" s="4" t="s">
        <v>5</v>
      </c>
      <c r="L9" s="5">
        <v>0</v>
      </c>
      <c r="M9" s="1"/>
      <c r="N9" s="10">
        <v>1000</v>
      </c>
      <c r="O9" s="2">
        <f>L40/$L$4</f>
        <v>0.48541464466731371</v>
      </c>
      <c r="P9" s="8">
        <v>1.636E-2</v>
      </c>
      <c r="Q9" s="9">
        <f t="shared" si="0"/>
        <v>11.885357239880468</v>
      </c>
      <c r="S9" s="7"/>
      <c r="T9" s="26"/>
      <c r="U9" s="4" t="s">
        <v>5</v>
      </c>
      <c r="V9" s="5">
        <v>0</v>
      </c>
      <c r="W9" s="1"/>
      <c r="X9" s="24">
        <v>1000</v>
      </c>
      <c r="Y9" s="22">
        <f>V40/$V$4</f>
        <v>0.66256874797800069</v>
      </c>
      <c r="Z9" s="23">
        <v>5.1277000000000003E-2</v>
      </c>
      <c r="AA9" s="25">
        <f t="shared" si="1"/>
        <v>3.792040182624655</v>
      </c>
      <c r="AD9" s="26"/>
      <c r="AE9" s="4" t="s">
        <v>5</v>
      </c>
      <c r="AF9" s="5">
        <v>0</v>
      </c>
      <c r="AG9" s="1"/>
      <c r="AH9" s="10">
        <v>1000</v>
      </c>
      <c r="AI9" s="2">
        <f>AF40/$AF$4</f>
        <v>0.95718753369998921</v>
      </c>
      <c r="AJ9" s="13">
        <v>9.4361E-2</v>
      </c>
      <c r="AK9" s="14">
        <f t="shared" si="2"/>
        <v>2.0606441691423836</v>
      </c>
      <c r="AN9" s="26"/>
      <c r="AO9" s="4" t="s">
        <v>5</v>
      </c>
      <c r="AP9" s="5">
        <v>0</v>
      </c>
      <c r="AQ9" s="1"/>
      <c r="AR9" s="10">
        <v>1000</v>
      </c>
      <c r="AS9" s="2">
        <f>AP40/AP$4</f>
        <v>0.84433300981343684</v>
      </c>
      <c r="AT9" s="32">
        <v>1.8329000000000002E-2</v>
      </c>
      <c r="AU9" s="9">
        <f t="shared" si="3"/>
        <v>10.608568085789974</v>
      </c>
      <c r="AW9" s="7"/>
      <c r="AX9" s="26"/>
      <c r="AY9" s="4" t="s">
        <v>5</v>
      </c>
      <c r="AZ9" s="5">
        <v>0</v>
      </c>
      <c r="BA9" s="1"/>
      <c r="BB9" s="24">
        <v>1000</v>
      </c>
      <c r="BC9" s="2">
        <f>AZ40/AZ$4</f>
        <v>0.92704626334519569</v>
      </c>
      <c r="BD9" s="33">
        <v>5.8258999999999998E-2</v>
      </c>
      <c r="BE9" s="9">
        <f t="shared" si="4"/>
        <v>3.3375863719673262</v>
      </c>
      <c r="BH9" s="26"/>
      <c r="BI9" s="4" t="s">
        <v>5</v>
      </c>
      <c r="BJ9" s="5">
        <v>0</v>
      </c>
      <c r="BK9" s="1"/>
      <c r="BL9" s="10">
        <v>1000</v>
      </c>
      <c r="BM9" s="2">
        <f>BJ40/BJ$4</f>
        <v>1</v>
      </c>
      <c r="BN9" s="32">
        <v>9.8638000000000003E-2</v>
      </c>
      <c r="BO9" s="9">
        <f t="shared" ref="BO9" si="6">2/((BN9/(BL9*0.35))*3600)</f>
        <v>1.9712934613885564</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1854600</v>
      </c>
      <c r="S11" s="7"/>
      <c r="T11" s="26">
        <v>200</v>
      </c>
      <c r="U11" s="4" t="s">
        <v>0</v>
      </c>
      <c r="V11" s="5">
        <v>1854600</v>
      </c>
      <c r="AD11" s="26">
        <v>200</v>
      </c>
      <c r="AE11" s="4" t="s">
        <v>0</v>
      </c>
      <c r="AF11" s="5">
        <v>1854600</v>
      </c>
      <c r="AN11" s="26">
        <v>200</v>
      </c>
      <c r="AO11" s="4" t="s">
        <v>0</v>
      </c>
      <c r="AP11" s="5">
        <v>1854600</v>
      </c>
      <c r="AW11" s="7"/>
      <c r="AX11" s="26">
        <v>200</v>
      </c>
      <c r="AY11" s="4" t="s">
        <v>0</v>
      </c>
      <c r="AZ11" s="5">
        <v>1854600</v>
      </c>
      <c r="BH11" s="26">
        <v>200</v>
      </c>
      <c r="BI11" s="4" t="s">
        <v>0</v>
      </c>
      <c r="BJ11" s="5">
        <v>1854600</v>
      </c>
      <c r="BP11" s="12"/>
    </row>
    <row r="12" spans="1:68">
      <c r="J12" s="26"/>
      <c r="K12" s="4" t="s">
        <v>1</v>
      </c>
      <c r="L12" s="5">
        <v>269660</v>
      </c>
      <c r="S12" s="7"/>
      <c r="T12" s="26"/>
      <c r="U12" s="4" t="s">
        <v>1</v>
      </c>
      <c r="V12" s="5">
        <v>462420</v>
      </c>
      <c r="AD12" s="26"/>
      <c r="AE12" s="4" t="s">
        <v>1</v>
      </c>
      <c r="AF12" s="5">
        <v>1080600</v>
      </c>
      <c r="AN12" s="26"/>
      <c r="AO12" s="4" t="s">
        <v>1</v>
      </c>
      <c r="AP12" s="5">
        <v>646060</v>
      </c>
      <c r="AW12" s="7"/>
      <c r="AX12" s="26"/>
      <c r="AY12" s="4" t="s">
        <v>1</v>
      </c>
      <c r="AZ12" s="5">
        <v>934840</v>
      </c>
      <c r="BH12" s="26"/>
      <c r="BI12" s="4" t="s">
        <v>1</v>
      </c>
      <c r="BJ12" s="5">
        <v>1511200</v>
      </c>
      <c r="BP12" s="12"/>
    </row>
    <row r="13" spans="1:68">
      <c r="J13" s="26"/>
      <c r="K13" s="4" t="s">
        <v>2</v>
      </c>
      <c r="L13" s="5">
        <v>1584900</v>
      </c>
      <c r="T13" s="26"/>
      <c r="U13" s="4" t="s">
        <v>2</v>
      </c>
      <c r="V13" s="5">
        <v>1392100</v>
      </c>
      <c r="AD13" s="26"/>
      <c r="AE13" s="4" t="s">
        <v>2</v>
      </c>
      <c r="AF13" s="5">
        <v>774040</v>
      </c>
      <c r="AN13" s="26"/>
      <c r="AO13" s="4" t="s">
        <v>2</v>
      </c>
      <c r="AP13" s="5">
        <v>1208600</v>
      </c>
      <c r="AX13" s="26"/>
      <c r="AY13" s="4" t="s">
        <v>2</v>
      </c>
      <c r="AZ13" s="5">
        <v>919720</v>
      </c>
      <c r="BH13" s="26"/>
      <c r="BI13" s="4" t="s">
        <v>2</v>
      </c>
      <c r="BJ13" s="5">
        <v>343370</v>
      </c>
    </row>
    <row r="14" spans="1:68">
      <c r="J14" s="26"/>
      <c r="K14" s="4" t="s">
        <v>3</v>
      </c>
      <c r="L14" s="5">
        <v>268220</v>
      </c>
      <c r="T14" s="26"/>
      <c r="U14" s="4" t="s">
        <v>3</v>
      </c>
      <c r="V14" s="5">
        <v>461930</v>
      </c>
      <c r="AD14" s="26"/>
      <c r="AE14" s="4" t="s">
        <v>3</v>
      </c>
      <c r="AF14" s="5">
        <v>1080300</v>
      </c>
      <c r="AN14" s="26"/>
      <c r="AO14" s="4" t="s">
        <v>3</v>
      </c>
      <c r="AP14" s="5">
        <v>643810</v>
      </c>
      <c r="AX14" s="26"/>
      <c r="AY14" s="4" t="s">
        <v>3</v>
      </c>
      <c r="AZ14" s="5">
        <v>934160</v>
      </c>
      <c r="BH14" s="26"/>
      <c r="BI14" s="4" t="s">
        <v>3</v>
      </c>
      <c r="BJ14" s="5">
        <v>1510900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1854600</v>
      </c>
      <c r="T18" s="26">
        <v>400</v>
      </c>
      <c r="U18" s="4" t="s">
        <v>0</v>
      </c>
      <c r="V18" s="5">
        <v>1854600</v>
      </c>
      <c r="AD18" s="26">
        <v>400</v>
      </c>
      <c r="AE18" s="4" t="s">
        <v>0</v>
      </c>
      <c r="AF18" s="5">
        <v>1854600</v>
      </c>
      <c r="AN18" s="26">
        <v>400</v>
      </c>
      <c r="AO18" s="4" t="s">
        <v>0</v>
      </c>
      <c r="AP18" s="5">
        <v>1854600</v>
      </c>
      <c r="AX18" s="26">
        <v>400</v>
      </c>
      <c r="AY18" s="4" t="s">
        <v>0</v>
      </c>
      <c r="AZ18" s="5">
        <v>1854600</v>
      </c>
      <c r="BH18" s="26">
        <v>400</v>
      </c>
      <c r="BI18" s="4" t="s">
        <v>0</v>
      </c>
      <c r="BJ18" s="5">
        <v>1854600</v>
      </c>
    </row>
    <row r="19" spans="1:62">
      <c r="J19" s="26"/>
      <c r="K19" s="4" t="s">
        <v>1</v>
      </c>
      <c r="L19" s="5">
        <v>470310</v>
      </c>
      <c r="T19" s="26"/>
      <c r="U19" s="4" t="s">
        <v>1</v>
      </c>
      <c r="V19" s="5">
        <v>743710</v>
      </c>
      <c r="AD19" s="26"/>
      <c r="AE19" s="4" t="s">
        <v>1</v>
      </c>
      <c r="AF19" s="5">
        <v>1427800</v>
      </c>
      <c r="AN19" s="26"/>
      <c r="AO19" s="4" t="s">
        <v>1</v>
      </c>
      <c r="AP19" s="5">
        <v>1025300</v>
      </c>
      <c r="AX19" s="26"/>
      <c r="AY19" s="4" t="s">
        <v>1</v>
      </c>
      <c r="AZ19" s="5">
        <v>1323100</v>
      </c>
      <c r="BH19" s="26"/>
      <c r="BI19" s="4" t="s">
        <v>1</v>
      </c>
      <c r="BJ19" s="5">
        <v>1762300</v>
      </c>
    </row>
    <row r="20" spans="1:62">
      <c r="J20" s="26"/>
      <c r="K20" s="4" t="s">
        <v>2</v>
      </c>
      <c r="L20" s="5">
        <v>1384300</v>
      </c>
      <c r="T20" s="26"/>
      <c r="U20" s="4" t="s">
        <v>2</v>
      </c>
      <c r="V20" s="5">
        <v>1110900</v>
      </c>
      <c r="AD20" s="26"/>
      <c r="AE20" s="4" t="s">
        <v>2</v>
      </c>
      <c r="AF20" s="5">
        <v>426760</v>
      </c>
      <c r="AN20" s="26"/>
      <c r="AO20" s="4" t="s">
        <v>2</v>
      </c>
      <c r="AP20" s="5">
        <v>829360</v>
      </c>
      <c r="AX20" s="26"/>
      <c r="AY20" s="4" t="s">
        <v>2</v>
      </c>
      <c r="AZ20" s="5">
        <v>531450</v>
      </c>
      <c r="BH20" s="26"/>
      <c r="BI20" s="4" t="s">
        <v>2</v>
      </c>
      <c r="BJ20" s="5">
        <v>92293</v>
      </c>
    </row>
    <row r="21" spans="1:62">
      <c r="J21" s="26"/>
      <c r="K21" s="4" t="s">
        <v>3</v>
      </c>
      <c r="L21" s="5">
        <v>467780</v>
      </c>
      <c r="T21" s="26"/>
      <c r="U21" s="4" t="s">
        <v>3</v>
      </c>
      <c r="V21" s="5">
        <v>742820</v>
      </c>
      <c r="AD21" s="26"/>
      <c r="AE21" s="4" t="s">
        <v>3</v>
      </c>
      <c r="AF21" s="5">
        <v>1427300</v>
      </c>
      <c r="AN21" s="26"/>
      <c r="AO21" s="4" t="s">
        <v>3</v>
      </c>
      <c r="AP21" s="5">
        <v>1021500</v>
      </c>
      <c r="AX21" s="26"/>
      <c r="AY21" s="4" t="s">
        <v>3</v>
      </c>
      <c r="AZ21" s="5">
        <v>1322000</v>
      </c>
      <c r="BH21" s="26"/>
      <c r="BI21" s="4" t="s">
        <v>3</v>
      </c>
      <c r="BJ21" s="5">
        <v>1761700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1854600</v>
      </c>
      <c r="T25" s="26">
        <v>600</v>
      </c>
      <c r="U25" s="4" t="s">
        <v>0</v>
      </c>
      <c r="V25" s="5">
        <v>1854600</v>
      </c>
      <c r="AD25" s="26">
        <v>600</v>
      </c>
      <c r="AE25" s="4" t="s">
        <v>0</v>
      </c>
      <c r="AF25" s="5">
        <v>1854600</v>
      </c>
      <c r="AN25" s="26">
        <v>600</v>
      </c>
      <c r="AO25" s="4" t="s">
        <v>0</v>
      </c>
      <c r="AP25" s="5">
        <v>1854600</v>
      </c>
      <c r="AX25" s="26">
        <v>600</v>
      </c>
      <c r="AY25" s="4" t="s">
        <v>0</v>
      </c>
      <c r="AZ25" s="5">
        <v>1854600</v>
      </c>
      <c r="BH25" s="26">
        <v>600</v>
      </c>
      <c r="BI25" s="4" t="s">
        <v>0</v>
      </c>
      <c r="BJ25" s="5">
        <v>1854600</v>
      </c>
    </row>
    <row r="26" spans="1:62">
      <c r="J26" s="26"/>
      <c r="K26" s="4" t="s">
        <v>1</v>
      </c>
      <c r="L26" s="5">
        <v>636820</v>
      </c>
      <c r="T26" s="26"/>
      <c r="U26" s="4" t="s">
        <v>1</v>
      </c>
      <c r="V26" s="5">
        <v>949970</v>
      </c>
      <c r="AD26" s="26"/>
      <c r="AE26" s="4" t="s">
        <v>1</v>
      </c>
      <c r="AF26" s="5">
        <v>1610100</v>
      </c>
      <c r="AN26" s="26"/>
      <c r="AO26" s="4" t="s">
        <v>1</v>
      </c>
      <c r="AP26" s="5">
        <v>1276400</v>
      </c>
      <c r="AX26" s="26"/>
      <c r="AY26" s="4" t="s">
        <v>1</v>
      </c>
      <c r="AZ26" s="5">
        <v>1528700</v>
      </c>
      <c r="BH26" s="26"/>
      <c r="BI26" s="4" t="s">
        <v>1</v>
      </c>
      <c r="BJ26" s="5">
        <v>1829300</v>
      </c>
    </row>
    <row r="27" spans="1:62">
      <c r="A27" s="120" t="s">
        <v>145</v>
      </c>
      <c r="J27" s="26"/>
      <c r="K27" s="4" t="s">
        <v>2</v>
      </c>
      <c r="L27" s="5">
        <v>1217700</v>
      </c>
      <c r="T27" s="26"/>
      <c r="U27" s="4" t="s">
        <v>2</v>
      </c>
      <c r="V27" s="5">
        <v>904640</v>
      </c>
      <c r="AD27" s="26"/>
      <c r="AE27" s="4" t="s">
        <v>2</v>
      </c>
      <c r="AF27" s="5">
        <v>244480</v>
      </c>
      <c r="AN27" s="26"/>
      <c r="AO27" s="4" t="s">
        <v>2</v>
      </c>
      <c r="AP27" s="5">
        <v>578190</v>
      </c>
      <c r="AX27" s="26"/>
      <c r="AY27" s="4" t="s">
        <v>2</v>
      </c>
      <c r="AZ27" s="5">
        <v>325920</v>
      </c>
      <c r="BH27" s="26"/>
      <c r="BI27" s="4" t="s">
        <v>2</v>
      </c>
      <c r="BJ27" s="5">
        <v>25249</v>
      </c>
    </row>
    <row r="28" spans="1:62">
      <c r="A28" s="199" t="str">
        <f>AH3</f>
        <v>Filter Area (ft2)</v>
      </c>
      <c r="B28" s="200" t="s">
        <v>11</v>
      </c>
      <c r="C28" s="200"/>
      <c r="D28" s="200"/>
      <c r="E28" s="200" t="s">
        <v>12</v>
      </c>
      <c r="F28" s="200"/>
      <c r="G28" s="200"/>
      <c r="H28" s="6"/>
      <c r="J28" s="26"/>
      <c r="K28" s="4" t="s">
        <v>3</v>
      </c>
      <c r="L28" s="5">
        <v>633490</v>
      </c>
      <c r="T28" s="26"/>
      <c r="U28" s="4" t="s">
        <v>3</v>
      </c>
      <c r="V28" s="5">
        <v>948680</v>
      </c>
      <c r="AD28" s="26"/>
      <c r="AE28" s="4" t="s">
        <v>3</v>
      </c>
      <c r="AF28" s="5">
        <v>1609300</v>
      </c>
      <c r="AN28" s="26"/>
      <c r="AO28" s="4" t="s">
        <v>3</v>
      </c>
      <c r="AP28" s="5">
        <v>1271500</v>
      </c>
      <c r="AX28" s="26"/>
      <c r="AY28" s="4" t="s">
        <v>3</v>
      </c>
      <c r="AZ28" s="5">
        <v>1527200</v>
      </c>
      <c r="BH28" s="26"/>
      <c r="BI28" s="4" t="s">
        <v>3</v>
      </c>
      <c r="BJ28" s="5">
        <v>1828500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8.0820662137388116E-2</v>
      </c>
      <c r="C30" s="2">
        <f t="shared" ref="C30:C35" si="8">Y4</f>
        <v>0.14640892914914266</v>
      </c>
      <c r="D30" s="2">
        <f t="shared" ref="D30:D35" si="9">AI4</f>
        <v>0.41364175563463818</v>
      </c>
      <c r="E30" s="11">
        <f t="shared" ref="E30:E35" si="10">Q4</f>
        <v>7.7815129039716844</v>
      </c>
      <c r="F30" s="11">
        <f t="shared" ref="F30:F35" si="11">AA4</f>
        <v>1.9824883967786262</v>
      </c>
      <c r="G30" s="9">
        <f t="shared" ref="G30:G35" si="12">AK4</f>
        <v>0.49326343085856028</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0.14540062547179985</v>
      </c>
      <c r="C31" s="2">
        <f t="shared" si="8"/>
        <v>0.24933678421222905</v>
      </c>
      <c r="D31" s="2">
        <f t="shared" si="9"/>
        <v>0.58265933354901323</v>
      </c>
      <c r="E31" s="11">
        <f t="shared" si="10"/>
        <v>8.6020236875155156</v>
      </c>
      <c r="F31" s="11">
        <f t="shared" si="11"/>
        <v>2.2767337327374797</v>
      </c>
      <c r="G31" s="9">
        <f t="shared" si="12"/>
        <v>0.68882315547919459</v>
      </c>
      <c r="H31" s="12"/>
      <c r="J31" s="26"/>
      <c r="K31" s="4"/>
      <c r="L31" s="4"/>
      <c r="T31" s="26"/>
      <c r="U31" s="4"/>
      <c r="V31" s="4"/>
      <c r="AD31" s="26"/>
      <c r="AE31" s="4"/>
      <c r="AF31" s="4"/>
      <c r="AN31" s="26"/>
      <c r="AO31" s="4"/>
      <c r="AP31" s="4"/>
      <c r="AX31" s="26"/>
      <c r="AY31" s="4"/>
      <c r="AZ31" s="4"/>
      <c r="BH31" s="26"/>
      <c r="BI31" s="4"/>
      <c r="BJ31" s="4"/>
    </row>
    <row r="32" spans="1:62">
      <c r="A32" s="10">
        <v>400</v>
      </c>
      <c r="B32" s="2">
        <f t="shared" si="7"/>
        <v>0.2535910708508573</v>
      </c>
      <c r="C32" s="2">
        <f t="shared" si="8"/>
        <v>0.4010083036773428</v>
      </c>
      <c r="D32" s="2">
        <f t="shared" si="9"/>
        <v>0.7698695136417556</v>
      </c>
      <c r="E32" s="11">
        <f t="shared" si="10"/>
        <v>9.7493986710176834</v>
      </c>
      <c r="F32" s="11">
        <f t="shared" si="11"/>
        <v>2.7095550523524743</v>
      </c>
      <c r="G32" s="9">
        <f t="shared" si="12"/>
        <v>1.0259973060242165</v>
      </c>
      <c r="H32" s="12"/>
      <c r="J32" s="26">
        <v>800</v>
      </c>
      <c r="K32" s="4" t="s">
        <v>0</v>
      </c>
      <c r="L32" s="5">
        <v>1854600</v>
      </c>
      <c r="T32" s="26">
        <v>800</v>
      </c>
      <c r="U32" s="4" t="s">
        <v>0</v>
      </c>
      <c r="V32" s="5">
        <v>1854600</v>
      </c>
      <c r="AD32" s="26">
        <v>800</v>
      </c>
      <c r="AE32" s="4" t="s">
        <v>0</v>
      </c>
      <c r="AF32" s="5">
        <v>1854600</v>
      </c>
      <c r="AN32" s="26">
        <v>800</v>
      </c>
      <c r="AO32" s="4" t="s">
        <v>0</v>
      </c>
      <c r="AP32" s="5">
        <v>1854600</v>
      </c>
      <c r="AX32" s="26">
        <v>800</v>
      </c>
      <c r="AY32" s="4" t="s">
        <v>0</v>
      </c>
      <c r="AZ32" s="5">
        <v>1854600</v>
      </c>
      <c r="BH32" s="26">
        <v>800</v>
      </c>
      <c r="BI32" s="4" t="s">
        <v>0</v>
      </c>
      <c r="BJ32" s="5">
        <v>1854600</v>
      </c>
    </row>
    <row r="33" spans="1:62">
      <c r="A33" s="10">
        <v>600</v>
      </c>
      <c r="B33" s="2">
        <f t="shared" si="7"/>
        <v>0.34337323412056509</v>
      </c>
      <c r="C33" s="2">
        <f t="shared" si="8"/>
        <v>0.51222366008842879</v>
      </c>
      <c r="D33" s="2">
        <f t="shared" si="9"/>
        <v>0.86816564218699455</v>
      </c>
      <c r="E33" s="11">
        <f t="shared" si="10"/>
        <v>10.56571877075409</v>
      </c>
      <c r="F33" s="11">
        <f t="shared" si="11"/>
        <v>3.0952633626941166</v>
      </c>
      <c r="G33" s="9">
        <f t="shared" si="12"/>
        <v>1.3599257092012573</v>
      </c>
      <c r="H33" s="12"/>
      <c r="J33" s="26"/>
      <c r="K33" s="4" t="s">
        <v>1</v>
      </c>
      <c r="L33" s="5">
        <v>778400</v>
      </c>
      <c r="T33" s="26"/>
      <c r="U33" s="4" t="s">
        <v>1</v>
      </c>
      <c r="V33" s="5">
        <v>1107200</v>
      </c>
      <c r="AD33" s="26"/>
      <c r="AE33" s="4" t="s">
        <v>1</v>
      </c>
      <c r="AF33" s="5">
        <v>1714800</v>
      </c>
      <c r="AN33" s="26"/>
      <c r="AO33" s="4" t="s">
        <v>1</v>
      </c>
      <c r="AP33" s="5">
        <v>1448900</v>
      </c>
      <c r="AX33" s="26"/>
      <c r="AY33" s="4" t="s">
        <v>1</v>
      </c>
      <c r="AZ33" s="5">
        <v>1650800</v>
      </c>
      <c r="BH33" s="26"/>
      <c r="BI33" s="4" t="s">
        <v>1</v>
      </c>
      <c r="BJ33" s="5">
        <v>1849500</v>
      </c>
    </row>
    <row r="34" spans="1:62">
      <c r="A34" s="10">
        <v>800</v>
      </c>
      <c r="B34" s="2">
        <f t="shared" si="7"/>
        <v>0.41971314569179335</v>
      </c>
      <c r="C34" s="2">
        <f t="shared" si="8"/>
        <v>0.59700204895934428</v>
      </c>
      <c r="D34" s="2">
        <f t="shared" si="9"/>
        <v>0.92461986412164343</v>
      </c>
      <c r="E34" s="11">
        <f t="shared" si="10"/>
        <v>11.263163822717802</v>
      </c>
      <c r="F34" s="11">
        <f t="shared" si="11"/>
        <v>3.4481314821793179</v>
      </c>
      <c r="G34" s="9">
        <f t="shared" si="12"/>
        <v>1.7053725325391169</v>
      </c>
      <c r="H34" s="12"/>
      <c r="J34" s="26"/>
      <c r="K34" s="4" t="s">
        <v>2</v>
      </c>
      <c r="L34" s="5">
        <v>1076200</v>
      </c>
      <c r="T34" s="26"/>
      <c r="U34" s="4" t="s">
        <v>2</v>
      </c>
      <c r="V34" s="5">
        <v>747410</v>
      </c>
      <c r="AD34" s="26"/>
      <c r="AE34" s="4" t="s">
        <v>2</v>
      </c>
      <c r="AF34" s="5">
        <v>139800</v>
      </c>
      <c r="AN34" s="26"/>
      <c r="AO34" s="4" t="s">
        <v>2</v>
      </c>
      <c r="AP34" s="5">
        <v>405730</v>
      </c>
      <c r="AX34" s="26"/>
      <c r="AY34" s="4" t="s">
        <v>2</v>
      </c>
      <c r="AZ34" s="5">
        <v>203800</v>
      </c>
      <c r="BH34" s="26"/>
      <c r="BI34" s="4" t="s">
        <v>2</v>
      </c>
      <c r="BJ34" s="5">
        <v>5111.7</v>
      </c>
    </row>
    <row r="35" spans="1:62">
      <c r="A35" s="10">
        <v>1000</v>
      </c>
      <c r="B35" s="2">
        <f t="shared" si="7"/>
        <v>0.48541464466731371</v>
      </c>
      <c r="C35" s="2">
        <f t="shared" si="8"/>
        <v>0.66256874797800069</v>
      </c>
      <c r="D35" s="2">
        <f t="shared" si="9"/>
        <v>0.95718753369998921</v>
      </c>
      <c r="E35" s="11">
        <f t="shared" si="10"/>
        <v>11.885357239880468</v>
      </c>
      <c r="F35" s="11">
        <f t="shared" si="11"/>
        <v>3.792040182624655</v>
      </c>
      <c r="G35" s="9">
        <f t="shared" si="12"/>
        <v>2.0606441691423836</v>
      </c>
      <c r="H35" s="12"/>
      <c r="J35" s="26"/>
      <c r="K35" s="4" t="s">
        <v>3</v>
      </c>
      <c r="L35" s="5">
        <v>774090</v>
      </c>
      <c r="T35" s="26"/>
      <c r="U35" s="4" t="s">
        <v>3</v>
      </c>
      <c r="V35" s="5">
        <v>1105600</v>
      </c>
      <c r="AD35" s="26"/>
      <c r="AE35" s="4" t="s">
        <v>3</v>
      </c>
      <c r="AF35" s="5">
        <v>1713800</v>
      </c>
      <c r="AN35" s="26"/>
      <c r="AO35" s="4" t="s">
        <v>3</v>
      </c>
      <c r="AP35" s="5">
        <v>1442900</v>
      </c>
      <c r="AX35" s="26"/>
      <c r="AY35" s="4" t="s">
        <v>3</v>
      </c>
      <c r="AZ35" s="5">
        <v>1649000</v>
      </c>
      <c r="BH35" s="26"/>
      <c r="BI35" s="4" t="s">
        <v>3</v>
      </c>
      <c r="BJ35" s="5">
        <v>1848500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1854600</v>
      </c>
      <c r="T39" s="26">
        <v>1000</v>
      </c>
      <c r="U39" s="4" t="s">
        <v>0</v>
      </c>
      <c r="V39" s="5">
        <v>1854600</v>
      </c>
      <c r="AD39" s="26">
        <v>1000</v>
      </c>
      <c r="AE39" s="4" t="s">
        <v>0</v>
      </c>
      <c r="AF39" s="5">
        <v>1854600</v>
      </c>
      <c r="AN39" s="26">
        <v>1000</v>
      </c>
      <c r="AO39" s="4" t="s">
        <v>0</v>
      </c>
      <c r="AP39" s="5">
        <v>1854600</v>
      </c>
      <c r="AX39" s="26">
        <v>1000</v>
      </c>
      <c r="AY39" s="4" t="s">
        <v>0</v>
      </c>
      <c r="AZ39" s="5">
        <v>1854600</v>
      </c>
      <c r="BH39" s="26">
        <v>1000</v>
      </c>
      <c r="BI39" s="4" t="s">
        <v>0</v>
      </c>
      <c r="BJ39" s="5">
        <v>1854600</v>
      </c>
    </row>
    <row r="40" spans="1:62">
      <c r="A40" s="199"/>
      <c r="B40" s="15" t="s">
        <v>15</v>
      </c>
      <c r="C40" s="15" t="s">
        <v>14</v>
      </c>
      <c r="D40" s="15" t="s">
        <v>13</v>
      </c>
      <c r="E40" s="15" t="s">
        <v>15</v>
      </c>
      <c r="F40" s="15" t="s">
        <v>14</v>
      </c>
      <c r="G40" s="15" t="s">
        <v>13</v>
      </c>
      <c r="J40" s="26"/>
      <c r="K40" s="4" t="s">
        <v>1</v>
      </c>
      <c r="L40" s="5">
        <v>900250</v>
      </c>
      <c r="T40" s="26"/>
      <c r="U40" s="4" t="s">
        <v>1</v>
      </c>
      <c r="V40" s="5">
        <v>1228800</v>
      </c>
      <c r="AD40" s="26"/>
      <c r="AE40" s="4" t="s">
        <v>1</v>
      </c>
      <c r="AF40" s="5">
        <v>1775200</v>
      </c>
      <c r="AN40" s="26"/>
      <c r="AO40" s="4" t="s">
        <v>1</v>
      </c>
      <c r="AP40" s="5">
        <v>1565900</v>
      </c>
      <c r="AX40" s="26"/>
      <c r="AY40" s="4" t="s">
        <v>1</v>
      </c>
      <c r="AZ40" s="5">
        <v>1719300</v>
      </c>
      <c r="BH40" s="26"/>
      <c r="BI40" s="4" t="s">
        <v>1</v>
      </c>
      <c r="BJ40" s="5">
        <v>1854600</v>
      </c>
    </row>
    <row r="41" spans="1:62">
      <c r="A41" s="10">
        <v>100</v>
      </c>
      <c r="B41" s="2">
        <f>AS4</f>
        <v>0.20387684675940904</v>
      </c>
      <c r="C41" s="2">
        <f>BC4</f>
        <v>0.32060821740537043</v>
      </c>
      <c r="D41" s="2">
        <f>BM4</f>
        <v>0.63016283834789177</v>
      </c>
      <c r="E41" s="11">
        <f>AU4</f>
        <v>5.7734625269290794</v>
      </c>
      <c r="F41" s="11">
        <f>BE4</f>
        <v>1.3902791680569457</v>
      </c>
      <c r="G41" s="9">
        <f>BO4</f>
        <v>0.31477254535872379</v>
      </c>
      <c r="J41" s="26"/>
      <c r="K41" s="4" t="s">
        <v>2</v>
      </c>
      <c r="L41" s="5">
        <v>954310</v>
      </c>
      <c r="T41" s="26"/>
      <c r="U41" s="4" t="s">
        <v>2</v>
      </c>
      <c r="V41" s="5">
        <v>625760</v>
      </c>
      <c r="AD41" s="26"/>
      <c r="AE41" s="4" t="s">
        <v>2</v>
      </c>
      <c r="AF41" s="5">
        <v>79351</v>
      </c>
      <c r="AN41" s="26"/>
      <c r="AO41" s="4" t="s">
        <v>2</v>
      </c>
      <c r="AP41" s="5">
        <v>288660</v>
      </c>
      <c r="AX41" s="26"/>
      <c r="AY41" s="4" t="s">
        <v>2</v>
      </c>
      <c r="AZ41" s="5">
        <v>135250</v>
      </c>
      <c r="BH41" s="26"/>
      <c r="BI41" s="4" t="s">
        <v>2</v>
      </c>
      <c r="BJ41" s="5">
        <v>0</v>
      </c>
    </row>
    <row r="42" spans="1:62">
      <c r="A42" s="10">
        <v>200</v>
      </c>
      <c r="B42" s="2">
        <f t="shared" ref="B42:B46" si="13">AS5</f>
        <v>0.34835544052625905</v>
      </c>
      <c r="C42" s="2">
        <f t="shared" ref="C42:C46" si="14">BC5</f>
        <v>0.5040655666990187</v>
      </c>
      <c r="D42" s="2">
        <f t="shared" ref="D42:D46" si="15">BM5</f>
        <v>0.81483877925159065</v>
      </c>
      <c r="E42" s="11">
        <f t="shared" ref="E42:E46" si="16">AU5</f>
        <v>6.5901084355270854</v>
      </c>
      <c r="F42" s="11">
        <f t="shared" ref="F42:F46" si="17">BE5</f>
        <v>1.6645503098441505</v>
      </c>
      <c r="G42" s="9">
        <f t="shared" ref="G42:G46" si="18">BO5</f>
        <v>0.48122070568954112</v>
      </c>
      <c r="J42" s="26"/>
      <c r="K42" s="4" t="s">
        <v>3</v>
      </c>
      <c r="L42" s="5">
        <v>895280</v>
      </c>
      <c r="T42" s="26"/>
      <c r="U42" s="4" t="s">
        <v>3</v>
      </c>
      <c r="V42" s="5">
        <v>1226900</v>
      </c>
      <c r="AD42" s="26"/>
      <c r="AE42" s="4" t="s">
        <v>3</v>
      </c>
      <c r="AF42" s="5">
        <v>1774000</v>
      </c>
      <c r="AN42" s="26"/>
      <c r="AO42" s="4" t="s">
        <v>3</v>
      </c>
      <c r="AP42" s="5">
        <v>1559200</v>
      </c>
      <c r="AX42" s="26"/>
      <c r="AY42" s="4" t="s">
        <v>3</v>
      </c>
      <c r="AZ42" s="5">
        <v>1717200</v>
      </c>
      <c r="BH42" s="26"/>
      <c r="BI42" s="4" t="s">
        <v>3</v>
      </c>
      <c r="BJ42" s="5">
        <v>1853300</v>
      </c>
    </row>
    <row r="43" spans="1:62">
      <c r="A43" s="10">
        <v>400</v>
      </c>
      <c r="B43" s="2">
        <f t="shared" si="13"/>
        <v>0.55284158309069342</v>
      </c>
      <c r="C43" s="2">
        <f t="shared" si="14"/>
        <v>0.7134152917071066</v>
      </c>
      <c r="D43" s="2">
        <f t="shared" si="15"/>
        <v>0.95023185592580606</v>
      </c>
      <c r="E43" s="11">
        <f t="shared" si="16"/>
        <v>7.9072189520223857</v>
      </c>
      <c r="F43" s="11">
        <f t="shared" si="17"/>
        <v>2.1282158862194982</v>
      </c>
      <c r="G43" s="9">
        <f t="shared" si="18"/>
        <v>0.8287103136550148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0.68823465976490883</v>
      </c>
      <c r="C44" s="2">
        <f t="shared" si="14"/>
        <v>0.82427477623207157</v>
      </c>
      <c r="D44" s="2">
        <f t="shared" si="15"/>
        <v>0.98635824436536179</v>
      </c>
      <c r="E44" s="11">
        <f t="shared" si="16"/>
        <v>8.932445193068423</v>
      </c>
      <c r="F44" s="11">
        <f t="shared" si="17"/>
        <v>2.5480303725220401</v>
      </c>
      <c r="G44" s="9">
        <f t="shared" si="18"/>
        <v>1.2014486037450869</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0.78124663000107841</v>
      </c>
      <c r="C45" s="2">
        <f t="shared" si="14"/>
        <v>0.89011107516445598</v>
      </c>
      <c r="D45" s="2">
        <f t="shared" si="15"/>
        <v>0.99725008087997413</v>
      </c>
      <c r="E45" s="11">
        <f t="shared" si="16"/>
        <v>9.7876773142613445</v>
      </c>
      <c r="F45" s="11">
        <f t="shared" si="17"/>
        <v>2.9457931969010254</v>
      </c>
      <c r="G45" s="9">
        <f t="shared" si="18"/>
        <v>1.5824090369119512</v>
      </c>
      <c r="Y45"/>
      <c r="Z45"/>
      <c r="AA45"/>
      <c r="AB45"/>
      <c r="BC45"/>
      <c r="BD45"/>
      <c r="BE45"/>
      <c r="BF45"/>
    </row>
    <row r="46" spans="1:62">
      <c r="A46" s="10">
        <v>1000</v>
      </c>
      <c r="B46" s="2">
        <f t="shared" si="13"/>
        <v>0.84433300981343684</v>
      </c>
      <c r="C46" s="2">
        <f t="shared" si="14"/>
        <v>0.92704626334519569</v>
      </c>
      <c r="D46" s="2">
        <f t="shared" si="15"/>
        <v>1</v>
      </c>
      <c r="E46" s="11">
        <f t="shared" si="16"/>
        <v>10.608568085789974</v>
      </c>
      <c r="F46" s="11">
        <f t="shared" si="17"/>
        <v>3.3375863719673262</v>
      </c>
      <c r="G46" s="9">
        <f t="shared" si="18"/>
        <v>1.9712934613885564</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0.20387684675940904</v>
      </c>
      <c r="C52" s="2">
        <f>C30+(($A$25-1)/3)*(C41-C30)</f>
        <v>0.32060821740537043</v>
      </c>
      <c r="D52" s="2">
        <f>D30+(($A$25-1)/3)*(D41-D30)</f>
        <v>0.63016283834789177</v>
      </c>
      <c r="E52" s="9">
        <f>E30+(($A$25-1)/3)*(E41-E30)</f>
        <v>5.7734625269290794</v>
      </c>
      <c r="F52" s="9">
        <f t="shared" ref="F52:G57" si="19">F30+(($A$25-1)/3)*(F41-F30)</f>
        <v>1.3902791680569457</v>
      </c>
      <c r="G52" s="9">
        <f t="shared" si="19"/>
        <v>0.31477254535872379</v>
      </c>
      <c r="Y52"/>
      <c r="Z52"/>
      <c r="AA52"/>
      <c r="AB52"/>
      <c r="BC52"/>
      <c r="BD52"/>
      <c r="BE52"/>
      <c r="BF52"/>
    </row>
    <row r="53" spans="1:58">
      <c r="A53" s="10">
        <v>200</v>
      </c>
      <c r="B53" s="2">
        <f t="shared" ref="B53:E57" si="20">B31+(($A$25-1)/3)*(B42-B31)</f>
        <v>0.34835544052625905</v>
      </c>
      <c r="C53" s="2">
        <f t="shared" si="20"/>
        <v>0.5040655666990187</v>
      </c>
      <c r="D53" s="2">
        <f t="shared" si="20"/>
        <v>0.81483877925159065</v>
      </c>
      <c r="E53" s="9">
        <f t="shared" si="20"/>
        <v>6.5901084355270854</v>
      </c>
      <c r="F53" s="9">
        <f t="shared" si="19"/>
        <v>1.6645503098441505</v>
      </c>
      <c r="G53" s="9">
        <f t="shared" si="19"/>
        <v>0.48122070568954112</v>
      </c>
      <c r="Y53"/>
      <c r="Z53"/>
      <c r="AA53"/>
      <c r="AB53"/>
      <c r="BC53"/>
      <c r="BD53"/>
      <c r="BE53"/>
      <c r="BF53"/>
    </row>
    <row r="54" spans="1:58">
      <c r="A54" s="10">
        <v>400</v>
      </c>
      <c r="B54" s="2">
        <f t="shared" si="20"/>
        <v>0.55284158309069342</v>
      </c>
      <c r="C54" s="2">
        <f t="shared" si="20"/>
        <v>0.7134152917071066</v>
      </c>
      <c r="D54" s="2">
        <f t="shared" si="20"/>
        <v>0.95023185592580606</v>
      </c>
      <c r="E54" s="9">
        <f t="shared" si="20"/>
        <v>7.9072189520223857</v>
      </c>
      <c r="F54" s="9">
        <f t="shared" si="19"/>
        <v>2.1282158862194982</v>
      </c>
      <c r="G54" s="9">
        <f t="shared" si="19"/>
        <v>0.8287103136550148</v>
      </c>
      <c r="Y54"/>
      <c r="Z54"/>
      <c r="AA54"/>
      <c r="AB54"/>
      <c r="BC54"/>
      <c r="BD54"/>
      <c r="BE54"/>
      <c r="BF54"/>
    </row>
    <row r="55" spans="1:58">
      <c r="A55" s="10">
        <v>600</v>
      </c>
      <c r="B55" s="2">
        <f t="shared" si="20"/>
        <v>0.68823465976490883</v>
      </c>
      <c r="C55" s="2">
        <f t="shared" si="20"/>
        <v>0.82427477623207157</v>
      </c>
      <c r="D55" s="2">
        <f t="shared" si="20"/>
        <v>0.98635824436536179</v>
      </c>
      <c r="E55" s="9">
        <f t="shared" si="20"/>
        <v>8.932445193068423</v>
      </c>
      <c r="F55" s="9">
        <f t="shared" si="19"/>
        <v>2.5480303725220401</v>
      </c>
      <c r="G55" s="9">
        <f t="shared" si="19"/>
        <v>1.2014486037450869</v>
      </c>
      <c r="Y55"/>
      <c r="Z55"/>
      <c r="AA55"/>
      <c r="AB55"/>
      <c r="BC55"/>
      <c r="BD55"/>
      <c r="BE55"/>
      <c r="BF55"/>
    </row>
    <row r="56" spans="1:58">
      <c r="A56" s="10">
        <v>800</v>
      </c>
      <c r="B56" s="2">
        <f t="shared" si="20"/>
        <v>0.78124663000107841</v>
      </c>
      <c r="C56" s="2">
        <f t="shared" si="20"/>
        <v>0.89011107516445598</v>
      </c>
      <c r="D56" s="2">
        <f t="shared" si="20"/>
        <v>0.99725008087997413</v>
      </c>
      <c r="E56" s="9">
        <f t="shared" si="20"/>
        <v>9.7876773142613445</v>
      </c>
      <c r="F56" s="9">
        <f t="shared" si="19"/>
        <v>2.9457931969010254</v>
      </c>
      <c r="G56" s="9">
        <f t="shared" si="19"/>
        <v>1.5824090369119512</v>
      </c>
      <c r="Y56"/>
      <c r="Z56"/>
      <c r="AA56"/>
      <c r="AB56"/>
      <c r="BC56"/>
      <c r="BD56"/>
      <c r="BE56"/>
      <c r="BF56"/>
    </row>
    <row r="57" spans="1:58">
      <c r="A57" s="10">
        <v>1000</v>
      </c>
      <c r="B57" s="2">
        <f t="shared" si="20"/>
        <v>0.84433300981343684</v>
      </c>
      <c r="C57" s="2">
        <f t="shared" si="20"/>
        <v>0.92704626334519569</v>
      </c>
      <c r="D57" s="2">
        <f t="shared" si="20"/>
        <v>1</v>
      </c>
      <c r="E57" s="9">
        <f t="shared" si="20"/>
        <v>10.608568085789974</v>
      </c>
      <c r="F57" s="9">
        <f t="shared" si="19"/>
        <v>3.3375863719673262</v>
      </c>
      <c r="G57" s="9">
        <f t="shared" si="19"/>
        <v>1.9712934613885564</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sheetPr codeName="Sheet31"/>
  <dimension ref="A1:DD96"/>
  <sheetViews>
    <sheetView zoomScale="80" zoomScaleNormal="80" workbookViewId="0">
      <pane xSplit="9660" topLeftCell="AI1" activePane="topRight"/>
      <selection pane="topRight" activeCell="AK5" sqref="AK5"/>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1059000</v>
      </c>
      <c r="AL5" s="57">
        <v>6612</v>
      </c>
      <c r="AM5" s="57">
        <v>6612</v>
      </c>
      <c r="AN5" s="57">
        <v>6612</v>
      </c>
      <c r="AO5" s="57">
        <v>6612</v>
      </c>
      <c r="AP5" s="57">
        <v>6612</v>
      </c>
      <c r="AQ5" s="37"/>
      <c r="AR5" s="37"/>
      <c r="AS5" s="56">
        <v>0.1</v>
      </c>
      <c r="AT5" s="37" t="s">
        <v>0</v>
      </c>
      <c r="AU5" s="57">
        <v>1059000</v>
      </c>
      <c r="AV5" s="57">
        <v>6612</v>
      </c>
      <c r="AW5" s="57">
        <v>6612</v>
      </c>
      <c r="AX5" s="57">
        <v>6612</v>
      </c>
      <c r="AY5" s="57">
        <v>6612</v>
      </c>
      <c r="AZ5" s="57">
        <v>6612</v>
      </c>
      <c r="BA5" s="37"/>
      <c r="BB5" s="37"/>
      <c r="BC5" s="37"/>
      <c r="BD5" s="56">
        <v>0.1</v>
      </c>
      <c r="BE5" s="37" t="s">
        <v>0</v>
      </c>
      <c r="BF5" s="57">
        <v>1059000</v>
      </c>
      <c r="BG5" s="57">
        <v>6612</v>
      </c>
      <c r="BH5" s="57">
        <v>6612</v>
      </c>
      <c r="BI5" s="57">
        <v>6612</v>
      </c>
      <c r="BJ5" s="57">
        <v>6612</v>
      </c>
      <c r="BK5" s="57">
        <v>6612</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472700</v>
      </c>
      <c r="AL6" s="57">
        <v>2951.1</v>
      </c>
      <c r="AM6" s="57">
        <v>2951.1</v>
      </c>
      <c r="AN6" s="57">
        <v>2951.1</v>
      </c>
      <c r="AO6" s="57">
        <v>2951.1</v>
      </c>
      <c r="AP6" s="57">
        <v>2951.1</v>
      </c>
      <c r="AQ6" s="37"/>
      <c r="AR6" s="37"/>
      <c r="AS6" s="56"/>
      <c r="AT6" s="37" t="s">
        <v>1</v>
      </c>
      <c r="AU6" s="57">
        <v>365400</v>
      </c>
      <c r="AV6" s="57">
        <v>2281.1</v>
      </c>
      <c r="AW6" s="57">
        <v>2281.1</v>
      </c>
      <c r="AX6" s="57">
        <v>2281.1</v>
      </c>
      <c r="AY6" s="57">
        <v>2281.1</v>
      </c>
      <c r="AZ6" s="57">
        <v>2281.1</v>
      </c>
      <c r="BA6" s="37"/>
      <c r="BB6" s="37"/>
      <c r="BC6" s="37"/>
      <c r="BD6" s="56"/>
      <c r="BE6" s="37" t="s">
        <v>1</v>
      </c>
      <c r="BF6" s="57">
        <v>276950</v>
      </c>
      <c r="BG6" s="57">
        <v>1729.1</v>
      </c>
      <c r="BH6" s="57">
        <v>1729.1</v>
      </c>
      <c r="BI6" s="57">
        <v>1729.1</v>
      </c>
      <c r="BJ6" s="57">
        <v>1729.1</v>
      </c>
      <c r="BK6" s="57">
        <v>1729.1</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2.4311294765840219</v>
      </c>
      <c r="D7"/>
      <c r="E7" t="s">
        <v>119</v>
      </c>
      <c r="F7"/>
      <c r="G7" s="103">
        <f>C7*12</f>
        <v>29.173553719008261</v>
      </c>
      <c r="H7"/>
      <c r="I7"/>
      <c r="J7"/>
      <c r="K7"/>
      <c r="L7"/>
      <c r="M7"/>
      <c r="N7"/>
      <c r="O7"/>
      <c r="P7"/>
      <c r="Q7"/>
      <c r="R7"/>
      <c r="S7"/>
      <c r="T7"/>
      <c r="U7"/>
      <c r="V7"/>
      <c r="W7"/>
      <c r="X7"/>
      <c r="Y7"/>
      <c r="Z7"/>
      <c r="AA7"/>
      <c r="AB7"/>
      <c r="AC7"/>
      <c r="AD7"/>
      <c r="AE7"/>
      <c r="AF7"/>
      <c r="AG7"/>
      <c r="AH7" s="37"/>
      <c r="AI7" s="56"/>
      <c r="AJ7" s="37" t="s">
        <v>2</v>
      </c>
      <c r="AK7" s="57">
        <v>586360</v>
      </c>
      <c r="AL7" s="57">
        <v>3660.8</v>
      </c>
      <c r="AM7" s="57">
        <v>3660.8</v>
      </c>
      <c r="AN7" s="57">
        <v>3660.8</v>
      </c>
      <c r="AO7" s="57">
        <v>3660.8</v>
      </c>
      <c r="AP7" s="57">
        <v>3660.8</v>
      </c>
      <c r="AQ7" s="37"/>
      <c r="AR7" s="37"/>
      <c r="AS7" s="56"/>
      <c r="AT7" s="37" t="s">
        <v>2</v>
      </c>
      <c r="AU7" s="57">
        <v>693660</v>
      </c>
      <c r="AV7" s="57">
        <v>4330.8</v>
      </c>
      <c r="AW7" s="57">
        <v>4330.8</v>
      </c>
      <c r="AX7" s="57">
        <v>4330.8</v>
      </c>
      <c r="AY7" s="57">
        <v>4330.8</v>
      </c>
      <c r="AZ7" s="57">
        <v>4330.8</v>
      </c>
      <c r="BA7" s="37"/>
      <c r="BB7" s="37"/>
      <c r="BC7" s="37"/>
      <c r="BD7" s="56"/>
      <c r="BE7" s="37" t="s">
        <v>2</v>
      </c>
      <c r="BF7" s="57">
        <v>782130</v>
      </c>
      <c r="BG7" s="57">
        <v>4883.1000000000004</v>
      </c>
      <c r="BH7" s="57">
        <v>4883.1000000000004</v>
      </c>
      <c r="BI7" s="57">
        <v>4883.1000000000004</v>
      </c>
      <c r="BJ7" s="57">
        <v>4883.1000000000004</v>
      </c>
      <c r="BK7" s="57">
        <v>4883.1000000000004</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472540</v>
      </c>
      <c r="AL8" s="57">
        <v>2944</v>
      </c>
      <c r="AM8" s="57">
        <v>2852.3</v>
      </c>
      <c r="AN8" s="57">
        <v>1720.3</v>
      </c>
      <c r="AO8" s="57">
        <v>26.096</v>
      </c>
      <c r="AP8" s="57">
        <v>5.5191999999999997</v>
      </c>
      <c r="AQ8" s="37"/>
      <c r="AR8" s="37"/>
      <c r="AS8" s="56"/>
      <c r="AT8" s="37" t="s">
        <v>3</v>
      </c>
      <c r="AU8" s="57">
        <v>365250</v>
      </c>
      <c r="AV8" s="57">
        <v>2272.5</v>
      </c>
      <c r="AW8" s="57">
        <v>2156.1</v>
      </c>
      <c r="AX8" s="57">
        <v>798.62</v>
      </c>
      <c r="AY8" s="57">
        <v>9.5637000000000008</v>
      </c>
      <c r="AZ8" s="57">
        <v>2.7418999999999998</v>
      </c>
      <c r="BA8" s="37"/>
      <c r="BB8" s="37"/>
      <c r="BC8" s="37"/>
      <c r="BD8" s="56"/>
      <c r="BE8" s="37" t="s">
        <v>3</v>
      </c>
      <c r="BF8" s="57">
        <v>276570</v>
      </c>
      <c r="BG8" s="57">
        <v>1714.7</v>
      </c>
      <c r="BH8" s="57">
        <v>1543.6</v>
      </c>
      <c r="BI8" s="57">
        <v>246.09</v>
      </c>
      <c r="BJ8" s="57">
        <v>3.0583</v>
      </c>
      <c r="BK8" s="57">
        <v>0.72809000000000001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6.3594999999999997</v>
      </c>
      <c r="AM10" s="57">
        <v>97.869</v>
      </c>
      <c r="AN10" s="57">
        <v>1229.9000000000001</v>
      </c>
      <c r="AO10" s="57">
        <v>2924.1</v>
      </c>
      <c r="AP10" s="57">
        <v>2944.7</v>
      </c>
      <c r="AQ10" s="37"/>
      <c r="AR10" s="37"/>
      <c r="AS10" s="56"/>
      <c r="AT10" s="37" t="s">
        <v>5</v>
      </c>
      <c r="AU10" s="57">
        <v>0</v>
      </c>
      <c r="AV10" s="57">
        <v>7.9161000000000001</v>
      </c>
      <c r="AW10" s="57">
        <v>124.27</v>
      </c>
      <c r="AX10" s="57">
        <v>1481.8</v>
      </c>
      <c r="AY10" s="57">
        <v>2270.8000000000002</v>
      </c>
      <c r="AZ10" s="57">
        <v>2277.6999999999998</v>
      </c>
      <c r="BA10" s="37"/>
      <c r="BB10" s="37"/>
      <c r="BC10" s="37"/>
      <c r="BD10" s="56"/>
      <c r="BE10" s="37" t="s">
        <v>5</v>
      </c>
      <c r="BF10" s="57">
        <v>0</v>
      </c>
      <c r="BG10" s="57">
        <v>12.019</v>
      </c>
      <c r="BH10" s="57">
        <v>183.06</v>
      </c>
      <c r="BI10" s="57">
        <v>1480.6</v>
      </c>
      <c r="BJ10" s="57">
        <v>1723.6</v>
      </c>
      <c r="BK10" s="57">
        <v>1726</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0.44636449480642115</v>
      </c>
      <c r="C11" s="75">
        <f t="shared" ref="C11:C19" si="0">(($C$4*D11)+($D$4*E11)+($E$4*F11)+($F$4*G11)+($G$4*I11))</f>
        <v>0.31918456215970958</v>
      </c>
      <c r="D11" s="75">
        <f>AL10/$AL$5</f>
        <v>9.618118572292801E-4</v>
      </c>
      <c r="E11" s="75">
        <f>AM$10/AM$5</f>
        <v>1.4801724137931035E-2</v>
      </c>
      <c r="F11" s="75">
        <f>AN$10/AN$5</f>
        <v>0.18601028433151848</v>
      </c>
      <c r="G11" s="75">
        <f>AO$10/AO$5</f>
        <v>0.4422413793103448</v>
      </c>
      <c r="H11" s="76">
        <f t="shared" ref="H11:H19" si="1">($D$4*E11+$E$4*F11+$F$4*G11)/(SUM($D$4:$F$4))</f>
        <v>0.21435112925993147</v>
      </c>
      <c r="I11" s="75">
        <f>AP10/$AP$5</f>
        <v>0.44535692679975797</v>
      </c>
      <c r="J11" s="75">
        <f>(($C$5*D11)+($D$5*E11)+($E$5*F11)+($F$5*G11)+($G$5*I11))</f>
        <v>0.2104446082879613</v>
      </c>
      <c r="K11"/>
      <c r="L11" s="68">
        <v>0.1</v>
      </c>
      <c r="M11" s="69">
        <f>AU6/$AK$5</f>
        <v>0.345042492917847</v>
      </c>
      <c r="N11" s="69">
        <f t="shared" ref="N11:N19" si="2">(($C$4*O11)+($D$4*P11)+($E$4*Q11)+($F$4*R11)+($G$4*T11))</f>
        <v>0.26025049984875981</v>
      </c>
      <c r="O11" s="69">
        <f>AV10/$AL$5</f>
        <v>1.1972323049001816E-3</v>
      </c>
      <c r="P11" s="69">
        <f>AW$10/AW$5</f>
        <v>1.8794615849969751E-2</v>
      </c>
      <c r="Q11" s="69">
        <f>AX$10/AX$5</f>
        <v>0.22410768300060496</v>
      </c>
      <c r="R11" s="69">
        <f>AY$10/AY$5</f>
        <v>0.34343617664851789</v>
      </c>
      <c r="S11" s="70">
        <f t="shared" ref="S11:S19" si="3">($D$4*P11+$E$4*Q11+$F$4*R11)/(SUM($D$4:$F$4))</f>
        <v>0.19544615849969757</v>
      </c>
      <c r="T11" s="69">
        <f>AZ10/$AP$5</f>
        <v>0.34447973381730185</v>
      </c>
      <c r="U11" s="69">
        <f>(($C$5*O11)+($D$5*P11)+($E$5*Q11)+($F$5*R11)+($G$5*T11))</f>
        <v>0.19665692831215972</v>
      </c>
      <c r="V11"/>
      <c r="W11" s="84">
        <v>0.1</v>
      </c>
      <c r="X11" s="85">
        <f>BF6/$AK$5</f>
        <v>0.26152030217186023</v>
      </c>
      <c r="Y11" s="85">
        <f t="shared" ref="Y11:Y19" si="4">(($C$4*Z11)+($D$4*AA11)+($E$4*AB11)+($F$4*AC11)+($G$4*AE11))</f>
        <v>0.20745462038717483</v>
      </c>
      <c r="Z11" s="85">
        <f>BG10/$AL$5</f>
        <v>1.8177555958862673E-3</v>
      </c>
      <c r="AA11" s="85">
        <f>BH$10/BH$5</f>
        <v>2.7686025408348459E-2</v>
      </c>
      <c r="AB11" s="85">
        <f>BI$10/BI$5</f>
        <v>0.22392619479733816</v>
      </c>
      <c r="AC11" s="85">
        <f>BJ$10/BJ$5</f>
        <v>0.26067755595886266</v>
      </c>
      <c r="AD11" s="86">
        <f t="shared" ref="AD11:AD19" si="5">($D$4*AA11+$E$4*AB11+$F$4*AC11)/(SUM($D$4:$F$4))</f>
        <v>0.17076325872151643</v>
      </c>
      <c r="AE11" s="85">
        <f>BK10/$AP$5</f>
        <v>0.26104053236539626</v>
      </c>
      <c r="AF11" s="85">
        <f>(($C$5*Z11)+($D$5*AA11)+($E$5*AB11)+($F$5*AC11)+($G$5*AE11))</f>
        <v>0.17352902298850575</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0.65488196411709154</v>
      </c>
      <c r="C12" s="75">
        <f t="shared" si="0"/>
        <v>0.47494207501512403</v>
      </c>
      <c r="D12" s="75">
        <f>AL17/$AL$5</f>
        <v>1.8436176648517846E-3</v>
      </c>
      <c r="E12" s="75">
        <f>AM17/AM$5</f>
        <v>2.7230792498487599E-2</v>
      </c>
      <c r="F12" s="75">
        <f>AN17/AN$5</f>
        <v>0.31037507562008465</v>
      </c>
      <c r="G12" s="75">
        <f>AO17/AO$5</f>
        <v>0.65030248033877802</v>
      </c>
      <c r="H12" s="76">
        <f t="shared" si="1"/>
        <v>0.32930278281911679</v>
      </c>
      <c r="I12" s="75">
        <f>AP17/$AP$5</f>
        <v>0.65332728372655779</v>
      </c>
      <c r="J12" s="75">
        <f t="shared" ref="J12:J18" si="6">(($C$5*D12)+($D$5*E12)+($E$5*F12)+($F$5*G12)+($G$5*I12))</f>
        <v>0.32517377495462796</v>
      </c>
      <c r="K12"/>
      <c r="L12" s="68">
        <v>0.2</v>
      </c>
      <c r="M12" s="69">
        <f>AU13/$AK$5</f>
        <v>0.54699716713881019</v>
      </c>
      <c r="N12" s="69">
        <f t="shared" si="2"/>
        <v>0.41790416666666663</v>
      </c>
      <c r="O12" s="69">
        <f>AV17/$AL$5</f>
        <v>2.6069267997580153E-3</v>
      </c>
      <c r="P12" s="69">
        <f>AW17/AW$5</f>
        <v>3.7276164549304297E-2</v>
      </c>
      <c r="Q12" s="69">
        <f>AX17/AX$5</f>
        <v>0.38151845130066542</v>
      </c>
      <c r="R12" s="69">
        <f>AY17/AY$5</f>
        <v>0.54543254688445253</v>
      </c>
      <c r="S12" s="70">
        <f t="shared" si="3"/>
        <v>0.32140905424480742</v>
      </c>
      <c r="T12" s="69">
        <f>AZ17/$AP$5</f>
        <v>0.54627949183303082</v>
      </c>
      <c r="U12" s="69">
        <f t="shared" ref="U12:U18" si="7">(($C$5*O12)+($D$5*P12)+($E$5*Q12)+($F$5*R12)+($G$5*T12))</f>
        <v>0.32403776467029649</v>
      </c>
      <c r="V12"/>
      <c r="W12" s="84">
        <v>0.2</v>
      </c>
      <c r="X12" s="85">
        <f>BF13/$AK$5</f>
        <v>0.45512747875354109</v>
      </c>
      <c r="Y12" s="85">
        <f t="shared" si="4"/>
        <v>0.36250445402298848</v>
      </c>
      <c r="Z12" s="85">
        <f>BG17/$AL$5</f>
        <v>3.5010586811857229E-3</v>
      </c>
      <c r="AA12" s="85">
        <f>BH17/BH$5</f>
        <v>5.113127646702964E-2</v>
      </c>
      <c r="AB12" s="85">
        <f>BI17/BI$5</f>
        <v>0.39485783424077436</v>
      </c>
      <c r="AC12" s="85">
        <f>BJ17/BJ$5</f>
        <v>0.45426497277676947</v>
      </c>
      <c r="AD12" s="86">
        <f t="shared" si="5"/>
        <v>0.30008469449485786</v>
      </c>
      <c r="AE12" s="85">
        <f>BK17/$AP$5</f>
        <v>0.45458257713248634</v>
      </c>
      <c r="AF12" s="85">
        <f t="shared" ref="AF12:AF18" si="8">(($C$5*Z12)+($D$5*AA12)+($E$5*AB12)+($F$5*AC12)+($G$5*AE12))</f>
        <v>0.30483074712643676</v>
      </c>
      <c r="AG12"/>
      <c r="AH12" s="37"/>
      <c r="AI12" s="56">
        <v>0.2</v>
      </c>
      <c r="AJ12" s="37" t="s">
        <v>0</v>
      </c>
      <c r="AK12" s="57">
        <v>1059000</v>
      </c>
      <c r="AL12" s="57">
        <v>6612</v>
      </c>
      <c r="AM12" s="57">
        <v>6612</v>
      </c>
      <c r="AN12" s="57">
        <v>6612</v>
      </c>
      <c r="AO12" s="57">
        <v>6612</v>
      </c>
      <c r="AP12" s="57">
        <v>6612</v>
      </c>
      <c r="AQ12" s="37"/>
      <c r="AR12" s="37"/>
      <c r="AS12" s="56">
        <v>0.2</v>
      </c>
      <c r="AT12" s="37" t="s">
        <v>0</v>
      </c>
      <c r="AU12" s="57">
        <v>1059000</v>
      </c>
      <c r="AV12" s="57">
        <v>6612</v>
      </c>
      <c r="AW12" s="57">
        <v>6612</v>
      </c>
      <c r="AX12" s="57">
        <v>6612</v>
      </c>
      <c r="AY12" s="57">
        <v>6612</v>
      </c>
      <c r="AZ12" s="57">
        <v>6612</v>
      </c>
      <c r="BA12" s="37"/>
      <c r="BB12" s="37"/>
      <c r="BC12" s="37"/>
      <c r="BD12" s="56">
        <v>0.2</v>
      </c>
      <c r="BE12" s="37" t="s">
        <v>0</v>
      </c>
      <c r="BF12" s="57">
        <v>1059000</v>
      </c>
      <c r="BG12" s="57">
        <v>6612</v>
      </c>
      <c r="BH12" s="57">
        <v>6612</v>
      </c>
      <c r="BI12" s="57">
        <v>6612</v>
      </c>
      <c r="BJ12" s="57">
        <v>6612</v>
      </c>
      <c r="BK12" s="57">
        <v>6612</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0.83693106704438147</v>
      </c>
      <c r="C13" s="75">
        <f t="shared" si="0"/>
        <v>0.61636594071385353</v>
      </c>
      <c r="D13" s="75">
        <f>AL24/$AL$5</f>
        <v>3.474289171203872E-3</v>
      </c>
      <c r="E13" s="75">
        <f>AM24/AM$5</f>
        <v>4.7144585601935879E-2</v>
      </c>
      <c r="F13" s="75">
        <f>AN24/AN$5</f>
        <v>0.44565940713853597</v>
      </c>
      <c r="G13" s="75">
        <f>AO24/AO$5</f>
        <v>0.83197217180883243</v>
      </c>
      <c r="H13" s="76">
        <f t="shared" si="1"/>
        <v>0.44159205484976816</v>
      </c>
      <c r="I13" s="75">
        <f>AP24/$AP$5</f>
        <v>0.83495160314579553</v>
      </c>
      <c r="J13" s="75">
        <f t="shared" si="6"/>
        <v>0.43792970356926803</v>
      </c>
      <c r="K13"/>
      <c r="L13" s="68">
        <v>0.4</v>
      </c>
      <c r="M13" s="69">
        <f>AU20/$AK$5</f>
        <v>0.75025495750708215</v>
      </c>
      <c r="N13" s="69">
        <f t="shared" si="2"/>
        <v>0.57786144131881423</v>
      </c>
      <c r="O13" s="69">
        <f>AV24/$AL$5</f>
        <v>4.3250151240169388E-3</v>
      </c>
      <c r="P13" s="69">
        <f>AW24/AW$5</f>
        <v>5.928614640048397E-2</v>
      </c>
      <c r="Q13" s="69">
        <f>AX24/AX$5</f>
        <v>0.54567453115547493</v>
      </c>
      <c r="R13" s="69">
        <f>AY24/AY$5</f>
        <v>0.74842710223835451</v>
      </c>
      <c r="S13" s="70">
        <f t="shared" si="3"/>
        <v>0.45112925993143782</v>
      </c>
      <c r="T13" s="69">
        <f>AZ24/$AP$5</f>
        <v>0.7492740471869328</v>
      </c>
      <c r="U13" s="69">
        <f t="shared" si="7"/>
        <v>0.45517236842105269</v>
      </c>
      <c r="V13"/>
      <c r="W13" s="84">
        <v>0.4</v>
      </c>
      <c r="X13" s="85">
        <f>BF20/$AK$5</f>
        <v>0.65779981114258734</v>
      </c>
      <c r="Y13" s="85">
        <f t="shared" si="4"/>
        <v>0.52759150786448883</v>
      </c>
      <c r="Z13" s="85">
        <f>BG24/$AL$5</f>
        <v>6.2509074410163346E-3</v>
      </c>
      <c r="AA13" s="85">
        <f>BH24/BH$5</f>
        <v>8.5403811252268605E-2</v>
      </c>
      <c r="AB13" s="85">
        <f>BI24/BI$5</f>
        <v>0.58221415607985483</v>
      </c>
      <c r="AC13" s="85">
        <f>BJ24/BJ$5</f>
        <v>0.65691167574107678</v>
      </c>
      <c r="AD13" s="86">
        <f t="shared" si="5"/>
        <v>0.44150988102440009</v>
      </c>
      <c r="AE13" s="85">
        <f>BK24/$AP$5</f>
        <v>0.65719903206291586</v>
      </c>
      <c r="AF13" s="85">
        <f t="shared" si="8"/>
        <v>0.44769375378100429</v>
      </c>
      <c r="AG13"/>
      <c r="AH13" s="37"/>
      <c r="AI13" s="56"/>
      <c r="AJ13" s="37" t="s">
        <v>1</v>
      </c>
      <c r="AK13" s="57">
        <v>693520</v>
      </c>
      <c r="AL13" s="57">
        <v>4329.8999999999996</v>
      </c>
      <c r="AM13" s="57">
        <v>4329.8999999999996</v>
      </c>
      <c r="AN13" s="57">
        <v>4329.8999999999996</v>
      </c>
      <c r="AO13" s="57">
        <v>4329.8999999999996</v>
      </c>
      <c r="AP13" s="57">
        <v>4329.8999999999996</v>
      </c>
      <c r="AQ13" s="37"/>
      <c r="AR13" s="37"/>
      <c r="AS13" s="56"/>
      <c r="AT13" s="37" t="s">
        <v>1</v>
      </c>
      <c r="AU13" s="57">
        <v>579270</v>
      </c>
      <c r="AV13" s="57">
        <v>3616.4</v>
      </c>
      <c r="AW13" s="57">
        <v>3616.4</v>
      </c>
      <c r="AX13" s="57">
        <v>3616.4</v>
      </c>
      <c r="AY13" s="57">
        <v>3616.4</v>
      </c>
      <c r="AZ13" s="57">
        <v>3616.4</v>
      </c>
      <c r="BA13" s="37"/>
      <c r="BB13" s="37"/>
      <c r="BC13" s="37"/>
      <c r="BD13" s="56"/>
      <c r="BE13" s="37" t="s">
        <v>1</v>
      </c>
      <c r="BF13" s="57">
        <v>481980</v>
      </c>
      <c r="BG13" s="57">
        <v>3009.1</v>
      </c>
      <c r="BH13" s="57">
        <v>3009.1</v>
      </c>
      <c r="BI13" s="57">
        <v>3009.1</v>
      </c>
      <c r="BJ13" s="57">
        <v>3009.1</v>
      </c>
      <c r="BK13" s="57">
        <v>3009.1</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0.91933899905571292</v>
      </c>
      <c r="C14" s="75">
        <f t="shared" si="0"/>
        <v>0.68640838626739265</v>
      </c>
      <c r="D14" s="75">
        <f>AL31/$AL$5</f>
        <v>5.0733514821536601E-3</v>
      </c>
      <c r="E14" s="75">
        <f>AM31/AM$5</f>
        <v>6.5214761040532365E-2</v>
      </c>
      <c r="F14" s="75">
        <f>AN31/AN$5</f>
        <v>0.53803690260133097</v>
      </c>
      <c r="G14" s="75">
        <f>AO31/AO$5</f>
        <v>0.9143980641258318</v>
      </c>
      <c r="H14" s="76">
        <f t="shared" si="1"/>
        <v>0.50588324258923179</v>
      </c>
      <c r="I14" s="75">
        <f>AP31/$AP$5</f>
        <v>0.91701451905626141</v>
      </c>
      <c r="J14" s="75">
        <f t="shared" si="6"/>
        <v>0.50334611312764677</v>
      </c>
      <c r="K14"/>
      <c r="L14" s="68">
        <v>0.6</v>
      </c>
      <c r="M14" s="69">
        <f>AU27/$AK$5</f>
        <v>0.86233238904627008</v>
      </c>
      <c r="N14" s="69">
        <f t="shared" si="2"/>
        <v>0.66998535238959467</v>
      </c>
      <c r="O14" s="69">
        <f>AV31/$AL$5</f>
        <v>6.3933756805807625E-3</v>
      </c>
      <c r="P14" s="69">
        <f>AW31/AW$5</f>
        <v>8.1870840895341815E-2</v>
      </c>
      <c r="Q14" s="69">
        <f>AX31/AX$5</f>
        <v>0.65120992135511191</v>
      </c>
      <c r="R14" s="69">
        <f>AY31/AY$5</f>
        <v>0.86046581972171798</v>
      </c>
      <c r="S14" s="70">
        <f t="shared" si="3"/>
        <v>0.53118219399072397</v>
      </c>
      <c r="T14" s="69">
        <f>AZ31/$AP$5</f>
        <v>0.86126739261947971</v>
      </c>
      <c r="U14" s="69">
        <f t="shared" si="7"/>
        <v>0.53571737749546278</v>
      </c>
      <c r="V14"/>
      <c r="W14" s="84">
        <v>0.6</v>
      </c>
      <c r="X14" s="85">
        <f>BF27/$AK$5</f>
        <v>0.78526912181303121</v>
      </c>
      <c r="Y14" s="85">
        <f t="shared" si="4"/>
        <v>0.63304811705989117</v>
      </c>
      <c r="Z14" s="85">
        <f>BG31/$AL$5</f>
        <v>8.8389292196007253E-3</v>
      </c>
      <c r="AA14" s="85">
        <f>BH31/BH$5</f>
        <v>0.11427404718693286</v>
      </c>
      <c r="AB14" s="85">
        <f>BI31/BI$5</f>
        <v>0.70335753176043558</v>
      </c>
      <c r="AC14" s="85">
        <f>BJ31/BJ$5</f>
        <v>0.7843466424682396</v>
      </c>
      <c r="AD14" s="86">
        <f t="shared" si="5"/>
        <v>0.5339927404718694</v>
      </c>
      <c r="AE14" s="85">
        <f>BK31/$AP$5</f>
        <v>0.78461887477313974</v>
      </c>
      <c r="AF14" s="85">
        <f t="shared" si="8"/>
        <v>0.54041293103448274</v>
      </c>
      <c r="AG14"/>
      <c r="AH14" s="37"/>
      <c r="AI14" s="56"/>
      <c r="AJ14" s="37" t="s">
        <v>2</v>
      </c>
      <c r="AK14" s="57">
        <v>365530</v>
      </c>
      <c r="AL14" s="57">
        <v>2282.1</v>
      </c>
      <c r="AM14" s="57">
        <v>2282.1</v>
      </c>
      <c r="AN14" s="57">
        <v>2282.1</v>
      </c>
      <c r="AO14" s="57">
        <v>2282.1</v>
      </c>
      <c r="AP14" s="57">
        <v>2282.1</v>
      </c>
      <c r="AQ14" s="37"/>
      <c r="AR14" s="37"/>
      <c r="AS14" s="56"/>
      <c r="AT14" s="37" t="s">
        <v>2</v>
      </c>
      <c r="AU14" s="57">
        <v>479780</v>
      </c>
      <c r="AV14" s="57">
        <v>2995.4</v>
      </c>
      <c r="AW14" s="57">
        <v>2995.4</v>
      </c>
      <c r="AX14" s="57">
        <v>2995.4</v>
      </c>
      <c r="AY14" s="57">
        <v>2995.4</v>
      </c>
      <c r="AZ14" s="57">
        <v>2995.4</v>
      </c>
      <c r="BA14" s="37"/>
      <c r="BB14" s="37"/>
      <c r="BC14" s="37"/>
      <c r="BD14" s="56"/>
      <c r="BE14" s="37" t="s">
        <v>2</v>
      </c>
      <c r="BF14" s="57">
        <v>577110</v>
      </c>
      <c r="BG14" s="57">
        <v>3603.1</v>
      </c>
      <c r="BH14" s="57">
        <v>3603.1</v>
      </c>
      <c r="BI14" s="57">
        <v>3603.1</v>
      </c>
      <c r="BJ14" s="57">
        <v>3603.1</v>
      </c>
      <c r="BK14" s="57">
        <v>3603.1</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0.96383380547686492</v>
      </c>
      <c r="C15" s="75">
        <f t="shared" si="0"/>
        <v>0.72697590744101626</v>
      </c>
      <c r="D15" s="75">
        <f>AL38/$AL$5</f>
        <v>6.6188747731397461E-3</v>
      </c>
      <c r="E15" s="75">
        <f>AM38/AM$5</f>
        <v>8.1308227465214766E-2</v>
      </c>
      <c r="F15" s="75">
        <f>AN38/AN$5</f>
        <v>0.60013611615245011</v>
      </c>
      <c r="G15" s="75">
        <f>AO38/AO$5</f>
        <v>0.95883242589231699</v>
      </c>
      <c r="H15" s="76">
        <f t="shared" si="1"/>
        <v>0.54675892316999397</v>
      </c>
      <c r="I15" s="75">
        <f>AP38/$AP$5</f>
        <v>0.96120689655172409</v>
      </c>
      <c r="J15" s="75">
        <f t="shared" si="6"/>
        <v>0.54486515426497284</v>
      </c>
      <c r="K15"/>
      <c r="L15" s="68">
        <v>0.8</v>
      </c>
      <c r="M15" s="69">
        <f>AU34/$AK$5</f>
        <v>0.9210859301227573</v>
      </c>
      <c r="N15" s="69">
        <f t="shared" si="2"/>
        <v>0.72265052177858435</v>
      </c>
      <c r="O15" s="69">
        <f>AV38/$AL$5</f>
        <v>8.3885359951603143E-3</v>
      </c>
      <c r="P15" s="69">
        <f>AW38/AW$5</f>
        <v>0.10226557773744706</v>
      </c>
      <c r="Q15" s="69">
        <f>AX38/AX$5</f>
        <v>0.72661826981246214</v>
      </c>
      <c r="R15" s="69">
        <f>AY38/AY$5</f>
        <v>0.91949485783424079</v>
      </c>
      <c r="S15" s="70">
        <f t="shared" si="3"/>
        <v>0.58279290179471677</v>
      </c>
      <c r="T15" s="69">
        <f>AZ38/$AP$5</f>
        <v>0.91994857834240773</v>
      </c>
      <c r="U15" s="69">
        <f t="shared" si="7"/>
        <v>0.58783310647307929</v>
      </c>
      <c r="V15"/>
      <c r="W15" s="84">
        <v>0.8</v>
      </c>
      <c r="X15" s="85">
        <f>BF34/$AK$5</f>
        <v>0.86459867799811141</v>
      </c>
      <c r="Y15" s="85">
        <f t="shared" si="4"/>
        <v>0.70003878554143983</v>
      </c>
      <c r="Z15" s="85">
        <f>BG38/$AL$5</f>
        <v>1.121581972171809E-2</v>
      </c>
      <c r="AA15" s="85">
        <f>BH38/BH$5</f>
        <v>0.13826225045372051</v>
      </c>
      <c r="AB15" s="85">
        <f>BI38/BI$5</f>
        <v>0.78166969147005438</v>
      </c>
      <c r="AC15" s="85">
        <f>BJ38/BJ$5</f>
        <v>0.86364186327888681</v>
      </c>
      <c r="AD15" s="86">
        <f t="shared" si="5"/>
        <v>0.5945246017342205</v>
      </c>
      <c r="AE15" s="85">
        <f>BK38/$AP$5</f>
        <v>0.86388384754990921</v>
      </c>
      <c r="AF15" s="85">
        <f t="shared" si="8"/>
        <v>0.60055866606170594</v>
      </c>
      <c r="AG15"/>
      <c r="AH15" s="37"/>
      <c r="AI15" s="56"/>
      <c r="AJ15" s="37" t="s">
        <v>3</v>
      </c>
      <c r="AK15" s="57">
        <v>693420</v>
      </c>
      <c r="AL15" s="57">
        <v>4317</v>
      </c>
      <c r="AM15" s="57">
        <v>4149.1000000000004</v>
      </c>
      <c r="AN15" s="57">
        <v>2277</v>
      </c>
      <c r="AO15" s="57">
        <v>29.436</v>
      </c>
      <c r="AP15" s="57">
        <v>9.4288000000000007</v>
      </c>
      <c r="AQ15" s="37"/>
      <c r="AR15" s="37"/>
      <c r="AS15" s="56"/>
      <c r="AT15" s="37" t="s">
        <v>3</v>
      </c>
      <c r="AU15" s="57">
        <v>579000</v>
      </c>
      <c r="AV15" s="57">
        <v>3597.8</v>
      </c>
      <c r="AW15" s="57">
        <v>3368.4</v>
      </c>
      <c r="AX15" s="57">
        <v>1092.3</v>
      </c>
      <c r="AY15" s="57">
        <v>8.4888999999999992</v>
      </c>
      <c r="AZ15" s="57">
        <v>2.9485999999999999</v>
      </c>
      <c r="BA15" s="37"/>
      <c r="BB15" s="37"/>
      <c r="BC15" s="37"/>
      <c r="BD15" s="56"/>
      <c r="BE15" s="37" t="s">
        <v>3</v>
      </c>
      <c r="BF15" s="57">
        <v>481610</v>
      </c>
      <c r="BG15" s="57">
        <v>2983.7</v>
      </c>
      <c r="BH15" s="57">
        <v>2668.6</v>
      </c>
      <c r="BI15" s="57">
        <v>396.12</v>
      </c>
      <c r="BJ15" s="57">
        <v>3.3565999999999998</v>
      </c>
      <c r="BK15" s="57">
        <v>1.2279</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0.98234183191690272</v>
      </c>
      <c r="C16" s="75">
        <f t="shared" si="0"/>
        <v>0.74792475801572889</v>
      </c>
      <c r="D16" s="75">
        <f>AL45/$AL$5</f>
        <v>8.1382335148215378E-3</v>
      </c>
      <c r="E16" s="75">
        <f>AM45/AM$5</f>
        <v>9.6191772534785239E-2</v>
      </c>
      <c r="F16" s="75">
        <f>AN45/AN$5</f>
        <v>0.64444948578342409</v>
      </c>
      <c r="G16" s="75">
        <f>AO45/AO$5</f>
        <v>0.97743496672716279</v>
      </c>
      <c r="H16" s="76">
        <f t="shared" si="1"/>
        <v>0.57269207501512409</v>
      </c>
      <c r="I16" s="75">
        <f>AP45/$AP$5</f>
        <v>0.97961282516636417</v>
      </c>
      <c r="J16" s="75">
        <f t="shared" si="6"/>
        <v>0.57128024803387789</v>
      </c>
      <c r="K16"/>
      <c r="L16" s="68">
        <v>1</v>
      </c>
      <c r="M16" s="69">
        <f>AU41/$AK$5</f>
        <v>0.95457979225684608</v>
      </c>
      <c r="N16" s="69">
        <f t="shared" si="2"/>
        <v>0.75157621748336356</v>
      </c>
      <c r="O16" s="69">
        <f>AV45/$AL$5</f>
        <v>9.8591954022988499E-3</v>
      </c>
      <c r="P16" s="69">
        <f>AW45/AW$5</f>
        <v>0.11656836055656382</v>
      </c>
      <c r="Q16" s="69">
        <f>AX45/AX$5</f>
        <v>0.76004234724742881</v>
      </c>
      <c r="R16" s="69">
        <f>AY45/AY$5</f>
        <v>0.9527525710828797</v>
      </c>
      <c r="S16" s="70">
        <f t="shared" si="3"/>
        <v>0.60978775962895748</v>
      </c>
      <c r="T16" s="69">
        <f>AZ45/$AP$5</f>
        <v>0.95335753176043558</v>
      </c>
      <c r="U16" s="69">
        <f t="shared" si="7"/>
        <v>0.6142027979431337</v>
      </c>
      <c r="V16"/>
      <c r="W16" s="84">
        <v>1</v>
      </c>
      <c r="X16" s="85">
        <f>BF41/$AK$5</f>
        <v>0.91096317280453254</v>
      </c>
      <c r="Y16" s="85">
        <f t="shared" si="4"/>
        <v>0.74062520417422872</v>
      </c>
      <c r="Z16" s="85">
        <f>BG45/$AL$5</f>
        <v>1.3411524500907442E-2</v>
      </c>
      <c r="AA16" s="85">
        <f>BH45/BH$5</f>
        <v>0.15860556563823353</v>
      </c>
      <c r="AB16" s="85">
        <f>BI45/BI$5</f>
        <v>0.83038415003024801</v>
      </c>
      <c r="AC16" s="85">
        <f>BJ45/BJ$5</f>
        <v>0.91001209921355108</v>
      </c>
      <c r="AD16" s="86">
        <f t="shared" si="5"/>
        <v>0.63300060496067756</v>
      </c>
      <c r="AE16" s="85">
        <f>BK45/$AP$5</f>
        <v>0.91020871143375681</v>
      </c>
      <c r="AF16" s="85">
        <f t="shared" si="8"/>
        <v>0.63823921657592253</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0.99329556185080259</v>
      </c>
      <c r="C17" s="75">
        <f t="shared" si="0"/>
        <v>0.76264028281911678</v>
      </c>
      <c r="D17" s="75">
        <f>AL52/$AL$5</f>
        <v>9.6235632183908053E-3</v>
      </c>
      <c r="E17" s="75">
        <f>AM52/AM$5</f>
        <v>0.11027525710828796</v>
      </c>
      <c r="F17" s="75">
        <f>AN52/AN$5</f>
        <v>0.68085299455535397</v>
      </c>
      <c r="G17" s="75">
        <f>AO52/AO$5</f>
        <v>0.98846037507562001</v>
      </c>
      <c r="H17" s="76">
        <f t="shared" si="1"/>
        <v>0.59319620891308733</v>
      </c>
      <c r="I17" s="75">
        <f>AP52/$AP$5</f>
        <v>0.99044162129461588</v>
      </c>
      <c r="J17" s="75">
        <f t="shared" si="6"/>
        <v>0.59209484271022395</v>
      </c>
      <c r="K17"/>
      <c r="L17" s="68">
        <v>1.2</v>
      </c>
      <c r="M17" s="69">
        <f>AU48/$AK$5</f>
        <v>0.97620396600566572</v>
      </c>
      <c r="N17" s="69">
        <f t="shared" si="2"/>
        <v>0.77313901996370238</v>
      </c>
      <c r="O17" s="69">
        <f>AV52/$AL$5</f>
        <v>1.1732304900181487E-2</v>
      </c>
      <c r="P17" s="69">
        <f>AW52/AW$5</f>
        <v>0.13315335753176044</v>
      </c>
      <c r="Q17" s="69">
        <f>AX52/AX$5</f>
        <v>0.79311857229280103</v>
      </c>
      <c r="R17" s="69">
        <f>AY52/AY$5</f>
        <v>0.97437991530550516</v>
      </c>
      <c r="S17" s="70">
        <f t="shared" si="3"/>
        <v>0.63355061504335553</v>
      </c>
      <c r="T17" s="69">
        <f>AZ52/$AP$5</f>
        <v>0.97490925589836663</v>
      </c>
      <c r="U17" s="69">
        <f t="shared" si="7"/>
        <v>0.63741823956442833</v>
      </c>
      <c r="V17"/>
      <c r="W17" s="84">
        <v>1.2</v>
      </c>
      <c r="X17" s="85">
        <f>BF48/$AK$5</f>
        <v>0.94310670443814915</v>
      </c>
      <c r="Y17" s="85">
        <f t="shared" si="4"/>
        <v>0.76962386569872954</v>
      </c>
      <c r="Z17" s="85">
        <f>BG52/$AL$5</f>
        <v>1.557168784029038E-2</v>
      </c>
      <c r="AA17" s="85">
        <f>BH52/BH$5</f>
        <v>0.17720810647307925</v>
      </c>
      <c r="AB17" s="85">
        <f>BI52/BI$5</f>
        <v>0.8651542649727767</v>
      </c>
      <c r="AC17" s="85">
        <f>BJ52/BJ$5</f>
        <v>0.94216575922565038</v>
      </c>
      <c r="AD17" s="86">
        <f t="shared" si="5"/>
        <v>0.66150937689050215</v>
      </c>
      <c r="AE17" s="85">
        <f>BK52/$AP$5</f>
        <v>0.94233212341197814</v>
      </c>
      <c r="AF17" s="85">
        <f t="shared" si="8"/>
        <v>0.66572686025408345</v>
      </c>
      <c r="AG17"/>
      <c r="AH17" s="37"/>
      <c r="AI17" s="56"/>
      <c r="AJ17" s="37" t="s">
        <v>5</v>
      </c>
      <c r="AK17" s="57">
        <v>0</v>
      </c>
      <c r="AL17" s="57">
        <v>12.19</v>
      </c>
      <c r="AM17" s="57">
        <v>180.05</v>
      </c>
      <c r="AN17" s="57">
        <v>2052.1999999999998</v>
      </c>
      <c r="AO17" s="57">
        <v>4299.8</v>
      </c>
      <c r="AP17" s="57">
        <v>4319.8</v>
      </c>
      <c r="AQ17" s="37"/>
      <c r="AR17" s="37"/>
      <c r="AS17" s="56"/>
      <c r="AT17" s="37" t="s">
        <v>5</v>
      </c>
      <c r="AU17" s="57">
        <v>0</v>
      </c>
      <c r="AV17" s="57">
        <v>17.236999999999998</v>
      </c>
      <c r="AW17" s="57">
        <v>246.47</v>
      </c>
      <c r="AX17" s="57">
        <v>2522.6</v>
      </c>
      <c r="AY17" s="57">
        <v>3606.4</v>
      </c>
      <c r="AZ17" s="57">
        <v>3612</v>
      </c>
      <c r="BA17" s="37"/>
      <c r="BB17" s="37"/>
      <c r="BC17" s="37"/>
      <c r="BD17" s="56"/>
      <c r="BE17" s="37" t="s">
        <v>5</v>
      </c>
      <c r="BF17" s="57">
        <v>0</v>
      </c>
      <c r="BG17" s="57">
        <v>23.149000000000001</v>
      </c>
      <c r="BH17" s="57">
        <v>338.08</v>
      </c>
      <c r="BI17" s="57">
        <v>2610.8000000000002</v>
      </c>
      <c r="BJ17" s="57">
        <v>3003.6</v>
      </c>
      <c r="BK17" s="57">
        <v>3005.7</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0.7784560496067755</v>
      </c>
      <c r="D18" s="75">
        <f>AL59/$AL$5</f>
        <v>1.2467937084089534E-2</v>
      </c>
      <c r="E18" s="75">
        <f>AM59/AM$5</f>
        <v>0.13565184513006653</v>
      </c>
      <c r="F18" s="75">
        <f>AN59/AN$5</f>
        <v>0.73150332728372658</v>
      </c>
      <c r="G18" s="75">
        <f>AO59/AO$5</f>
        <v>0.99529643073200236</v>
      </c>
      <c r="H18" s="76">
        <f t="shared" si="1"/>
        <v>0.6208172010485985</v>
      </c>
      <c r="I18" s="75">
        <f>AP59/$AP$5</f>
        <v>0.99692982456140344</v>
      </c>
      <c r="J18" s="75">
        <f t="shared" si="6"/>
        <v>0.61973076225045376</v>
      </c>
      <c r="K18"/>
      <c r="L18" s="68">
        <v>1.6</v>
      </c>
      <c r="M18" s="69">
        <f>AU55/$AK$5</f>
        <v>0.99310670443814919</v>
      </c>
      <c r="N18" s="69">
        <f t="shared" si="2"/>
        <v>0.79454843466424685</v>
      </c>
      <c r="O18" s="69">
        <f>AV59/$AL$5</f>
        <v>1.4970508166969147E-2</v>
      </c>
      <c r="P18" s="69">
        <f>AW59/AW$5</f>
        <v>0.16045069570477921</v>
      </c>
      <c r="Q18" s="69">
        <f>AX59/AX$5</f>
        <v>0.83443738656987299</v>
      </c>
      <c r="R18" s="69">
        <f>AY59/AY$5</f>
        <v>0.9913036902601331</v>
      </c>
      <c r="S18" s="70">
        <f t="shared" si="3"/>
        <v>0.66206392417826176</v>
      </c>
      <c r="T18" s="69">
        <f>AZ59/$AP$5</f>
        <v>0.99174228675136111</v>
      </c>
      <c r="U18" s="69">
        <f t="shared" si="7"/>
        <v>0.66479711131276475</v>
      </c>
      <c r="V18"/>
      <c r="W18" s="84">
        <v>1.6</v>
      </c>
      <c r="X18" s="85">
        <f>BF55/$AK$5</f>
        <v>0.97837582625118036</v>
      </c>
      <c r="Y18" s="85">
        <f t="shared" si="4"/>
        <v>0.80422807017543863</v>
      </c>
      <c r="Z18" s="85">
        <f>BG59/$AL$5</f>
        <v>2.004234724742892E-2</v>
      </c>
      <c r="AA18" s="85">
        <f>BH59/BH$5</f>
        <v>0.21153962492437992</v>
      </c>
      <c r="AB18" s="85">
        <f>BI59/BI$5</f>
        <v>0.90722928009679371</v>
      </c>
      <c r="AC18" s="85">
        <f>BJ59/BJ$5</f>
        <v>0.97745009074410161</v>
      </c>
      <c r="AD18" s="86">
        <f t="shared" si="5"/>
        <v>0.69873966525509179</v>
      </c>
      <c r="AE18" s="85">
        <f>BK59/$AP$5</f>
        <v>0.97758620689655173</v>
      </c>
      <c r="AF18" s="85">
        <f t="shared" si="8"/>
        <v>0.70045251058681202</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0.31918456215970958</v>
      </c>
      <c r="CH18" s="62">
        <f t="shared" ref="CH18:CH26" si="10">N11</f>
        <v>0.26025049984875981</v>
      </c>
      <c r="CI18" s="62">
        <f t="shared" ref="CI18:CI26" si="11">Y11</f>
        <v>0.20745462038717483</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0.78761910163339377</v>
      </c>
      <c r="D19" s="75">
        <f>AL66/$AL$5</f>
        <v>1.5328191167574107E-2</v>
      </c>
      <c r="E19" s="75">
        <f>AM66/AM$5</f>
        <v>0.15942226255293404</v>
      </c>
      <c r="F19" s="75">
        <f>AN66/AN$5</f>
        <v>0.76787658802177861</v>
      </c>
      <c r="G19" s="75">
        <f>AO66/AO$5</f>
        <v>0.99553841500302476</v>
      </c>
      <c r="H19" s="76">
        <f t="shared" si="1"/>
        <v>0.64094575519257924</v>
      </c>
      <c r="I19" s="75">
        <f>AP66/$AP$5</f>
        <v>0.99685420447670903</v>
      </c>
      <c r="J19" s="75">
        <f>(($C$5*D19)+($D$5*E19)+($E$5*F19)+($F$5*G19)+($G$5*I19))</f>
        <v>0.63936101028433157</v>
      </c>
      <c r="K19"/>
      <c r="L19" s="68">
        <v>2</v>
      </c>
      <c r="M19" s="69">
        <f>AU62/$AK$5</f>
        <v>0.99896128423040609</v>
      </c>
      <c r="N19" s="69">
        <f t="shared" si="2"/>
        <v>0.80701104053236539</v>
      </c>
      <c r="O19" s="69">
        <f>AV66/$AL$5</f>
        <v>1.8472474289171203E-2</v>
      </c>
      <c r="P19" s="69">
        <f>AW66/AW$5</f>
        <v>0.18794615849969754</v>
      </c>
      <c r="Q19" s="69">
        <f>AX66/AX$5</f>
        <v>0.86314277071990331</v>
      </c>
      <c r="R19" s="69">
        <f>AY66/AY$5</f>
        <v>0.99730792498487597</v>
      </c>
      <c r="S19" s="70">
        <f t="shared" si="3"/>
        <v>0.68279895140149238</v>
      </c>
      <c r="T19" s="69">
        <f>AZ66/$AP$5</f>
        <v>0.99765577737447064</v>
      </c>
      <c r="U19" s="69">
        <f>(($C$5*O19)+($D$5*P19)+($E$5*Q19)+($F$5*R19)+($G$5*T19))</f>
        <v>0.68392075015124032</v>
      </c>
      <c r="V19"/>
      <c r="W19" s="84">
        <v>2</v>
      </c>
      <c r="X19" s="85">
        <f>BF62/$AK$5</f>
        <v>0.99036827195467425</v>
      </c>
      <c r="Y19" s="85">
        <f t="shared" si="4"/>
        <v>0.81887454627949174</v>
      </c>
      <c r="Z19" s="85">
        <f>BG66/$AL$5</f>
        <v>2.3271324863883849E-2</v>
      </c>
      <c r="AA19" s="85">
        <f>BH66/BH$5</f>
        <v>0.23554143980641259</v>
      </c>
      <c r="AB19" s="85">
        <f>BI66/BI$5</f>
        <v>0.92825166364186329</v>
      </c>
      <c r="AC19" s="85">
        <f>BJ66/BJ$5</f>
        <v>0.98936781609195401</v>
      </c>
      <c r="AD19" s="86">
        <f t="shared" si="5"/>
        <v>0.71772030651341001</v>
      </c>
      <c r="AE19" s="85">
        <f>BK66/$AP$5</f>
        <v>0.98947368421052628</v>
      </c>
      <c r="AF19" s="85">
        <f>(($C$5*Z19)+($D$5*AA19)+($E$5*AB19)+($F$5*AC19)+($G$5*AE19))</f>
        <v>0.7175570175438597</v>
      </c>
      <c r="AG19"/>
      <c r="AH19" s="37"/>
      <c r="AI19" s="56">
        <v>0.4</v>
      </c>
      <c r="AJ19" s="37" t="s">
        <v>0</v>
      </c>
      <c r="AK19" s="57">
        <v>1059000</v>
      </c>
      <c r="AL19" s="57">
        <v>6612</v>
      </c>
      <c r="AM19" s="57">
        <v>6612</v>
      </c>
      <c r="AN19" s="57">
        <v>6612</v>
      </c>
      <c r="AO19" s="57">
        <v>6612</v>
      </c>
      <c r="AP19" s="57">
        <v>6612</v>
      </c>
      <c r="AQ19" s="37"/>
      <c r="AR19" s="37"/>
      <c r="AS19" s="56">
        <v>0.4</v>
      </c>
      <c r="AT19" s="37" t="s">
        <v>0</v>
      </c>
      <c r="AU19" s="57">
        <v>1059000</v>
      </c>
      <c r="AV19" s="57">
        <v>6612</v>
      </c>
      <c r="AW19" s="57">
        <v>6612</v>
      </c>
      <c r="AX19" s="57">
        <v>6612</v>
      </c>
      <c r="AY19" s="57">
        <v>6612</v>
      </c>
      <c r="AZ19" s="57">
        <v>6612</v>
      </c>
      <c r="BA19" s="37"/>
      <c r="BB19" s="37"/>
      <c r="BC19" s="37"/>
      <c r="BD19" s="56">
        <v>0.4</v>
      </c>
      <c r="BE19" s="37" t="s">
        <v>0</v>
      </c>
      <c r="BF19" s="57">
        <v>1059000</v>
      </c>
      <c r="BG19" s="57">
        <v>6612</v>
      </c>
      <c r="BH19" s="57">
        <v>6612</v>
      </c>
      <c r="BI19" s="57">
        <v>6612</v>
      </c>
      <c r="BJ19" s="57">
        <v>6612</v>
      </c>
      <c r="BK19" s="57">
        <v>6612</v>
      </c>
      <c r="BL19" s="37"/>
      <c r="BM19" s="37"/>
      <c r="BN19" s="37"/>
      <c r="BO19" s="37"/>
      <c r="BY19" s="37"/>
      <c r="BZ19" s="37"/>
      <c r="CA19" s="37"/>
      <c r="CB19" s="37"/>
      <c r="CC19" s="61">
        <v>0.2</v>
      </c>
      <c r="CD19" s="62">
        <v>0.77280172734718189</v>
      </c>
      <c r="CE19" s="62">
        <v>0.62134241679696223</v>
      </c>
      <c r="CF19" s="62">
        <v>0.48760330578512395</v>
      </c>
      <c r="CG19" s="62">
        <f t="shared" si="9"/>
        <v>0.47494207501512403</v>
      </c>
      <c r="CH19" s="62">
        <f t="shared" si="10"/>
        <v>0.41790416666666663</v>
      </c>
      <c r="CI19" s="62">
        <f t="shared" si="11"/>
        <v>0.36250445402298848</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886310</v>
      </c>
      <c r="AL20" s="57">
        <v>5533.6</v>
      </c>
      <c r="AM20" s="57">
        <v>5533.6</v>
      </c>
      <c r="AN20" s="57">
        <v>5533.6</v>
      </c>
      <c r="AO20" s="57">
        <v>5533.6</v>
      </c>
      <c r="AP20" s="57">
        <v>5533.6</v>
      </c>
      <c r="AQ20" s="37"/>
      <c r="AR20" s="37"/>
      <c r="AS20" s="56"/>
      <c r="AT20" s="37" t="s">
        <v>1</v>
      </c>
      <c r="AU20" s="57">
        <v>794520</v>
      </c>
      <c r="AV20" s="57">
        <v>4960.3999999999996</v>
      </c>
      <c r="AW20" s="57">
        <v>4960.3999999999996</v>
      </c>
      <c r="AX20" s="57">
        <v>4960.3999999999996</v>
      </c>
      <c r="AY20" s="57">
        <v>4960.3999999999996</v>
      </c>
      <c r="AZ20" s="57">
        <v>4960.3999999999996</v>
      </c>
      <c r="BA20" s="37"/>
      <c r="BB20" s="37"/>
      <c r="BC20" s="37"/>
      <c r="BD20" s="56"/>
      <c r="BE20" s="37" t="s">
        <v>1</v>
      </c>
      <c r="BF20" s="57">
        <v>696610</v>
      </c>
      <c r="BG20" s="57">
        <v>4349.3999999999996</v>
      </c>
      <c r="BH20" s="57">
        <v>4349.3999999999996</v>
      </c>
      <c r="BI20" s="57">
        <v>4349.3999999999996</v>
      </c>
      <c r="BJ20" s="57">
        <v>4349.3999999999996</v>
      </c>
      <c r="BK20" s="57">
        <v>4349.3999999999996</v>
      </c>
      <c r="BL20" s="37"/>
      <c r="BM20" s="37"/>
      <c r="BN20" s="37"/>
      <c r="BO20" s="37"/>
      <c r="BY20" s="37"/>
      <c r="BZ20" s="37"/>
      <c r="CA20" s="37"/>
      <c r="CB20" s="37"/>
      <c r="CC20" s="61">
        <v>0.4</v>
      </c>
      <c r="CD20" s="62">
        <v>0.93740227831136924</v>
      </c>
      <c r="CE20" s="62">
        <v>0.83551113096567642</v>
      </c>
      <c r="CF20" s="62">
        <v>0.7119350755714392</v>
      </c>
      <c r="CG20" s="62">
        <f t="shared" si="9"/>
        <v>0.61636594071385353</v>
      </c>
      <c r="CH20" s="62">
        <f t="shared" si="10"/>
        <v>0.57786144131881423</v>
      </c>
      <c r="CI20" s="62">
        <f t="shared" si="11"/>
        <v>0.52759150786448883</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172740</v>
      </c>
      <c r="AL21" s="57">
        <v>1078.4000000000001</v>
      </c>
      <c r="AM21" s="57">
        <v>1078.4000000000001</v>
      </c>
      <c r="AN21" s="57">
        <v>1078.4000000000001</v>
      </c>
      <c r="AO21" s="57">
        <v>1078.4000000000001</v>
      </c>
      <c r="AP21" s="57">
        <v>1078.4000000000001</v>
      </c>
      <c r="AQ21" s="57"/>
      <c r="AR21" s="37"/>
      <c r="AS21" s="56"/>
      <c r="AT21" s="37" t="s">
        <v>2</v>
      </c>
      <c r="AU21" s="57">
        <v>264530</v>
      </c>
      <c r="AV21" s="57">
        <v>1651.6</v>
      </c>
      <c r="AW21" s="57">
        <v>1651.6</v>
      </c>
      <c r="AX21" s="57">
        <v>1651.6</v>
      </c>
      <c r="AY21" s="57">
        <v>1651.6</v>
      </c>
      <c r="AZ21" s="57">
        <v>1651.6</v>
      </c>
      <c r="BA21" s="57"/>
      <c r="BB21" s="37"/>
      <c r="BC21" s="37"/>
      <c r="BD21" s="56"/>
      <c r="BE21" s="37" t="s">
        <v>2</v>
      </c>
      <c r="BF21" s="57">
        <v>362420</v>
      </c>
      <c r="BG21" s="57">
        <v>2262.6999999999998</v>
      </c>
      <c r="BH21" s="57">
        <v>2262.6999999999998</v>
      </c>
      <c r="BI21" s="57">
        <v>2262.6999999999998</v>
      </c>
      <c r="BJ21" s="57">
        <v>2262.6999999999998</v>
      </c>
      <c r="BK21" s="57">
        <v>2262.6999999999998</v>
      </c>
      <c r="BL21" s="57"/>
      <c r="BM21" s="57"/>
      <c r="BN21" s="57"/>
      <c r="BO21" s="37"/>
      <c r="BY21" s="37"/>
      <c r="BZ21" s="37"/>
      <c r="CA21" s="37"/>
      <c r="CB21" s="37"/>
      <c r="CC21" s="61">
        <v>0.6</v>
      </c>
      <c r="CD21" s="62">
        <v>0.98157248157248156</v>
      </c>
      <c r="CE21" s="62">
        <v>0.93494527585436671</v>
      </c>
      <c r="CF21" s="62">
        <v>0.84556250465341376</v>
      </c>
      <c r="CG21" s="62">
        <f t="shared" si="9"/>
        <v>0.68640838626739265</v>
      </c>
      <c r="CH21" s="62">
        <f t="shared" si="10"/>
        <v>0.66998535238959467</v>
      </c>
      <c r="CI21" s="62">
        <f t="shared" si="11"/>
        <v>0.63304811705989117</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886200</v>
      </c>
      <c r="AL22" s="57">
        <v>5509.8</v>
      </c>
      <c r="AM22" s="57">
        <v>5221</v>
      </c>
      <c r="AN22" s="57">
        <v>2586.1</v>
      </c>
      <c r="AO22" s="57">
        <v>31.759</v>
      </c>
      <c r="AP22" s="57">
        <v>12.077</v>
      </c>
      <c r="AQ22" s="37"/>
      <c r="AR22" s="37"/>
      <c r="AS22" s="56"/>
      <c r="AT22" s="37" t="s">
        <v>3</v>
      </c>
      <c r="AU22" s="57">
        <v>794350</v>
      </c>
      <c r="AV22" s="57">
        <v>4930.7</v>
      </c>
      <c r="AW22" s="57">
        <v>4567.1000000000004</v>
      </c>
      <c r="AX22" s="57">
        <v>1351.3</v>
      </c>
      <c r="AY22" s="57">
        <v>10.718999999999999</v>
      </c>
      <c r="AZ22" s="57">
        <v>5.0715000000000003</v>
      </c>
      <c r="BA22" s="37"/>
      <c r="BB22" s="37"/>
      <c r="BC22" s="37"/>
      <c r="BD22" s="56"/>
      <c r="BE22" s="37" t="s">
        <v>3</v>
      </c>
      <c r="BF22" s="57">
        <v>696280</v>
      </c>
      <c r="BG22" s="57">
        <v>4305.8</v>
      </c>
      <c r="BH22" s="57">
        <v>3782.2</v>
      </c>
      <c r="BI22" s="57">
        <v>497.56</v>
      </c>
      <c r="BJ22" s="57">
        <v>3.5204</v>
      </c>
      <c r="BK22" s="57">
        <v>1.6712</v>
      </c>
      <c r="BL22" s="37"/>
      <c r="BM22" s="37"/>
      <c r="BN22" s="37"/>
      <c r="BO22" s="37"/>
      <c r="BY22" s="37"/>
      <c r="BZ22" s="37"/>
      <c r="CA22" s="37"/>
      <c r="CB22" s="37"/>
      <c r="CC22" s="61">
        <v>0.8</v>
      </c>
      <c r="CD22" s="62">
        <v>0.99348522075794798</v>
      </c>
      <c r="CE22" s="62">
        <v>0.97371751917206462</v>
      </c>
      <c r="CF22" s="62">
        <v>0.92195294468021738</v>
      </c>
      <c r="CG22" s="62">
        <f t="shared" si="9"/>
        <v>0.72697590744101626</v>
      </c>
      <c r="CH22" s="62">
        <f t="shared" si="10"/>
        <v>0.72265052177858435</v>
      </c>
      <c r="CI22" s="62">
        <f t="shared" si="11"/>
        <v>0.70003878554143983</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0.74792475801572889</v>
      </c>
      <c r="CH23" s="62">
        <f t="shared" si="10"/>
        <v>0.75157621748336356</v>
      </c>
      <c r="CI23" s="62">
        <f t="shared" si="11"/>
        <v>0.74062520417422872</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22.972000000000001</v>
      </c>
      <c r="AM24" s="57">
        <v>311.72000000000003</v>
      </c>
      <c r="AN24" s="57">
        <v>2946.7</v>
      </c>
      <c r="AO24" s="57">
        <v>5501</v>
      </c>
      <c r="AP24" s="57">
        <v>5520.7</v>
      </c>
      <c r="AQ24" s="37"/>
      <c r="AR24" s="37"/>
      <c r="AS24" s="56"/>
      <c r="AT24" s="37" t="s">
        <v>5</v>
      </c>
      <c r="AU24" s="57">
        <v>0</v>
      </c>
      <c r="AV24" s="57">
        <v>28.597000000000001</v>
      </c>
      <c r="AW24" s="57">
        <v>392</v>
      </c>
      <c r="AX24" s="57">
        <v>3608</v>
      </c>
      <c r="AY24" s="57">
        <v>4948.6000000000004</v>
      </c>
      <c r="AZ24" s="57">
        <v>4954.2</v>
      </c>
      <c r="BA24" s="37"/>
      <c r="BB24" s="37"/>
      <c r="BC24" s="37"/>
      <c r="BD24" s="56"/>
      <c r="BE24" s="37" t="s">
        <v>5</v>
      </c>
      <c r="BF24" s="57">
        <v>0</v>
      </c>
      <c r="BG24" s="57">
        <v>41.331000000000003</v>
      </c>
      <c r="BH24" s="57">
        <v>564.69000000000005</v>
      </c>
      <c r="BI24" s="57">
        <v>3849.6</v>
      </c>
      <c r="BJ24" s="57">
        <v>4343.5</v>
      </c>
      <c r="BK24" s="57">
        <v>4345.3999999999996</v>
      </c>
      <c r="BL24" s="37"/>
      <c r="BM24" s="37"/>
      <c r="BN24" s="37"/>
      <c r="BO24" s="37"/>
      <c r="BY24" s="37"/>
      <c r="BZ24" s="37"/>
      <c r="CA24" s="37"/>
      <c r="CB24" s="37"/>
      <c r="CC24" s="61">
        <v>1.2</v>
      </c>
      <c r="CD24" s="62">
        <v>0.9987156578065669</v>
      </c>
      <c r="CE24" s="62">
        <v>0.99434144888690346</v>
      </c>
      <c r="CF24" s="62">
        <v>0.97799865981684164</v>
      </c>
      <c r="CG24" s="62">
        <f t="shared" si="9"/>
        <v>0.76264028281911678</v>
      </c>
      <c r="CH24" s="62">
        <f t="shared" si="10"/>
        <v>0.77313901996370238</v>
      </c>
      <c r="CI24" s="62">
        <f t="shared" si="11"/>
        <v>0.76962386569872954</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0.7784560496067755</v>
      </c>
      <c r="CH25" s="62">
        <f t="shared" si="10"/>
        <v>0.79454843466424685</v>
      </c>
      <c r="CI25" s="62">
        <f t="shared" si="11"/>
        <v>0.80422807017543863</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1059000</v>
      </c>
      <c r="AL26" s="57">
        <v>6612</v>
      </c>
      <c r="AM26" s="57">
        <v>6612</v>
      </c>
      <c r="AN26" s="57">
        <v>6612</v>
      </c>
      <c r="AO26" s="57">
        <v>6612</v>
      </c>
      <c r="AP26" s="57">
        <v>6612</v>
      </c>
      <c r="AQ26" s="37"/>
      <c r="AR26" s="37"/>
      <c r="AS26" s="56">
        <v>0.6</v>
      </c>
      <c r="AT26" s="37" t="s">
        <v>0</v>
      </c>
      <c r="AU26" s="57">
        <v>1059000</v>
      </c>
      <c r="AV26" s="57">
        <v>6612</v>
      </c>
      <c r="AW26" s="57">
        <v>6612</v>
      </c>
      <c r="AX26" s="57">
        <v>6612</v>
      </c>
      <c r="AY26" s="57">
        <v>6612</v>
      </c>
      <c r="AZ26" s="57">
        <v>6612</v>
      </c>
      <c r="BA26" s="37"/>
      <c r="BB26" s="37"/>
      <c r="BC26" s="37"/>
      <c r="BD26" s="56">
        <v>0.6</v>
      </c>
      <c r="BE26" s="37" t="s">
        <v>0</v>
      </c>
      <c r="BF26" s="57">
        <v>1059000</v>
      </c>
      <c r="BG26" s="57">
        <v>6612</v>
      </c>
      <c r="BH26" s="57">
        <v>6612</v>
      </c>
      <c r="BI26" s="57">
        <v>6612</v>
      </c>
      <c r="BJ26" s="57">
        <v>6612</v>
      </c>
      <c r="BK26" s="57">
        <v>6612</v>
      </c>
      <c r="BL26" s="37"/>
      <c r="BM26" s="37"/>
      <c r="BN26" s="37"/>
      <c r="BO26" s="37"/>
      <c r="BY26" s="37"/>
      <c r="BZ26" s="37"/>
      <c r="CA26" s="37"/>
      <c r="CB26" s="37"/>
      <c r="CC26" s="61">
        <v>2</v>
      </c>
      <c r="CD26" s="62">
        <v>1</v>
      </c>
      <c r="CE26" s="62">
        <v>1</v>
      </c>
      <c r="CF26" s="62">
        <v>1</v>
      </c>
      <c r="CG26" s="62">
        <f t="shared" si="9"/>
        <v>0.78761910163339377</v>
      </c>
      <c r="CH26" s="62">
        <f t="shared" si="10"/>
        <v>0.80701104053236539</v>
      </c>
      <c r="CI26" s="62">
        <f t="shared" si="11"/>
        <v>0.81887454627949174</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973580</v>
      </c>
      <c r="AL27" s="57">
        <v>6078.4</v>
      </c>
      <c r="AM27" s="57">
        <v>6078.4</v>
      </c>
      <c r="AN27" s="57">
        <v>6078.4</v>
      </c>
      <c r="AO27" s="57">
        <v>6078.4</v>
      </c>
      <c r="AP27" s="57">
        <v>6078.4</v>
      </c>
      <c r="AQ27" s="37"/>
      <c r="AR27" s="37"/>
      <c r="AS27" s="56"/>
      <c r="AT27" s="37" t="s">
        <v>1</v>
      </c>
      <c r="AU27" s="57">
        <v>913210</v>
      </c>
      <c r="AV27" s="57">
        <v>5701.4</v>
      </c>
      <c r="AW27" s="57">
        <v>5701.4</v>
      </c>
      <c r="AX27" s="57">
        <v>5701.4</v>
      </c>
      <c r="AY27" s="57">
        <v>5701.4</v>
      </c>
      <c r="AZ27" s="57">
        <v>5701.4</v>
      </c>
      <c r="BA27" s="37"/>
      <c r="BB27" s="37"/>
      <c r="BC27" s="37"/>
      <c r="BD27" s="56"/>
      <c r="BE27" s="37" t="s">
        <v>1</v>
      </c>
      <c r="BF27" s="57">
        <v>831600</v>
      </c>
      <c r="BG27" s="57">
        <v>5192</v>
      </c>
      <c r="BH27" s="57">
        <v>5192</v>
      </c>
      <c r="BI27" s="57">
        <v>5192</v>
      </c>
      <c r="BJ27" s="57">
        <v>5192</v>
      </c>
      <c r="BK27" s="57">
        <v>5192</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85474</v>
      </c>
      <c r="AL28" s="57">
        <v>533.65</v>
      </c>
      <c r="AM28" s="57">
        <v>533.65</v>
      </c>
      <c r="AN28" s="57">
        <v>533.65</v>
      </c>
      <c r="AO28" s="57">
        <v>533.65</v>
      </c>
      <c r="AP28" s="57">
        <v>533.65</v>
      </c>
      <c r="AQ28" s="37"/>
      <c r="AR28" s="37"/>
      <c r="AS28" s="56"/>
      <c r="AT28" s="37" t="s">
        <v>2</v>
      </c>
      <c r="AU28" s="57">
        <v>145840</v>
      </c>
      <c r="AV28" s="57">
        <v>910.54</v>
      </c>
      <c r="AW28" s="57">
        <v>910.54</v>
      </c>
      <c r="AX28" s="57">
        <v>910.54</v>
      </c>
      <c r="AY28" s="57">
        <v>910.54</v>
      </c>
      <c r="AZ28" s="57">
        <v>910.54</v>
      </c>
      <c r="BA28" s="37"/>
      <c r="BB28" s="37"/>
      <c r="BC28" s="37"/>
      <c r="BD28" s="56"/>
      <c r="BE28" s="37" t="s">
        <v>2</v>
      </c>
      <c r="BF28" s="57">
        <v>227440</v>
      </c>
      <c r="BG28" s="57">
        <v>1420</v>
      </c>
      <c r="BH28" s="57">
        <v>1420</v>
      </c>
      <c r="BI28" s="57">
        <v>1420</v>
      </c>
      <c r="BJ28" s="57">
        <v>1420</v>
      </c>
      <c r="BK28" s="57">
        <v>1420</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973470</v>
      </c>
      <c r="AL29" s="57">
        <v>6044.1</v>
      </c>
      <c r="AM29" s="57">
        <v>5646.3</v>
      </c>
      <c r="AN29" s="57">
        <v>2520.1</v>
      </c>
      <c r="AO29" s="57">
        <v>31.657</v>
      </c>
      <c r="AP29" s="57">
        <v>14.276999999999999</v>
      </c>
      <c r="AQ29" s="37"/>
      <c r="AR29" s="37"/>
      <c r="AS29" s="56"/>
      <c r="AT29" s="37" t="s">
        <v>3</v>
      </c>
      <c r="AU29" s="57">
        <v>913020</v>
      </c>
      <c r="AV29" s="57">
        <v>5657.8</v>
      </c>
      <c r="AW29" s="57">
        <v>5158.6000000000004</v>
      </c>
      <c r="AX29" s="57">
        <v>1394.3</v>
      </c>
      <c r="AY29" s="57">
        <v>10.852</v>
      </c>
      <c r="AZ29" s="57">
        <v>5.5206999999999997</v>
      </c>
      <c r="BA29" s="37"/>
      <c r="BB29" s="37"/>
      <c r="BC29" s="37"/>
      <c r="BD29" s="56"/>
      <c r="BE29" s="37" t="s">
        <v>3</v>
      </c>
      <c r="BF29" s="57">
        <v>831280</v>
      </c>
      <c r="BG29" s="57">
        <v>5131.3</v>
      </c>
      <c r="BH29" s="57">
        <v>4433.8999999999996</v>
      </c>
      <c r="BI29" s="57">
        <v>539.24</v>
      </c>
      <c r="BJ29" s="57">
        <v>3.8317000000000001</v>
      </c>
      <c r="BK29" s="57">
        <v>2.0287999999999999</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33.545000000000002</v>
      </c>
      <c r="AM31" s="57">
        <v>431.2</v>
      </c>
      <c r="AN31" s="57">
        <v>3557.5</v>
      </c>
      <c r="AO31" s="57">
        <v>6046</v>
      </c>
      <c r="AP31" s="57">
        <v>6063.3</v>
      </c>
      <c r="AQ31" s="37"/>
      <c r="AR31" s="37"/>
      <c r="AS31" s="56"/>
      <c r="AT31" s="37" t="s">
        <v>5</v>
      </c>
      <c r="AU31" s="57">
        <v>0</v>
      </c>
      <c r="AV31" s="57">
        <v>42.273000000000003</v>
      </c>
      <c r="AW31" s="57">
        <v>541.33000000000004</v>
      </c>
      <c r="AX31" s="57">
        <v>4305.8</v>
      </c>
      <c r="AY31" s="57">
        <v>5689.4</v>
      </c>
      <c r="AZ31" s="57">
        <v>5694.7</v>
      </c>
      <c r="BA31" s="37"/>
      <c r="BB31" s="37"/>
      <c r="BC31" s="37"/>
      <c r="BD31" s="56"/>
      <c r="BE31" s="37" t="s">
        <v>5</v>
      </c>
      <c r="BF31" s="57">
        <v>0</v>
      </c>
      <c r="BG31" s="57">
        <v>58.442999999999998</v>
      </c>
      <c r="BH31" s="57">
        <v>755.58</v>
      </c>
      <c r="BI31" s="57">
        <v>4650.6000000000004</v>
      </c>
      <c r="BJ31" s="57">
        <v>5186.1000000000004</v>
      </c>
      <c r="BK31" s="57">
        <v>5187.8999999999996</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1059000</v>
      </c>
      <c r="AL33" s="57">
        <v>6612</v>
      </c>
      <c r="AM33" s="57">
        <v>6612</v>
      </c>
      <c r="AN33" s="57">
        <v>6612</v>
      </c>
      <c r="AO33" s="57">
        <v>6612</v>
      </c>
      <c r="AP33" s="57">
        <v>6612</v>
      </c>
      <c r="AQ33" s="37"/>
      <c r="AR33" s="37"/>
      <c r="AS33" s="56">
        <v>0.8</v>
      </c>
      <c r="AT33" s="37" t="s">
        <v>0</v>
      </c>
      <c r="AU33" s="57">
        <v>1059000</v>
      </c>
      <c r="AV33" s="57">
        <v>6612</v>
      </c>
      <c r="AW33" s="57">
        <v>6612</v>
      </c>
      <c r="AX33" s="57">
        <v>6612</v>
      </c>
      <c r="AY33" s="57">
        <v>6612</v>
      </c>
      <c r="AZ33" s="57">
        <v>6612</v>
      </c>
      <c r="BA33" s="37"/>
      <c r="BB33" s="37"/>
      <c r="BC33" s="37"/>
      <c r="BD33" s="56">
        <v>0.8</v>
      </c>
      <c r="BE33" s="37" t="s">
        <v>0</v>
      </c>
      <c r="BF33" s="57">
        <v>1059000</v>
      </c>
      <c r="BG33" s="57">
        <v>6612</v>
      </c>
      <c r="BH33" s="57">
        <v>6612</v>
      </c>
      <c r="BI33" s="57">
        <v>6612</v>
      </c>
      <c r="BJ33" s="57">
        <v>6612</v>
      </c>
      <c r="BK33" s="57">
        <v>6612</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1020700</v>
      </c>
      <c r="AL34" s="57">
        <v>6372.6</v>
      </c>
      <c r="AM34" s="57">
        <v>6372.6</v>
      </c>
      <c r="AN34" s="57">
        <v>6372.6</v>
      </c>
      <c r="AO34" s="57">
        <v>6372.6</v>
      </c>
      <c r="AP34" s="57">
        <v>6372.6</v>
      </c>
      <c r="AQ34" s="37"/>
      <c r="AR34" s="37"/>
      <c r="AS34" s="56"/>
      <c r="AT34" s="37" t="s">
        <v>1</v>
      </c>
      <c r="AU34" s="57">
        <v>975430</v>
      </c>
      <c r="AV34" s="57">
        <v>6090</v>
      </c>
      <c r="AW34" s="57">
        <v>6090</v>
      </c>
      <c r="AX34" s="57">
        <v>6090</v>
      </c>
      <c r="AY34" s="57">
        <v>6090</v>
      </c>
      <c r="AZ34" s="57">
        <v>6090</v>
      </c>
      <c r="BA34" s="37"/>
      <c r="BB34" s="37"/>
      <c r="BC34" s="37"/>
      <c r="BD34" s="56"/>
      <c r="BE34" s="37" t="s">
        <v>1</v>
      </c>
      <c r="BF34" s="57">
        <v>915610</v>
      </c>
      <c r="BG34" s="57">
        <v>5716.5</v>
      </c>
      <c r="BH34" s="57">
        <v>5716.5</v>
      </c>
      <c r="BI34" s="57">
        <v>5716.5</v>
      </c>
      <c r="BJ34" s="57">
        <v>5716.5</v>
      </c>
      <c r="BK34" s="57">
        <v>5716.5</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38350</v>
      </c>
      <c r="AL35" s="57">
        <v>239.44</v>
      </c>
      <c r="AM35" s="57">
        <v>239.44</v>
      </c>
      <c r="AN35" s="57">
        <v>239.44</v>
      </c>
      <c r="AO35" s="57">
        <v>239.44</v>
      </c>
      <c r="AP35" s="57">
        <v>239.44</v>
      </c>
      <c r="AQ35" s="37"/>
      <c r="AR35" s="37"/>
      <c r="AS35" s="56"/>
      <c r="AT35" s="37" t="s">
        <v>2</v>
      </c>
      <c r="AU35" s="57">
        <v>83616</v>
      </c>
      <c r="AV35" s="57">
        <v>522.04999999999995</v>
      </c>
      <c r="AW35" s="57">
        <v>522.04999999999995</v>
      </c>
      <c r="AX35" s="57">
        <v>522.04999999999995</v>
      </c>
      <c r="AY35" s="57">
        <v>522.04999999999995</v>
      </c>
      <c r="AZ35" s="57">
        <v>522.04999999999995</v>
      </c>
      <c r="BA35" s="37"/>
      <c r="BB35" s="37"/>
      <c r="BC35" s="37"/>
      <c r="BD35" s="56"/>
      <c r="BE35" s="37" t="s">
        <v>2</v>
      </c>
      <c r="BF35" s="57">
        <v>143440</v>
      </c>
      <c r="BG35" s="57">
        <v>895.53</v>
      </c>
      <c r="BH35" s="57">
        <v>895.53</v>
      </c>
      <c r="BI35" s="57">
        <v>895.53</v>
      </c>
      <c r="BJ35" s="57">
        <v>895.53</v>
      </c>
      <c r="BK35" s="57">
        <v>895.53</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1020600</v>
      </c>
      <c r="AL36" s="57">
        <v>6328</v>
      </c>
      <c r="AM36" s="57">
        <v>5834.1</v>
      </c>
      <c r="AN36" s="57">
        <v>2403.6999999999998</v>
      </c>
      <c r="AO36" s="57">
        <v>32.103999999999999</v>
      </c>
      <c r="AP36" s="57">
        <v>16.414000000000001</v>
      </c>
      <c r="AQ36" s="37"/>
      <c r="AR36" s="37"/>
      <c r="AS36" s="56"/>
      <c r="AT36" s="37" t="s">
        <v>3</v>
      </c>
      <c r="AU36" s="57">
        <v>975240</v>
      </c>
      <c r="AV36" s="57">
        <v>6033</v>
      </c>
      <c r="AW36" s="57">
        <v>5412.1</v>
      </c>
      <c r="AX36" s="57">
        <v>1284.2</v>
      </c>
      <c r="AY36" s="57">
        <v>8.8928999999999991</v>
      </c>
      <c r="AZ36" s="57">
        <v>5.8303000000000003</v>
      </c>
      <c r="BA36" s="37"/>
      <c r="BB36" s="37"/>
      <c r="BC36" s="37"/>
      <c r="BD36" s="56"/>
      <c r="BE36" s="37" t="s">
        <v>3</v>
      </c>
      <c r="BF36" s="57">
        <v>915300</v>
      </c>
      <c r="BG36" s="57">
        <v>5639.9</v>
      </c>
      <c r="BH36" s="57">
        <v>4799.8</v>
      </c>
      <c r="BI36" s="57">
        <v>545.91</v>
      </c>
      <c r="BJ36" s="57">
        <v>3.8961999999999999</v>
      </c>
      <c r="BK36" s="57">
        <v>2.3226</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43.764000000000003</v>
      </c>
      <c r="AM38" s="57">
        <v>537.61</v>
      </c>
      <c r="AN38" s="57">
        <v>3968.1</v>
      </c>
      <c r="AO38" s="57">
        <v>6339.8</v>
      </c>
      <c r="AP38" s="57">
        <v>6355.5</v>
      </c>
      <c r="AQ38" s="37"/>
      <c r="AR38" s="37"/>
      <c r="AS38" s="56"/>
      <c r="AT38" s="37" t="s">
        <v>5</v>
      </c>
      <c r="AU38" s="57">
        <v>0</v>
      </c>
      <c r="AV38" s="57">
        <v>55.465000000000003</v>
      </c>
      <c r="AW38" s="57">
        <v>676.18</v>
      </c>
      <c r="AX38" s="57">
        <v>4804.3999999999996</v>
      </c>
      <c r="AY38" s="57">
        <v>6079.7</v>
      </c>
      <c r="AZ38" s="57">
        <v>6082.7</v>
      </c>
      <c r="BA38" s="37"/>
      <c r="BB38" s="37"/>
      <c r="BC38" s="37"/>
      <c r="BD38" s="56"/>
      <c r="BE38" s="37" t="s">
        <v>5</v>
      </c>
      <c r="BF38" s="57">
        <v>0</v>
      </c>
      <c r="BG38" s="57">
        <v>74.159000000000006</v>
      </c>
      <c r="BH38" s="57">
        <v>914.19</v>
      </c>
      <c r="BI38" s="57">
        <v>5168.3999999999996</v>
      </c>
      <c r="BJ38" s="57">
        <v>5710.4</v>
      </c>
      <c r="BK38" s="57">
        <v>5712</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1059000</v>
      </c>
      <c r="AL40" s="57">
        <v>6612</v>
      </c>
      <c r="AM40" s="57">
        <v>6612</v>
      </c>
      <c r="AN40" s="57">
        <v>6612</v>
      </c>
      <c r="AO40" s="57">
        <v>6612</v>
      </c>
      <c r="AP40" s="57">
        <v>6612</v>
      </c>
      <c r="AQ40" s="37"/>
      <c r="AR40" s="37"/>
      <c r="AS40" s="56">
        <v>1</v>
      </c>
      <c r="AT40" s="37" t="s">
        <v>0</v>
      </c>
      <c r="AU40" s="57">
        <v>1059000</v>
      </c>
      <c r="AV40" s="57">
        <v>6612</v>
      </c>
      <c r="AW40" s="57">
        <v>6612</v>
      </c>
      <c r="AX40" s="57">
        <v>6612</v>
      </c>
      <c r="AY40" s="57">
        <v>6612</v>
      </c>
      <c r="AZ40" s="57">
        <v>6612</v>
      </c>
      <c r="BA40" s="37"/>
      <c r="BB40" s="37"/>
      <c r="BC40" s="37"/>
      <c r="BD40" s="56">
        <v>1</v>
      </c>
      <c r="BE40" s="37" t="s">
        <v>0</v>
      </c>
      <c r="BF40" s="57">
        <v>1059000</v>
      </c>
      <c r="BG40" s="57">
        <v>6612</v>
      </c>
      <c r="BH40" s="57">
        <v>6612</v>
      </c>
      <c r="BI40" s="57">
        <v>6612</v>
      </c>
      <c r="BJ40" s="57">
        <v>6612</v>
      </c>
      <c r="BK40" s="57">
        <v>6612</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1040300</v>
      </c>
      <c r="AL41" s="57">
        <v>6494.7</v>
      </c>
      <c r="AM41" s="57">
        <v>6494.7</v>
      </c>
      <c r="AN41" s="57">
        <v>6494.7</v>
      </c>
      <c r="AO41" s="57">
        <v>6494.7</v>
      </c>
      <c r="AP41" s="57">
        <v>6494.7</v>
      </c>
      <c r="AQ41" s="37"/>
      <c r="AR41" s="37"/>
      <c r="AS41" s="56"/>
      <c r="AT41" s="37" t="s">
        <v>1</v>
      </c>
      <c r="AU41" s="57">
        <v>1010900</v>
      </c>
      <c r="AV41" s="57">
        <v>6311.6</v>
      </c>
      <c r="AW41" s="57">
        <v>6311.6</v>
      </c>
      <c r="AX41" s="57">
        <v>6311.6</v>
      </c>
      <c r="AY41" s="57">
        <v>6311.6</v>
      </c>
      <c r="AZ41" s="57">
        <v>6311.6</v>
      </c>
      <c r="BA41" s="37"/>
      <c r="BB41" s="37"/>
      <c r="BC41" s="37"/>
      <c r="BD41" s="56"/>
      <c r="BE41" s="37" t="s">
        <v>1</v>
      </c>
      <c r="BF41" s="57">
        <v>964710</v>
      </c>
      <c r="BG41" s="57">
        <v>6023.1</v>
      </c>
      <c r="BH41" s="57">
        <v>6023.1</v>
      </c>
      <c r="BI41" s="57">
        <v>6023.1</v>
      </c>
      <c r="BJ41" s="57">
        <v>6023.1</v>
      </c>
      <c r="BK41" s="57">
        <v>6023.1</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18791</v>
      </c>
      <c r="AL42" s="57">
        <v>117.32</v>
      </c>
      <c r="AM42" s="57">
        <v>117.32</v>
      </c>
      <c r="AN42" s="57">
        <v>117.32</v>
      </c>
      <c r="AO42" s="57">
        <v>117.32</v>
      </c>
      <c r="AP42" s="57">
        <v>117.32</v>
      </c>
      <c r="AQ42" s="37"/>
      <c r="AR42" s="37"/>
      <c r="AS42" s="56"/>
      <c r="AT42" s="37" t="s">
        <v>2</v>
      </c>
      <c r="AU42" s="57">
        <v>48114</v>
      </c>
      <c r="AV42" s="57">
        <v>300.39999999999998</v>
      </c>
      <c r="AW42" s="57">
        <v>300.39999999999998</v>
      </c>
      <c r="AX42" s="57">
        <v>300.39999999999998</v>
      </c>
      <c r="AY42" s="57">
        <v>300.39999999999998</v>
      </c>
      <c r="AZ42" s="57">
        <v>300.39999999999998</v>
      </c>
      <c r="BA42" s="37"/>
      <c r="BB42" s="37"/>
      <c r="BC42" s="37"/>
      <c r="BD42" s="56"/>
      <c r="BE42" s="37" t="s">
        <v>2</v>
      </c>
      <c r="BF42" s="57">
        <v>94331</v>
      </c>
      <c r="BG42" s="57">
        <v>588.94000000000005</v>
      </c>
      <c r="BH42" s="57">
        <v>588.94000000000005</v>
      </c>
      <c r="BI42" s="57">
        <v>588.94000000000005</v>
      </c>
      <c r="BJ42" s="57">
        <v>588.94000000000005</v>
      </c>
      <c r="BK42" s="57">
        <v>588.94000000000005</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1040100</v>
      </c>
      <c r="AL43" s="57">
        <v>6440</v>
      </c>
      <c r="AM43" s="57">
        <v>5857.7</v>
      </c>
      <c r="AN43" s="57">
        <v>2232.8000000000002</v>
      </c>
      <c r="AO43" s="57">
        <v>31.004999999999999</v>
      </c>
      <c r="AP43" s="57">
        <v>16.661000000000001</v>
      </c>
      <c r="AQ43" s="37"/>
      <c r="AR43" s="37"/>
      <c r="AS43" s="56"/>
      <c r="AT43" s="37" t="s">
        <v>3</v>
      </c>
      <c r="AU43" s="57">
        <v>1010800</v>
      </c>
      <c r="AV43" s="57">
        <v>6245</v>
      </c>
      <c r="AW43" s="57">
        <v>5539.4</v>
      </c>
      <c r="AX43" s="57">
        <v>1284.9000000000001</v>
      </c>
      <c r="AY43" s="57">
        <v>10.763</v>
      </c>
      <c r="AZ43" s="57">
        <v>6.7754000000000003</v>
      </c>
      <c r="BA43" s="37"/>
      <c r="BB43" s="37"/>
      <c r="BC43" s="37"/>
      <c r="BD43" s="56"/>
      <c r="BE43" s="37" t="s">
        <v>3</v>
      </c>
      <c r="BF43" s="57">
        <v>964400</v>
      </c>
      <c r="BG43" s="57">
        <v>5931.9</v>
      </c>
      <c r="BH43" s="57">
        <v>4971.8999999999996</v>
      </c>
      <c r="BI43" s="57">
        <v>530.29999999999995</v>
      </c>
      <c r="BJ43" s="57">
        <v>3.8174000000000001</v>
      </c>
      <c r="BK43" s="57">
        <v>2.4700000000000002</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53.81</v>
      </c>
      <c r="AM45" s="57">
        <v>636.02</v>
      </c>
      <c r="AN45" s="57">
        <v>4261.1000000000004</v>
      </c>
      <c r="AO45" s="57">
        <v>6462.8</v>
      </c>
      <c r="AP45" s="57">
        <v>6477.2</v>
      </c>
      <c r="AQ45" s="37"/>
      <c r="AR45" s="37"/>
      <c r="AS45" s="56"/>
      <c r="AT45" s="37" t="s">
        <v>5</v>
      </c>
      <c r="AU45" s="57">
        <v>0</v>
      </c>
      <c r="AV45" s="57">
        <v>65.188999999999993</v>
      </c>
      <c r="AW45" s="57">
        <v>770.75</v>
      </c>
      <c r="AX45" s="57">
        <v>5025.3999999999996</v>
      </c>
      <c r="AY45" s="57">
        <v>6299.6</v>
      </c>
      <c r="AZ45" s="57">
        <v>6303.6</v>
      </c>
      <c r="BA45" s="37"/>
      <c r="BB45" s="37"/>
      <c r="BC45" s="37"/>
      <c r="BD45" s="56"/>
      <c r="BE45" s="37" t="s">
        <v>5</v>
      </c>
      <c r="BF45" s="57">
        <v>0</v>
      </c>
      <c r="BG45" s="57">
        <v>88.677000000000007</v>
      </c>
      <c r="BH45" s="57">
        <v>1048.7</v>
      </c>
      <c r="BI45" s="57">
        <v>5490.5</v>
      </c>
      <c r="BJ45" s="57">
        <v>6017</v>
      </c>
      <c r="BK45" s="57">
        <v>6018.3</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1059000</v>
      </c>
      <c r="AL47" s="57">
        <v>6612</v>
      </c>
      <c r="AM47" s="57">
        <v>6612</v>
      </c>
      <c r="AN47" s="57">
        <v>6612</v>
      </c>
      <c r="AO47" s="57">
        <v>6612</v>
      </c>
      <c r="AP47" s="57">
        <v>6612</v>
      </c>
      <c r="AQ47" s="37"/>
      <c r="AR47" s="37"/>
      <c r="AS47" s="56">
        <v>1.2</v>
      </c>
      <c r="AT47" s="37" t="s">
        <v>0</v>
      </c>
      <c r="AU47" s="57">
        <v>1059000</v>
      </c>
      <c r="AV47" s="57">
        <v>6612</v>
      </c>
      <c r="AW47" s="57">
        <v>6612</v>
      </c>
      <c r="AX47" s="57">
        <v>6612</v>
      </c>
      <c r="AY47" s="57">
        <v>6612</v>
      </c>
      <c r="AZ47" s="57">
        <v>6612</v>
      </c>
      <c r="BA47" s="37"/>
      <c r="BB47" s="37"/>
      <c r="BC47" s="37"/>
      <c r="BD47" s="56">
        <v>1.2</v>
      </c>
      <c r="BE47" s="37" t="s">
        <v>0</v>
      </c>
      <c r="BF47" s="57">
        <v>1059000</v>
      </c>
      <c r="BG47" s="57">
        <v>6612</v>
      </c>
      <c r="BH47" s="57">
        <v>6612</v>
      </c>
      <c r="BI47" s="57">
        <v>6612</v>
      </c>
      <c r="BJ47" s="57">
        <v>6612</v>
      </c>
      <c r="BK47" s="57">
        <v>6612</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1051900</v>
      </c>
      <c r="AL48" s="57">
        <v>6567.4</v>
      </c>
      <c r="AM48" s="57">
        <v>6567.4</v>
      </c>
      <c r="AN48" s="57">
        <v>6567.4</v>
      </c>
      <c r="AO48" s="57">
        <v>6567.4</v>
      </c>
      <c r="AP48" s="57">
        <v>6567.4</v>
      </c>
      <c r="AQ48" s="37"/>
      <c r="AR48" s="37"/>
      <c r="AS48" s="56"/>
      <c r="AT48" s="37" t="s">
        <v>1</v>
      </c>
      <c r="AU48" s="57">
        <v>1033800</v>
      </c>
      <c r="AV48" s="57">
        <v>6454.3</v>
      </c>
      <c r="AW48" s="57">
        <v>6454.3</v>
      </c>
      <c r="AX48" s="57">
        <v>6454.3</v>
      </c>
      <c r="AY48" s="57">
        <v>6454.3</v>
      </c>
      <c r="AZ48" s="57">
        <v>6454.3</v>
      </c>
      <c r="BA48" s="37"/>
      <c r="BB48" s="37"/>
      <c r="BC48" s="37"/>
      <c r="BD48" s="56"/>
      <c r="BE48" s="37" t="s">
        <v>1</v>
      </c>
      <c r="BF48" s="57">
        <v>998750</v>
      </c>
      <c r="BG48" s="57">
        <v>6235.6</v>
      </c>
      <c r="BH48" s="57">
        <v>6235.6</v>
      </c>
      <c r="BI48" s="57">
        <v>6235.6</v>
      </c>
      <c r="BJ48" s="57">
        <v>6235.6</v>
      </c>
      <c r="BK48" s="57">
        <v>6235.6</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7154.6</v>
      </c>
      <c r="AL49" s="57">
        <v>44.668999999999997</v>
      </c>
      <c r="AM49" s="57">
        <v>44.668999999999997</v>
      </c>
      <c r="AN49" s="57">
        <v>44.668999999999997</v>
      </c>
      <c r="AO49" s="57">
        <v>44.668999999999997</v>
      </c>
      <c r="AP49" s="57">
        <v>44.668999999999997</v>
      </c>
      <c r="AQ49" s="37"/>
      <c r="AR49" s="37"/>
      <c r="AS49" s="56"/>
      <c r="AT49" s="37" t="s">
        <v>2</v>
      </c>
      <c r="AU49" s="57">
        <v>25270</v>
      </c>
      <c r="AV49" s="57">
        <v>157.77000000000001</v>
      </c>
      <c r="AW49" s="57">
        <v>157.77000000000001</v>
      </c>
      <c r="AX49" s="57">
        <v>157.77000000000001</v>
      </c>
      <c r="AY49" s="57">
        <v>157.77000000000001</v>
      </c>
      <c r="AZ49" s="57">
        <v>157.77000000000001</v>
      </c>
      <c r="BA49" s="37"/>
      <c r="BB49" s="37"/>
      <c r="BC49" s="37"/>
      <c r="BD49" s="56"/>
      <c r="BE49" s="37" t="s">
        <v>2</v>
      </c>
      <c r="BF49" s="57">
        <v>60293</v>
      </c>
      <c r="BG49" s="57">
        <v>376.43</v>
      </c>
      <c r="BH49" s="57">
        <v>376.43</v>
      </c>
      <c r="BI49" s="57">
        <v>376.43</v>
      </c>
      <c r="BJ49" s="57">
        <v>376.43</v>
      </c>
      <c r="BK49" s="57">
        <v>376.43</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1051800</v>
      </c>
      <c r="AL50" s="57">
        <v>6502.9</v>
      </c>
      <c r="AM50" s="57">
        <v>5837.3</v>
      </c>
      <c r="AN50" s="57">
        <v>2064.8000000000002</v>
      </c>
      <c r="AO50" s="57">
        <v>30.859000000000002</v>
      </c>
      <c r="AP50" s="57">
        <v>17.753</v>
      </c>
      <c r="AQ50" s="37"/>
      <c r="AR50" s="37"/>
      <c r="AS50" s="56"/>
      <c r="AT50" s="37" t="s">
        <v>3</v>
      </c>
      <c r="AU50" s="57">
        <v>1033600</v>
      </c>
      <c r="AV50" s="57">
        <v>6375.2</v>
      </c>
      <c r="AW50" s="57">
        <v>5572.3</v>
      </c>
      <c r="AX50" s="57">
        <v>1208.8</v>
      </c>
      <c r="AY50" s="57">
        <v>10.337</v>
      </c>
      <c r="AZ50" s="57">
        <v>6.7922000000000002</v>
      </c>
      <c r="BA50" s="37"/>
      <c r="BB50" s="37"/>
      <c r="BC50" s="37"/>
      <c r="BD50" s="56"/>
      <c r="BE50" s="37" t="s">
        <v>3</v>
      </c>
      <c r="BF50" s="57">
        <v>998440</v>
      </c>
      <c r="BG50" s="57">
        <v>6130.1</v>
      </c>
      <c r="BH50" s="57">
        <v>5061.3999999999996</v>
      </c>
      <c r="BI50" s="57">
        <v>513.01</v>
      </c>
      <c r="BJ50" s="57">
        <v>3.7799</v>
      </c>
      <c r="BK50" s="57">
        <v>2.6353</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63.631</v>
      </c>
      <c r="AM52" s="57">
        <v>729.14</v>
      </c>
      <c r="AN52" s="57">
        <v>4501.8</v>
      </c>
      <c r="AO52" s="57">
        <v>6535.7</v>
      </c>
      <c r="AP52" s="57">
        <v>6548.8</v>
      </c>
      <c r="AQ52" s="37"/>
      <c r="AR52" s="37"/>
      <c r="AS52" s="56"/>
      <c r="AT52" s="37" t="s">
        <v>5</v>
      </c>
      <c r="AU52" s="57">
        <v>0</v>
      </c>
      <c r="AV52" s="57">
        <v>77.573999999999998</v>
      </c>
      <c r="AW52" s="57">
        <v>880.41</v>
      </c>
      <c r="AX52" s="57">
        <v>5244.1</v>
      </c>
      <c r="AY52" s="57">
        <v>6442.6</v>
      </c>
      <c r="AZ52" s="57">
        <v>6446.1</v>
      </c>
      <c r="BA52" s="37"/>
      <c r="BB52" s="37"/>
      <c r="BC52" s="37"/>
      <c r="BD52" s="56"/>
      <c r="BE52" s="37" t="s">
        <v>5</v>
      </c>
      <c r="BF52" s="57">
        <v>0</v>
      </c>
      <c r="BG52" s="57">
        <v>102.96</v>
      </c>
      <c r="BH52" s="57">
        <v>1171.7</v>
      </c>
      <c r="BI52" s="57">
        <v>5720.4</v>
      </c>
      <c r="BJ52" s="57">
        <v>6229.6</v>
      </c>
      <c r="BK52" s="57">
        <v>6230.7</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1059000</v>
      </c>
      <c r="AL54" s="57">
        <v>6612</v>
      </c>
      <c r="AM54" s="57">
        <v>6612</v>
      </c>
      <c r="AN54" s="57">
        <v>6612</v>
      </c>
      <c r="AO54" s="57">
        <v>6612</v>
      </c>
      <c r="AP54" s="57">
        <v>6612</v>
      </c>
      <c r="AQ54" s="37"/>
      <c r="AR54" s="37"/>
      <c r="AS54" s="56">
        <v>1.6</v>
      </c>
      <c r="AT54" s="37" t="s">
        <v>0</v>
      </c>
      <c r="AU54" s="57">
        <v>1059000</v>
      </c>
      <c r="AV54" s="57">
        <v>6612</v>
      </c>
      <c r="AW54" s="57">
        <v>6612</v>
      </c>
      <c r="AX54" s="57">
        <v>6612</v>
      </c>
      <c r="AY54" s="57">
        <v>6612</v>
      </c>
      <c r="AZ54" s="57">
        <v>6612</v>
      </c>
      <c r="BA54" s="37"/>
      <c r="BB54" s="37"/>
      <c r="BC54" s="37"/>
      <c r="BD54" s="56">
        <v>1.6</v>
      </c>
      <c r="BE54" s="37" t="s">
        <v>0</v>
      </c>
      <c r="BF54" s="57">
        <v>1059000</v>
      </c>
      <c r="BG54" s="57">
        <v>6612</v>
      </c>
      <c r="BH54" s="57">
        <v>6612</v>
      </c>
      <c r="BI54" s="57">
        <v>6612</v>
      </c>
      <c r="BJ54" s="57">
        <v>6612</v>
      </c>
      <c r="BK54" s="57">
        <v>6612</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1059000</v>
      </c>
      <c r="AL55" s="57">
        <v>6612</v>
      </c>
      <c r="AM55" s="57">
        <v>6612</v>
      </c>
      <c r="AN55" s="57">
        <v>6612</v>
      </c>
      <c r="AO55" s="57">
        <v>6612</v>
      </c>
      <c r="AP55" s="57">
        <v>6612</v>
      </c>
      <c r="AQ55" s="37"/>
      <c r="AR55" s="37"/>
      <c r="AS55" s="56"/>
      <c r="AT55" s="37" t="s">
        <v>1</v>
      </c>
      <c r="AU55" s="57">
        <v>1051700</v>
      </c>
      <c r="AV55" s="57">
        <v>6566.3</v>
      </c>
      <c r="AW55" s="57">
        <v>6566.3</v>
      </c>
      <c r="AX55" s="57">
        <v>6566.3</v>
      </c>
      <c r="AY55" s="57">
        <v>6566.3</v>
      </c>
      <c r="AZ55" s="57">
        <v>6566.3</v>
      </c>
      <c r="BA55" s="37"/>
      <c r="BB55" s="37"/>
      <c r="BC55" s="37"/>
      <c r="BD55" s="56"/>
      <c r="BE55" s="37" t="s">
        <v>1</v>
      </c>
      <c r="BF55" s="57">
        <v>1036100</v>
      </c>
      <c r="BG55" s="57">
        <v>6468.8</v>
      </c>
      <c r="BH55" s="57">
        <v>6468.8</v>
      </c>
      <c r="BI55" s="57">
        <v>6468.8</v>
      </c>
      <c r="BJ55" s="57">
        <v>6468.8</v>
      </c>
      <c r="BK55" s="57">
        <v>6468.8</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7330.4</v>
      </c>
      <c r="AV56" s="57">
        <v>45.765999999999998</v>
      </c>
      <c r="AW56" s="57">
        <v>45.765999999999998</v>
      </c>
      <c r="AX56" s="57">
        <v>45.765999999999998</v>
      </c>
      <c r="AY56" s="57">
        <v>45.765999999999998</v>
      </c>
      <c r="AZ56" s="57">
        <v>45.765999999999998</v>
      </c>
      <c r="BA56" s="37"/>
      <c r="BB56" s="37"/>
      <c r="BC56" s="37"/>
      <c r="BD56" s="56"/>
      <c r="BE56" s="37" t="s">
        <v>2</v>
      </c>
      <c r="BF56" s="57">
        <v>22936</v>
      </c>
      <c r="BG56" s="57">
        <v>143.19999999999999</v>
      </c>
      <c r="BH56" s="57">
        <v>143.19999999999999</v>
      </c>
      <c r="BI56" s="57">
        <v>143.19999999999999</v>
      </c>
      <c r="BJ56" s="57">
        <v>143.19999999999999</v>
      </c>
      <c r="BK56" s="57">
        <v>143.19999999999999</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1058900</v>
      </c>
      <c r="AL57" s="57">
        <v>6528.7</v>
      </c>
      <c r="AM57" s="57">
        <v>5714.2</v>
      </c>
      <c r="AN57" s="57">
        <v>1774.5</v>
      </c>
      <c r="AO57" s="57">
        <v>30.363</v>
      </c>
      <c r="AP57" s="57">
        <v>19.611000000000001</v>
      </c>
      <c r="AQ57" s="37"/>
      <c r="AR57" s="37"/>
      <c r="AS57" s="56"/>
      <c r="AT57" s="37" t="s">
        <v>3</v>
      </c>
      <c r="AU57" s="57">
        <v>1051500</v>
      </c>
      <c r="AV57" s="57">
        <v>6465.8</v>
      </c>
      <c r="AW57" s="57">
        <v>5503.8</v>
      </c>
      <c r="AX57" s="57">
        <v>1047.7</v>
      </c>
      <c r="AY57" s="57">
        <v>10.496</v>
      </c>
      <c r="AZ57" s="57">
        <v>7.5846999999999998</v>
      </c>
      <c r="BA57" s="37"/>
      <c r="BB57" s="37"/>
      <c r="BC57" s="37"/>
      <c r="BD57" s="56"/>
      <c r="BE57" s="37" t="s">
        <v>3</v>
      </c>
      <c r="BF57" s="57">
        <v>1035800</v>
      </c>
      <c r="BG57" s="57">
        <v>6333.6</v>
      </c>
      <c r="BH57" s="57">
        <v>5067.5</v>
      </c>
      <c r="BI57" s="57">
        <v>467.84</v>
      </c>
      <c r="BJ57" s="57">
        <v>3.5543999999999998</v>
      </c>
      <c r="BK57" s="57">
        <v>2.6589999999999998</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82.438000000000002</v>
      </c>
      <c r="AM59" s="57">
        <v>896.93</v>
      </c>
      <c r="AN59" s="57">
        <v>4836.7</v>
      </c>
      <c r="AO59" s="57">
        <v>6580.9</v>
      </c>
      <c r="AP59" s="57">
        <v>6591.7</v>
      </c>
      <c r="AQ59" s="37"/>
      <c r="AR59" s="37"/>
      <c r="AS59" s="56"/>
      <c r="AT59" s="37" t="s">
        <v>5</v>
      </c>
      <c r="AU59" s="57">
        <v>0</v>
      </c>
      <c r="AV59" s="57">
        <v>98.984999999999999</v>
      </c>
      <c r="AW59" s="57">
        <v>1060.9000000000001</v>
      </c>
      <c r="AX59" s="57">
        <v>5517.3</v>
      </c>
      <c r="AY59" s="57">
        <v>6554.5</v>
      </c>
      <c r="AZ59" s="57">
        <v>6557.4</v>
      </c>
      <c r="BA59" s="37"/>
      <c r="BB59" s="37"/>
      <c r="BC59" s="37"/>
      <c r="BD59" s="56"/>
      <c r="BE59" s="37" t="s">
        <v>5</v>
      </c>
      <c r="BF59" s="57">
        <v>0</v>
      </c>
      <c r="BG59" s="57">
        <v>132.52000000000001</v>
      </c>
      <c r="BH59" s="57">
        <v>1398.7</v>
      </c>
      <c r="BI59" s="57">
        <v>5998.6</v>
      </c>
      <c r="BJ59" s="57">
        <v>6462.9</v>
      </c>
      <c r="BK59" s="57">
        <v>6463.8</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1059000</v>
      </c>
      <c r="AL61" s="57">
        <v>6612</v>
      </c>
      <c r="AM61" s="57">
        <v>6612</v>
      </c>
      <c r="AN61" s="57">
        <v>6612</v>
      </c>
      <c r="AO61" s="57">
        <v>6612</v>
      </c>
      <c r="AP61" s="57">
        <v>6612</v>
      </c>
      <c r="AQ61" s="37"/>
      <c r="AR61" s="37"/>
      <c r="AS61" s="56">
        <v>2</v>
      </c>
      <c r="AT61" s="37" t="s">
        <v>0</v>
      </c>
      <c r="AU61" s="57">
        <v>1059000</v>
      </c>
      <c r="AV61" s="57">
        <v>6612</v>
      </c>
      <c r="AW61" s="57">
        <v>6612</v>
      </c>
      <c r="AX61" s="57">
        <v>6612</v>
      </c>
      <c r="AY61" s="57">
        <v>6612</v>
      </c>
      <c r="AZ61" s="57">
        <v>6612</v>
      </c>
      <c r="BA61" s="37"/>
      <c r="BB61" s="37"/>
      <c r="BC61" s="37"/>
      <c r="BD61" s="56">
        <v>2</v>
      </c>
      <c r="BE61" s="37" t="s">
        <v>0</v>
      </c>
      <c r="BF61" s="57">
        <v>1059000</v>
      </c>
      <c r="BG61" s="57">
        <v>6612</v>
      </c>
      <c r="BH61" s="57">
        <v>6612</v>
      </c>
      <c r="BI61" s="57">
        <v>6612</v>
      </c>
      <c r="BJ61" s="57">
        <v>6612</v>
      </c>
      <c r="BK61" s="57">
        <v>6612</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1059000</v>
      </c>
      <c r="AL62" s="57">
        <v>6612</v>
      </c>
      <c r="AM62" s="57">
        <v>6612</v>
      </c>
      <c r="AN62" s="57">
        <v>6612</v>
      </c>
      <c r="AO62" s="57">
        <v>6612</v>
      </c>
      <c r="AP62" s="57">
        <v>6612</v>
      </c>
      <c r="AQ62" s="37"/>
      <c r="AR62" s="37"/>
      <c r="AS62" s="37"/>
      <c r="AT62" s="37" t="s">
        <v>1</v>
      </c>
      <c r="AU62" s="57">
        <v>1057900</v>
      </c>
      <c r="AV62" s="57">
        <v>6605.2</v>
      </c>
      <c r="AW62" s="57">
        <v>6605.2</v>
      </c>
      <c r="AX62" s="57">
        <v>6605.2</v>
      </c>
      <c r="AY62" s="57">
        <v>6605.2</v>
      </c>
      <c r="AZ62" s="57">
        <v>6605.2</v>
      </c>
      <c r="BA62" s="37"/>
      <c r="BB62" s="37"/>
      <c r="BC62" s="37"/>
      <c r="BD62" s="37"/>
      <c r="BE62" s="37" t="s">
        <v>1</v>
      </c>
      <c r="BF62" s="57">
        <v>1048800</v>
      </c>
      <c r="BG62" s="57">
        <v>6547.8</v>
      </c>
      <c r="BH62" s="57">
        <v>6547.8</v>
      </c>
      <c r="BI62" s="57">
        <v>6547.8</v>
      </c>
      <c r="BJ62" s="57">
        <v>6547.8</v>
      </c>
      <c r="BK62" s="57">
        <v>6547.8</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1100.2</v>
      </c>
      <c r="AV63" s="57">
        <v>6.8686999999999996</v>
      </c>
      <c r="AW63" s="57">
        <v>6.8686999999999996</v>
      </c>
      <c r="AX63" s="57">
        <v>6.8686999999999996</v>
      </c>
      <c r="AY63" s="57">
        <v>6.8686999999999996</v>
      </c>
      <c r="AZ63" s="57">
        <v>6.8686999999999996</v>
      </c>
      <c r="BA63" s="37"/>
      <c r="BB63" s="37"/>
      <c r="BC63" s="37"/>
      <c r="BD63" s="37"/>
      <c r="BE63" s="37" t="s">
        <v>2</v>
      </c>
      <c r="BF63" s="57">
        <v>10297</v>
      </c>
      <c r="BG63" s="57">
        <v>64.286000000000001</v>
      </c>
      <c r="BH63" s="57">
        <v>64.286000000000001</v>
      </c>
      <c r="BI63" s="57">
        <v>64.286000000000001</v>
      </c>
      <c r="BJ63" s="57">
        <v>64.286000000000001</v>
      </c>
      <c r="BK63" s="57">
        <v>64.286000000000001</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1058900</v>
      </c>
      <c r="AL64" s="57">
        <v>6509.8</v>
      </c>
      <c r="AM64" s="57">
        <v>5557.1</v>
      </c>
      <c r="AN64" s="57">
        <v>1534</v>
      </c>
      <c r="AO64" s="57">
        <v>28.734000000000002</v>
      </c>
      <c r="AP64" s="57">
        <v>20.038</v>
      </c>
      <c r="AQ64" s="37"/>
      <c r="AR64" s="37"/>
      <c r="AS64" s="37"/>
      <c r="AT64" s="37" t="s">
        <v>3</v>
      </c>
      <c r="AU64" s="57">
        <v>1057800</v>
      </c>
      <c r="AV64" s="57">
        <v>6481.5</v>
      </c>
      <c r="AW64" s="57">
        <v>5361</v>
      </c>
      <c r="AX64" s="57">
        <v>896.71</v>
      </c>
      <c r="AY64" s="57">
        <v>9.6371000000000002</v>
      </c>
      <c r="AZ64" s="57">
        <v>7.3677000000000001</v>
      </c>
      <c r="BA64" s="37"/>
      <c r="BB64" s="37"/>
      <c r="BC64" s="37"/>
      <c r="BD64" s="37"/>
      <c r="BE64" s="37" t="s">
        <v>3</v>
      </c>
      <c r="BF64" s="57">
        <v>1048500</v>
      </c>
      <c r="BG64" s="57">
        <v>6391.4</v>
      </c>
      <c r="BH64" s="57">
        <v>4988</v>
      </c>
      <c r="BI64" s="57">
        <v>407.94</v>
      </c>
      <c r="BJ64" s="57">
        <v>3.9037999999999999</v>
      </c>
      <c r="BK64" s="57">
        <v>3.1966000000000001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101.35</v>
      </c>
      <c r="AM66" s="57">
        <v>1054.0999999999999</v>
      </c>
      <c r="AN66" s="57">
        <v>5077.2</v>
      </c>
      <c r="AO66" s="57">
        <v>6582.5</v>
      </c>
      <c r="AP66" s="57">
        <v>6591.2</v>
      </c>
      <c r="AQ66" s="37"/>
      <c r="AR66" s="37"/>
      <c r="AS66" s="37"/>
      <c r="AT66" s="37" t="s">
        <v>5</v>
      </c>
      <c r="AU66" s="57">
        <v>0</v>
      </c>
      <c r="AV66" s="57">
        <v>122.14</v>
      </c>
      <c r="AW66" s="57">
        <v>1242.7</v>
      </c>
      <c r="AX66" s="57">
        <v>5707.1</v>
      </c>
      <c r="AY66" s="57">
        <v>6594.2</v>
      </c>
      <c r="AZ66" s="57">
        <v>6596.5</v>
      </c>
      <c r="BA66" s="37"/>
      <c r="BB66" s="37"/>
      <c r="BC66" s="37"/>
      <c r="BD66" s="37"/>
      <c r="BE66" s="37" t="s">
        <v>5</v>
      </c>
      <c r="BF66" s="57">
        <v>0</v>
      </c>
      <c r="BG66" s="57">
        <v>153.87</v>
      </c>
      <c r="BH66" s="57">
        <v>1557.4</v>
      </c>
      <c r="BI66" s="57">
        <v>6137.6</v>
      </c>
      <c r="BJ66" s="57">
        <v>6541.7</v>
      </c>
      <c r="BK66" s="57">
        <v>6542.4</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sheetPr codeName="Sheet20"/>
  <dimension ref="A1:BP150"/>
  <sheetViews>
    <sheetView workbookViewId="0">
      <pane xSplit="8" topLeftCell="BK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2.4084022038567494</v>
      </c>
      <c r="E2" t="s">
        <v>119</v>
      </c>
      <c r="G2" s="103">
        <f>C2*12</f>
        <v>28.900826446280995</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1049100</v>
      </c>
      <c r="N4" s="10">
        <v>100</v>
      </c>
      <c r="O4" s="2">
        <f>L5/$L$4</f>
        <v>8.8227051758650268E-2</v>
      </c>
      <c r="P4" s="8">
        <v>2.5043000000000001E-3</v>
      </c>
      <c r="Q4" s="9">
        <f t="shared" ref="Q4:Q9" si="0">2/((P4/(N4*0.35))*3600)</f>
        <v>7.7644229702689156</v>
      </c>
      <c r="S4" s="7"/>
      <c r="T4" s="26">
        <v>100</v>
      </c>
      <c r="U4" s="4" t="s">
        <v>0</v>
      </c>
      <c r="V4" s="5">
        <v>1049100</v>
      </c>
      <c r="X4" s="24">
        <v>100</v>
      </c>
      <c r="Y4" s="22">
        <f>V5/$V$4</f>
        <v>0.1902392526927843</v>
      </c>
      <c r="Z4" s="23">
        <v>9.8063999999999998E-3</v>
      </c>
      <c r="AA4" s="9">
        <f t="shared" ref="AA4:AA9" si="1">2/((Z4/(X4*0.35))*3600)</f>
        <v>1.9828320733851814</v>
      </c>
      <c r="AD4" s="26">
        <v>100</v>
      </c>
      <c r="AE4" s="4" t="s">
        <v>0</v>
      </c>
      <c r="AF4" s="5">
        <v>1049100</v>
      </c>
      <c r="AH4" s="10">
        <v>100</v>
      </c>
      <c r="AI4" s="2">
        <f>AF5/$AF$4</f>
        <v>0.56396911638547331</v>
      </c>
      <c r="AJ4" s="13">
        <v>3.7019000000000003E-2</v>
      </c>
      <c r="AK4" s="9">
        <f t="shared" ref="AK4:AK9" si="2">2/((AJ4/(AH4*0.35))*3600)</f>
        <v>0.52525579957439272</v>
      </c>
      <c r="AN4" s="26">
        <v>100</v>
      </c>
      <c r="AO4" s="4" t="s">
        <v>0</v>
      </c>
      <c r="AP4" s="5">
        <v>1049100</v>
      </c>
      <c r="AR4" s="10">
        <v>100</v>
      </c>
      <c r="AS4" s="2">
        <f>AP5/AP$4</f>
        <v>0.22308645505671529</v>
      </c>
      <c r="AT4" s="32">
        <v>3.4954000000000001E-3</v>
      </c>
      <c r="AU4" s="9">
        <f t="shared" ref="AU4:AU9" si="3">2/((AT4/(AR4*0.35))*3600)</f>
        <v>5.5628667518579977</v>
      </c>
      <c r="AW4" s="7"/>
      <c r="AX4" s="26">
        <v>100</v>
      </c>
      <c r="AY4" s="4" t="s">
        <v>0</v>
      </c>
      <c r="AZ4" s="5">
        <v>1049100</v>
      </c>
      <c r="BB4" s="24">
        <v>100</v>
      </c>
      <c r="BC4" s="2">
        <f>AZ5/AZ$4</f>
        <v>0.38322371556572299</v>
      </c>
      <c r="BD4" s="33">
        <v>1.4120000000000001E-2</v>
      </c>
      <c r="BE4" s="9">
        <f t="shared" ref="BE4:BE9" si="4">2/((BD4/(BB4*0.35))*3600)</f>
        <v>1.3770853005980486</v>
      </c>
      <c r="BH4" s="26">
        <v>100</v>
      </c>
      <c r="BI4" s="4" t="s">
        <v>0</v>
      </c>
      <c r="BJ4" s="5">
        <v>1049100</v>
      </c>
      <c r="BL4" s="10">
        <v>100</v>
      </c>
      <c r="BM4" s="2">
        <f>BJ5/BJ$4</f>
        <v>0.75574301782480224</v>
      </c>
      <c r="BN4" s="32">
        <v>5.2981E-2</v>
      </c>
      <c r="BO4" s="9">
        <f t="shared" ref="BO4:BO7" si="5">2/((BN4/(BL4*0.35))*3600)</f>
        <v>0.3670078791348681</v>
      </c>
      <c r="BP4" s="12"/>
    </row>
    <row r="5" spans="1:68">
      <c r="J5" s="26"/>
      <c r="K5" s="4" t="s">
        <v>1</v>
      </c>
      <c r="L5" s="5">
        <v>92559</v>
      </c>
      <c r="N5" s="10">
        <v>200</v>
      </c>
      <c r="O5" s="2">
        <f>L12/$L$4</f>
        <v>0.16056619959965684</v>
      </c>
      <c r="P5" s="8">
        <v>4.5128E-3</v>
      </c>
      <c r="Q5" s="9">
        <f t="shared" si="0"/>
        <v>8.6174634127124818</v>
      </c>
      <c r="S5" s="7"/>
      <c r="T5" s="26"/>
      <c r="U5" s="4" t="s">
        <v>1</v>
      </c>
      <c r="V5" s="5">
        <v>199580</v>
      </c>
      <c r="X5" s="24">
        <v>200</v>
      </c>
      <c r="Y5" s="22">
        <f>V12/$V$4</f>
        <v>0.32117052711848249</v>
      </c>
      <c r="Z5" s="23">
        <v>1.6836E-2</v>
      </c>
      <c r="AA5" s="9">
        <f t="shared" si="1"/>
        <v>2.3098651038779336</v>
      </c>
      <c r="AD5" s="26"/>
      <c r="AE5" s="4" t="s">
        <v>1</v>
      </c>
      <c r="AF5" s="5">
        <v>591660</v>
      </c>
      <c r="AH5" s="10">
        <v>200</v>
      </c>
      <c r="AI5" s="2">
        <f>AF12/$AF$4</f>
        <v>0.72092269564388523</v>
      </c>
      <c r="AJ5" s="13">
        <v>4.9322999999999999E-2</v>
      </c>
      <c r="AK5" s="9">
        <f t="shared" si="2"/>
        <v>0.78845343731907813</v>
      </c>
      <c r="AN5" s="26"/>
      <c r="AO5" s="4" t="s">
        <v>1</v>
      </c>
      <c r="AP5" s="5">
        <v>234040</v>
      </c>
      <c r="AR5" s="10">
        <v>200</v>
      </c>
      <c r="AS5" s="2">
        <f>AP12/AP$4</f>
        <v>0.38111714803164615</v>
      </c>
      <c r="AT5" s="32">
        <v>6.1316000000000001E-3</v>
      </c>
      <c r="AU5" s="9">
        <f t="shared" si="3"/>
        <v>6.3423721196570053</v>
      </c>
      <c r="AW5" s="7"/>
      <c r="AX5" s="26"/>
      <c r="AY5" s="4" t="s">
        <v>1</v>
      </c>
      <c r="AZ5" s="5">
        <v>402040</v>
      </c>
      <c r="BB5" s="24">
        <v>200</v>
      </c>
      <c r="BC5" s="2">
        <f>AZ12/AZ$4</f>
        <v>0.58176532265751602</v>
      </c>
      <c r="BD5" s="33">
        <v>2.2856999999999999E-2</v>
      </c>
      <c r="BE5" s="9">
        <f t="shared" si="4"/>
        <v>1.7013995226359053</v>
      </c>
      <c r="BH5" s="26"/>
      <c r="BI5" s="4" t="s">
        <v>1</v>
      </c>
      <c r="BJ5" s="5">
        <v>792850</v>
      </c>
      <c r="BL5" s="10">
        <v>200</v>
      </c>
      <c r="BM5" s="2">
        <f>BJ12/BJ$4</f>
        <v>0.89832237155657235</v>
      </c>
      <c r="BN5" s="32">
        <v>6.6040000000000001E-2</v>
      </c>
      <c r="BO5" s="9">
        <f t="shared" si="5"/>
        <v>0.58886869910491957</v>
      </c>
      <c r="BP5" s="12"/>
    </row>
    <row r="6" spans="1:68">
      <c r="J6" s="26"/>
      <c r="K6" s="4" t="s">
        <v>2</v>
      </c>
      <c r="L6" s="5">
        <v>956530</v>
      </c>
      <c r="N6" s="10">
        <v>400</v>
      </c>
      <c r="O6" s="2">
        <f>L19/L$4</f>
        <v>0.28403393384806025</v>
      </c>
      <c r="P6" s="8">
        <v>7.8972999999999995E-3</v>
      </c>
      <c r="Q6" s="9">
        <f t="shared" si="0"/>
        <v>9.8486543220819502</v>
      </c>
      <c r="S6" s="7"/>
      <c r="T6" s="26"/>
      <c r="U6" s="4" t="s">
        <v>2</v>
      </c>
      <c r="V6" s="5">
        <v>849490</v>
      </c>
      <c r="X6" s="24">
        <v>400</v>
      </c>
      <c r="Y6" s="22">
        <f>V19/$V$4</f>
        <v>0.49901820608140313</v>
      </c>
      <c r="Z6" s="23">
        <v>2.7331999999999999E-2</v>
      </c>
      <c r="AA6" s="9">
        <f t="shared" si="1"/>
        <v>2.8456672683220323</v>
      </c>
      <c r="AD6" s="26"/>
      <c r="AE6" s="4" t="s">
        <v>2</v>
      </c>
      <c r="AF6" s="5">
        <v>457430</v>
      </c>
      <c r="AH6" s="10">
        <v>400</v>
      </c>
      <c r="AI6" s="2">
        <f>AF19/$AF$4</f>
        <v>0.86614240777809548</v>
      </c>
      <c r="AJ6" s="13">
        <v>6.2342000000000002E-2</v>
      </c>
      <c r="AK6" s="9">
        <f t="shared" si="2"/>
        <v>1.2475983731317213</v>
      </c>
      <c r="AN6" s="26"/>
      <c r="AO6" s="4" t="s">
        <v>2</v>
      </c>
      <c r="AP6" s="5">
        <v>815080</v>
      </c>
      <c r="AR6" s="10">
        <v>400</v>
      </c>
      <c r="AS6" s="2">
        <f>AP19/AP$4</f>
        <v>0.5943761319226003</v>
      </c>
      <c r="AT6" s="32">
        <v>1.0119E-2</v>
      </c>
      <c r="AU6" s="9">
        <f t="shared" si="3"/>
        <v>7.6863106806777139</v>
      </c>
      <c r="AW6" s="7"/>
      <c r="AX6" s="26"/>
      <c r="AY6" s="4" t="s">
        <v>2</v>
      </c>
      <c r="AZ6" s="5">
        <v>647030</v>
      </c>
      <c r="BB6" s="24">
        <v>400</v>
      </c>
      <c r="BC6" s="2">
        <f>AZ19/AZ$4</f>
        <v>0.79007720903631684</v>
      </c>
      <c r="BD6" s="33">
        <v>3.4491000000000001E-2</v>
      </c>
      <c r="BE6" s="9">
        <f t="shared" si="4"/>
        <v>2.2550166065865813</v>
      </c>
      <c r="BH6" s="26"/>
      <c r="BI6" s="4" t="s">
        <v>2</v>
      </c>
      <c r="BJ6" s="5">
        <v>256240</v>
      </c>
      <c r="BL6" s="10">
        <v>400</v>
      </c>
      <c r="BM6" s="2">
        <f>BJ19/BJ$4</f>
        <v>0.98350967495948904</v>
      </c>
      <c r="BN6" s="32">
        <v>7.4700000000000003E-2</v>
      </c>
      <c r="BO6" s="9">
        <f t="shared" si="5"/>
        <v>1.0412018444146958</v>
      </c>
      <c r="BP6" s="12"/>
    </row>
    <row r="7" spans="1:68">
      <c r="J7" s="26"/>
      <c r="K7" s="4" t="s">
        <v>3</v>
      </c>
      <c r="L7" s="5">
        <v>92146</v>
      </c>
      <c r="N7" s="10">
        <v>600</v>
      </c>
      <c r="O7" s="2">
        <f>L26/$L$4</f>
        <v>0.38283290439424267</v>
      </c>
      <c r="P7" s="8">
        <v>1.0891E-2</v>
      </c>
      <c r="Q7" s="9">
        <f t="shared" si="0"/>
        <v>10.712208857466411</v>
      </c>
      <c r="S7" s="7"/>
      <c r="T7" s="26"/>
      <c r="U7" s="4" t="s">
        <v>3</v>
      </c>
      <c r="V7" s="5">
        <v>199420</v>
      </c>
      <c r="X7" s="24">
        <v>600</v>
      </c>
      <c r="Y7" s="22">
        <f>V26/$V$4</f>
        <v>0.61662377275760172</v>
      </c>
      <c r="Z7" s="23">
        <v>3.5128E-2</v>
      </c>
      <c r="AA7" s="9">
        <f t="shared" si="1"/>
        <v>3.3211872770059965</v>
      </c>
      <c r="AD7" s="26"/>
      <c r="AE7" s="4" t="s">
        <v>3</v>
      </c>
      <c r="AF7" s="5">
        <v>591550</v>
      </c>
      <c r="AH7" s="10">
        <v>600</v>
      </c>
      <c r="AI7" s="2">
        <f>AF26/$AF$4</f>
        <v>0.93348584501000853</v>
      </c>
      <c r="AJ7" s="13">
        <v>6.8973999999999994E-2</v>
      </c>
      <c r="AK7" s="9">
        <f t="shared" si="2"/>
        <v>1.6914586172567443</v>
      </c>
      <c r="AN7" s="26"/>
      <c r="AO7" s="4" t="s">
        <v>3</v>
      </c>
      <c r="AP7" s="5">
        <v>233310</v>
      </c>
      <c r="AR7" s="10">
        <v>600</v>
      </c>
      <c r="AS7" s="2">
        <f>AP26/AP$4</f>
        <v>0.7285196835382709</v>
      </c>
      <c r="AT7" s="32">
        <v>1.3299E-2</v>
      </c>
      <c r="AU7" s="9">
        <f t="shared" si="3"/>
        <v>8.7725894177507087</v>
      </c>
      <c r="AW7" s="7"/>
      <c r="AX7" s="26"/>
      <c r="AY7" s="4" t="s">
        <v>3</v>
      </c>
      <c r="AZ7" s="5">
        <v>401820</v>
      </c>
      <c r="BB7" s="24">
        <v>600</v>
      </c>
      <c r="BC7" s="2">
        <f>AZ26/AZ$4</f>
        <v>0.88834238871413596</v>
      </c>
      <c r="BD7" s="33">
        <v>4.2050999999999998E-2</v>
      </c>
      <c r="BE7" s="9">
        <f t="shared" si="4"/>
        <v>2.774408852742305</v>
      </c>
      <c r="BH7" s="26"/>
      <c r="BI7" s="4" t="s">
        <v>3</v>
      </c>
      <c r="BJ7" s="5">
        <v>792740</v>
      </c>
      <c r="BL7" s="10">
        <v>600</v>
      </c>
      <c r="BM7" s="2">
        <f>BJ26/BJ$4</f>
        <v>0.99742636545610519</v>
      </c>
      <c r="BN7" s="32">
        <v>7.6607999999999996E-2</v>
      </c>
      <c r="BO7" s="9">
        <f t="shared" si="5"/>
        <v>1.5229044834307992</v>
      </c>
      <c r="BP7" s="12"/>
    </row>
    <row r="8" spans="1:68">
      <c r="J8" s="26"/>
      <c r="K8" s="4" t="s">
        <v>4</v>
      </c>
      <c r="L8" s="5">
        <v>0</v>
      </c>
      <c r="N8" s="10">
        <v>800</v>
      </c>
      <c r="O8" s="2">
        <f>L33/$L$4</f>
        <v>0.4656848727480698</v>
      </c>
      <c r="P8" s="8">
        <v>1.3602E-2</v>
      </c>
      <c r="Q8" s="9">
        <f t="shared" si="0"/>
        <v>11.436226698688101</v>
      </c>
      <c r="S8" s="7"/>
      <c r="T8" s="26"/>
      <c r="U8" s="4" t="s">
        <v>4</v>
      </c>
      <c r="V8" s="5">
        <v>0</v>
      </c>
      <c r="X8" s="24">
        <v>800</v>
      </c>
      <c r="Y8" s="22">
        <f>V33/$V$4</f>
        <v>0.70040034315127253</v>
      </c>
      <c r="Z8" s="23">
        <v>4.1177999999999999E-2</v>
      </c>
      <c r="AA8" s="9">
        <f t="shared" si="1"/>
        <v>3.7776374655290583</v>
      </c>
      <c r="AD8" s="26"/>
      <c r="AE8" s="4" t="s">
        <v>4</v>
      </c>
      <c r="AF8" s="5">
        <v>0</v>
      </c>
      <c r="AH8" s="10">
        <v>800</v>
      </c>
      <c r="AI8" s="2">
        <f>AF33/$AF$4</f>
        <v>0.9670193499189782</v>
      </c>
      <c r="AJ8" s="13">
        <v>7.2497000000000006E-2</v>
      </c>
      <c r="AK8" s="9">
        <f t="shared" si="2"/>
        <v>2.1456826566003495</v>
      </c>
      <c r="AN8" s="26"/>
      <c r="AO8" s="4" t="s">
        <v>4</v>
      </c>
      <c r="AP8" s="5">
        <v>0</v>
      </c>
      <c r="AR8" s="10">
        <v>800</v>
      </c>
      <c r="AS8" s="2">
        <f>AP33/AP$4</f>
        <v>0.81264893718425313</v>
      </c>
      <c r="AT8" s="32">
        <v>1.6004999999999998E-2</v>
      </c>
      <c r="AU8" s="9">
        <f t="shared" si="3"/>
        <v>9.7191849769169369</v>
      </c>
      <c r="AW8" s="7"/>
      <c r="AX8" s="26"/>
      <c r="AY8" s="4" t="s">
        <v>4</v>
      </c>
      <c r="AZ8" s="5">
        <v>0</v>
      </c>
      <c r="BB8" s="24">
        <v>800</v>
      </c>
      <c r="BC8" s="2">
        <f>AZ33/AZ$4</f>
        <v>0.94083500142979692</v>
      </c>
      <c r="BD8" s="33">
        <v>4.7399999999999998E-2</v>
      </c>
      <c r="BE8" s="9">
        <f t="shared" si="4"/>
        <v>3.2817627754336622</v>
      </c>
      <c r="BH8" s="26"/>
      <c r="BI8" s="4" t="s">
        <v>4</v>
      </c>
      <c r="BJ8" s="5">
        <v>0</v>
      </c>
      <c r="BL8" s="10">
        <v>800</v>
      </c>
      <c r="BM8" s="2">
        <f>BJ33/BJ$4</f>
        <v>0.99990468020207801</v>
      </c>
      <c r="BN8" s="32">
        <v>7.6891000000000001E-2</v>
      </c>
      <c r="BO8" s="9">
        <f>2/((BN8/(BL8*0.35))*3600)</f>
        <v>2.0230658406777851</v>
      </c>
      <c r="BP8" s="12"/>
    </row>
    <row r="9" spans="1:68">
      <c r="J9" s="26"/>
      <c r="K9" s="4" t="s">
        <v>5</v>
      </c>
      <c r="L9" s="5">
        <v>0</v>
      </c>
      <c r="M9" s="1"/>
      <c r="N9" s="10">
        <v>1000</v>
      </c>
      <c r="O9" s="2">
        <f>L40/$L$4</f>
        <v>0.53410542369650171</v>
      </c>
      <c r="P9" s="8">
        <v>1.6022000000000002E-2</v>
      </c>
      <c r="Q9" s="9">
        <f t="shared" si="0"/>
        <v>12.136090653129724</v>
      </c>
      <c r="S9" s="7"/>
      <c r="T9" s="26"/>
      <c r="U9" s="4" t="s">
        <v>5</v>
      </c>
      <c r="V9" s="5">
        <v>0</v>
      </c>
      <c r="W9" s="1"/>
      <c r="X9" s="24">
        <v>1000</v>
      </c>
      <c r="Y9" s="22">
        <f>V40/$V$4</f>
        <v>0.76355924125440855</v>
      </c>
      <c r="Z9" s="23">
        <v>4.6170000000000003E-2</v>
      </c>
      <c r="AA9" s="9">
        <f t="shared" si="1"/>
        <v>4.2114889418333217</v>
      </c>
      <c r="AD9" s="26"/>
      <c r="AE9" s="4" t="s">
        <v>5</v>
      </c>
      <c r="AF9" s="5">
        <v>0</v>
      </c>
      <c r="AG9" s="1"/>
      <c r="AH9" s="10">
        <v>1000</v>
      </c>
      <c r="AI9" s="2">
        <f>AF40/$AF$4</f>
        <v>0.98265179677819081</v>
      </c>
      <c r="AJ9" s="13">
        <v>7.4347999999999997E-2</v>
      </c>
      <c r="AK9" s="9">
        <f t="shared" si="2"/>
        <v>2.615328515150972</v>
      </c>
      <c r="AN9" s="26"/>
      <c r="AO9" s="4" t="s">
        <v>5</v>
      </c>
      <c r="AP9" s="5">
        <v>0</v>
      </c>
      <c r="AQ9" s="1"/>
      <c r="AR9" s="10">
        <v>1000</v>
      </c>
      <c r="AS9" s="2">
        <f>AP40/AP$4</f>
        <v>0.86813459155466588</v>
      </c>
      <c r="AT9" s="32">
        <v>1.8363000000000001E-2</v>
      </c>
      <c r="AU9" s="9">
        <f t="shared" si="3"/>
        <v>10.588925798858815</v>
      </c>
      <c r="AW9" s="7"/>
      <c r="AX9" s="26"/>
      <c r="AY9" s="4" t="s">
        <v>5</v>
      </c>
      <c r="AZ9" s="5">
        <v>0</v>
      </c>
      <c r="BA9" s="1"/>
      <c r="BB9" s="24">
        <v>1000</v>
      </c>
      <c r="BC9" s="2">
        <f>AZ40/AZ$4</f>
        <v>0.97026022304832715</v>
      </c>
      <c r="BD9" s="33">
        <v>5.1721999999999997E-2</v>
      </c>
      <c r="BE9" s="9">
        <f t="shared" si="4"/>
        <v>3.7594146483980606</v>
      </c>
      <c r="BH9" s="26"/>
      <c r="BI9" s="4" t="s">
        <v>5</v>
      </c>
      <c r="BJ9" s="5">
        <v>0</v>
      </c>
      <c r="BK9" s="1"/>
      <c r="BL9" s="10">
        <v>1000</v>
      </c>
      <c r="BM9" s="2">
        <f>BJ40/BJ$4</f>
        <v>1</v>
      </c>
      <c r="BN9" s="32">
        <v>7.6862E-2</v>
      </c>
      <c r="BO9" s="9">
        <f t="shared" ref="BO9" si="6">2/((BN9/(BL9*0.35))*3600)</f>
        <v>2.5297864282017701</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1049100</v>
      </c>
      <c r="S11" s="7"/>
      <c r="T11" s="26">
        <v>200</v>
      </c>
      <c r="U11" s="4" t="s">
        <v>0</v>
      </c>
      <c r="V11" s="5">
        <v>1049100</v>
      </c>
      <c r="AD11" s="26">
        <v>200</v>
      </c>
      <c r="AE11" s="4" t="s">
        <v>0</v>
      </c>
      <c r="AF11" s="5">
        <v>1049100</v>
      </c>
      <c r="AN11" s="26">
        <v>200</v>
      </c>
      <c r="AO11" s="4" t="s">
        <v>0</v>
      </c>
      <c r="AP11" s="5">
        <v>1049100</v>
      </c>
      <c r="AW11" s="7"/>
      <c r="AX11" s="26">
        <v>200</v>
      </c>
      <c r="AY11" s="4" t="s">
        <v>0</v>
      </c>
      <c r="AZ11" s="5">
        <v>1049100</v>
      </c>
      <c r="BH11" s="26">
        <v>200</v>
      </c>
      <c r="BI11" s="4" t="s">
        <v>0</v>
      </c>
      <c r="BJ11" s="5">
        <v>1049100</v>
      </c>
      <c r="BP11" s="12"/>
    </row>
    <row r="12" spans="1:68">
      <c r="J12" s="26"/>
      <c r="K12" s="4" t="s">
        <v>1</v>
      </c>
      <c r="L12" s="5">
        <v>168450</v>
      </c>
      <c r="S12" s="7"/>
      <c r="T12" s="26"/>
      <c r="U12" s="4" t="s">
        <v>1</v>
      </c>
      <c r="V12" s="5">
        <v>336940</v>
      </c>
      <c r="AD12" s="26"/>
      <c r="AE12" s="4" t="s">
        <v>1</v>
      </c>
      <c r="AF12" s="5">
        <v>756320</v>
      </c>
      <c r="AN12" s="26"/>
      <c r="AO12" s="4" t="s">
        <v>1</v>
      </c>
      <c r="AP12" s="5">
        <v>399830</v>
      </c>
      <c r="AW12" s="7"/>
      <c r="AX12" s="26"/>
      <c r="AY12" s="4" t="s">
        <v>1</v>
      </c>
      <c r="AZ12" s="5">
        <v>610330</v>
      </c>
      <c r="BH12" s="26"/>
      <c r="BI12" s="4" t="s">
        <v>1</v>
      </c>
      <c r="BJ12" s="5">
        <v>942430</v>
      </c>
      <c r="BP12" s="12"/>
    </row>
    <row r="13" spans="1:68">
      <c r="J13" s="26"/>
      <c r="K13" s="4" t="s">
        <v>2</v>
      </c>
      <c r="L13" s="5">
        <v>880650</v>
      </c>
      <c r="T13" s="26"/>
      <c r="U13" s="4" t="s">
        <v>2</v>
      </c>
      <c r="V13" s="5">
        <v>712140</v>
      </c>
      <c r="AD13" s="26"/>
      <c r="AE13" s="4" t="s">
        <v>2</v>
      </c>
      <c r="AF13" s="5">
        <v>292770</v>
      </c>
      <c r="AN13" s="26"/>
      <c r="AO13" s="4" t="s">
        <v>2</v>
      </c>
      <c r="AP13" s="5">
        <v>649290</v>
      </c>
      <c r="AX13" s="26"/>
      <c r="AY13" s="4" t="s">
        <v>2</v>
      </c>
      <c r="AZ13" s="5">
        <v>438740</v>
      </c>
      <c r="BH13" s="26"/>
      <c r="BI13" s="4" t="s">
        <v>2</v>
      </c>
      <c r="BJ13" s="5">
        <v>106660</v>
      </c>
    </row>
    <row r="14" spans="1:68">
      <c r="J14" s="26"/>
      <c r="K14" s="4" t="s">
        <v>3</v>
      </c>
      <c r="L14" s="5">
        <v>167700</v>
      </c>
      <c r="T14" s="26"/>
      <c r="U14" s="4" t="s">
        <v>3</v>
      </c>
      <c r="V14" s="5">
        <v>336620</v>
      </c>
      <c r="AD14" s="26"/>
      <c r="AE14" s="4" t="s">
        <v>3</v>
      </c>
      <c r="AF14" s="5">
        <v>756120</v>
      </c>
      <c r="AN14" s="26"/>
      <c r="AO14" s="4" t="s">
        <v>3</v>
      </c>
      <c r="AP14" s="5">
        <v>398610</v>
      </c>
      <c r="AX14" s="26"/>
      <c r="AY14" s="4" t="s">
        <v>3</v>
      </c>
      <c r="AZ14" s="5">
        <v>609950</v>
      </c>
      <c r="BH14" s="26"/>
      <c r="BI14" s="4" t="s">
        <v>3</v>
      </c>
      <c r="BJ14" s="5">
        <v>942220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1049100</v>
      </c>
      <c r="T18" s="26">
        <v>400</v>
      </c>
      <c r="U18" s="4" t="s">
        <v>0</v>
      </c>
      <c r="V18" s="5">
        <v>1049100</v>
      </c>
      <c r="AD18" s="26">
        <v>400</v>
      </c>
      <c r="AE18" s="4" t="s">
        <v>0</v>
      </c>
      <c r="AF18" s="5">
        <v>1049100</v>
      </c>
      <c r="AN18" s="26">
        <v>400</v>
      </c>
      <c r="AO18" s="4" t="s">
        <v>0</v>
      </c>
      <c r="AP18" s="5">
        <v>1049100</v>
      </c>
      <c r="AX18" s="26">
        <v>400</v>
      </c>
      <c r="AY18" s="4" t="s">
        <v>0</v>
      </c>
      <c r="AZ18" s="5">
        <v>1049100</v>
      </c>
      <c r="BH18" s="26">
        <v>400</v>
      </c>
      <c r="BI18" s="4" t="s">
        <v>0</v>
      </c>
      <c r="BJ18" s="5">
        <v>1049100</v>
      </c>
    </row>
    <row r="19" spans="1:62">
      <c r="J19" s="26"/>
      <c r="K19" s="4" t="s">
        <v>1</v>
      </c>
      <c r="L19" s="5">
        <v>297980</v>
      </c>
      <c r="T19" s="26"/>
      <c r="U19" s="4" t="s">
        <v>1</v>
      </c>
      <c r="V19" s="5">
        <v>523520</v>
      </c>
      <c r="AD19" s="26"/>
      <c r="AE19" s="4" t="s">
        <v>1</v>
      </c>
      <c r="AF19" s="5">
        <v>908670</v>
      </c>
      <c r="AN19" s="26"/>
      <c r="AO19" s="4" t="s">
        <v>1</v>
      </c>
      <c r="AP19" s="5">
        <v>623560</v>
      </c>
      <c r="AX19" s="26"/>
      <c r="AY19" s="4" t="s">
        <v>1</v>
      </c>
      <c r="AZ19" s="5">
        <v>828870</v>
      </c>
      <c r="BH19" s="26"/>
      <c r="BI19" s="4" t="s">
        <v>1</v>
      </c>
      <c r="BJ19" s="5">
        <v>1031800</v>
      </c>
    </row>
    <row r="20" spans="1:62">
      <c r="J20" s="26"/>
      <c r="K20" s="4" t="s">
        <v>2</v>
      </c>
      <c r="L20" s="5">
        <v>751110</v>
      </c>
      <c r="T20" s="26"/>
      <c r="U20" s="4" t="s">
        <v>2</v>
      </c>
      <c r="V20" s="5">
        <v>525580</v>
      </c>
      <c r="AD20" s="26"/>
      <c r="AE20" s="4" t="s">
        <v>2</v>
      </c>
      <c r="AF20" s="5">
        <v>140410</v>
      </c>
      <c r="AN20" s="26"/>
      <c r="AO20" s="4" t="s">
        <v>2</v>
      </c>
      <c r="AP20" s="5">
        <v>425550</v>
      </c>
      <c r="AX20" s="26"/>
      <c r="AY20" s="4" t="s">
        <v>2</v>
      </c>
      <c r="AZ20" s="5">
        <v>220220</v>
      </c>
      <c r="BH20" s="26"/>
      <c r="BI20" s="4" t="s">
        <v>2</v>
      </c>
      <c r="BJ20" s="5">
        <v>17259</v>
      </c>
    </row>
    <row r="21" spans="1:62">
      <c r="J21" s="26"/>
      <c r="K21" s="4" t="s">
        <v>3</v>
      </c>
      <c r="L21" s="5">
        <v>296680</v>
      </c>
      <c r="T21" s="26"/>
      <c r="U21" s="4" t="s">
        <v>3</v>
      </c>
      <c r="V21" s="5">
        <v>522940</v>
      </c>
      <c r="AD21" s="26"/>
      <c r="AE21" s="4" t="s">
        <v>3</v>
      </c>
      <c r="AF21" s="5">
        <v>908280</v>
      </c>
      <c r="AN21" s="26"/>
      <c r="AO21" s="4" t="s">
        <v>3</v>
      </c>
      <c r="AP21" s="5">
        <v>621600</v>
      </c>
      <c r="AX21" s="26"/>
      <c r="AY21" s="4" t="s">
        <v>3</v>
      </c>
      <c r="AZ21" s="5">
        <v>828230</v>
      </c>
      <c r="BH21" s="26"/>
      <c r="BI21" s="4" t="s">
        <v>3</v>
      </c>
      <c r="BJ21" s="5">
        <v>1031400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1049100</v>
      </c>
      <c r="T25" s="26">
        <v>600</v>
      </c>
      <c r="U25" s="4" t="s">
        <v>0</v>
      </c>
      <c r="V25" s="5">
        <v>1049100</v>
      </c>
      <c r="AD25" s="26">
        <v>600</v>
      </c>
      <c r="AE25" s="4" t="s">
        <v>0</v>
      </c>
      <c r="AF25" s="5">
        <v>1049100</v>
      </c>
      <c r="AN25" s="26">
        <v>600</v>
      </c>
      <c r="AO25" s="4" t="s">
        <v>0</v>
      </c>
      <c r="AP25" s="5">
        <v>1049100</v>
      </c>
      <c r="AX25" s="26">
        <v>600</v>
      </c>
      <c r="AY25" s="4" t="s">
        <v>0</v>
      </c>
      <c r="AZ25" s="5">
        <v>1049100</v>
      </c>
      <c r="BH25" s="26">
        <v>600</v>
      </c>
      <c r="BI25" s="4" t="s">
        <v>0</v>
      </c>
      <c r="BJ25" s="5">
        <v>1049100</v>
      </c>
    </row>
    <row r="26" spans="1:62">
      <c r="J26" s="26"/>
      <c r="K26" s="4" t="s">
        <v>1</v>
      </c>
      <c r="L26" s="5">
        <v>401630</v>
      </c>
      <c r="T26" s="26"/>
      <c r="U26" s="4" t="s">
        <v>1</v>
      </c>
      <c r="V26" s="5">
        <v>646900</v>
      </c>
      <c r="AD26" s="26"/>
      <c r="AE26" s="4" t="s">
        <v>1</v>
      </c>
      <c r="AF26" s="5">
        <v>979320</v>
      </c>
      <c r="AN26" s="26"/>
      <c r="AO26" s="4" t="s">
        <v>1</v>
      </c>
      <c r="AP26" s="5">
        <v>764290</v>
      </c>
      <c r="AX26" s="26"/>
      <c r="AY26" s="4" t="s">
        <v>1</v>
      </c>
      <c r="AZ26" s="5">
        <v>931960</v>
      </c>
      <c r="BH26" s="26"/>
      <c r="BI26" s="4" t="s">
        <v>1</v>
      </c>
      <c r="BJ26" s="5">
        <v>1046400</v>
      </c>
    </row>
    <row r="27" spans="1:62">
      <c r="A27" s="120" t="s">
        <v>145</v>
      </c>
      <c r="J27" s="26"/>
      <c r="K27" s="4" t="s">
        <v>2</v>
      </c>
      <c r="L27" s="5">
        <v>647450</v>
      </c>
      <c r="T27" s="26"/>
      <c r="U27" s="4" t="s">
        <v>2</v>
      </c>
      <c r="V27" s="5">
        <v>402190</v>
      </c>
      <c r="AD27" s="26"/>
      <c r="AE27" s="4" t="s">
        <v>2</v>
      </c>
      <c r="AF27" s="5">
        <v>69769</v>
      </c>
      <c r="AN27" s="26"/>
      <c r="AO27" s="4" t="s">
        <v>2</v>
      </c>
      <c r="AP27" s="5">
        <v>284810</v>
      </c>
      <c r="AX27" s="26"/>
      <c r="AY27" s="4" t="s">
        <v>2</v>
      </c>
      <c r="AZ27" s="5">
        <v>117130</v>
      </c>
      <c r="BH27" s="26"/>
      <c r="BI27" s="4" t="s">
        <v>2</v>
      </c>
      <c r="BJ27" s="5">
        <v>2701.7</v>
      </c>
    </row>
    <row r="28" spans="1:62">
      <c r="A28" s="199" t="str">
        <f>AH3</f>
        <v>Filter Area (ft2)</v>
      </c>
      <c r="B28" s="200" t="s">
        <v>11</v>
      </c>
      <c r="C28" s="200"/>
      <c r="D28" s="200"/>
      <c r="E28" s="200" t="s">
        <v>12</v>
      </c>
      <c r="F28" s="200"/>
      <c r="G28" s="200"/>
      <c r="H28" s="6"/>
      <c r="J28" s="26"/>
      <c r="K28" s="4" t="s">
        <v>3</v>
      </c>
      <c r="L28" s="5">
        <v>399870</v>
      </c>
      <c r="T28" s="26"/>
      <c r="U28" s="4" t="s">
        <v>3</v>
      </c>
      <c r="V28" s="5">
        <v>646120</v>
      </c>
      <c r="AD28" s="26"/>
      <c r="AE28" s="4" t="s">
        <v>3</v>
      </c>
      <c r="AF28" s="5">
        <v>978750</v>
      </c>
      <c r="AN28" s="26"/>
      <c r="AO28" s="4" t="s">
        <v>3</v>
      </c>
      <c r="AP28" s="5">
        <v>761760</v>
      </c>
      <c r="AX28" s="26"/>
      <c r="AY28" s="4" t="s">
        <v>3</v>
      </c>
      <c r="AZ28" s="5">
        <v>931100</v>
      </c>
      <c r="BH28" s="26"/>
      <c r="BI28" s="4" t="s">
        <v>3</v>
      </c>
      <c r="BJ28" s="5">
        <v>1045800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8.8227051758650268E-2</v>
      </c>
      <c r="C30" s="2">
        <f t="shared" ref="C30:C35" si="8">Y4</f>
        <v>0.1902392526927843</v>
      </c>
      <c r="D30" s="2">
        <f t="shared" ref="D30:D35" si="9">AI4</f>
        <v>0.56396911638547331</v>
      </c>
      <c r="E30" s="11">
        <f t="shared" ref="E30:E35" si="10">Q4</f>
        <v>7.7644229702689156</v>
      </c>
      <c r="F30" s="11">
        <f t="shared" ref="F30:F35" si="11">AA4</f>
        <v>1.9828320733851814</v>
      </c>
      <c r="G30" s="9">
        <f t="shared" ref="G30:G35" si="12">AK4</f>
        <v>0.52525579957439272</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0.16056619959965684</v>
      </c>
      <c r="C31" s="2">
        <f t="shared" si="8"/>
        <v>0.32117052711848249</v>
      </c>
      <c r="D31" s="2">
        <f t="shared" si="9"/>
        <v>0.72092269564388523</v>
      </c>
      <c r="E31" s="11">
        <f t="shared" si="10"/>
        <v>8.6174634127124818</v>
      </c>
      <c r="F31" s="11">
        <f t="shared" si="11"/>
        <v>2.3098651038779336</v>
      </c>
      <c r="G31" s="9">
        <f t="shared" si="12"/>
        <v>0.78845343731907813</v>
      </c>
      <c r="H31" s="12"/>
      <c r="J31" s="26"/>
      <c r="K31" s="4"/>
      <c r="L31" s="4"/>
      <c r="T31" s="26"/>
      <c r="U31" s="4"/>
      <c r="V31" s="4"/>
      <c r="AD31" s="26"/>
      <c r="AE31" s="4"/>
      <c r="AF31" s="4"/>
      <c r="AN31" s="26"/>
      <c r="AO31" s="4"/>
      <c r="AP31" s="4"/>
      <c r="AX31" s="26"/>
      <c r="AY31" s="4"/>
      <c r="AZ31" s="4"/>
      <c r="BH31" s="26"/>
      <c r="BI31" s="4"/>
      <c r="BJ31" s="4"/>
    </row>
    <row r="32" spans="1:62">
      <c r="A32" s="10">
        <v>400</v>
      </c>
      <c r="B32" s="2">
        <f t="shared" si="7"/>
        <v>0.28403393384806025</v>
      </c>
      <c r="C32" s="2">
        <f t="shared" si="8"/>
        <v>0.49901820608140313</v>
      </c>
      <c r="D32" s="2">
        <f t="shared" si="9"/>
        <v>0.86614240777809548</v>
      </c>
      <c r="E32" s="11">
        <f t="shared" si="10"/>
        <v>9.8486543220819502</v>
      </c>
      <c r="F32" s="11">
        <f t="shared" si="11"/>
        <v>2.8456672683220323</v>
      </c>
      <c r="G32" s="9">
        <f t="shared" si="12"/>
        <v>1.2475983731317213</v>
      </c>
      <c r="H32" s="12"/>
      <c r="J32" s="26">
        <v>800</v>
      </c>
      <c r="K32" s="4" t="s">
        <v>0</v>
      </c>
      <c r="L32" s="5">
        <v>1049100</v>
      </c>
      <c r="T32" s="26">
        <v>800</v>
      </c>
      <c r="U32" s="4" t="s">
        <v>0</v>
      </c>
      <c r="V32" s="5">
        <v>1049100</v>
      </c>
      <c r="AD32" s="26">
        <v>800</v>
      </c>
      <c r="AE32" s="4" t="s">
        <v>0</v>
      </c>
      <c r="AF32" s="5">
        <v>1049100</v>
      </c>
      <c r="AN32" s="26">
        <v>800</v>
      </c>
      <c r="AO32" s="4" t="s">
        <v>0</v>
      </c>
      <c r="AP32" s="5">
        <v>1049100</v>
      </c>
      <c r="AX32" s="26">
        <v>800</v>
      </c>
      <c r="AY32" s="4" t="s">
        <v>0</v>
      </c>
      <c r="AZ32" s="5">
        <v>1049100</v>
      </c>
      <c r="BH32" s="26">
        <v>800</v>
      </c>
      <c r="BI32" s="4" t="s">
        <v>0</v>
      </c>
      <c r="BJ32" s="5">
        <v>1049100</v>
      </c>
    </row>
    <row r="33" spans="1:62">
      <c r="A33" s="10">
        <v>600</v>
      </c>
      <c r="B33" s="2">
        <f t="shared" si="7"/>
        <v>0.38283290439424267</v>
      </c>
      <c r="C33" s="2">
        <f t="shared" si="8"/>
        <v>0.61662377275760172</v>
      </c>
      <c r="D33" s="2">
        <f t="shared" si="9"/>
        <v>0.93348584501000853</v>
      </c>
      <c r="E33" s="11">
        <f t="shared" si="10"/>
        <v>10.712208857466411</v>
      </c>
      <c r="F33" s="11">
        <f t="shared" si="11"/>
        <v>3.3211872770059965</v>
      </c>
      <c r="G33" s="9">
        <f t="shared" si="12"/>
        <v>1.6914586172567443</v>
      </c>
      <c r="H33" s="12"/>
      <c r="J33" s="26"/>
      <c r="K33" s="4" t="s">
        <v>1</v>
      </c>
      <c r="L33" s="5">
        <v>488550</v>
      </c>
      <c r="T33" s="26"/>
      <c r="U33" s="4" t="s">
        <v>1</v>
      </c>
      <c r="V33" s="5">
        <v>734790</v>
      </c>
      <c r="AD33" s="26"/>
      <c r="AE33" s="4" t="s">
        <v>1</v>
      </c>
      <c r="AF33" s="5">
        <v>1014500</v>
      </c>
      <c r="AN33" s="26"/>
      <c r="AO33" s="4" t="s">
        <v>1</v>
      </c>
      <c r="AP33" s="5">
        <v>852550</v>
      </c>
      <c r="AX33" s="26"/>
      <c r="AY33" s="4" t="s">
        <v>1</v>
      </c>
      <c r="AZ33" s="5">
        <v>987030</v>
      </c>
      <c r="BH33" s="26"/>
      <c r="BI33" s="4" t="s">
        <v>1</v>
      </c>
      <c r="BJ33" s="5">
        <v>1049000</v>
      </c>
    </row>
    <row r="34" spans="1:62">
      <c r="A34" s="10">
        <v>800</v>
      </c>
      <c r="B34" s="2">
        <f t="shared" si="7"/>
        <v>0.4656848727480698</v>
      </c>
      <c r="C34" s="2">
        <f t="shared" si="8"/>
        <v>0.70040034315127253</v>
      </c>
      <c r="D34" s="2">
        <f t="shared" si="9"/>
        <v>0.9670193499189782</v>
      </c>
      <c r="E34" s="11">
        <f t="shared" si="10"/>
        <v>11.436226698688101</v>
      </c>
      <c r="F34" s="11">
        <f t="shared" si="11"/>
        <v>3.7776374655290583</v>
      </c>
      <c r="G34" s="9">
        <f t="shared" si="12"/>
        <v>2.1456826566003495</v>
      </c>
      <c r="H34" s="12"/>
      <c r="J34" s="26"/>
      <c r="K34" s="4" t="s">
        <v>2</v>
      </c>
      <c r="L34" s="5">
        <v>560540</v>
      </c>
      <c r="T34" s="26"/>
      <c r="U34" s="4" t="s">
        <v>2</v>
      </c>
      <c r="V34" s="5">
        <v>314290</v>
      </c>
      <c r="AD34" s="26"/>
      <c r="AE34" s="4" t="s">
        <v>2</v>
      </c>
      <c r="AF34" s="5">
        <v>34546</v>
      </c>
      <c r="AN34" s="26"/>
      <c r="AO34" s="4" t="s">
        <v>2</v>
      </c>
      <c r="AP34" s="5">
        <v>196540</v>
      </c>
      <c r="AX34" s="26"/>
      <c r="AY34" s="4" t="s">
        <v>2</v>
      </c>
      <c r="AZ34" s="5">
        <v>62062</v>
      </c>
      <c r="BH34" s="26"/>
      <c r="BI34" s="4" t="s">
        <v>2</v>
      </c>
      <c r="BJ34" s="5">
        <v>59.561999999999998</v>
      </c>
    </row>
    <row r="35" spans="1:62">
      <c r="A35" s="10">
        <v>1000</v>
      </c>
      <c r="B35" s="2">
        <f t="shared" si="7"/>
        <v>0.53410542369650171</v>
      </c>
      <c r="C35" s="2">
        <f t="shared" si="8"/>
        <v>0.76355924125440855</v>
      </c>
      <c r="D35" s="2">
        <f t="shared" si="9"/>
        <v>0.98265179677819081</v>
      </c>
      <c r="E35" s="11">
        <f t="shared" si="10"/>
        <v>12.136090653129724</v>
      </c>
      <c r="F35" s="11">
        <f t="shared" si="11"/>
        <v>4.2114889418333217</v>
      </c>
      <c r="G35" s="9">
        <f t="shared" si="12"/>
        <v>2.615328515150972</v>
      </c>
      <c r="H35" s="12"/>
      <c r="J35" s="26"/>
      <c r="K35" s="4" t="s">
        <v>3</v>
      </c>
      <c r="L35" s="5">
        <v>486350</v>
      </c>
      <c r="T35" s="26"/>
      <c r="U35" s="4" t="s">
        <v>3</v>
      </c>
      <c r="V35" s="5">
        <v>733810</v>
      </c>
      <c r="AD35" s="26"/>
      <c r="AE35" s="4" t="s">
        <v>3</v>
      </c>
      <c r="AF35" s="5">
        <v>1013800</v>
      </c>
      <c r="AN35" s="26"/>
      <c r="AO35" s="4" t="s">
        <v>3</v>
      </c>
      <c r="AP35" s="5">
        <v>849600</v>
      </c>
      <c r="AX35" s="26"/>
      <c r="AY35" s="4" t="s">
        <v>3</v>
      </c>
      <c r="AZ35" s="5">
        <v>985950</v>
      </c>
      <c r="BH35" s="26"/>
      <c r="BI35" s="4" t="s">
        <v>3</v>
      </c>
      <c r="BJ35" s="5">
        <v>1048300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1049100</v>
      </c>
      <c r="T39" s="26">
        <v>1000</v>
      </c>
      <c r="U39" s="4" t="s">
        <v>0</v>
      </c>
      <c r="V39" s="5">
        <v>1049100</v>
      </c>
      <c r="AD39" s="26">
        <v>1000</v>
      </c>
      <c r="AE39" s="4" t="s">
        <v>0</v>
      </c>
      <c r="AF39" s="5"/>
      <c r="AN39" s="26">
        <v>1000</v>
      </c>
      <c r="AO39" s="4" t="s">
        <v>0</v>
      </c>
      <c r="AP39" s="5">
        <v>1049100</v>
      </c>
      <c r="AX39" s="26">
        <v>1000</v>
      </c>
      <c r="AY39" s="4" t="s">
        <v>0</v>
      </c>
      <c r="AZ39" s="5">
        <v>1049100</v>
      </c>
      <c r="BH39" s="26">
        <v>1000</v>
      </c>
      <c r="BI39" s="4" t="s">
        <v>0</v>
      </c>
      <c r="BJ39" s="5">
        <v>1049100</v>
      </c>
    </row>
    <row r="40" spans="1:62">
      <c r="A40" s="199"/>
      <c r="B40" s="15" t="s">
        <v>15</v>
      </c>
      <c r="C40" s="15" t="s">
        <v>14</v>
      </c>
      <c r="D40" s="15" t="s">
        <v>13</v>
      </c>
      <c r="E40" s="15" t="s">
        <v>15</v>
      </c>
      <c r="F40" s="15" t="s">
        <v>14</v>
      </c>
      <c r="G40" s="15" t="s">
        <v>13</v>
      </c>
      <c r="J40" s="26"/>
      <c r="K40" s="4" t="s">
        <v>1</v>
      </c>
      <c r="L40" s="5">
        <v>560330</v>
      </c>
      <c r="T40" s="26"/>
      <c r="U40" s="4" t="s">
        <v>1</v>
      </c>
      <c r="V40" s="5">
        <v>801050</v>
      </c>
      <c r="AD40" s="26"/>
      <c r="AE40" s="4" t="s">
        <v>1</v>
      </c>
      <c r="AF40" s="5">
        <v>1030900</v>
      </c>
      <c r="AN40" s="26"/>
      <c r="AO40" s="4" t="s">
        <v>1</v>
      </c>
      <c r="AP40" s="5">
        <v>910760</v>
      </c>
      <c r="AX40" s="26"/>
      <c r="AY40" s="4" t="s">
        <v>1</v>
      </c>
      <c r="AZ40" s="5">
        <v>1017900</v>
      </c>
      <c r="BH40" s="26"/>
      <c r="BI40" s="4" t="s">
        <v>1</v>
      </c>
      <c r="BJ40" s="5">
        <v>1049100</v>
      </c>
    </row>
    <row r="41" spans="1:62">
      <c r="A41" s="10">
        <v>100</v>
      </c>
      <c r="B41" s="2">
        <f>AS4</f>
        <v>0.22308645505671529</v>
      </c>
      <c r="C41" s="2">
        <f>BC4</f>
        <v>0.38322371556572299</v>
      </c>
      <c r="D41" s="2">
        <f>BM4</f>
        <v>0.75574301782480224</v>
      </c>
      <c r="E41" s="11">
        <f>AU4</f>
        <v>5.5628667518579977</v>
      </c>
      <c r="F41" s="11">
        <f>BE4</f>
        <v>1.3770853005980486</v>
      </c>
      <c r="G41" s="9">
        <f>BO4</f>
        <v>0.3670078791348681</v>
      </c>
      <c r="J41" s="26"/>
      <c r="K41" s="4" t="s">
        <v>2</v>
      </c>
      <c r="L41" s="5">
        <v>488760</v>
      </c>
      <c r="T41" s="26"/>
      <c r="U41" s="4" t="s">
        <v>2</v>
      </c>
      <c r="V41" s="5">
        <v>248040</v>
      </c>
      <c r="AD41" s="26"/>
      <c r="AE41" s="4" t="s">
        <v>2</v>
      </c>
      <c r="AF41" s="5">
        <v>18180</v>
      </c>
      <c r="AN41" s="26"/>
      <c r="AO41" s="4" t="s">
        <v>2</v>
      </c>
      <c r="AP41" s="5">
        <v>138330</v>
      </c>
      <c r="AX41" s="26"/>
      <c r="AY41" s="4" t="s">
        <v>2</v>
      </c>
      <c r="AZ41" s="5">
        <v>31171</v>
      </c>
      <c r="BH41" s="26"/>
      <c r="BI41" s="4" t="s">
        <v>2</v>
      </c>
      <c r="BJ41" s="5">
        <v>0</v>
      </c>
    </row>
    <row r="42" spans="1:62">
      <c r="A42" s="10">
        <v>200</v>
      </c>
      <c r="B42" s="2">
        <f t="shared" ref="B42:B46" si="13">AS5</f>
        <v>0.38111714803164615</v>
      </c>
      <c r="C42" s="2">
        <f t="shared" ref="C42:C46" si="14">BC5</f>
        <v>0.58176532265751602</v>
      </c>
      <c r="D42" s="2">
        <f t="shared" ref="D42:D46" si="15">BM5</f>
        <v>0.89832237155657235</v>
      </c>
      <c r="E42" s="11">
        <f t="shared" ref="E42:E46" si="16">AU5</f>
        <v>6.3423721196570053</v>
      </c>
      <c r="F42" s="11">
        <f t="shared" ref="F42:F46" si="17">BE5</f>
        <v>1.7013995226359053</v>
      </c>
      <c r="G42" s="9">
        <f t="shared" ref="G42:G46" si="18">BO5</f>
        <v>0.58886869910491957</v>
      </c>
      <c r="J42" s="26"/>
      <c r="K42" s="4" t="s">
        <v>3</v>
      </c>
      <c r="L42" s="5">
        <v>557700</v>
      </c>
      <c r="T42" s="26"/>
      <c r="U42" s="4" t="s">
        <v>3</v>
      </c>
      <c r="V42" s="5">
        <v>799850</v>
      </c>
      <c r="AD42" s="26"/>
      <c r="AE42" s="4" t="s">
        <v>3</v>
      </c>
      <c r="AF42" s="5">
        <v>1030000</v>
      </c>
      <c r="AN42" s="26"/>
      <c r="AO42" s="4" t="s">
        <v>3</v>
      </c>
      <c r="AP42" s="5">
        <v>907390</v>
      </c>
      <c r="AX42" s="26"/>
      <c r="AY42" s="4" t="s">
        <v>3</v>
      </c>
      <c r="AZ42" s="5">
        <v>1016700</v>
      </c>
      <c r="BH42" s="26"/>
      <c r="BI42" s="4" t="s">
        <v>3</v>
      </c>
      <c r="BJ42" s="5">
        <v>1048200</v>
      </c>
    </row>
    <row r="43" spans="1:62">
      <c r="A43" s="10">
        <v>400</v>
      </c>
      <c r="B43" s="2">
        <f t="shared" si="13"/>
        <v>0.5943761319226003</v>
      </c>
      <c r="C43" s="2">
        <f t="shared" si="14"/>
        <v>0.79007720903631684</v>
      </c>
      <c r="D43" s="2">
        <f t="shared" si="15"/>
        <v>0.98350967495948904</v>
      </c>
      <c r="E43" s="11">
        <f t="shared" si="16"/>
        <v>7.6863106806777139</v>
      </c>
      <c r="F43" s="11">
        <f t="shared" si="17"/>
        <v>2.2550166065865813</v>
      </c>
      <c r="G43" s="9">
        <f t="shared" si="18"/>
        <v>1.0412018444146958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0.7285196835382709</v>
      </c>
      <c r="C44" s="2">
        <f t="shared" si="14"/>
        <v>0.88834238871413596</v>
      </c>
      <c r="D44" s="2">
        <f t="shared" si="15"/>
        <v>0.99742636545610519</v>
      </c>
      <c r="E44" s="11">
        <f t="shared" si="16"/>
        <v>8.7725894177507087</v>
      </c>
      <c r="F44" s="11">
        <f t="shared" si="17"/>
        <v>2.774408852742305</v>
      </c>
      <c r="G44" s="9">
        <f t="shared" si="18"/>
        <v>1.5229044834307992</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0.81264893718425313</v>
      </c>
      <c r="C45" s="2">
        <f t="shared" si="14"/>
        <v>0.94083500142979692</v>
      </c>
      <c r="D45" s="2">
        <f t="shared" si="15"/>
        <v>0.99990468020207801</v>
      </c>
      <c r="E45" s="11">
        <f t="shared" si="16"/>
        <v>9.7191849769169369</v>
      </c>
      <c r="F45" s="11">
        <f t="shared" si="17"/>
        <v>3.2817627754336622</v>
      </c>
      <c r="G45" s="9">
        <f t="shared" si="18"/>
        <v>2.0230658406777851</v>
      </c>
      <c r="Y45"/>
      <c r="Z45"/>
      <c r="AA45"/>
      <c r="AB45"/>
      <c r="BC45"/>
      <c r="BD45"/>
      <c r="BE45"/>
      <c r="BF45"/>
    </row>
    <row r="46" spans="1:62">
      <c r="A46" s="10">
        <v>1000</v>
      </c>
      <c r="B46" s="2">
        <f t="shared" si="13"/>
        <v>0.86813459155466588</v>
      </c>
      <c r="C46" s="2">
        <f t="shared" si="14"/>
        <v>0.97026022304832715</v>
      </c>
      <c r="D46" s="2">
        <f t="shared" si="15"/>
        <v>1</v>
      </c>
      <c r="E46" s="11">
        <f t="shared" si="16"/>
        <v>10.588925798858815</v>
      </c>
      <c r="F46" s="11">
        <f t="shared" si="17"/>
        <v>3.7594146483980606</v>
      </c>
      <c r="G46" s="9">
        <f t="shared" si="18"/>
        <v>2.5297864282017701</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0.22308645505671526</v>
      </c>
      <c r="C52" s="2">
        <f>C30+(($A$25-1)/3)*(C41-C30)</f>
        <v>0.38322371556572299</v>
      </c>
      <c r="D52" s="2">
        <f>D30+(($A$25-1)/3)*(D41-D30)</f>
        <v>0.75574301782480224</v>
      </c>
      <c r="E52" s="9">
        <f>E30+(($A$25-1)/3)*(E41-E30)</f>
        <v>5.5628667518579977</v>
      </c>
      <c r="F52" s="9">
        <f t="shared" ref="F52:G57" si="19">F30+(($A$25-1)/3)*(F41-F30)</f>
        <v>1.3770853005980486</v>
      </c>
      <c r="G52" s="9">
        <f t="shared" si="19"/>
        <v>0.3670078791348681</v>
      </c>
      <c r="Y52"/>
      <c r="Z52"/>
      <c r="AA52"/>
      <c r="AB52"/>
      <c r="BC52"/>
      <c r="BD52"/>
      <c r="BE52"/>
      <c r="BF52"/>
    </row>
    <row r="53" spans="1:58">
      <c r="A53" s="10">
        <v>200</v>
      </c>
      <c r="B53" s="2">
        <f t="shared" ref="B53:E57" si="20">B31+(($A$25-1)/3)*(B42-B31)</f>
        <v>0.38111714803164615</v>
      </c>
      <c r="C53" s="2">
        <f t="shared" si="20"/>
        <v>0.58176532265751602</v>
      </c>
      <c r="D53" s="2">
        <f t="shared" si="20"/>
        <v>0.89832237155657235</v>
      </c>
      <c r="E53" s="9">
        <f t="shared" si="20"/>
        <v>6.3423721196570053</v>
      </c>
      <c r="F53" s="9">
        <f t="shared" si="19"/>
        <v>1.7013995226359053</v>
      </c>
      <c r="G53" s="9">
        <f t="shared" si="19"/>
        <v>0.58886869910491957</v>
      </c>
      <c r="Y53"/>
      <c r="Z53"/>
      <c r="AA53"/>
      <c r="AB53"/>
      <c r="BC53"/>
      <c r="BD53"/>
      <c r="BE53"/>
      <c r="BF53"/>
    </row>
    <row r="54" spans="1:58">
      <c r="A54" s="10">
        <v>400</v>
      </c>
      <c r="B54" s="2">
        <f t="shared" si="20"/>
        <v>0.5943761319226003</v>
      </c>
      <c r="C54" s="2">
        <f t="shared" si="20"/>
        <v>0.79007720903631684</v>
      </c>
      <c r="D54" s="2">
        <f t="shared" si="20"/>
        <v>0.98350967495948904</v>
      </c>
      <c r="E54" s="9">
        <f t="shared" si="20"/>
        <v>7.6863106806777139</v>
      </c>
      <c r="F54" s="9">
        <f t="shared" si="19"/>
        <v>2.2550166065865813</v>
      </c>
      <c r="G54" s="9">
        <f t="shared" si="19"/>
        <v>1.0412018444146958</v>
      </c>
      <c r="Y54"/>
      <c r="Z54"/>
      <c r="AA54"/>
      <c r="AB54"/>
      <c r="BC54"/>
      <c r="BD54"/>
      <c r="BE54"/>
      <c r="BF54"/>
    </row>
    <row r="55" spans="1:58">
      <c r="A55" s="10">
        <v>600</v>
      </c>
      <c r="B55" s="2">
        <f t="shared" si="20"/>
        <v>0.7285196835382709</v>
      </c>
      <c r="C55" s="2">
        <f t="shared" si="20"/>
        <v>0.88834238871413596</v>
      </c>
      <c r="D55" s="2">
        <f t="shared" si="20"/>
        <v>0.99742636545610519</v>
      </c>
      <c r="E55" s="9">
        <f t="shared" si="20"/>
        <v>8.7725894177507087</v>
      </c>
      <c r="F55" s="9">
        <f t="shared" si="19"/>
        <v>2.774408852742305</v>
      </c>
      <c r="G55" s="9">
        <f t="shared" si="19"/>
        <v>1.5229044834307992</v>
      </c>
      <c r="Y55"/>
      <c r="Z55"/>
      <c r="AA55"/>
      <c r="AB55"/>
      <c r="BC55"/>
      <c r="BD55"/>
      <c r="BE55"/>
      <c r="BF55"/>
    </row>
    <row r="56" spans="1:58">
      <c r="A56" s="10">
        <v>800</v>
      </c>
      <c r="B56" s="2">
        <f t="shared" si="20"/>
        <v>0.81264893718425313</v>
      </c>
      <c r="C56" s="2">
        <f t="shared" si="20"/>
        <v>0.94083500142979692</v>
      </c>
      <c r="D56" s="2">
        <f t="shared" si="20"/>
        <v>0.99990468020207801</v>
      </c>
      <c r="E56" s="9">
        <f t="shared" si="20"/>
        <v>9.7191849769169369</v>
      </c>
      <c r="F56" s="9">
        <f t="shared" si="19"/>
        <v>3.2817627754336622</v>
      </c>
      <c r="G56" s="9">
        <f t="shared" si="19"/>
        <v>2.0230658406777851</v>
      </c>
      <c r="Y56"/>
      <c r="Z56"/>
      <c r="AA56"/>
      <c r="AB56"/>
      <c r="BC56"/>
      <c r="BD56"/>
      <c r="BE56"/>
      <c r="BF56"/>
    </row>
    <row r="57" spans="1:58">
      <c r="A57" s="10">
        <v>1000</v>
      </c>
      <c r="B57" s="2">
        <f t="shared" si="20"/>
        <v>0.86813459155466588</v>
      </c>
      <c r="C57" s="2">
        <f t="shared" si="20"/>
        <v>0.97026022304832715</v>
      </c>
      <c r="D57" s="2">
        <f t="shared" si="20"/>
        <v>1</v>
      </c>
      <c r="E57" s="9">
        <f t="shared" si="20"/>
        <v>10.588925798858815</v>
      </c>
      <c r="F57" s="9">
        <f t="shared" si="19"/>
        <v>3.7594146483980606</v>
      </c>
      <c r="G57" s="9">
        <f t="shared" si="19"/>
        <v>2.5297864282017701</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sheetPr codeName="Sheet2"/>
  <dimension ref="A1:Q69"/>
  <sheetViews>
    <sheetView topLeftCell="A12" zoomScaleNormal="100" workbookViewId="0">
      <selection activeCell="B45" sqref="B45:B46"/>
    </sheetView>
  </sheetViews>
  <sheetFormatPr defaultRowHeight="14.4"/>
  <cols>
    <col min="1" max="1" width="31.44140625" customWidth="1"/>
    <col min="2" max="2" width="15.33203125" customWidth="1"/>
    <col min="3" max="3" width="13.77734375" customWidth="1"/>
    <col min="4" max="4" width="13.44140625" customWidth="1"/>
    <col min="5" max="5" width="11.6640625" customWidth="1"/>
    <col min="6" max="12" width="10.77734375" customWidth="1"/>
    <col min="13" max="13" width="9.77734375" customWidth="1"/>
  </cols>
  <sheetData>
    <row r="1" spans="1:12" ht="20.399999999999999" customHeight="1">
      <c r="A1" s="163" t="s">
        <v>161</v>
      </c>
      <c r="B1" s="162"/>
      <c r="C1" s="162"/>
      <c r="D1" s="162"/>
      <c r="E1" s="162"/>
      <c r="F1" s="162"/>
      <c r="G1" s="162"/>
      <c r="H1" s="162"/>
    </row>
    <row r="3" spans="1:12" ht="15.6">
      <c r="A3" s="164" t="s">
        <v>160</v>
      </c>
    </row>
    <row r="4" spans="1:12" ht="60.6" customHeight="1">
      <c r="A4" s="181" t="s">
        <v>162</v>
      </c>
      <c r="B4" s="181"/>
      <c r="C4" s="181"/>
      <c r="D4" s="181"/>
    </row>
    <row r="6" spans="1:12" ht="15.6">
      <c r="A6" s="164" t="s">
        <v>156</v>
      </c>
    </row>
    <row r="7" spans="1:12" ht="60.6" customHeight="1">
      <c r="A7" s="170" t="s">
        <v>190</v>
      </c>
    </row>
    <row r="9" spans="1:12" ht="52.2" customHeight="1">
      <c r="A9" s="172" t="s">
        <v>157</v>
      </c>
      <c r="B9" s="158" t="s">
        <v>124</v>
      </c>
      <c r="C9" s="159">
        <v>1</v>
      </c>
      <c r="D9" s="140"/>
      <c r="E9" s="140"/>
      <c r="F9" s="140"/>
      <c r="G9" s="140"/>
      <c r="H9" s="140"/>
      <c r="I9" s="140"/>
      <c r="J9" s="140"/>
      <c r="K9" s="140"/>
      <c r="L9" s="140"/>
    </row>
    <row r="10" spans="1:12" ht="38.4" customHeight="1">
      <c r="A10" s="165" t="s">
        <v>158</v>
      </c>
      <c r="B10" s="158" t="s">
        <v>127</v>
      </c>
      <c r="C10" s="141">
        <v>100</v>
      </c>
      <c r="D10" s="140"/>
      <c r="E10" s="140"/>
      <c r="F10" s="140"/>
      <c r="G10" s="140"/>
      <c r="H10" s="140"/>
      <c r="I10" s="140"/>
      <c r="J10" s="140"/>
      <c r="K10" s="140"/>
      <c r="L10" s="140"/>
    </row>
    <row r="11" spans="1:12">
      <c r="A11" s="140"/>
      <c r="B11" s="140"/>
      <c r="C11" s="140"/>
      <c r="D11" s="140"/>
      <c r="E11" s="140"/>
      <c r="F11" s="140"/>
      <c r="G11" s="140"/>
      <c r="H11" s="140"/>
      <c r="I11" s="140"/>
      <c r="J11" s="140"/>
      <c r="K11" s="140"/>
      <c r="L11" s="140"/>
    </row>
    <row r="12" spans="1:12" ht="18" customHeight="1">
      <c r="A12" s="193" t="s">
        <v>177</v>
      </c>
      <c r="B12" s="146" t="s">
        <v>60</v>
      </c>
      <c r="C12" s="166" t="s">
        <v>61</v>
      </c>
      <c r="D12" s="166" t="s">
        <v>62</v>
      </c>
      <c r="E12" s="166" t="s">
        <v>63</v>
      </c>
      <c r="F12" s="166" t="s">
        <v>64</v>
      </c>
      <c r="G12" s="166" t="s">
        <v>154</v>
      </c>
      <c r="H12" s="140"/>
      <c r="I12" s="140"/>
      <c r="J12" s="140"/>
      <c r="K12" s="140"/>
      <c r="L12" s="140"/>
    </row>
    <row r="13" spans="1:12" s="29" customFormat="1" ht="19.8" customHeight="1">
      <c r="A13" s="193"/>
      <c r="B13" s="151" t="s">
        <v>67</v>
      </c>
      <c r="C13" s="167" t="s">
        <v>68</v>
      </c>
      <c r="D13" s="168" t="s">
        <v>69</v>
      </c>
      <c r="E13" s="169" t="s">
        <v>70</v>
      </c>
      <c r="F13" s="169" t="s">
        <v>71</v>
      </c>
      <c r="G13" s="169" t="s">
        <v>72</v>
      </c>
      <c r="H13" s="140"/>
      <c r="I13" s="142"/>
      <c r="J13" s="142"/>
      <c r="K13" s="142"/>
      <c r="L13" s="142"/>
    </row>
    <row r="14" spans="1:12" s="29" customFormat="1" ht="25.2" customHeight="1">
      <c r="A14" s="171" t="s">
        <v>164</v>
      </c>
      <c r="B14" s="151" t="s">
        <v>163</v>
      </c>
      <c r="C14" s="167" t="s">
        <v>172</v>
      </c>
      <c r="D14" s="168" t="s">
        <v>173</v>
      </c>
      <c r="E14" s="169" t="s">
        <v>174</v>
      </c>
      <c r="F14" s="169" t="s">
        <v>175</v>
      </c>
      <c r="G14" s="169">
        <v>1.45</v>
      </c>
      <c r="H14" s="140"/>
      <c r="I14" s="142"/>
      <c r="J14" s="142"/>
      <c r="K14" s="142"/>
      <c r="L14" s="142"/>
    </row>
    <row r="15" spans="1:12" ht="28.8">
      <c r="A15" s="171" t="s">
        <v>176</v>
      </c>
      <c r="B15" s="143" t="s">
        <v>78</v>
      </c>
      <c r="C15" s="144" t="s">
        <v>79</v>
      </c>
      <c r="D15" s="144" t="s">
        <v>80</v>
      </c>
      <c r="E15" s="144" t="s">
        <v>81</v>
      </c>
      <c r="F15" s="144" t="s">
        <v>82</v>
      </c>
      <c r="G15" s="144" t="s">
        <v>83</v>
      </c>
      <c r="H15" s="145" t="s">
        <v>77</v>
      </c>
      <c r="I15" s="140"/>
      <c r="J15" s="140"/>
      <c r="K15" s="140"/>
      <c r="L15" s="140"/>
    </row>
    <row r="16" spans="1:12" ht="60">
      <c r="A16" s="171" t="s">
        <v>165</v>
      </c>
      <c r="B16" s="158" t="s">
        <v>149</v>
      </c>
      <c r="C16" s="174">
        <v>0.1</v>
      </c>
      <c r="D16" s="174">
        <v>0.2</v>
      </c>
      <c r="E16" s="174">
        <v>0.4</v>
      </c>
      <c r="F16" s="174">
        <v>0.2</v>
      </c>
      <c r="G16" s="174">
        <v>0.1</v>
      </c>
      <c r="H16" s="155">
        <f>IF(SUM(C16:G16)=1, 100%,"ERROR")</f>
        <v>1</v>
      </c>
      <c r="I16" s="140"/>
      <c r="J16" s="140"/>
      <c r="K16" s="140"/>
      <c r="L16" s="140"/>
    </row>
    <row r="17" spans="1:15">
      <c r="A17" s="157"/>
      <c r="B17" s="140"/>
      <c r="C17" s="140"/>
      <c r="D17" s="140"/>
      <c r="E17" s="140"/>
      <c r="F17" s="140"/>
      <c r="G17" s="140"/>
      <c r="H17" s="140"/>
      <c r="I17" s="140"/>
      <c r="J17" s="140"/>
      <c r="K17" s="140"/>
      <c r="L17" s="140"/>
    </row>
    <row r="18" spans="1:15">
      <c r="A18" s="140"/>
      <c r="B18" s="140"/>
      <c r="C18" s="140"/>
      <c r="D18" s="140"/>
      <c r="E18" s="140"/>
      <c r="F18" s="140"/>
      <c r="G18" s="140"/>
      <c r="H18" s="140"/>
      <c r="I18" s="140"/>
      <c r="J18" s="140"/>
      <c r="K18" s="140"/>
      <c r="L18" s="140"/>
    </row>
    <row r="19" spans="1:15" ht="57.6">
      <c r="A19" s="182" t="s">
        <v>166</v>
      </c>
      <c r="B19" s="146" t="s">
        <v>22</v>
      </c>
      <c r="C19" s="147" t="s">
        <v>37</v>
      </c>
      <c r="D19" s="147" t="s">
        <v>150</v>
      </c>
      <c r="E19" s="147" t="s">
        <v>53</v>
      </c>
      <c r="F19" s="147" t="s">
        <v>54</v>
      </c>
      <c r="G19" s="147" t="s">
        <v>55</v>
      </c>
      <c r="H19" s="156" t="s">
        <v>198</v>
      </c>
      <c r="I19" s="156" t="s">
        <v>151</v>
      </c>
      <c r="J19" s="147" t="s">
        <v>152</v>
      </c>
      <c r="K19" s="140"/>
      <c r="L19" s="140"/>
    </row>
    <row r="20" spans="1:15">
      <c r="A20" s="182"/>
      <c r="B20" s="148" t="s">
        <v>28</v>
      </c>
      <c r="C20" s="125" t="str">
        <f>VLOOKUP(B20,'rain zones'!A3:G17,2,FALSE)</f>
        <v>Miami, FL</v>
      </c>
      <c r="D20" s="125">
        <f>VLOOKUP(B20,'rain zones'!A3:G17,4,FALSE)</f>
        <v>74</v>
      </c>
      <c r="E20" s="126">
        <f>VLOOKUP(B20,'rain zones'!A3:G17,5,FALSE)</f>
        <v>6.33</v>
      </c>
      <c r="F20" s="127">
        <f>VLOOKUP(B20,'rain zones'!A3:G17,6,FALSE)</f>
        <v>0.70299999999999996</v>
      </c>
      <c r="G20" s="125">
        <f>VLOOKUP(B20,'rain zones'!A3:G17,7,FALSE)</f>
        <v>0.16600000000000001</v>
      </c>
      <c r="H20" s="126">
        <f>VLOOKUP(B20,'rain zones'!A3:H17,8,FALSE)</f>
        <v>52.27</v>
      </c>
      <c r="I20" s="127">
        <f>VLOOKUP(B20,'rain zones'!A3:H17,8,FALSE)*$C$9/12</f>
        <v>4.3558333333333339</v>
      </c>
      <c r="J20" s="128">
        <f>C10*I20*43560*28.317/1000000</f>
        <v>537.28704116999995</v>
      </c>
      <c r="K20" s="140"/>
      <c r="L20" s="140"/>
    </row>
    <row r="21" spans="1:15">
      <c r="A21" s="140"/>
      <c r="B21" s="140"/>
      <c r="C21" s="140"/>
      <c r="D21" s="140"/>
      <c r="E21" s="140"/>
      <c r="F21" s="140"/>
      <c r="G21" s="149"/>
      <c r="H21" s="140"/>
      <c r="I21" s="140"/>
      <c r="J21" s="140"/>
      <c r="K21" s="140"/>
      <c r="L21" s="140"/>
    </row>
    <row r="22" spans="1:15" hidden="1">
      <c r="A22" s="140"/>
      <c r="B22" s="140"/>
      <c r="C22" s="140"/>
      <c r="D22" s="140"/>
      <c r="E22" s="140"/>
      <c r="F22" s="140"/>
      <c r="G22" s="140"/>
      <c r="H22" s="140"/>
      <c r="I22" s="140" t="str">
        <f>"Detention Facility - Runoff Capture
"&amp;B20&amp;" Rain Zone"</f>
        <v>Detention Facility - Runoff Capture
East Gulf Rain Zone</v>
      </c>
      <c r="J22" s="140"/>
      <c r="K22" s="140"/>
      <c r="L22" s="140"/>
      <c r="O22">
        <f>$C$16*1.25+$D$16*1.325+$E$16*1.375+$F$16*1.425+$G$16*1.45</f>
        <v>1.37</v>
      </c>
    </row>
    <row r="23" spans="1:15" hidden="1">
      <c r="A23" s="150"/>
      <c r="B23" s="140"/>
      <c r="C23" s="140"/>
      <c r="D23" s="140" t="str">
        <f>"'"&amp;$B$20&amp;"-DT'"&amp;"!B11"</f>
        <v>'East Gulf-DT'!B11</v>
      </c>
      <c r="E23" s="140" t="str">
        <f>"'"&amp;$B$20&amp;"-DT'"&amp;"!M11"</f>
        <v>'East Gulf-DT'!M11</v>
      </c>
      <c r="F23" s="140" t="str">
        <f>"'"&amp;$B$20&amp;"-DT'"&amp;"!x11"</f>
        <v>'East Gulf-DT'!x11</v>
      </c>
      <c r="G23" s="140"/>
      <c r="H23" s="140"/>
      <c r="I23" s="140" t="str">
        <f>"Detention Facility - Sediment Capture
"&amp;B20&amp;" Rain Zone"</f>
        <v>Detention Facility - Sediment Capture
East Gulf Rain Zone</v>
      </c>
      <c r="J23" s="140"/>
      <c r="K23" s="140"/>
      <c r="L23" s="140"/>
    </row>
    <row r="24" spans="1:15">
      <c r="A24" s="150"/>
      <c r="B24" s="140"/>
      <c r="C24" s="140"/>
      <c r="D24" s="140"/>
      <c r="E24" s="140"/>
      <c r="F24" s="140"/>
      <c r="G24" s="140"/>
      <c r="H24" s="140"/>
      <c r="I24" s="140"/>
      <c r="J24" s="140"/>
      <c r="K24" s="140"/>
      <c r="L24" s="140"/>
    </row>
    <row r="25" spans="1:15">
      <c r="A25" s="150"/>
      <c r="B25" s="140"/>
      <c r="C25" s="140"/>
      <c r="D25" s="140"/>
      <c r="E25" s="140"/>
      <c r="F25" s="140"/>
      <c r="G25" s="140"/>
      <c r="H25" s="140"/>
      <c r="I25" s="140"/>
      <c r="J25" s="140"/>
      <c r="K25" s="140"/>
      <c r="L25" s="140"/>
    </row>
    <row r="26" spans="1:15">
      <c r="A26" s="150"/>
      <c r="B26" s="140"/>
      <c r="C26" s="140"/>
      <c r="D26" s="140"/>
      <c r="E26" s="140"/>
      <c r="F26" s="140"/>
      <c r="G26" s="140"/>
      <c r="H26" s="140"/>
      <c r="I26" s="140"/>
      <c r="J26" s="140"/>
      <c r="K26" s="140"/>
      <c r="L26" s="140"/>
    </row>
    <row r="27" spans="1:15">
      <c r="A27" s="150"/>
      <c r="B27" s="140"/>
      <c r="C27" s="140"/>
      <c r="D27" s="140"/>
      <c r="E27" s="140"/>
      <c r="F27" s="140"/>
      <c r="G27" s="140"/>
      <c r="H27" s="140"/>
      <c r="I27" s="140"/>
      <c r="J27" s="140"/>
      <c r="K27" s="140"/>
      <c r="L27" s="140"/>
    </row>
    <row r="28" spans="1:15">
      <c r="A28" s="150"/>
      <c r="B28" s="140"/>
      <c r="C28" s="140"/>
      <c r="D28" s="140"/>
      <c r="E28" s="140"/>
      <c r="F28" s="140"/>
      <c r="G28" s="140"/>
      <c r="H28" s="140"/>
      <c r="I28" s="140"/>
      <c r="J28" s="140"/>
      <c r="K28" s="140"/>
      <c r="L28" s="140"/>
    </row>
    <row r="29" spans="1:15">
      <c r="A29" s="150"/>
      <c r="B29" s="140"/>
      <c r="C29" s="140"/>
      <c r="D29" s="140"/>
      <c r="E29" s="140"/>
      <c r="F29" s="140"/>
      <c r="G29" s="140"/>
      <c r="H29" s="140"/>
      <c r="I29" s="140"/>
      <c r="J29" s="140"/>
      <c r="K29" s="140"/>
      <c r="L29" s="140"/>
    </row>
    <row r="30" spans="1:15">
      <c r="A30" s="150"/>
      <c r="B30" s="140"/>
      <c r="C30" s="140"/>
      <c r="D30" s="140"/>
      <c r="E30" s="140"/>
      <c r="F30" s="140"/>
      <c r="G30" s="140"/>
      <c r="H30" s="140"/>
      <c r="I30" s="140"/>
      <c r="J30" s="140"/>
      <c r="K30" s="140"/>
      <c r="L30" s="140"/>
    </row>
    <row r="31" spans="1:15">
      <c r="A31" s="150"/>
      <c r="B31" s="140"/>
      <c r="C31" s="140"/>
      <c r="D31" s="140"/>
      <c r="E31" s="140"/>
      <c r="F31" s="140"/>
      <c r="G31" s="140"/>
      <c r="H31" s="140"/>
      <c r="I31" s="140"/>
      <c r="J31" s="140"/>
      <c r="K31" s="140"/>
      <c r="L31" s="140"/>
    </row>
    <row r="32" spans="1:15">
      <c r="A32" s="150"/>
      <c r="B32" s="140"/>
      <c r="C32" s="140"/>
      <c r="D32" s="140"/>
      <c r="E32" s="140"/>
      <c r="F32" s="140"/>
      <c r="G32" s="140"/>
      <c r="H32" s="140"/>
      <c r="I32" s="140"/>
      <c r="J32" s="140"/>
      <c r="K32" s="140"/>
      <c r="L32" s="140"/>
    </row>
    <row r="33" spans="1:17">
      <c r="A33" s="150"/>
      <c r="B33" s="140"/>
      <c r="C33" s="140"/>
      <c r="D33" s="140"/>
      <c r="E33" s="140"/>
      <c r="F33" s="140"/>
      <c r="G33" s="140"/>
      <c r="H33" s="140"/>
      <c r="I33" s="140"/>
      <c r="J33" s="140"/>
      <c r="K33" s="140"/>
      <c r="L33" s="140"/>
    </row>
    <row r="34" spans="1:17">
      <c r="A34" s="150"/>
      <c r="B34" s="140"/>
      <c r="C34" s="140"/>
      <c r="D34" s="140"/>
      <c r="E34" s="140"/>
      <c r="F34" s="140"/>
      <c r="G34" s="140"/>
      <c r="H34" s="140"/>
      <c r="I34" s="140"/>
      <c r="J34" s="140"/>
      <c r="K34" s="140"/>
      <c r="L34" s="140"/>
    </row>
    <row r="35" spans="1:17">
      <c r="A35" s="150"/>
      <c r="B35" s="140"/>
      <c r="C35" s="140"/>
      <c r="D35" s="140"/>
      <c r="E35" s="140"/>
      <c r="F35" s="140"/>
      <c r="G35" s="140"/>
      <c r="H35" s="140"/>
      <c r="I35" s="140"/>
      <c r="J35" s="140"/>
      <c r="K35" s="140"/>
      <c r="L35" s="140"/>
    </row>
    <row r="36" spans="1:17">
      <c r="A36" s="150"/>
      <c r="B36" s="140"/>
      <c r="C36" s="140"/>
      <c r="D36" s="140"/>
      <c r="E36" s="140"/>
      <c r="F36" s="140"/>
      <c r="G36" s="140"/>
      <c r="H36" s="140"/>
      <c r="I36" s="140"/>
      <c r="J36" s="140"/>
      <c r="K36" s="140"/>
      <c r="L36" s="140"/>
    </row>
    <row r="37" spans="1:17">
      <c r="A37" s="150"/>
      <c r="B37" s="140"/>
      <c r="C37" s="140"/>
      <c r="D37" s="140"/>
      <c r="E37" s="140"/>
      <c r="F37" s="140"/>
      <c r="G37" s="140"/>
      <c r="H37" s="140"/>
      <c r="I37" s="140"/>
      <c r="J37" s="140"/>
      <c r="K37" s="140"/>
      <c r="L37" s="140"/>
    </row>
    <row r="38" spans="1:17">
      <c r="A38" s="150"/>
      <c r="B38" s="140"/>
      <c r="C38" s="140"/>
      <c r="D38" s="140"/>
      <c r="E38" s="140"/>
      <c r="F38" s="140"/>
      <c r="G38" s="140"/>
      <c r="H38" s="140"/>
      <c r="I38" s="140"/>
      <c r="J38" s="140"/>
      <c r="K38" s="140"/>
      <c r="L38" s="140"/>
    </row>
    <row r="39" spans="1:17">
      <c r="A39" s="150"/>
      <c r="B39" s="140"/>
      <c r="C39" s="140"/>
      <c r="D39" s="140"/>
      <c r="E39" s="140"/>
      <c r="F39" s="140"/>
      <c r="G39" s="140"/>
      <c r="H39" s="140"/>
      <c r="I39" s="140"/>
      <c r="J39" s="140"/>
      <c r="K39" s="140"/>
      <c r="L39" s="140"/>
    </row>
    <row r="40" spans="1:17">
      <c r="A40" s="150"/>
      <c r="B40" s="140"/>
      <c r="C40" s="140"/>
      <c r="D40" s="140"/>
      <c r="E40" s="140"/>
      <c r="F40" s="140"/>
      <c r="G40" s="140"/>
      <c r="H40" s="140"/>
      <c r="I40" s="140"/>
      <c r="J40" s="140"/>
      <c r="K40" s="140"/>
      <c r="L40" s="140"/>
    </row>
    <row r="41" spans="1:17">
      <c r="A41" s="150"/>
      <c r="B41" s="140"/>
      <c r="C41" s="140"/>
      <c r="D41" s="140"/>
      <c r="E41" s="140"/>
      <c r="F41" s="140"/>
      <c r="G41" s="140"/>
      <c r="H41" s="140"/>
      <c r="I41" s="140"/>
      <c r="J41" s="140"/>
      <c r="K41" s="140"/>
      <c r="L41" s="140"/>
    </row>
    <row r="42" spans="1:17">
      <c r="A42" s="150"/>
      <c r="B42" s="140"/>
      <c r="C42" s="140"/>
      <c r="D42" s="140"/>
      <c r="E42" s="140"/>
      <c r="F42" s="140"/>
      <c r="G42" s="140"/>
      <c r="H42" s="140"/>
      <c r="I42" s="140"/>
      <c r="J42" s="140"/>
      <c r="K42" s="140"/>
      <c r="L42" s="140"/>
    </row>
    <row r="43" spans="1:17">
      <c r="A43" s="150"/>
      <c r="B43" s="140"/>
      <c r="C43" s="140"/>
      <c r="D43" s="140"/>
      <c r="E43" s="140"/>
      <c r="F43" s="140"/>
      <c r="G43" s="140"/>
      <c r="H43" s="140"/>
      <c r="I43" s="140"/>
      <c r="J43" s="140"/>
      <c r="K43" s="140"/>
      <c r="L43" s="140"/>
    </row>
    <row r="44" spans="1:17">
      <c r="A44" s="150"/>
      <c r="B44" s="140"/>
      <c r="C44" s="140"/>
      <c r="D44" s="140"/>
      <c r="E44" s="140"/>
      <c r="F44" s="140"/>
      <c r="G44" s="140"/>
      <c r="H44" s="140"/>
      <c r="I44" s="140"/>
      <c r="J44" s="140"/>
      <c r="K44" s="140"/>
      <c r="L44" s="140"/>
    </row>
    <row r="45" spans="1:17">
      <c r="A45" s="182" t="s">
        <v>186</v>
      </c>
      <c r="B45" s="184" t="s">
        <v>167</v>
      </c>
      <c r="C45" s="184" t="s">
        <v>168</v>
      </c>
      <c r="D45" s="184" t="s">
        <v>169</v>
      </c>
      <c r="E45" s="186" t="s">
        <v>57</v>
      </c>
      <c r="F45" s="187"/>
      <c r="G45" s="188"/>
      <c r="H45" s="189" t="s">
        <v>116</v>
      </c>
      <c r="I45" s="190"/>
      <c r="J45" s="191"/>
      <c r="K45" s="192" t="s">
        <v>143</v>
      </c>
      <c r="L45" s="192"/>
      <c r="M45" s="192"/>
    </row>
    <row r="46" spans="1:17" ht="35.4" customHeight="1">
      <c r="A46" s="183"/>
      <c r="B46" s="185"/>
      <c r="C46" s="185"/>
      <c r="D46" s="185"/>
      <c r="E46" s="158" t="s">
        <v>159</v>
      </c>
      <c r="F46" s="158" t="s">
        <v>170</v>
      </c>
      <c r="G46" s="158" t="s">
        <v>171</v>
      </c>
      <c r="H46" s="173" t="s">
        <v>159</v>
      </c>
      <c r="I46" s="173" t="s">
        <v>170</v>
      </c>
      <c r="J46" s="173" t="s">
        <v>171</v>
      </c>
      <c r="K46" s="175" t="s">
        <v>159</v>
      </c>
      <c r="L46" s="175" t="s">
        <v>170</v>
      </c>
      <c r="M46" s="175" t="s">
        <v>171</v>
      </c>
    </row>
    <row r="47" spans="1:17">
      <c r="A47" s="183"/>
      <c r="B47" s="126">
        <v>0.1</v>
      </c>
      <c r="C47" s="125">
        <f t="shared" ref="C47:C55" si="0">B47*$C$9*43560/12</f>
        <v>363</v>
      </c>
      <c r="D47" s="152">
        <f t="shared" ref="D47:D55" si="1">C47/4/($C$9*43560)</f>
        <v>2.0833333333333333E-3</v>
      </c>
      <c r="E47" s="134">
        <f ca="1">INDIRECT(D$23)</f>
        <v>0.35895063379151737</v>
      </c>
      <c r="F47" s="134">
        <f ca="1">INDIRECT(E$23)</f>
        <v>0.29089158688559663</v>
      </c>
      <c r="G47" s="134">
        <f ca="1">INDIRECT(F$23)</f>
        <v>0.23396266780766967</v>
      </c>
      <c r="H47" s="153">
        <f ca="1">OFFSET(INDIRECT(D$23),0,8)</f>
        <v>0.17542112567463378</v>
      </c>
      <c r="I47" s="153">
        <f ca="1">OFFSET(INDIRECT(E$23),0,8)</f>
        <v>0.17104818812644565</v>
      </c>
      <c r="J47" s="153">
        <f ca="1">OFFSET(INDIRECT(F$23),0,8)</f>
        <v>0.15612212798766384</v>
      </c>
      <c r="K47" s="154">
        <f t="shared" ref="K47:K55" ca="1" si="2">(35.31*$J$20/(($O$22*(1-0.35))*1000))*H47</f>
        <v>3.7372491625858157</v>
      </c>
      <c r="L47" s="154">
        <f t="shared" ref="L47:L55" ca="1" si="3">(35.31*$J$20/(($O$22*(1-0.35))*1000))*I47</f>
        <v>3.6440861690914161</v>
      </c>
      <c r="M47" s="154">
        <f t="shared" ref="M47:M55" ca="1" si="4">(35.31*$J$20/(($O$22*(1-0.35))*1000))*J47</f>
        <v>3.3260947895478172</v>
      </c>
    </row>
    <row r="48" spans="1:17">
      <c r="A48" s="183"/>
      <c r="B48" s="126">
        <v>0.2</v>
      </c>
      <c r="C48" s="125">
        <f t="shared" si="0"/>
        <v>726</v>
      </c>
      <c r="D48" s="152">
        <f t="shared" si="1"/>
        <v>4.1666666666666666E-3</v>
      </c>
      <c r="E48" s="134">
        <f ca="1">OFFSET(INDIRECT(D$23),1,0)</f>
        <v>0.55816441140289885</v>
      </c>
      <c r="F48" s="134">
        <f ca="1">OFFSET(INDIRECT(E$23),1,0)</f>
        <v>0.47494785259667327</v>
      </c>
      <c r="G48" s="134">
        <f ca="1">OFFSET(INDIRECT(F$23),1,0)</f>
        <v>0.40753596833716638</v>
      </c>
      <c r="H48" s="153">
        <f ca="1">OFFSET(INDIRECT(D$23),1,8)</f>
        <v>0.28197938833204833</v>
      </c>
      <c r="I48" s="153">
        <f ca="1">OFFSET(INDIRECT(E$23),1,8)</f>
        <v>0.28614949884348495</v>
      </c>
      <c r="J48" s="153">
        <f ca="1">OFFSET(INDIRECT(F$23),1,8)</f>
        <v>0.27344391330420631</v>
      </c>
      <c r="K48" s="154">
        <f t="shared" ca="1" si="2"/>
        <v>6.0074134677770656</v>
      </c>
      <c r="L48" s="154">
        <f t="shared" ca="1" si="3"/>
        <v>6.0962553444713414</v>
      </c>
      <c r="M48" s="154">
        <f t="shared" ca="1" si="4"/>
        <v>5.8255699368032623</v>
      </c>
      <c r="Q48" s="94"/>
    </row>
    <row r="49" spans="1:13">
      <c r="A49" s="183"/>
      <c r="B49" s="126">
        <v>0.4</v>
      </c>
      <c r="C49" s="125">
        <f t="shared" si="0"/>
        <v>1452</v>
      </c>
      <c r="D49" s="152">
        <f t="shared" si="1"/>
        <v>8.3333333333333332E-3</v>
      </c>
      <c r="E49" s="134">
        <f ca="1">OFFSET(INDIRECT(D$23),2,0)</f>
        <v>0.75028079371022094</v>
      </c>
      <c r="F49" s="134">
        <f ca="1">OFFSET(INDIRECT(E$23),2,0)</f>
        <v>0.67818366582874257</v>
      </c>
      <c r="G49" s="134">
        <f ca="1">OFFSET(INDIRECT(F$23),2,0)</f>
        <v>0.60555169278493881</v>
      </c>
      <c r="H49" s="153">
        <f ca="1">OFFSET(INDIRECT(D$23),2,8)</f>
        <v>0.39290824124046952</v>
      </c>
      <c r="I49" s="153">
        <f ca="1">OFFSET(INDIRECT(E$23),2,8)</f>
        <v>0.41386784888203554</v>
      </c>
      <c r="J49" s="153">
        <f ca="1">OFFSET(INDIRECT(F$23),2,8)</f>
        <v>0.4118721322710529</v>
      </c>
      <c r="K49" s="154">
        <f t="shared" ca="1" si="2"/>
        <v>8.3706907586065231</v>
      </c>
      <c r="L49" s="154">
        <f t="shared" ca="1" si="3"/>
        <v>8.8172234997762295</v>
      </c>
      <c r="M49" s="154">
        <f t="shared" ca="1" si="4"/>
        <v>8.7747058713864359</v>
      </c>
    </row>
    <row r="50" spans="1:13">
      <c r="A50" s="183"/>
      <c r="B50" s="126">
        <v>0.6</v>
      </c>
      <c r="C50" s="125">
        <f t="shared" si="0"/>
        <v>2178</v>
      </c>
      <c r="D50" s="152">
        <f t="shared" si="1"/>
        <v>1.2500000000000001E-2</v>
      </c>
      <c r="E50" s="134">
        <f ca="1">OFFSET(INDIRECT(D$23),3,0)</f>
        <v>0.85521741455848532</v>
      </c>
      <c r="F50" s="134">
        <f ca="1">OFFSET(INDIRECT(E$23),3,0)</f>
        <v>0.79499384928063321</v>
      </c>
      <c r="G50" s="134">
        <f ca="1">OFFSET(INDIRECT(F$23),3,0)</f>
        <v>0.7358399743274322</v>
      </c>
      <c r="H50" s="153">
        <f ca="1">OFFSET(INDIRECT(D$23),3,8)</f>
        <v>0.46242740512293334</v>
      </c>
      <c r="I50" s="153">
        <f ca="1">OFFSET(INDIRECT(E$23),3,8)</f>
        <v>0.49409364345069823</v>
      </c>
      <c r="J50" s="153">
        <f ca="1">OFFSET(INDIRECT(F$23),3,8)</f>
        <v>0.50541394671464068</v>
      </c>
      <c r="K50" s="154">
        <f t="shared" ca="1" si="2"/>
        <v>9.8517577395885816</v>
      </c>
      <c r="L50" s="154">
        <f t="shared" ca="1" si="3"/>
        <v>10.526389271096276</v>
      </c>
      <c r="M50" s="154">
        <f t="shared" ca="1" si="4"/>
        <v>10.76756201315162</v>
      </c>
    </row>
    <row r="51" spans="1:13">
      <c r="A51" s="183"/>
      <c r="B51" s="126">
        <v>0.8</v>
      </c>
      <c r="C51" s="125">
        <f t="shared" si="0"/>
        <v>2904</v>
      </c>
      <c r="D51" s="152">
        <f t="shared" si="1"/>
        <v>1.6666666666666666E-2</v>
      </c>
      <c r="E51" s="134">
        <f ca="1">OFFSET(INDIRECT(D$23),4,0)</f>
        <v>0.91394341338182594</v>
      </c>
      <c r="F51" s="134">
        <f ca="1">OFFSET(INDIRECT(E$23),4,0)</f>
        <v>0.8653794726426699</v>
      </c>
      <c r="G51" s="134">
        <f ca="1">OFFSET(INDIRECT(F$23),4,0)</f>
        <v>0.81713643900090926</v>
      </c>
      <c r="H51" s="153">
        <f ca="1">OFFSET(INDIRECT(D$23),4,8)</f>
        <v>0.50681901824723719</v>
      </c>
      <c r="I51" s="153">
        <f ca="1">OFFSET(INDIRECT(E$23),4,8)</f>
        <v>0.54965729461149671</v>
      </c>
      <c r="J51" s="153">
        <f ca="1">OFFSET(INDIRECT(F$23),4,8)</f>
        <v>0.56573263085753456</v>
      </c>
      <c r="K51" s="154">
        <f t="shared" ca="1" si="2"/>
        <v>10.797496277843942</v>
      </c>
      <c r="L51" s="154">
        <f t="shared" ca="1" si="3"/>
        <v>11.71014184349772</v>
      </c>
      <c r="M51" s="154">
        <f t="shared" ca="1" si="4"/>
        <v>12.052617908981535</v>
      </c>
    </row>
    <row r="52" spans="1:13">
      <c r="A52" s="183"/>
      <c r="B52" s="126">
        <v>1</v>
      </c>
      <c r="C52" s="125">
        <f t="shared" si="0"/>
        <v>3630</v>
      </c>
      <c r="D52" s="152">
        <f t="shared" si="1"/>
        <v>2.0833333333333332E-2</v>
      </c>
      <c r="E52" s="134">
        <f ca="1">OFFSET(INDIRECT(D$23),5,0)</f>
        <v>0.94565973150772853</v>
      </c>
      <c r="F52" s="134">
        <f ca="1">OFFSET(INDIRECT(E$23),5,0)</f>
        <v>0.90832753917740816</v>
      </c>
      <c r="G52" s="134">
        <f ca="1">OFFSET(INDIRECT(F$23),5,0)</f>
        <v>0.86816066748676257</v>
      </c>
      <c r="H52" s="153">
        <f ca="1">OFFSET(INDIRECT(D$23),5,8)</f>
        <v>0.53631465775721754</v>
      </c>
      <c r="I52" s="153">
        <f ca="1">OFFSET(INDIRECT(E$23),5,8)</f>
        <v>0.58000162768782659</v>
      </c>
      <c r="J52" s="153">
        <f ca="1">OFFSET(INDIRECT(F$23),5,8)</f>
        <v>0.60560541420371794</v>
      </c>
      <c r="K52" s="154">
        <f t="shared" ca="1" si="2"/>
        <v>11.425884413165017</v>
      </c>
      <c r="L52" s="154">
        <f t="shared" ca="1" si="3"/>
        <v>12.356610921509898</v>
      </c>
      <c r="M52" s="154">
        <f t="shared" ca="1" si="4"/>
        <v>12.902085301220696</v>
      </c>
    </row>
    <row r="53" spans="1:13">
      <c r="A53" s="183"/>
      <c r="B53" s="126">
        <v>1.2</v>
      </c>
      <c r="C53" s="125">
        <f t="shared" si="0"/>
        <v>4356</v>
      </c>
      <c r="D53" s="152">
        <f t="shared" si="1"/>
        <v>2.5000000000000001E-2</v>
      </c>
      <c r="E53" s="134">
        <f ca="1">OFFSET(INDIRECT(D$23),6,0)</f>
        <v>0.96486067283521415</v>
      </c>
      <c r="F53" s="134">
        <f ca="1">OFFSET(INDIRECT(E$23),6,0)</f>
        <v>0.93517676632614855</v>
      </c>
      <c r="G53" s="134">
        <f ca="1">OFFSET(INDIRECT(F$23),6,0)</f>
        <v>0.90463710755736215</v>
      </c>
      <c r="H53" s="153">
        <f ca="1">OFFSET(INDIRECT(D$23),6,8)</f>
        <v>0.55900181615694344</v>
      </c>
      <c r="I53" s="153">
        <f ca="1">OFFSET(INDIRECT(E$23),6,8)</f>
        <v>0.60484219994859934</v>
      </c>
      <c r="J53" s="153">
        <f ca="1">OFFSET(INDIRECT(F$23),6,8)</f>
        <v>0.63580673348753547</v>
      </c>
      <c r="K53" s="154">
        <f t="shared" ca="1" si="2"/>
        <v>11.909221658920064</v>
      </c>
      <c r="L53" s="154">
        <f t="shared" ca="1" si="3"/>
        <v>12.885825447540896</v>
      </c>
      <c r="M53" s="154">
        <f t="shared" ca="1" si="4"/>
        <v>13.545507550213568</v>
      </c>
    </row>
    <row r="54" spans="1:13">
      <c r="A54" s="183"/>
      <c r="B54" s="126">
        <v>1.6</v>
      </c>
      <c r="C54" s="125">
        <f t="shared" si="0"/>
        <v>5808</v>
      </c>
      <c r="D54" s="152">
        <f t="shared" si="1"/>
        <v>3.3333333333333333E-2</v>
      </c>
      <c r="E54" s="134">
        <f ca="1">OFFSET(INDIRECT(D$23),7,0)</f>
        <v>0.9874311386853506</v>
      </c>
      <c r="F54" s="134">
        <f ca="1">OFFSET(INDIRECT(E$23),7,0)</f>
        <v>0.96705353800074878</v>
      </c>
      <c r="G54" s="134">
        <f ca="1">OFFSET(INDIRECT(F$23),7,0)</f>
        <v>0.94523185537786814</v>
      </c>
      <c r="H54" s="153">
        <f ca="1">OFFSET(INDIRECT(D$23),7,8)</f>
        <v>0.59130514863359895</v>
      </c>
      <c r="I54" s="153">
        <f ca="1">OFFSET(INDIRECT(E$23),7,8)</f>
        <v>0.63845532425254869</v>
      </c>
      <c r="J54" s="153">
        <f ca="1">OFFSET(INDIRECT(F$23),7,8)</f>
        <v>0.67375233444701466</v>
      </c>
      <c r="K54" s="154">
        <f t="shared" ca="1" si="2"/>
        <v>12.597426125644501</v>
      </c>
      <c r="L54" s="154">
        <f t="shared" ca="1" si="3"/>
        <v>13.601934298021227</v>
      </c>
      <c r="M54" s="154">
        <f t="shared" ca="1" si="4"/>
        <v>14.353917397455445</v>
      </c>
    </row>
    <row r="55" spans="1:13">
      <c r="A55" s="183"/>
      <c r="B55" s="126">
        <v>2</v>
      </c>
      <c r="C55" s="125">
        <f t="shared" si="0"/>
        <v>7260</v>
      </c>
      <c r="D55" s="152">
        <f t="shared" si="1"/>
        <v>4.1666666666666664E-2</v>
      </c>
      <c r="E55" s="134">
        <f ca="1">OFFSET(INDIRECT(D$23),8,0)</f>
        <v>0.99812804193186078</v>
      </c>
      <c r="F55" s="134">
        <f ca="1">OFFSET(INDIRECT(E$23),8,0)</f>
        <v>0.98395464513023478</v>
      </c>
      <c r="G55" s="134">
        <f ca="1">OFFSET(INDIRECT(F$23),8,0)</f>
        <v>0.96860458897149271</v>
      </c>
      <c r="H55" s="153">
        <f ca="1">OFFSET(INDIRECT(D$23),8,8)</f>
        <v>0.61425032125417633</v>
      </c>
      <c r="I55" s="153">
        <f ca="1">OFFSET(INDIRECT(E$23),8,8)</f>
        <v>0.66226728347468522</v>
      </c>
      <c r="J55" s="153">
        <f ca="1">OFFSET(INDIRECT(F$23),8,8)</f>
        <v>0.69750158485393654</v>
      </c>
      <c r="K55" s="154">
        <f t="shared" ca="1" si="2"/>
        <v>13.086260220351488</v>
      </c>
      <c r="L55" s="154">
        <f t="shared" ca="1" si="3"/>
        <v>14.109234797434938</v>
      </c>
      <c r="M55" s="154">
        <f t="shared" ca="1" si="4"/>
        <v>14.859881920565014</v>
      </c>
    </row>
    <row r="56" spans="1:13">
      <c r="A56" s="97"/>
      <c r="B56" s="95"/>
      <c r="C56" s="6"/>
      <c r="D56" s="96"/>
      <c r="E56" s="96"/>
      <c r="F56" s="96"/>
    </row>
    <row r="57" spans="1:13">
      <c r="B57" s="103"/>
      <c r="C57" s="176"/>
    </row>
    <row r="58" spans="1:13" ht="14.4" customHeight="1">
      <c r="B58" s="103"/>
      <c r="C58" s="176"/>
    </row>
    <row r="59" spans="1:13">
      <c r="B59" s="103"/>
      <c r="C59" s="176"/>
    </row>
    <row r="60" spans="1:13">
      <c r="B60" s="103"/>
      <c r="C60" s="176"/>
    </row>
    <row r="61" spans="1:13">
      <c r="B61" s="103"/>
      <c r="C61" s="176"/>
    </row>
    <row r="62" spans="1:13">
      <c r="B62" s="103"/>
      <c r="C62" s="176"/>
    </row>
    <row r="63" spans="1:13">
      <c r="B63" s="103"/>
      <c r="C63" s="176"/>
    </row>
    <row r="64" spans="1:13">
      <c r="B64" s="103"/>
      <c r="C64" s="176"/>
    </row>
    <row r="65" spans="1:6">
      <c r="B65" s="103"/>
      <c r="C65" s="176"/>
    </row>
    <row r="66" spans="1:6">
      <c r="B66" s="103"/>
      <c r="C66" s="176"/>
    </row>
    <row r="67" spans="1:6">
      <c r="B67" s="103"/>
      <c r="C67" s="176"/>
    </row>
    <row r="69" spans="1:6">
      <c r="A69" s="105"/>
      <c r="B69" s="95"/>
      <c r="C69" s="6"/>
      <c r="D69" s="96"/>
      <c r="E69" s="96"/>
      <c r="F69" s="96"/>
    </row>
  </sheetData>
  <sheetProtection sheet="1" objects="1" scenarios="1"/>
  <dataConsolidate/>
  <mergeCells count="10">
    <mergeCell ref="E45:G45"/>
    <mergeCell ref="H45:J45"/>
    <mergeCell ref="K45:M45"/>
    <mergeCell ref="C45:C46"/>
    <mergeCell ref="A12:A13"/>
    <mergeCell ref="A4:D4"/>
    <mergeCell ref="A19:A20"/>
    <mergeCell ref="A45:A55"/>
    <mergeCell ref="B45:B46"/>
    <mergeCell ref="D45:D46"/>
  </mergeCells>
  <dataValidations count="2">
    <dataValidation type="list" allowBlank="1" showInputMessage="1" showErrorMessage="1" sqref="B20">
      <formula1>'rain zones'!A3:A17</formula1>
    </dataValidation>
    <dataValidation type="list" showDropDown="1" showInputMessage="1" showErrorMessage="1" sqref="A18">
      <formula1>$L$13:$L$16</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Sheet32"/>
  <dimension ref="A1:DD96"/>
  <sheetViews>
    <sheetView topLeftCell="X1" zoomScale="80" zoomScaleNormal="80" workbookViewId="0">
      <pane xSplit="18240" topLeftCell="BC1"/>
      <selection activeCell="BF61" sqref="BF61:BK66"/>
      <selection pane="topRight" activeCell="BC28" sqref="BC28"/>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545100</v>
      </c>
      <c r="AL5" s="57">
        <v>3403.3</v>
      </c>
      <c r="AM5" s="57">
        <v>3403.3</v>
      </c>
      <c r="AN5" s="57">
        <v>3403.3</v>
      </c>
      <c r="AO5" s="57">
        <v>3403.3</v>
      </c>
      <c r="AP5" s="57">
        <v>3403.3</v>
      </c>
      <c r="AQ5" s="37"/>
      <c r="AR5" s="37"/>
      <c r="AS5" s="56">
        <v>0.1</v>
      </c>
      <c r="AT5" s="37" t="s">
        <v>0</v>
      </c>
      <c r="AU5" s="57">
        <v>545100</v>
      </c>
      <c r="AV5" s="57">
        <v>3403.3</v>
      </c>
      <c r="AW5" s="57">
        <v>3403.3</v>
      </c>
      <c r="AX5" s="57">
        <v>3403.3</v>
      </c>
      <c r="AY5" s="57">
        <v>3403.3</v>
      </c>
      <c r="AZ5" s="57">
        <v>3403.3</v>
      </c>
      <c r="BA5" s="37"/>
      <c r="BB5" s="37"/>
      <c r="BC5" s="37"/>
      <c r="BD5" s="56">
        <v>0.1</v>
      </c>
      <c r="BE5" s="37" t="s">
        <v>0</v>
      </c>
      <c r="BF5" s="57">
        <v>545100</v>
      </c>
      <c r="BG5" s="57">
        <v>3403.3</v>
      </c>
      <c r="BH5" s="57">
        <v>3403.3</v>
      </c>
      <c r="BI5" s="57">
        <v>3403.3</v>
      </c>
      <c r="BJ5" s="57">
        <v>3403.3</v>
      </c>
      <c r="BK5" s="57">
        <v>3403.3</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279840</v>
      </c>
      <c r="AL6" s="57">
        <v>1747.2</v>
      </c>
      <c r="AM6" s="57">
        <v>1747.2</v>
      </c>
      <c r="AN6" s="57">
        <v>1747.2</v>
      </c>
      <c r="AO6" s="57">
        <v>1747.2</v>
      </c>
      <c r="AP6" s="57">
        <v>1747.2</v>
      </c>
      <c r="AQ6" s="37"/>
      <c r="AR6" s="37"/>
      <c r="AS6" s="56"/>
      <c r="AT6" s="37" t="s">
        <v>1</v>
      </c>
      <c r="AU6" s="57">
        <v>223380</v>
      </c>
      <c r="AV6" s="57">
        <v>1394.6</v>
      </c>
      <c r="AW6" s="57">
        <v>1394.6</v>
      </c>
      <c r="AX6" s="57">
        <v>1394.6</v>
      </c>
      <c r="AY6" s="57">
        <v>1394.6</v>
      </c>
      <c r="AZ6" s="57">
        <v>1394.6</v>
      </c>
      <c r="BA6" s="37"/>
      <c r="BB6" s="37"/>
      <c r="BC6" s="37"/>
      <c r="BD6" s="56"/>
      <c r="BE6" s="37" t="s">
        <v>1</v>
      </c>
      <c r="BF6" s="57">
        <v>177020</v>
      </c>
      <c r="BG6" s="57">
        <v>1105.2</v>
      </c>
      <c r="BH6" s="57">
        <v>1105.2</v>
      </c>
      <c r="BI6" s="57">
        <v>1105.2</v>
      </c>
      <c r="BJ6" s="57">
        <v>1105.2</v>
      </c>
      <c r="BK6" s="57">
        <v>1105.2</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1.2513774104683195</v>
      </c>
      <c r="D7"/>
      <c r="E7" t="s">
        <v>119</v>
      </c>
      <c r="F7"/>
      <c r="G7" s="103">
        <f>C7*12</f>
        <v>15.016528925619834</v>
      </c>
      <c r="H7"/>
      <c r="I7"/>
      <c r="J7"/>
      <c r="K7"/>
      <c r="L7"/>
      <c r="M7"/>
      <c r="N7"/>
      <c r="O7"/>
      <c r="P7"/>
      <c r="Q7"/>
      <c r="R7"/>
      <c r="S7"/>
      <c r="T7"/>
      <c r="U7"/>
      <c r="V7"/>
      <c r="W7"/>
      <c r="X7"/>
      <c r="Y7"/>
      <c r="Z7"/>
      <c r="AA7"/>
      <c r="AB7"/>
      <c r="AC7"/>
      <c r="AD7"/>
      <c r="AE7"/>
      <c r="AF7"/>
      <c r="AG7"/>
      <c r="AH7" s="37"/>
      <c r="AI7" s="56"/>
      <c r="AJ7" s="37" t="s">
        <v>2</v>
      </c>
      <c r="AK7" s="57">
        <v>265270</v>
      </c>
      <c r="AL7" s="57">
        <v>1656.2</v>
      </c>
      <c r="AM7" s="57">
        <v>1656.2</v>
      </c>
      <c r="AN7" s="57">
        <v>1656.2</v>
      </c>
      <c r="AO7" s="57">
        <v>1656.2</v>
      </c>
      <c r="AP7" s="57">
        <v>1656.2</v>
      </c>
      <c r="AQ7" s="37"/>
      <c r="AR7" s="37"/>
      <c r="AS7" s="56"/>
      <c r="AT7" s="37" t="s">
        <v>2</v>
      </c>
      <c r="AU7" s="57">
        <v>321720</v>
      </c>
      <c r="AV7" s="57">
        <v>2008.6</v>
      </c>
      <c r="AW7" s="57">
        <v>2008.6</v>
      </c>
      <c r="AX7" s="57">
        <v>2008.6</v>
      </c>
      <c r="AY7" s="57">
        <v>2008.6</v>
      </c>
      <c r="AZ7" s="57">
        <v>2008.6</v>
      </c>
      <c r="BA7" s="37"/>
      <c r="BB7" s="37"/>
      <c r="BC7" s="37"/>
      <c r="BD7" s="56"/>
      <c r="BE7" s="37" t="s">
        <v>2</v>
      </c>
      <c r="BF7" s="57">
        <v>368100</v>
      </c>
      <c r="BG7" s="57">
        <v>2298.1999999999998</v>
      </c>
      <c r="BH7" s="57">
        <v>2298.1999999999998</v>
      </c>
      <c r="BI7" s="57">
        <v>2298.1999999999998</v>
      </c>
      <c r="BJ7" s="57">
        <v>2298.1999999999998</v>
      </c>
      <c r="BK7" s="57">
        <v>2298.1999999999998</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279710</v>
      </c>
      <c r="AL8" s="57">
        <v>1742</v>
      </c>
      <c r="AM8" s="57">
        <v>1680.5</v>
      </c>
      <c r="AN8" s="57">
        <v>970.68</v>
      </c>
      <c r="AO8" s="57">
        <v>13.146000000000001</v>
      </c>
      <c r="AP8" s="57">
        <v>3.2178</v>
      </c>
      <c r="AQ8" s="37"/>
      <c r="AR8" s="37"/>
      <c r="AS8" s="56"/>
      <c r="AT8" s="37" t="s">
        <v>3</v>
      </c>
      <c r="AU8" s="57">
        <v>223260</v>
      </c>
      <c r="AV8" s="57">
        <v>1388.4</v>
      </c>
      <c r="AW8" s="57">
        <v>1309.4000000000001</v>
      </c>
      <c r="AX8" s="57">
        <v>456.47</v>
      </c>
      <c r="AY8" s="57">
        <v>4.7230999999999996</v>
      </c>
      <c r="AZ8" s="57">
        <v>1.5739000000000001</v>
      </c>
      <c r="BA8" s="37"/>
      <c r="BB8" s="37"/>
      <c r="BC8" s="37"/>
      <c r="BD8" s="56"/>
      <c r="BE8" s="37" t="s">
        <v>3</v>
      </c>
      <c r="BF8" s="57">
        <v>176700</v>
      </c>
      <c r="BG8" s="57">
        <v>1094.4000000000001</v>
      </c>
      <c r="BH8" s="57">
        <v>974.4</v>
      </c>
      <c r="BI8" s="57">
        <v>159.19999999999999</v>
      </c>
      <c r="BJ8" s="57">
        <v>1.4849000000000001</v>
      </c>
      <c r="BK8" s="57">
        <v>0.44868000000000002</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4.3887999999999998</v>
      </c>
      <c r="AM10" s="57">
        <v>65.861000000000004</v>
      </c>
      <c r="AN10" s="57">
        <v>775.66</v>
      </c>
      <c r="AO10" s="57">
        <v>1733.2</v>
      </c>
      <c r="AP10" s="57">
        <v>1743.1</v>
      </c>
      <c r="AQ10" s="37"/>
      <c r="AR10" s="37"/>
      <c r="AS10" s="56"/>
      <c r="AT10" s="37" t="s">
        <v>5</v>
      </c>
      <c r="AU10" s="57">
        <v>0</v>
      </c>
      <c r="AV10" s="57">
        <v>5.4927999999999999</v>
      </c>
      <c r="AW10" s="57">
        <v>84.534000000000006</v>
      </c>
      <c r="AX10" s="57">
        <v>937.42</v>
      </c>
      <c r="AY10" s="57">
        <v>1389.2</v>
      </c>
      <c r="AZ10" s="57">
        <v>1392.3</v>
      </c>
      <c r="BA10" s="37"/>
      <c r="BB10" s="37"/>
      <c r="BC10" s="37"/>
      <c r="BD10" s="56"/>
      <c r="BE10" s="37" t="s">
        <v>5</v>
      </c>
      <c r="BF10" s="57">
        <v>0</v>
      </c>
      <c r="BG10" s="57">
        <v>8.7081</v>
      </c>
      <c r="BH10" s="57">
        <v>128.69</v>
      </c>
      <c r="BI10" s="57">
        <v>943.9</v>
      </c>
      <c r="BJ10" s="57">
        <v>1101.5999999999999</v>
      </c>
      <c r="BK10" s="57">
        <v>1102.7</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0.51337369290038526</v>
      </c>
      <c r="C11" s="75">
        <f t="shared" ref="C11:C19" si="0">(($C$4*D11)+($D$4*E11)+($E$4*F11)+($F$4*G11)+($G$4*I11))</f>
        <v>0.3696346457849734</v>
      </c>
      <c r="D11" s="75">
        <f>AL10/$AL$5</f>
        <v>1.2895718861105398E-3</v>
      </c>
      <c r="E11" s="75">
        <f>AM$10/AM$5</f>
        <v>1.935209943290336E-2</v>
      </c>
      <c r="F11" s="75">
        <f>AN$10/AN$5</f>
        <v>0.22791408338965119</v>
      </c>
      <c r="G11" s="75">
        <f>AO$10/AO$5</f>
        <v>0.50927041400993156</v>
      </c>
      <c r="H11" s="76">
        <f t="shared" ref="H11:H19" si="1">($D$4*E11+$E$4*F11+$F$4*G11)/(SUM($D$4:$F$4))</f>
        <v>0.2521788656108287</v>
      </c>
      <c r="I11" s="75">
        <f>AP10/$AP$5</f>
        <v>0.51217935533158987</v>
      </c>
      <c r="J11" s="75">
        <f>(($C$5*D11)+($D$5*E11)+($E$5*F11)+($F$5*G11)+($G$5*I11))</f>
        <v>0.24823702876619749</v>
      </c>
      <c r="K11"/>
      <c r="L11" s="68">
        <v>0.1</v>
      </c>
      <c r="M11" s="69">
        <f>AU6/$AK$5</f>
        <v>0.40979636763896532</v>
      </c>
      <c r="N11" s="69">
        <f t="shared" ref="N11:N19" si="2">(($C$4*O11)+($D$4*P11)+($E$4*Q11)+($F$4*R11)+($G$4*T11))</f>
        <v>0.3109034584080157</v>
      </c>
      <c r="O11" s="69">
        <f>AV10/$AL$5</f>
        <v>1.6139629183439602E-3</v>
      </c>
      <c r="P11" s="69">
        <f>AW$10/AW$5</f>
        <v>2.4838832897481858E-2</v>
      </c>
      <c r="Q11" s="69">
        <f>AX$10/AX$5</f>
        <v>0.2754444215908089</v>
      </c>
      <c r="R11" s="69">
        <f>AY$10/AY$5</f>
        <v>0.40819204889372079</v>
      </c>
      <c r="S11" s="70">
        <f t="shared" ref="S11:S19" si="3">($D$4*P11+$E$4*Q11+$F$4*R11)/(SUM($D$4:$F$4))</f>
        <v>0.23615843446067053</v>
      </c>
      <c r="T11" s="69">
        <f>AZ10/$AP$5</f>
        <v>0.40910292950959359</v>
      </c>
      <c r="U11" s="69">
        <f>(($C$5*O11)+($D$5*P11)+($E$5*Q11)+($F$5*R11)+($G$5*T11))</f>
        <v>0.23785563423735784</v>
      </c>
      <c r="V11"/>
      <c r="W11" s="84">
        <v>0.1</v>
      </c>
      <c r="X11" s="85">
        <f>BF6/$AK$5</f>
        <v>0.32474775270592554</v>
      </c>
      <c r="Y11" s="85">
        <f t="shared" ref="Y11:Y19" si="4">(($C$4*Z11)+($D$4*AA11)+($E$4*AB11)+($F$4*AC11)+($G$4*AE11))</f>
        <v>0.25795959950636149</v>
      </c>
      <c r="Z11" s="85">
        <f>BG10/$AL$5</f>
        <v>2.5587224164781239E-3</v>
      </c>
      <c r="AA11" s="85">
        <f>BH$10/BH$5</f>
        <v>3.7813298856991744E-2</v>
      </c>
      <c r="AB11" s="85">
        <f>BI$10/BI$5</f>
        <v>0.27734845591043983</v>
      </c>
      <c r="AC11" s="85">
        <f>BJ$10/BJ$5</f>
        <v>0.32368583433726084</v>
      </c>
      <c r="AD11" s="86">
        <f t="shared" ref="AD11:AD19" si="5">($D$4*AA11+$E$4*AB11+$F$4*AC11)/(SUM($D$4:$F$4))</f>
        <v>0.21294919636823081</v>
      </c>
      <c r="AE11" s="85">
        <f>BK10/$AP$5</f>
        <v>0.3240090500396674</v>
      </c>
      <c r="AF11" s="85">
        <f>(($C$5*Z11)+($D$5*AA11)+($E$5*AB11)+($F$5*AC11)+($G$5*AE11))</f>
        <v>0.21589598624864104</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0.73536965694368006</v>
      </c>
      <c r="C12" s="75">
        <f t="shared" si="0"/>
        <v>0.53745676843064083</v>
      </c>
      <c r="D12" s="75">
        <f>AL17/$AL$5</f>
        <v>2.439514588781477E-3</v>
      </c>
      <c r="E12" s="75">
        <f>AM17/AM$5</f>
        <v>3.4822084447448068E-2</v>
      </c>
      <c r="F12" s="75">
        <f>AN17/AN$5</f>
        <v>0.37099285987130132</v>
      </c>
      <c r="G12" s="75">
        <f>AO17/AO$5</f>
        <v>0.73114330208914879</v>
      </c>
      <c r="H12" s="76">
        <f t="shared" si="1"/>
        <v>0.37898608213596613</v>
      </c>
      <c r="I12" s="75">
        <f>AP17/$AP$5</f>
        <v>0.73358211148003405</v>
      </c>
      <c r="J12" s="75">
        <f t="shared" ref="J12:J18" si="6">(($C$5*D12)+($D$5*E12)+($E$5*F12)+($F$5*G12)+($G$5*I12))</f>
        <v>0.37519238386272141</v>
      </c>
      <c r="K12"/>
      <c r="L12" s="68">
        <v>0.2</v>
      </c>
      <c r="M12" s="69">
        <f>AU13/$AK$5</f>
        <v>0.63797468354430376</v>
      </c>
      <c r="N12" s="69">
        <f t="shared" si="2"/>
        <v>0.49007817412511384</v>
      </c>
      <c r="O12" s="69">
        <f>AV17/$AL$5</f>
        <v>3.5850498046014162E-3</v>
      </c>
      <c r="P12" s="69">
        <f>AW17/AW$5</f>
        <v>4.878206446684101E-2</v>
      </c>
      <c r="Q12" s="69">
        <f>AX17/AX$5</f>
        <v>0.45717391943114039</v>
      </c>
      <c r="R12" s="69">
        <f>AY17/AY$5</f>
        <v>0.63641171803837449</v>
      </c>
      <c r="S12" s="70">
        <f t="shared" si="3"/>
        <v>0.38078923397878528</v>
      </c>
      <c r="T12" s="69">
        <f>AZ17/$AP$5</f>
        <v>0.63708753268886076</v>
      </c>
      <c r="U12" s="69">
        <f t="shared" ref="U12:U18" si="7">(($C$5*O12)+($D$5*P12)+($E$5*Q12)+($F$5*R12)+($G$5*T12))</f>
        <v>0.38397558252284553</v>
      </c>
      <c r="V12"/>
      <c r="W12" s="84">
        <v>0.2</v>
      </c>
      <c r="X12" s="85">
        <f>BF13/$AK$5</f>
        <v>0.54828471840029347</v>
      </c>
      <c r="Y12" s="85">
        <f t="shared" si="4"/>
        <v>0.43765626010049063</v>
      </c>
      <c r="Z12" s="85">
        <f>BG17/$AL$5</f>
        <v>4.8573443422560451E-3</v>
      </c>
      <c r="AA12" s="85">
        <f>BH17/BH$5</f>
        <v>6.7863544207093118E-2</v>
      </c>
      <c r="AB12" s="85">
        <f>BI17/BI$5</f>
        <v>0.4757441306966767</v>
      </c>
      <c r="AC12" s="85">
        <f>BJ17/BJ$5</f>
        <v>0.5472923339112038</v>
      </c>
      <c r="AD12" s="86">
        <f t="shared" si="5"/>
        <v>0.36363333627165789</v>
      </c>
      <c r="AE12" s="85">
        <f>BK17/$AP$5</f>
        <v>0.54755678312226364</v>
      </c>
      <c r="AF12" s="85">
        <f t="shared" ref="AF12:AF18" si="8">(($C$5*Z12)+($D$5*AA12)+($E$5*AB12)+($F$5*AC12)+($G$5*AE12))</f>
        <v>0.36857024064878208</v>
      </c>
      <c r="AG12"/>
      <c r="AH12" s="37"/>
      <c r="AI12" s="56">
        <v>0.2</v>
      </c>
      <c r="AJ12" s="37" t="s">
        <v>0</v>
      </c>
      <c r="AK12" s="57">
        <v>545100</v>
      </c>
      <c r="AL12" s="57">
        <v>3403.3</v>
      </c>
      <c r="AM12" s="57">
        <v>3403.3</v>
      </c>
      <c r="AN12" s="57">
        <v>3403.3</v>
      </c>
      <c r="AO12" s="57">
        <v>3403.3</v>
      </c>
      <c r="AP12" s="57">
        <v>3403.3</v>
      </c>
      <c r="AQ12" s="37"/>
      <c r="AR12" s="37"/>
      <c r="AS12" s="56">
        <v>0.2</v>
      </c>
      <c r="AT12" s="37" t="s">
        <v>0</v>
      </c>
      <c r="AU12" s="57">
        <v>545100</v>
      </c>
      <c r="AV12" s="57">
        <v>3403.3</v>
      </c>
      <c r="AW12" s="57">
        <v>3403.3</v>
      </c>
      <c r="AX12" s="57">
        <v>3403.3</v>
      </c>
      <c r="AY12" s="57">
        <v>3403.3</v>
      </c>
      <c r="AZ12" s="57">
        <v>3403.3</v>
      </c>
      <c r="BA12" s="37"/>
      <c r="BB12" s="37"/>
      <c r="BC12" s="37"/>
      <c r="BD12" s="56">
        <v>0.2</v>
      </c>
      <c r="BE12" s="37" t="s">
        <v>0</v>
      </c>
      <c r="BF12" s="57">
        <v>545100</v>
      </c>
      <c r="BG12" s="57">
        <v>3403.3</v>
      </c>
      <c r="BH12" s="57">
        <v>3403.3</v>
      </c>
      <c r="BI12" s="57">
        <v>3403.3</v>
      </c>
      <c r="BJ12" s="57">
        <v>3403.3</v>
      </c>
      <c r="BK12" s="57">
        <v>3403.3</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0.89152449091909747</v>
      </c>
      <c r="C13" s="75">
        <f t="shared" si="0"/>
        <v>0.66433314723944403</v>
      </c>
      <c r="D13" s="75">
        <f>AL24/$AL$5</f>
        <v>4.5896629741721262E-3</v>
      </c>
      <c r="E13" s="75">
        <f>AM24/AM$5</f>
        <v>5.9048570505097993E-2</v>
      </c>
      <c r="F13" s="75">
        <f>AN24/AN$5</f>
        <v>0.51658684218258744</v>
      </c>
      <c r="G13" s="75">
        <f>AO24/AO$5</f>
        <v>0.88734463608850234</v>
      </c>
      <c r="H13" s="76">
        <f t="shared" si="1"/>
        <v>0.48766001625872929</v>
      </c>
      <c r="I13" s="75">
        <f>AP24/$AP$5</f>
        <v>0.88931331354861454</v>
      </c>
      <c r="J13" s="75">
        <f t="shared" si="6"/>
        <v>0.48530367584403372</v>
      </c>
      <c r="K13"/>
      <c r="L13" s="68">
        <v>0.4</v>
      </c>
      <c r="M13" s="69">
        <f>AU20/$AK$5</f>
        <v>0.83364520271509812</v>
      </c>
      <c r="N13" s="69">
        <f t="shared" si="2"/>
        <v>0.6471663238621338</v>
      </c>
      <c r="O13" s="69">
        <f>AV24/$AL$5</f>
        <v>5.7893808950136624E-3</v>
      </c>
      <c r="P13" s="69">
        <f>AW24/AW$5</f>
        <v>7.5027179502247812E-2</v>
      </c>
      <c r="Q13" s="69">
        <f>AX24/AX$5</f>
        <v>0.63050568565803777</v>
      </c>
      <c r="R13" s="69">
        <f>AY24/AY$5</f>
        <v>0.8319278347486263</v>
      </c>
      <c r="S13" s="70">
        <f t="shared" si="3"/>
        <v>0.51248689996963726</v>
      </c>
      <c r="T13" s="69">
        <f>AZ24/$AP$5</f>
        <v>0.83251549966209271</v>
      </c>
      <c r="U13" s="69">
        <f t="shared" si="7"/>
        <v>0.5174237651691006</v>
      </c>
      <c r="V13"/>
      <c r="W13" s="84">
        <v>0.4</v>
      </c>
      <c r="X13" s="85">
        <f>BF20/$AK$5</f>
        <v>0.76541918913960738</v>
      </c>
      <c r="Y13" s="85">
        <f t="shared" si="4"/>
        <v>0.61635168806746388</v>
      </c>
      <c r="Z13" s="85">
        <f>BG24/$AL$5</f>
        <v>8.6016513384068408E-3</v>
      </c>
      <c r="AA13" s="85">
        <f>BH24/BH$5</f>
        <v>0.11043399053859489</v>
      </c>
      <c r="AB13" s="85">
        <f>BI24/BI$5</f>
        <v>0.68260218023682895</v>
      </c>
      <c r="AC13" s="85">
        <f>BJ24/BJ$5</f>
        <v>0.76440513619134365</v>
      </c>
      <c r="AD13" s="86">
        <f t="shared" si="5"/>
        <v>0.5191471023222558</v>
      </c>
      <c r="AE13" s="85">
        <f>BK24/$AP$5</f>
        <v>0.76461081891105687</v>
      </c>
      <c r="AF13" s="85">
        <f t="shared" si="8"/>
        <v>0.52532994446566572</v>
      </c>
      <c r="AG13"/>
      <c r="AH13" s="37"/>
      <c r="AI13" s="56"/>
      <c r="AJ13" s="37" t="s">
        <v>1</v>
      </c>
      <c r="AK13" s="57">
        <v>400850</v>
      </c>
      <c r="AL13" s="57">
        <v>2502.6999999999998</v>
      </c>
      <c r="AM13" s="57">
        <v>2502.6999999999998</v>
      </c>
      <c r="AN13" s="57">
        <v>2502.6999999999998</v>
      </c>
      <c r="AO13" s="57">
        <v>2502.6999999999998</v>
      </c>
      <c r="AP13" s="57">
        <v>2502.6999999999998</v>
      </c>
      <c r="AQ13" s="37"/>
      <c r="AR13" s="37"/>
      <c r="AS13" s="56"/>
      <c r="AT13" s="37" t="s">
        <v>1</v>
      </c>
      <c r="AU13" s="57">
        <v>347760</v>
      </c>
      <c r="AV13" s="57">
        <v>2171.1999999999998</v>
      </c>
      <c r="AW13" s="57">
        <v>2171.1999999999998</v>
      </c>
      <c r="AX13" s="57">
        <v>2171.1999999999998</v>
      </c>
      <c r="AY13" s="57">
        <v>2171.1999999999998</v>
      </c>
      <c r="AZ13" s="57">
        <v>2171.1999999999998</v>
      </c>
      <c r="BA13" s="37"/>
      <c r="BB13" s="37"/>
      <c r="BC13" s="37"/>
      <c r="BD13" s="56"/>
      <c r="BE13" s="37" t="s">
        <v>1</v>
      </c>
      <c r="BF13" s="57">
        <v>298870</v>
      </c>
      <c r="BG13" s="57">
        <v>1866</v>
      </c>
      <c r="BH13" s="57">
        <v>1866</v>
      </c>
      <c r="BI13" s="57">
        <v>1866</v>
      </c>
      <c r="BJ13" s="57">
        <v>1866</v>
      </c>
      <c r="BK13" s="57">
        <v>1866</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0.94681709778022383</v>
      </c>
      <c r="C14" s="75">
        <f t="shared" si="0"/>
        <v>0.71717056974113358</v>
      </c>
      <c r="D14" s="75">
        <f>AL31/$AL$5</f>
        <v>6.6588311344871146E-3</v>
      </c>
      <c r="E14" s="75">
        <f>AM31/AM$5</f>
        <v>8.0419005083301492E-2</v>
      </c>
      <c r="F14" s="75">
        <f>AN31/AN$5</f>
        <v>0.60840948491170332</v>
      </c>
      <c r="G14" s="75">
        <f>AO31/AO$5</f>
        <v>0.94255575470866515</v>
      </c>
      <c r="H14" s="76">
        <f t="shared" si="1"/>
        <v>0.54379474823455665</v>
      </c>
      <c r="I14" s="75">
        <f>AP31/$AP$5</f>
        <v>0.9442599829577174</v>
      </c>
      <c r="J14" s="75">
        <f t="shared" si="6"/>
        <v>0.54305062733229514</v>
      </c>
      <c r="K14"/>
      <c r="L14" s="68">
        <v>0.6</v>
      </c>
      <c r="M14" s="69">
        <f>AU27/$AK$5</f>
        <v>0.91478627774720234</v>
      </c>
      <c r="N14" s="69">
        <f t="shared" si="2"/>
        <v>0.71847809479035052</v>
      </c>
      <c r="O14" s="69">
        <f>AV31/$AL$5</f>
        <v>8.5417095172332733E-3</v>
      </c>
      <c r="P14" s="69">
        <f>AW31/AW$5</f>
        <v>0.10190697264419828</v>
      </c>
      <c r="Q14" s="69">
        <f>AX31/AX$5</f>
        <v>0.72673581523815123</v>
      </c>
      <c r="R14" s="69">
        <f>AY31/AY$5</f>
        <v>0.9130843592983281</v>
      </c>
      <c r="S14" s="70">
        <f t="shared" si="3"/>
        <v>0.58057571572689259</v>
      </c>
      <c r="T14" s="69">
        <f>AZ31/$AP$5</f>
        <v>0.9135838744747744</v>
      </c>
      <c r="U14" s="69">
        <f t="shared" si="7"/>
        <v>0.58590515088296657</v>
      </c>
      <c r="V14"/>
      <c r="W14" s="84">
        <v>0.6</v>
      </c>
      <c r="X14" s="85">
        <f>BF27/$AK$5</f>
        <v>0.8753990093560815</v>
      </c>
      <c r="Y14" s="85">
        <f t="shared" si="4"/>
        <v>0.70985684482707956</v>
      </c>
      <c r="Z14" s="85">
        <f>BG31/$AL$5</f>
        <v>1.201657215055975E-2</v>
      </c>
      <c r="AA14" s="85">
        <f>BH31/BH$5</f>
        <v>0.1443422560456028</v>
      </c>
      <c r="AB14" s="85">
        <f>BI31/BI$5</f>
        <v>0.79443481326947363</v>
      </c>
      <c r="AC14" s="85">
        <f>BJ31/BJ$5</f>
        <v>0.87438662474656947</v>
      </c>
      <c r="AD14" s="86">
        <f t="shared" si="5"/>
        <v>0.60438789802054871</v>
      </c>
      <c r="AE14" s="85">
        <f>BK31/$AP$5</f>
        <v>0.87456292422060944</v>
      </c>
      <c r="AF14" s="85">
        <f t="shared" si="8"/>
        <v>0.61017765110334088</v>
      </c>
      <c r="AG14"/>
      <c r="AH14" s="37"/>
      <c r="AI14" s="56"/>
      <c r="AJ14" s="37" t="s">
        <v>2</v>
      </c>
      <c r="AK14" s="57">
        <v>144250</v>
      </c>
      <c r="AL14" s="57">
        <v>900.63</v>
      </c>
      <c r="AM14" s="57">
        <v>900.63</v>
      </c>
      <c r="AN14" s="57">
        <v>900.63</v>
      </c>
      <c r="AO14" s="57">
        <v>900.63</v>
      </c>
      <c r="AP14" s="57">
        <v>900.63</v>
      </c>
      <c r="AQ14" s="37"/>
      <c r="AR14" s="37"/>
      <c r="AS14" s="56"/>
      <c r="AT14" s="37" t="s">
        <v>2</v>
      </c>
      <c r="AU14" s="57">
        <v>197350</v>
      </c>
      <c r="AV14" s="57">
        <v>1232.0999999999999</v>
      </c>
      <c r="AW14" s="57">
        <v>1232.0999999999999</v>
      </c>
      <c r="AX14" s="57">
        <v>1232.0999999999999</v>
      </c>
      <c r="AY14" s="57">
        <v>1232.0999999999999</v>
      </c>
      <c r="AZ14" s="57">
        <v>1232.0999999999999</v>
      </c>
      <c r="BA14" s="37"/>
      <c r="BB14" s="37"/>
      <c r="BC14" s="37"/>
      <c r="BD14" s="56"/>
      <c r="BE14" s="37" t="s">
        <v>2</v>
      </c>
      <c r="BF14" s="57">
        <v>246240</v>
      </c>
      <c r="BG14" s="57">
        <v>1537.3</v>
      </c>
      <c r="BH14" s="57">
        <v>1537.3</v>
      </c>
      <c r="BI14" s="57">
        <v>1537.3</v>
      </c>
      <c r="BJ14" s="57">
        <v>1537.3</v>
      </c>
      <c r="BK14" s="57">
        <v>1537.3</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0.97409649605576953</v>
      </c>
      <c r="C15" s="75">
        <f t="shared" si="0"/>
        <v>0.74630592366232773</v>
      </c>
      <c r="D15" s="75">
        <f>AL38/$AL$5</f>
        <v>8.6471953692004808E-3</v>
      </c>
      <c r="E15" s="75">
        <f>AM38/AM$5</f>
        <v>9.9230158963359086E-2</v>
      </c>
      <c r="F15" s="75">
        <f>AN38/AN$5</f>
        <v>0.6662063291511181</v>
      </c>
      <c r="G15" s="75">
        <f>AO38/AO$5</f>
        <v>0.96970587371080996</v>
      </c>
      <c r="H15" s="76">
        <f t="shared" si="1"/>
        <v>0.57838078727509579</v>
      </c>
      <c r="I15" s="75">
        <f>AP38/$AP$5</f>
        <v>0.97120441924014922</v>
      </c>
      <c r="J15" s="75">
        <f t="shared" si="6"/>
        <v>0.57825489965621601</v>
      </c>
      <c r="K15"/>
      <c r="L15" s="68">
        <v>0.8</v>
      </c>
      <c r="M15" s="69">
        <f>AU34/$AK$5</f>
        <v>0.95171528159970653</v>
      </c>
      <c r="N15" s="69">
        <f t="shared" si="2"/>
        <v>0.75612288073340572</v>
      </c>
      <c r="O15" s="69">
        <f>AV38/$AL$5</f>
        <v>1.1183263303264478E-2</v>
      </c>
      <c r="P15" s="69">
        <f>AW38/AW$5</f>
        <v>0.12605412393853024</v>
      </c>
      <c r="Q15" s="69">
        <f>AX38/AX$5</f>
        <v>0.79264243528340128</v>
      </c>
      <c r="R15" s="69">
        <f>AY38/AY$5</f>
        <v>0.95019539858372759</v>
      </c>
      <c r="S15" s="70">
        <f t="shared" si="3"/>
        <v>0.62296398593521973</v>
      </c>
      <c r="T15" s="69">
        <f>AZ38/$AP$5</f>
        <v>0.95045984779478732</v>
      </c>
      <c r="U15" s="69">
        <f t="shared" si="7"/>
        <v>0.62847118972761717</v>
      </c>
      <c r="V15"/>
      <c r="W15" s="84">
        <v>0.8</v>
      </c>
      <c r="X15" s="85">
        <f>BF34/$AK$5</f>
        <v>0.92937075765914512</v>
      </c>
      <c r="Y15" s="85">
        <f t="shared" si="4"/>
        <v>0.75811161225869017</v>
      </c>
      <c r="Z15" s="85">
        <f>BG38/$AL$5</f>
        <v>1.5122087385772632E-2</v>
      </c>
      <c r="AA15" s="85">
        <f>BH38/BH$5</f>
        <v>0.17172156436399963</v>
      </c>
      <c r="AB15" s="85">
        <f>BI38/BI$5</f>
        <v>0.85417095172332735</v>
      </c>
      <c r="AC15" s="85">
        <f>BJ38/BJ$5</f>
        <v>0.92830488055710636</v>
      </c>
      <c r="AD15" s="86">
        <f t="shared" si="5"/>
        <v>0.65139913221481116</v>
      </c>
      <c r="AE15" s="85">
        <f>BK38/$AP$5</f>
        <v>0.92845179678547296</v>
      </c>
      <c r="AF15" s="85">
        <f t="shared" si="8"/>
        <v>0.65603105809067686</v>
      </c>
      <c r="AG15"/>
      <c r="AH15" s="37"/>
      <c r="AI15" s="56"/>
      <c r="AJ15" s="37" t="s">
        <v>3</v>
      </c>
      <c r="AK15" s="57">
        <v>400760</v>
      </c>
      <c r="AL15" s="57">
        <v>2493.8000000000002</v>
      </c>
      <c r="AM15" s="57">
        <v>2383.6</v>
      </c>
      <c r="AN15" s="57">
        <v>1239.4000000000001</v>
      </c>
      <c r="AO15" s="57">
        <v>13.737</v>
      </c>
      <c r="AP15" s="57">
        <v>5.5262000000000002</v>
      </c>
      <c r="AQ15" s="37"/>
      <c r="AR15" s="37"/>
      <c r="AS15" s="56"/>
      <c r="AT15" s="37" t="s">
        <v>3</v>
      </c>
      <c r="AU15" s="57">
        <v>347530</v>
      </c>
      <c r="AV15" s="57">
        <v>2157.6</v>
      </c>
      <c r="AW15" s="57">
        <v>2003.7</v>
      </c>
      <c r="AX15" s="57">
        <v>613.83000000000004</v>
      </c>
      <c r="AY15" s="57">
        <v>3.8452999999999999</v>
      </c>
      <c r="AZ15" s="57">
        <v>1.5606</v>
      </c>
      <c r="BA15" s="37"/>
      <c r="BB15" s="37"/>
      <c r="BC15" s="37"/>
      <c r="BD15" s="56"/>
      <c r="BE15" s="37" t="s">
        <v>3</v>
      </c>
      <c r="BF15" s="57">
        <v>298570</v>
      </c>
      <c r="BG15" s="57">
        <v>1847.6</v>
      </c>
      <c r="BH15" s="57">
        <v>1633.1</v>
      </c>
      <c r="BI15" s="57">
        <v>245.08</v>
      </c>
      <c r="BJ15" s="57">
        <v>1.5785</v>
      </c>
      <c r="BK15" s="57">
        <v>0.67291000000000001</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0.9852687580260503</v>
      </c>
      <c r="C16" s="75">
        <f t="shared" si="0"/>
        <v>0.76244806511327234</v>
      </c>
      <c r="D16" s="75">
        <f>AL45/$AL$5</f>
        <v>1.0622043310904121E-2</v>
      </c>
      <c r="E16" s="75">
        <f>AM45/AM$5</f>
        <v>0.11673375841095406</v>
      </c>
      <c r="F16" s="75">
        <f>AN45/AN$5</f>
        <v>0.707254723356742</v>
      </c>
      <c r="G16" s="75">
        <f>AO45/AO$5</f>
        <v>0.98098904004936383</v>
      </c>
      <c r="H16" s="76">
        <f t="shared" si="1"/>
        <v>0.60165917393902002</v>
      </c>
      <c r="I16" s="75">
        <f>AP45/$AP$5</f>
        <v>0.98234066935033637</v>
      </c>
      <c r="J16" s="75">
        <f t="shared" si="6"/>
        <v>0.60174272030088449</v>
      </c>
      <c r="K16"/>
      <c r="L16" s="68">
        <v>1</v>
      </c>
      <c r="M16" s="69">
        <f>AU41/$AK$5</f>
        <v>0.97094111172261965</v>
      </c>
      <c r="N16" s="69">
        <f t="shared" si="2"/>
        <v>0.7747061528516439</v>
      </c>
      <c r="O16" s="69">
        <f>AV45/$AL$5</f>
        <v>1.3042928921928716E-2</v>
      </c>
      <c r="P16" s="69">
        <f>AW45/AW$5</f>
        <v>0.1422501689536626</v>
      </c>
      <c r="Q16" s="69">
        <f>AX45/AX$5</f>
        <v>0.81694237945523462</v>
      </c>
      <c r="R16" s="69">
        <f>AY45/AY$5</f>
        <v>0.96920635853436365</v>
      </c>
      <c r="S16" s="70">
        <f t="shared" si="3"/>
        <v>0.64279963564775355</v>
      </c>
      <c r="T16" s="69">
        <f>AZ45/$AP$5</f>
        <v>0.96958834072811684</v>
      </c>
      <c r="U16" s="69">
        <f t="shared" si="7"/>
        <v>0.64733138424470371</v>
      </c>
      <c r="V16"/>
      <c r="W16" s="84">
        <v>1</v>
      </c>
      <c r="X16" s="85">
        <f>BF41/$AK$5</f>
        <v>0.95246743716749216</v>
      </c>
      <c r="Y16" s="85">
        <f t="shared" si="4"/>
        <v>0.78117800370228885</v>
      </c>
      <c r="Z16" s="85">
        <f>BG45/$AL$5</f>
        <v>1.799194899068551E-2</v>
      </c>
      <c r="AA16" s="85">
        <f>BH45/BH$5</f>
        <v>0.19472570740163958</v>
      </c>
      <c r="AB16" s="85">
        <f>BI45/BI$5</f>
        <v>0.88387741309905088</v>
      </c>
      <c r="AC16" s="85">
        <f>BJ45/BJ$5</f>
        <v>0.95142949490200679</v>
      </c>
      <c r="AD16" s="86">
        <f t="shared" si="5"/>
        <v>0.67667753846756573</v>
      </c>
      <c r="AE16" s="85">
        <f>BK45/$AP$5</f>
        <v>0.95154702788470014</v>
      </c>
      <c r="AF16" s="85">
        <f t="shared" si="8"/>
        <v>0.67973590338788825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0.99253348009539533</v>
      </c>
      <c r="C17" s="75">
        <f t="shared" si="0"/>
        <v>0.77462836070872387</v>
      </c>
      <c r="D17" s="75">
        <f>AL52/$AL$5</f>
        <v>1.252431463579467E-2</v>
      </c>
      <c r="E17" s="75">
        <f>AM52/AM$5</f>
        <v>0.13307965797902035</v>
      </c>
      <c r="F17" s="75">
        <f>AN52/AN$5</f>
        <v>0.74051655745893685</v>
      </c>
      <c r="G17" s="75">
        <f>AO52/AO$5</f>
        <v>0.98824670173067319</v>
      </c>
      <c r="H17" s="76">
        <f t="shared" si="1"/>
        <v>0.62061430572287679</v>
      </c>
      <c r="I17" s="75">
        <f>AP52/$AP$5</f>
        <v>0.98945141480327914</v>
      </c>
      <c r="J17" s="75">
        <f t="shared" si="6"/>
        <v>0.6206694678694209</v>
      </c>
      <c r="K17"/>
      <c r="L17" s="68">
        <v>1.2</v>
      </c>
      <c r="M17" s="69">
        <f>AU48/$AK$5</f>
        <v>0.98084755090809028</v>
      </c>
      <c r="N17" s="69">
        <f t="shared" si="2"/>
        <v>0.7878149002438809</v>
      </c>
      <c r="O17" s="69">
        <f>AV52/$AL$5</f>
        <v>1.5502306584785354E-2</v>
      </c>
      <c r="P17" s="69">
        <f>AW52/AW$5</f>
        <v>0.16153439308906062</v>
      </c>
      <c r="Q17" s="69">
        <f>AX52/AX$5</f>
        <v>0.84138923985543435</v>
      </c>
      <c r="R17" s="69">
        <f>AY52/AY$5</f>
        <v>0.97913789557194486</v>
      </c>
      <c r="S17" s="70">
        <f t="shared" si="3"/>
        <v>0.66068717617214656</v>
      </c>
      <c r="T17" s="69">
        <f>AZ52/$AP$5</f>
        <v>0.97946111127435131</v>
      </c>
      <c r="U17" s="69">
        <f t="shared" si="7"/>
        <v>0.66418649546028852</v>
      </c>
      <c r="V17"/>
      <c r="W17" s="84">
        <v>1.2</v>
      </c>
      <c r="X17" s="85">
        <f>BF48/$AK$5</f>
        <v>0.96699688130618233</v>
      </c>
      <c r="Y17" s="85">
        <f t="shared" si="4"/>
        <v>0.79685043927952282</v>
      </c>
      <c r="Z17" s="85">
        <f>BG52/$AL$5</f>
        <v>2.0806863926189283E-2</v>
      </c>
      <c r="AA17" s="85">
        <f>BH52/BH$5</f>
        <v>0.21554667528575205</v>
      </c>
      <c r="AB17" s="85">
        <f>BI52/BI$5</f>
        <v>0.90379925366555991</v>
      </c>
      <c r="AC17" s="85">
        <f>BJ52/BJ$5</f>
        <v>0.96594481826462553</v>
      </c>
      <c r="AD17" s="86">
        <f t="shared" si="5"/>
        <v>0.69509691573864596</v>
      </c>
      <c r="AE17" s="85">
        <f>BK52/$AP$5</f>
        <v>0.9660329680016454</v>
      </c>
      <c r="AF17" s="85">
        <f t="shared" si="8"/>
        <v>0.69650198336908298</v>
      </c>
      <c r="AG17"/>
      <c r="AH17" s="37"/>
      <c r="AI17" s="56"/>
      <c r="AJ17" s="37" t="s">
        <v>5</v>
      </c>
      <c r="AK17" s="57">
        <v>0</v>
      </c>
      <c r="AL17" s="57">
        <v>8.3024000000000004</v>
      </c>
      <c r="AM17" s="57">
        <v>118.51</v>
      </c>
      <c r="AN17" s="57">
        <v>1262.5999999999999</v>
      </c>
      <c r="AO17" s="57">
        <v>2488.3000000000002</v>
      </c>
      <c r="AP17" s="57">
        <v>2496.6</v>
      </c>
      <c r="AQ17" s="37"/>
      <c r="AR17" s="37"/>
      <c r="AS17" s="56"/>
      <c r="AT17" s="37" t="s">
        <v>5</v>
      </c>
      <c r="AU17" s="57">
        <v>0</v>
      </c>
      <c r="AV17" s="57">
        <v>12.201000000000001</v>
      </c>
      <c r="AW17" s="57">
        <v>166.02</v>
      </c>
      <c r="AX17" s="57">
        <v>1555.9</v>
      </c>
      <c r="AY17" s="57">
        <v>2165.9</v>
      </c>
      <c r="AZ17" s="57">
        <v>2168.1999999999998</v>
      </c>
      <c r="BA17" s="37"/>
      <c r="BB17" s="37"/>
      <c r="BC17" s="37"/>
      <c r="BD17" s="56"/>
      <c r="BE17" s="37" t="s">
        <v>5</v>
      </c>
      <c r="BF17" s="57">
        <v>0</v>
      </c>
      <c r="BG17" s="57">
        <v>16.530999999999999</v>
      </c>
      <c r="BH17" s="57">
        <v>230.96</v>
      </c>
      <c r="BI17" s="57">
        <v>1619.1</v>
      </c>
      <c r="BJ17" s="57">
        <v>1862.6</v>
      </c>
      <c r="BK17" s="57">
        <v>1863.5</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0.79083762818440917</v>
      </c>
      <c r="D18" s="75">
        <f>AL59/$AL$5</f>
        <v>1.6141392178179999E-2</v>
      </c>
      <c r="E18" s="75">
        <f>AM59/AM$5</f>
        <v>0.16238356888901948</v>
      </c>
      <c r="F18" s="75">
        <f>AN59/AN$5</f>
        <v>0.78673640290306468</v>
      </c>
      <c r="G18" s="75">
        <f>AO59/AO$5</f>
        <v>0.99568066288602231</v>
      </c>
      <c r="H18" s="76">
        <f t="shared" si="1"/>
        <v>0.64826687822603546</v>
      </c>
      <c r="I18" s="75">
        <f>AP59/$AP$5</f>
        <v>0.99662092674756853</v>
      </c>
      <c r="J18" s="75">
        <f t="shared" si="6"/>
        <v>0.64758363940880925</v>
      </c>
      <c r="K18"/>
      <c r="L18" s="68">
        <v>1.6</v>
      </c>
      <c r="M18" s="69">
        <f>AU55/$AK$5</f>
        <v>0.99051550174279945</v>
      </c>
      <c r="N18" s="69">
        <f t="shared" si="2"/>
        <v>0.80361954573502181</v>
      </c>
      <c r="O18" s="69">
        <f>AV59/$AL$5</f>
        <v>1.9662680339670321E-2</v>
      </c>
      <c r="P18" s="69">
        <f>AW59/AW$5</f>
        <v>0.1926806335027767</v>
      </c>
      <c r="Q18" s="69">
        <f>AX59/AX$5</f>
        <v>0.87265301325184375</v>
      </c>
      <c r="R18" s="69">
        <f>AY59/AY$5</f>
        <v>0.98877560015279276</v>
      </c>
      <c r="S18" s="70">
        <f t="shared" si="3"/>
        <v>0.68470308230247112</v>
      </c>
      <c r="T18" s="69">
        <f>AZ59/$AP$5</f>
        <v>0.9890400493638527</v>
      </c>
      <c r="U18" s="69">
        <f t="shared" si="7"/>
        <v>0.68622272500220383</v>
      </c>
      <c r="V18"/>
      <c r="W18" s="84">
        <v>1.6</v>
      </c>
      <c r="X18" s="85">
        <f>BF55/$AK$5</f>
        <v>0.98071913410383416</v>
      </c>
      <c r="Y18" s="85">
        <f t="shared" si="4"/>
        <v>0.81548147386360292</v>
      </c>
      <c r="Z18" s="85">
        <f>BG59/$AL$5</f>
        <v>2.671289630652602E-2</v>
      </c>
      <c r="AA18" s="85">
        <f>BH59/BH$5</f>
        <v>0.25435606617106926</v>
      </c>
      <c r="AB18" s="85">
        <f>BI59/BI$5</f>
        <v>0.92789351511767992</v>
      </c>
      <c r="AC18" s="85">
        <f>BJ59/BJ$5</f>
        <v>0.97963741074839117</v>
      </c>
      <c r="AD18" s="86">
        <f t="shared" si="5"/>
        <v>0.7206289973457134</v>
      </c>
      <c r="AE18" s="85">
        <f>BK59/$AP$5</f>
        <v>0.97972556048541126</v>
      </c>
      <c r="AF18" s="85">
        <f t="shared" si="8"/>
        <v>0.71859994711015784</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0.3696346457849734</v>
      </c>
      <c r="CH18" s="62">
        <f t="shared" ref="CH18:CH26" si="10">N11</f>
        <v>0.3109034584080157</v>
      </c>
      <c r="CI18" s="62">
        <f t="shared" ref="CI18:CI26" si="11">Y11</f>
        <v>0.25795959950636149</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0.79994318749449056</v>
      </c>
      <c r="D19" s="75">
        <f>AL66/$AL$5</f>
        <v>1.9772867510945261E-2</v>
      </c>
      <c r="E19" s="75">
        <f>AM66/AM$5</f>
        <v>0.18980989040049365</v>
      </c>
      <c r="F19" s="75">
        <f>AN66/AN$5</f>
        <v>0.81885229042400021</v>
      </c>
      <c r="G19" s="75">
        <f>AO66/AO$5</f>
        <v>0.99582757911438891</v>
      </c>
      <c r="H19" s="76">
        <f t="shared" si="1"/>
        <v>0.66816325331296089</v>
      </c>
      <c r="I19" s="75">
        <f>AP66/$AP$5</f>
        <v>0.9965621602562218</v>
      </c>
      <c r="J19" s="75">
        <f>(($C$5*D19)+($D$5*E19)+($E$5*F19)+($F$5*G19)+($G$5*I19))</f>
        <v>0.6663019128492933</v>
      </c>
      <c r="K19"/>
      <c r="L19" s="68">
        <v>2</v>
      </c>
      <c r="M19" s="69">
        <f>AU62/$AK$5</f>
        <v>0.99655109154283616</v>
      </c>
      <c r="N19" s="69">
        <f t="shared" si="2"/>
        <v>0.81615401228219664</v>
      </c>
      <c r="O19" s="69">
        <f>AV66/$AL$5</f>
        <v>2.4196808979519879E-2</v>
      </c>
      <c r="P19" s="69">
        <f>AW66/AW$5</f>
        <v>0.22455557840919108</v>
      </c>
      <c r="Q19" s="69">
        <f>AX66/AX$5</f>
        <v>0.89651220873857718</v>
      </c>
      <c r="R19" s="69">
        <f>AY66/AY$5</f>
        <v>0.99491669849851605</v>
      </c>
      <c r="S19" s="70">
        <f t="shared" si="3"/>
        <v>0.7053281618820948</v>
      </c>
      <c r="T19" s="69">
        <f>AZ66/$AP$5</f>
        <v>0.99509299797255601</v>
      </c>
      <c r="U19" s="69">
        <f>(($C$5*O19)+($D$5*P19)+($E$5*Q19)+($F$5*R19)+($G$5*T19))</f>
        <v>0.70442831957218</v>
      </c>
      <c r="V19"/>
      <c r="W19" s="84">
        <v>2</v>
      </c>
      <c r="X19" s="85">
        <f>BF62/$AK$5</f>
        <v>0.98864428545221061</v>
      </c>
      <c r="Y19" s="85">
        <f t="shared" si="4"/>
        <v>0.82701275232862215</v>
      </c>
      <c r="Z19" s="85">
        <f>BG66/$AL$5</f>
        <v>3.0726060000587661E-2</v>
      </c>
      <c r="AA19" s="85">
        <f>BH66/BH$5</f>
        <v>0.27986366174007582</v>
      </c>
      <c r="AB19" s="85">
        <f>BI66/BI$5</f>
        <v>0.94364293479857775</v>
      </c>
      <c r="AC19" s="85">
        <f>BJ66/BJ$5</f>
        <v>0.98757088708018681</v>
      </c>
      <c r="AD19" s="86">
        <f t="shared" si="5"/>
        <v>0.7370258278729469</v>
      </c>
      <c r="AE19" s="85">
        <f>BK66/$AP$5</f>
        <v>0.98762965357153343</v>
      </c>
      <c r="AF19" s="85">
        <f>(($C$5*Z19)+($D$5*AA19)+($E$5*AB19)+($F$5*AC19)+($G$5*AE19))</f>
        <v>0.73277965504069575</v>
      </c>
      <c r="AG19"/>
      <c r="AH19" s="37"/>
      <c r="AI19" s="56">
        <v>0.4</v>
      </c>
      <c r="AJ19" s="37" t="s">
        <v>0</v>
      </c>
      <c r="AK19" s="57">
        <v>545100</v>
      </c>
      <c r="AL19" s="57">
        <v>3403.3</v>
      </c>
      <c r="AM19" s="57">
        <v>3403.3</v>
      </c>
      <c r="AN19" s="57">
        <v>3403.3</v>
      </c>
      <c r="AO19" s="57">
        <v>3403.3</v>
      </c>
      <c r="AP19" s="57">
        <v>3403.3</v>
      </c>
      <c r="AQ19" s="37"/>
      <c r="AR19" s="37"/>
      <c r="AS19" s="56">
        <v>0.4</v>
      </c>
      <c r="AT19" s="37" t="s">
        <v>0</v>
      </c>
      <c r="AU19" s="57">
        <v>545100</v>
      </c>
      <c r="AV19" s="57">
        <v>3403.3</v>
      </c>
      <c r="AW19" s="57">
        <v>3403.3</v>
      </c>
      <c r="AX19" s="57">
        <v>3403.3</v>
      </c>
      <c r="AY19" s="57">
        <v>3403.3</v>
      </c>
      <c r="AZ19" s="57">
        <v>3403.3</v>
      </c>
      <c r="BA19" s="37"/>
      <c r="BB19" s="37"/>
      <c r="BC19" s="37"/>
      <c r="BD19" s="56">
        <v>0.4</v>
      </c>
      <c r="BE19" s="37" t="s">
        <v>0</v>
      </c>
      <c r="BF19" s="57">
        <v>545100</v>
      </c>
      <c r="BG19" s="57">
        <v>3403.3</v>
      </c>
      <c r="BH19" s="57">
        <v>3403.3</v>
      </c>
      <c r="BI19" s="57">
        <v>3403.3</v>
      </c>
      <c r="BJ19" s="57">
        <v>3403.3</v>
      </c>
      <c r="BK19" s="57">
        <v>3403.3</v>
      </c>
      <c r="BL19" s="37"/>
      <c r="BM19" s="37"/>
      <c r="BN19" s="37"/>
      <c r="BO19" s="37"/>
      <c r="BY19" s="37"/>
      <c r="BZ19" s="37"/>
      <c r="CA19" s="37"/>
      <c r="CB19" s="37"/>
      <c r="CC19" s="61">
        <v>0.2</v>
      </c>
      <c r="CD19" s="62">
        <v>0.77280172734718189</v>
      </c>
      <c r="CE19" s="62">
        <v>0.62134241679696223</v>
      </c>
      <c r="CF19" s="62">
        <v>0.48760330578512395</v>
      </c>
      <c r="CG19" s="62">
        <f t="shared" si="9"/>
        <v>0.53745676843064083</v>
      </c>
      <c r="CH19" s="62">
        <f t="shared" si="10"/>
        <v>0.49007817412511384</v>
      </c>
      <c r="CI19" s="62">
        <f t="shared" si="11"/>
        <v>0.43765626010049063</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485970</v>
      </c>
      <c r="AL20" s="57">
        <v>3034.1</v>
      </c>
      <c r="AM20" s="57">
        <v>3034.1</v>
      </c>
      <c r="AN20" s="57">
        <v>3034.1</v>
      </c>
      <c r="AO20" s="57">
        <v>3034.1</v>
      </c>
      <c r="AP20" s="57">
        <v>3034.1</v>
      </c>
      <c r="AQ20" s="37"/>
      <c r="AR20" s="37"/>
      <c r="AS20" s="56"/>
      <c r="AT20" s="37" t="s">
        <v>1</v>
      </c>
      <c r="AU20" s="57">
        <v>454420</v>
      </c>
      <c r="AV20" s="57">
        <v>2837.1</v>
      </c>
      <c r="AW20" s="57">
        <v>2837.1</v>
      </c>
      <c r="AX20" s="57">
        <v>2837.1</v>
      </c>
      <c r="AY20" s="57">
        <v>2837.1</v>
      </c>
      <c r="AZ20" s="57">
        <v>2837.1</v>
      </c>
      <c r="BA20" s="37"/>
      <c r="BB20" s="37"/>
      <c r="BC20" s="37"/>
      <c r="BD20" s="56"/>
      <c r="BE20" s="37" t="s">
        <v>1</v>
      </c>
      <c r="BF20" s="57">
        <v>417230</v>
      </c>
      <c r="BG20" s="57">
        <v>2605</v>
      </c>
      <c r="BH20" s="57">
        <v>2605</v>
      </c>
      <c r="BI20" s="57">
        <v>2605</v>
      </c>
      <c r="BJ20" s="57">
        <v>2605</v>
      </c>
      <c r="BK20" s="57">
        <v>2605</v>
      </c>
      <c r="BL20" s="37"/>
      <c r="BM20" s="37"/>
      <c r="BN20" s="37"/>
      <c r="BO20" s="37"/>
      <c r="BY20" s="37"/>
      <c r="BZ20" s="37"/>
      <c r="CA20" s="37"/>
      <c r="CB20" s="37"/>
      <c r="CC20" s="61">
        <v>0.4</v>
      </c>
      <c r="CD20" s="62">
        <v>0.93740227831136924</v>
      </c>
      <c r="CE20" s="62">
        <v>0.83551113096567642</v>
      </c>
      <c r="CF20" s="62">
        <v>0.7119350755714392</v>
      </c>
      <c r="CG20" s="62">
        <f t="shared" si="9"/>
        <v>0.66433314723944403</v>
      </c>
      <c r="CH20" s="62">
        <f t="shared" si="10"/>
        <v>0.6471663238621338</v>
      </c>
      <c r="CI20" s="62">
        <f t="shared" si="11"/>
        <v>0.61635168806746388</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59132</v>
      </c>
      <c r="AL21" s="57">
        <v>369.19</v>
      </c>
      <c r="AM21" s="57">
        <v>369.19</v>
      </c>
      <c r="AN21" s="57">
        <v>369.19</v>
      </c>
      <c r="AO21" s="57">
        <v>369.19</v>
      </c>
      <c r="AP21" s="57">
        <v>369.19</v>
      </c>
      <c r="AQ21" s="57"/>
      <c r="AR21" s="37"/>
      <c r="AS21" s="56"/>
      <c r="AT21" s="37" t="s">
        <v>2</v>
      </c>
      <c r="AU21" s="57">
        <v>90689</v>
      </c>
      <c r="AV21" s="57">
        <v>566.20000000000005</v>
      </c>
      <c r="AW21" s="57">
        <v>566.20000000000005</v>
      </c>
      <c r="AX21" s="57">
        <v>566.20000000000005</v>
      </c>
      <c r="AY21" s="57">
        <v>566.20000000000005</v>
      </c>
      <c r="AZ21" s="57">
        <v>566.20000000000005</v>
      </c>
      <c r="BA21" s="57"/>
      <c r="BB21" s="37"/>
      <c r="BC21" s="37"/>
      <c r="BD21" s="56"/>
      <c r="BE21" s="37" t="s">
        <v>2</v>
      </c>
      <c r="BF21" s="57">
        <v>127870</v>
      </c>
      <c r="BG21" s="57">
        <v>798.31</v>
      </c>
      <c r="BH21" s="57">
        <v>798.31</v>
      </c>
      <c r="BI21" s="57">
        <v>798.31</v>
      </c>
      <c r="BJ21" s="57">
        <v>798.31</v>
      </c>
      <c r="BK21" s="57">
        <v>798.31</v>
      </c>
      <c r="BL21" s="57"/>
      <c r="BM21" s="57"/>
      <c r="BN21" s="57"/>
      <c r="BO21" s="37"/>
      <c r="BY21" s="37"/>
      <c r="BZ21" s="37"/>
      <c r="CA21" s="37"/>
      <c r="CB21" s="37"/>
      <c r="CC21" s="61">
        <v>0.6</v>
      </c>
      <c r="CD21" s="62">
        <v>0.98157248157248156</v>
      </c>
      <c r="CE21" s="62">
        <v>0.93494527585436671</v>
      </c>
      <c r="CF21" s="62">
        <v>0.84556250465341376</v>
      </c>
      <c r="CG21" s="62">
        <f t="shared" si="9"/>
        <v>0.71717056974113358</v>
      </c>
      <c r="CH21" s="62">
        <f t="shared" si="10"/>
        <v>0.71847809479035052</v>
      </c>
      <c r="CI21" s="62">
        <f t="shared" si="11"/>
        <v>0.70985684482707956</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485870</v>
      </c>
      <c r="AL22" s="57">
        <v>3017.8</v>
      </c>
      <c r="AM22" s="57">
        <v>2832.5</v>
      </c>
      <c r="AN22" s="57">
        <v>1275.3</v>
      </c>
      <c r="AO22" s="57">
        <v>13.571</v>
      </c>
      <c r="AP22" s="57">
        <v>6.8087999999999997</v>
      </c>
      <c r="AQ22" s="37"/>
      <c r="AR22" s="37"/>
      <c r="AS22" s="56"/>
      <c r="AT22" s="37" t="s">
        <v>3</v>
      </c>
      <c r="AU22" s="57">
        <v>454250</v>
      </c>
      <c r="AV22" s="57">
        <v>2816.4</v>
      </c>
      <c r="AW22" s="57">
        <v>2580.6999999999998</v>
      </c>
      <c r="AX22" s="57">
        <v>690.35</v>
      </c>
      <c r="AY22" s="57">
        <v>4.7804000000000002</v>
      </c>
      <c r="AZ22" s="57">
        <v>2.7934999999999999</v>
      </c>
      <c r="BA22" s="37"/>
      <c r="BB22" s="37"/>
      <c r="BC22" s="37"/>
      <c r="BD22" s="56"/>
      <c r="BE22" s="37" t="s">
        <v>3</v>
      </c>
      <c r="BF22" s="57">
        <v>416920</v>
      </c>
      <c r="BG22" s="57">
        <v>2573.8000000000002</v>
      </c>
      <c r="BH22" s="57">
        <v>2227.1</v>
      </c>
      <c r="BI22" s="57">
        <v>280.04000000000002</v>
      </c>
      <c r="BJ22" s="57">
        <v>1.6085</v>
      </c>
      <c r="BK22" s="57">
        <v>0.88461000000000001</v>
      </c>
      <c r="BL22" s="37"/>
      <c r="BM22" s="37"/>
      <c r="BN22" s="37"/>
      <c r="BO22" s="37"/>
      <c r="BY22" s="37"/>
      <c r="BZ22" s="37"/>
      <c r="CA22" s="37"/>
      <c r="CB22" s="37"/>
      <c r="CC22" s="61">
        <v>0.8</v>
      </c>
      <c r="CD22" s="62">
        <v>0.99348522075794798</v>
      </c>
      <c r="CE22" s="62">
        <v>0.97371751917206462</v>
      </c>
      <c r="CF22" s="62">
        <v>0.92195294468021738</v>
      </c>
      <c r="CG22" s="62">
        <f t="shared" si="9"/>
        <v>0.74630592366232773</v>
      </c>
      <c r="CH22" s="62">
        <f t="shared" si="10"/>
        <v>0.75612288073340572</v>
      </c>
      <c r="CI22" s="62">
        <f t="shared" si="11"/>
        <v>0.75811161225869017</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0.76244806511327234</v>
      </c>
      <c r="CH23" s="62">
        <f t="shared" si="10"/>
        <v>0.7747061528516439</v>
      </c>
      <c r="CI23" s="62">
        <f t="shared" si="11"/>
        <v>0.78117800370228885</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15.62</v>
      </c>
      <c r="AM24" s="57">
        <v>200.96</v>
      </c>
      <c r="AN24" s="57">
        <v>1758.1</v>
      </c>
      <c r="AO24" s="57">
        <v>3019.9</v>
      </c>
      <c r="AP24" s="57">
        <v>3026.6</v>
      </c>
      <c r="AQ24" s="37"/>
      <c r="AR24" s="37"/>
      <c r="AS24" s="56"/>
      <c r="AT24" s="37" t="s">
        <v>5</v>
      </c>
      <c r="AU24" s="57">
        <v>0</v>
      </c>
      <c r="AV24" s="57">
        <v>19.702999999999999</v>
      </c>
      <c r="AW24" s="57">
        <v>255.34</v>
      </c>
      <c r="AX24" s="57">
        <v>2145.8000000000002</v>
      </c>
      <c r="AY24" s="57">
        <v>2831.3</v>
      </c>
      <c r="AZ24" s="57">
        <v>2833.3</v>
      </c>
      <c r="BA24" s="37"/>
      <c r="BB24" s="37"/>
      <c r="BC24" s="37"/>
      <c r="BD24" s="56"/>
      <c r="BE24" s="37" t="s">
        <v>5</v>
      </c>
      <c r="BF24" s="57">
        <v>0</v>
      </c>
      <c r="BG24" s="57">
        <v>29.274000000000001</v>
      </c>
      <c r="BH24" s="57">
        <v>375.84</v>
      </c>
      <c r="BI24" s="57">
        <v>2323.1</v>
      </c>
      <c r="BJ24" s="57">
        <v>2601.5</v>
      </c>
      <c r="BK24" s="57">
        <v>2602.1999999999998</v>
      </c>
      <c r="BL24" s="37"/>
      <c r="BM24" s="37"/>
      <c r="BN24" s="37"/>
      <c r="BO24" s="37"/>
      <c r="BY24" s="37"/>
      <c r="BZ24" s="37"/>
      <c r="CA24" s="37"/>
      <c r="CB24" s="37"/>
      <c r="CC24" s="61">
        <v>1.2</v>
      </c>
      <c r="CD24" s="62">
        <v>0.9987156578065669</v>
      </c>
      <c r="CE24" s="62">
        <v>0.99434144888690346</v>
      </c>
      <c r="CF24" s="62">
        <v>0.97799865981684164</v>
      </c>
      <c r="CG24" s="62">
        <f t="shared" si="9"/>
        <v>0.77462836070872387</v>
      </c>
      <c r="CH24" s="62">
        <f t="shared" si="10"/>
        <v>0.7878149002438809</v>
      </c>
      <c r="CI24" s="62">
        <f t="shared" si="11"/>
        <v>0.79685043927952282</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0.79083762818440917</v>
      </c>
      <c r="CH25" s="62">
        <f t="shared" si="10"/>
        <v>0.80361954573502181</v>
      </c>
      <c r="CI25" s="62">
        <f t="shared" si="11"/>
        <v>0.81548147386360292</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545100</v>
      </c>
      <c r="AL26" s="57">
        <v>3403.3</v>
      </c>
      <c r="AM26" s="57">
        <v>3403.3</v>
      </c>
      <c r="AN26" s="57">
        <v>3403.3</v>
      </c>
      <c r="AO26" s="57">
        <v>3403.3</v>
      </c>
      <c r="AP26" s="57">
        <v>3403.3</v>
      </c>
      <c r="AQ26" s="37"/>
      <c r="AR26" s="37"/>
      <c r="AS26" s="56">
        <v>0.6</v>
      </c>
      <c r="AT26" s="37" t="s">
        <v>0</v>
      </c>
      <c r="AU26" s="57">
        <v>545100</v>
      </c>
      <c r="AV26" s="57">
        <v>3403.3</v>
      </c>
      <c r="AW26" s="57">
        <v>3403.3</v>
      </c>
      <c r="AX26" s="57">
        <v>3403.3</v>
      </c>
      <c r="AY26" s="57">
        <v>3403.3</v>
      </c>
      <c r="AZ26" s="57">
        <v>3403.3</v>
      </c>
      <c r="BA26" s="37"/>
      <c r="BB26" s="37"/>
      <c r="BC26" s="37"/>
      <c r="BD26" s="56">
        <v>0.6</v>
      </c>
      <c r="BE26" s="37" t="s">
        <v>0</v>
      </c>
      <c r="BF26" s="57">
        <v>545100</v>
      </c>
      <c r="BG26" s="57">
        <v>3403.3</v>
      </c>
      <c r="BH26" s="57">
        <v>3403.3</v>
      </c>
      <c r="BI26" s="57">
        <v>3403.3</v>
      </c>
      <c r="BJ26" s="57">
        <v>3403.3</v>
      </c>
      <c r="BK26" s="57">
        <v>3403.3</v>
      </c>
      <c r="BL26" s="37"/>
      <c r="BM26" s="37"/>
      <c r="BN26" s="37"/>
      <c r="BO26" s="37"/>
      <c r="BY26" s="37"/>
      <c r="BZ26" s="37"/>
      <c r="CA26" s="37"/>
      <c r="CB26" s="37"/>
      <c r="CC26" s="61">
        <v>2</v>
      </c>
      <c r="CD26" s="62">
        <v>1</v>
      </c>
      <c r="CE26" s="62">
        <v>1</v>
      </c>
      <c r="CF26" s="62">
        <v>1</v>
      </c>
      <c r="CG26" s="62">
        <f t="shared" si="9"/>
        <v>0.79994318749449056</v>
      </c>
      <c r="CH26" s="62">
        <f t="shared" si="10"/>
        <v>0.81615401228219664</v>
      </c>
      <c r="CI26" s="62">
        <f t="shared" si="11"/>
        <v>0.82701275232862215</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516110</v>
      </c>
      <c r="AL27" s="57">
        <v>3222.3</v>
      </c>
      <c r="AM27" s="57">
        <v>3222.3</v>
      </c>
      <c r="AN27" s="57">
        <v>3222.3</v>
      </c>
      <c r="AO27" s="57">
        <v>3222.3</v>
      </c>
      <c r="AP27" s="57">
        <v>3222.3</v>
      </c>
      <c r="AQ27" s="37"/>
      <c r="AR27" s="37"/>
      <c r="AS27" s="56"/>
      <c r="AT27" s="37" t="s">
        <v>1</v>
      </c>
      <c r="AU27" s="57">
        <v>498650</v>
      </c>
      <c r="AV27" s="57">
        <v>3113.3</v>
      </c>
      <c r="AW27" s="57">
        <v>3113.3</v>
      </c>
      <c r="AX27" s="57">
        <v>3113.3</v>
      </c>
      <c r="AY27" s="57">
        <v>3113.3</v>
      </c>
      <c r="AZ27" s="57">
        <v>3113.3</v>
      </c>
      <c r="BA27" s="37"/>
      <c r="BB27" s="37"/>
      <c r="BC27" s="37"/>
      <c r="BD27" s="56"/>
      <c r="BE27" s="37" t="s">
        <v>1</v>
      </c>
      <c r="BF27" s="57">
        <v>477180</v>
      </c>
      <c r="BG27" s="57">
        <v>2979.3</v>
      </c>
      <c r="BH27" s="57">
        <v>2979.3</v>
      </c>
      <c r="BI27" s="57">
        <v>2979.3</v>
      </c>
      <c r="BJ27" s="57">
        <v>2979.3</v>
      </c>
      <c r="BK27" s="57">
        <v>2979.3</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28994</v>
      </c>
      <c r="AL28" s="57">
        <v>181.02</v>
      </c>
      <c r="AM28" s="57">
        <v>181.02</v>
      </c>
      <c r="AN28" s="57">
        <v>181.02</v>
      </c>
      <c r="AO28" s="57">
        <v>181.02</v>
      </c>
      <c r="AP28" s="57">
        <v>181.02</v>
      </c>
      <c r="AQ28" s="37"/>
      <c r="AR28" s="37"/>
      <c r="AS28" s="56"/>
      <c r="AT28" s="37" t="s">
        <v>2</v>
      </c>
      <c r="AU28" s="57">
        <v>46452</v>
      </c>
      <c r="AV28" s="57">
        <v>290.02</v>
      </c>
      <c r="AW28" s="57">
        <v>290.02</v>
      </c>
      <c r="AX28" s="57">
        <v>290.02</v>
      </c>
      <c r="AY28" s="57">
        <v>290.02</v>
      </c>
      <c r="AZ28" s="57">
        <v>290.02</v>
      </c>
      <c r="BA28" s="37"/>
      <c r="BB28" s="37"/>
      <c r="BC28" s="37"/>
      <c r="BD28" s="56"/>
      <c r="BE28" s="37" t="s">
        <v>2</v>
      </c>
      <c r="BF28" s="57">
        <v>67917</v>
      </c>
      <c r="BG28" s="57">
        <v>424.03</v>
      </c>
      <c r="BH28" s="57">
        <v>424.03</v>
      </c>
      <c r="BI28" s="57">
        <v>424.03</v>
      </c>
      <c r="BJ28" s="57">
        <v>424.03</v>
      </c>
      <c r="BK28" s="57">
        <v>424.03</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516000</v>
      </c>
      <c r="AL29" s="57">
        <v>3199</v>
      </c>
      <c r="AM29" s="57">
        <v>2947.9</v>
      </c>
      <c r="AN29" s="57">
        <v>1151</v>
      </c>
      <c r="AO29" s="57">
        <v>13.85</v>
      </c>
      <c r="AP29" s="57">
        <v>8.0373000000000001</v>
      </c>
      <c r="AQ29" s="37"/>
      <c r="AR29" s="37"/>
      <c r="AS29" s="56"/>
      <c r="AT29" s="37" t="s">
        <v>3</v>
      </c>
      <c r="AU29" s="57">
        <v>498470</v>
      </c>
      <c r="AV29" s="57">
        <v>3083.1</v>
      </c>
      <c r="AW29" s="57">
        <v>2765.2</v>
      </c>
      <c r="AX29" s="57">
        <v>638.84</v>
      </c>
      <c r="AY29" s="57">
        <v>4.6665999999999999</v>
      </c>
      <c r="AZ29" s="57">
        <v>2.9548999999999999</v>
      </c>
      <c r="BA29" s="37"/>
      <c r="BB29" s="37"/>
      <c r="BC29" s="37"/>
      <c r="BD29" s="56"/>
      <c r="BE29" s="37" t="s">
        <v>3</v>
      </c>
      <c r="BF29" s="57">
        <v>476870</v>
      </c>
      <c r="BG29" s="57">
        <v>2936.4</v>
      </c>
      <c r="BH29" s="57">
        <v>2486</v>
      </c>
      <c r="BI29" s="57">
        <v>273.74</v>
      </c>
      <c r="BJ29" s="57">
        <v>1.6418999999999999</v>
      </c>
      <c r="BK29" s="57">
        <v>1.0432999999999999</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22.661999999999999</v>
      </c>
      <c r="AM31" s="57">
        <v>273.69</v>
      </c>
      <c r="AN31" s="57">
        <v>2070.6</v>
      </c>
      <c r="AO31" s="57">
        <v>3207.8</v>
      </c>
      <c r="AP31" s="57">
        <v>3213.6</v>
      </c>
      <c r="AQ31" s="37"/>
      <c r="AR31" s="37"/>
      <c r="AS31" s="56"/>
      <c r="AT31" s="37" t="s">
        <v>5</v>
      </c>
      <c r="AU31" s="57">
        <v>0</v>
      </c>
      <c r="AV31" s="57">
        <v>29.07</v>
      </c>
      <c r="AW31" s="57">
        <v>346.82</v>
      </c>
      <c r="AX31" s="57">
        <v>2473.3000000000002</v>
      </c>
      <c r="AY31" s="57">
        <v>3107.5</v>
      </c>
      <c r="AZ31" s="57">
        <v>3109.2</v>
      </c>
      <c r="BA31" s="37"/>
      <c r="BB31" s="37"/>
      <c r="BC31" s="37"/>
      <c r="BD31" s="56"/>
      <c r="BE31" s="37" t="s">
        <v>5</v>
      </c>
      <c r="BF31" s="57">
        <v>0</v>
      </c>
      <c r="BG31" s="57">
        <v>40.896000000000001</v>
      </c>
      <c r="BH31" s="57">
        <v>491.24</v>
      </c>
      <c r="BI31" s="57">
        <v>2703.7</v>
      </c>
      <c r="BJ31" s="57">
        <v>2975.8</v>
      </c>
      <c r="BK31" s="57">
        <v>2976.4</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545100</v>
      </c>
      <c r="AL33" s="57">
        <v>3403.3</v>
      </c>
      <c r="AM33" s="57">
        <v>3403.3</v>
      </c>
      <c r="AN33" s="57">
        <v>3403.3</v>
      </c>
      <c r="AO33" s="57">
        <v>3403.3</v>
      </c>
      <c r="AP33" s="57">
        <v>3403.3</v>
      </c>
      <c r="AQ33" s="37"/>
      <c r="AR33" s="37"/>
      <c r="AS33" s="56">
        <v>0.8</v>
      </c>
      <c r="AT33" s="37" t="s">
        <v>0</v>
      </c>
      <c r="AU33" s="57">
        <v>545100</v>
      </c>
      <c r="AV33" s="57">
        <v>3403.3</v>
      </c>
      <c r="AW33" s="57">
        <v>3403.3</v>
      </c>
      <c r="AX33" s="57">
        <v>3403.3</v>
      </c>
      <c r="AY33" s="57">
        <v>3403.3</v>
      </c>
      <c r="AZ33" s="57">
        <v>3403.3</v>
      </c>
      <c r="BA33" s="37"/>
      <c r="BB33" s="37"/>
      <c r="BC33" s="37"/>
      <c r="BD33" s="56">
        <v>0.8</v>
      </c>
      <c r="BE33" s="37" t="s">
        <v>0</v>
      </c>
      <c r="BF33" s="57">
        <v>545100</v>
      </c>
      <c r="BG33" s="57">
        <v>3403.3</v>
      </c>
      <c r="BH33" s="57">
        <v>3403.3</v>
      </c>
      <c r="BI33" s="57">
        <v>3403.3</v>
      </c>
      <c r="BJ33" s="57">
        <v>3403.3</v>
      </c>
      <c r="BK33" s="57">
        <v>3403.3</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530980</v>
      </c>
      <c r="AL34" s="57">
        <v>3315.1</v>
      </c>
      <c r="AM34" s="57">
        <v>3315.1</v>
      </c>
      <c r="AN34" s="57">
        <v>3315.1</v>
      </c>
      <c r="AO34" s="57">
        <v>3315.1</v>
      </c>
      <c r="AP34" s="57">
        <v>3315.1</v>
      </c>
      <c r="AQ34" s="37"/>
      <c r="AR34" s="37"/>
      <c r="AS34" s="56"/>
      <c r="AT34" s="37" t="s">
        <v>1</v>
      </c>
      <c r="AU34" s="57">
        <v>518780</v>
      </c>
      <c r="AV34" s="57">
        <v>3238.9</v>
      </c>
      <c r="AW34" s="57">
        <v>3238.9</v>
      </c>
      <c r="AX34" s="57">
        <v>3238.9</v>
      </c>
      <c r="AY34" s="57">
        <v>3238.9</v>
      </c>
      <c r="AZ34" s="57">
        <v>3238.9</v>
      </c>
      <c r="BA34" s="37"/>
      <c r="BB34" s="37"/>
      <c r="BC34" s="37"/>
      <c r="BD34" s="56"/>
      <c r="BE34" s="37" t="s">
        <v>1</v>
      </c>
      <c r="BF34" s="57">
        <v>506600</v>
      </c>
      <c r="BG34" s="57">
        <v>3162.9</v>
      </c>
      <c r="BH34" s="57">
        <v>3162.9</v>
      </c>
      <c r="BI34" s="57">
        <v>3162.9</v>
      </c>
      <c r="BJ34" s="57">
        <v>3162.9</v>
      </c>
      <c r="BK34" s="57">
        <v>3162.9</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14128</v>
      </c>
      <c r="AL35" s="57">
        <v>88.204999999999998</v>
      </c>
      <c r="AM35" s="57">
        <v>88.204999999999998</v>
      </c>
      <c r="AN35" s="57">
        <v>88.204999999999998</v>
      </c>
      <c r="AO35" s="57">
        <v>88.204999999999998</v>
      </c>
      <c r="AP35" s="57">
        <v>88.204999999999998</v>
      </c>
      <c r="AQ35" s="37"/>
      <c r="AR35" s="37"/>
      <c r="AS35" s="56"/>
      <c r="AT35" s="37" t="s">
        <v>2</v>
      </c>
      <c r="AU35" s="57">
        <v>26323</v>
      </c>
      <c r="AV35" s="57">
        <v>164.35</v>
      </c>
      <c r="AW35" s="57">
        <v>164.35</v>
      </c>
      <c r="AX35" s="57">
        <v>164.35</v>
      </c>
      <c r="AY35" s="57">
        <v>164.35</v>
      </c>
      <c r="AZ35" s="57">
        <v>164.35</v>
      </c>
      <c r="BA35" s="37"/>
      <c r="BB35" s="37"/>
      <c r="BC35" s="37"/>
      <c r="BD35" s="56"/>
      <c r="BE35" s="37" t="s">
        <v>2</v>
      </c>
      <c r="BF35" s="57">
        <v>38510</v>
      </c>
      <c r="BG35" s="57">
        <v>240.43</v>
      </c>
      <c r="BH35" s="57">
        <v>240.43</v>
      </c>
      <c r="BI35" s="57">
        <v>240.43</v>
      </c>
      <c r="BJ35" s="57">
        <v>240.43</v>
      </c>
      <c r="BK35" s="57">
        <v>240.43</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530870</v>
      </c>
      <c r="AL36" s="57">
        <v>3285</v>
      </c>
      <c r="AM36" s="57">
        <v>2976.7</v>
      </c>
      <c r="AN36" s="57">
        <v>1047.0999999999999</v>
      </c>
      <c r="AO36" s="57">
        <v>14.329000000000001</v>
      </c>
      <c r="AP36" s="57">
        <v>9.1672999999999991</v>
      </c>
      <c r="AQ36" s="37"/>
      <c r="AR36" s="37"/>
      <c r="AS36" s="56"/>
      <c r="AT36" s="37" t="s">
        <v>3</v>
      </c>
      <c r="AU36" s="57">
        <v>518590</v>
      </c>
      <c r="AV36" s="57">
        <v>3199.7</v>
      </c>
      <c r="AW36" s="57">
        <v>2808.6</v>
      </c>
      <c r="AX36" s="57">
        <v>540.15</v>
      </c>
      <c r="AY36" s="57">
        <v>3.9039999999999999</v>
      </c>
      <c r="AZ36" s="57">
        <v>3.0242</v>
      </c>
      <c r="BA36" s="37"/>
      <c r="BB36" s="37"/>
      <c r="BC36" s="37"/>
      <c r="BD36" s="56"/>
      <c r="BE36" s="37" t="s">
        <v>3</v>
      </c>
      <c r="BF36" s="57">
        <v>506280</v>
      </c>
      <c r="BG36" s="57">
        <v>3109.4</v>
      </c>
      <c r="BH36" s="57">
        <v>2576.4</v>
      </c>
      <c r="BI36" s="57">
        <v>254.01</v>
      </c>
      <c r="BJ36" s="57">
        <v>1.6827000000000001</v>
      </c>
      <c r="BK36" s="57">
        <v>1.1716</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29.428999999999998</v>
      </c>
      <c r="AM38" s="57">
        <v>337.71</v>
      </c>
      <c r="AN38" s="57">
        <v>2267.3000000000002</v>
      </c>
      <c r="AO38" s="57">
        <v>3300.2</v>
      </c>
      <c r="AP38" s="57">
        <v>3305.3</v>
      </c>
      <c r="AQ38" s="37"/>
      <c r="AR38" s="37"/>
      <c r="AS38" s="56"/>
      <c r="AT38" s="37" t="s">
        <v>5</v>
      </c>
      <c r="AU38" s="57">
        <v>0</v>
      </c>
      <c r="AV38" s="57">
        <v>38.06</v>
      </c>
      <c r="AW38" s="57">
        <v>429</v>
      </c>
      <c r="AX38" s="57">
        <v>2697.6</v>
      </c>
      <c r="AY38" s="57">
        <v>3233.8</v>
      </c>
      <c r="AZ38" s="57">
        <v>3234.7</v>
      </c>
      <c r="BA38" s="37"/>
      <c r="BB38" s="37"/>
      <c r="BC38" s="37"/>
      <c r="BD38" s="56"/>
      <c r="BE38" s="37" t="s">
        <v>5</v>
      </c>
      <c r="BF38" s="57">
        <v>0</v>
      </c>
      <c r="BG38" s="57">
        <v>51.465000000000003</v>
      </c>
      <c r="BH38" s="57">
        <v>584.41999999999996</v>
      </c>
      <c r="BI38" s="57">
        <v>2907</v>
      </c>
      <c r="BJ38" s="57">
        <v>3159.3</v>
      </c>
      <c r="BK38" s="57">
        <v>3159.8</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545100</v>
      </c>
      <c r="AL40" s="57">
        <v>3403.3</v>
      </c>
      <c r="AM40" s="57">
        <v>3403.3</v>
      </c>
      <c r="AN40" s="57">
        <v>3403.3</v>
      </c>
      <c r="AO40" s="57">
        <v>3403.3</v>
      </c>
      <c r="AP40" s="57">
        <v>3403.3</v>
      </c>
      <c r="AQ40" s="37"/>
      <c r="AR40" s="37"/>
      <c r="AS40" s="56">
        <v>1</v>
      </c>
      <c r="AT40" s="37" t="s">
        <v>0</v>
      </c>
      <c r="AU40" s="57">
        <v>545100</v>
      </c>
      <c r="AV40" s="57">
        <v>3403.3</v>
      </c>
      <c r="AW40" s="57">
        <v>3403.3</v>
      </c>
      <c r="AX40" s="57">
        <v>3403.3</v>
      </c>
      <c r="AY40" s="57">
        <v>3403.3</v>
      </c>
      <c r="AZ40" s="57">
        <v>3403.3</v>
      </c>
      <c r="BA40" s="37"/>
      <c r="BB40" s="37"/>
      <c r="BC40" s="37"/>
      <c r="BD40" s="56">
        <v>1</v>
      </c>
      <c r="BE40" s="37" t="s">
        <v>0</v>
      </c>
      <c r="BF40" s="57">
        <v>545100</v>
      </c>
      <c r="BG40" s="57">
        <v>3403.3</v>
      </c>
      <c r="BH40" s="57">
        <v>3403.3</v>
      </c>
      <c r="BI40" s="57">
        <v>3403.3</v>
      </c>
      <c r="BJ40" s="57">
        <v>3403.3</v>
      </c>
      <c r="BK40" s="57">
        <v>3403.3</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537070</v>
      </c>
      <c r="AL41" s="57">
        <v>3353.1</v>
      </c>
      <c r="AM41" s="57">
        <v>3353.1</v>
      </c>
      <c r="AN41" s="57">
        <v>3353.1</v>
      </c>
      <c r="AO41" s="57">
        <v>3353.1</v>
      </c>
      <c r="AP41" s="57">
        <v>3353.1</v>
      </c>
      <c r="AQ41" s="37"/>
      <c r="AR41" s="37"/>
      <c r="AS41" s="56"/>
      <c r="AT41" s="37" t="s">
        <v>1</v>
      </c>
      <c r="AU41" s="57">
        <v>529260</v>
      </c>
      <c r="AV41" s="57">
        <v>3304.4</v>
      </c>
      <c r="AW41" s="57">
        <v>3304.4</v>
      </c>
      <c r="AX41" s="57">
        <v>3304.4</v>
      </c>
      <c r="AY41" s="57">
        <v>3304.4</v>
      </c>
      <c r="AZ41" s="57">
        <v>3304.4</v>
      </c>
      <c r="BA41" s="37"/>
      <c r="BB41" s="37"/>
      <c r="BC41" s="37"/>
      <c r="BD41" s="56"/>
      <c r="BE41" s="37" t="s">
        <v>1</v>
      </c>
      <c r="BF41" s="57">
        <v>519190</v>
      </c>
      <c r="BG41" s="57">
        <v>3241.5</v>
      </c>
      <c r="BH41" s="57">
        <v>3241.5</v>
      </c>
      <c r="BI41" s="57">
        <v>3241.5</v>
      </c>
      <c r="BJ41" s="57">
        <v>3241.5</v>
      </c>
      <c r="BK41" s="57">
        <v>3241.5</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8036.6</v>
      </c>
      <c r="AL42" s="57">
        <v>50.174999999999997</v>
      </c>
      <c r="AM42" s="57">
        <v>50.174999999999997</v>
      </c>
      <c r="AN42" s="57">
        <v>50.174999999999997</v>
      </c>
      <c r="AO42" s="57">
        <v>50.174999999999997</v>
      </c>
      <c r="AP42" s="57">
        <v>50.174999999999997</v>
      </c>
      <c r="AQ42" s="37"/>
      <c r="AR42" s="37"/>
      <c r="AS42" s="56"/>
      <c r="AT42" s="37" t="s">
        <v>2</v>
      </c>
      <c r="AU42" s="57">
        <v>15844</v>
      </c>
      <c r="AV42" s="57">
        <v>98.921000000000006</v>
      </c>
      <c r="AW42" s="57">
        <v>98.921000000000006</v>
      </c>
      <c r="AX42" s="57">
        <v>98.921000000000006</v>
      </c>
      <c r="AY42" s="57">
        <v>98.921000000000006</v>
      </c>
      <c r="AZ42" s="57">
        <v>98.921000000000006</v>
      </c>
      <c r="BA42" s="37"/>
      <c r="BB42" s="37"/>
      <c r="BC42" s="37"/>
      <c r="BD42" s="56"/>
      <c r="BE42" s="37" t="s">
        <v>2</v>
      </c>
      <c r="BF42" s="57">
        <v>25913</v>
      </c>
      <c r="BG42" s="57">
        <v>161.78</v>
      </c>
      <c r="BH42" s="57">
        <v>161.78</v>
      </c>
      <c r="BI42" s="57">
        <v>161.78</v>
      </c>
      <c r="BJ42" s="57">
        <v>161.78</v>
      </c>
      <c r="BK42" s="57">
        <v>161.78</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536960</v>
      </c>
      <c r="AL43" s="57">
        <v>3316.3</v>
      </c>
      <c r="AM43" s="57">
        <v>2955.1</v>
      </c>
      <c r="AN43" s="57">
        <v>945.44</v>
      </c>
      <c r="AO43" s="57">
        <v>13.846</v>
      </c>
      <c r="AP43" s="57">
        <v>9.2175999999999991</v>
      </c>
      <c r="AQ43" s="37"/>
      <c r="AR43" s="37"/>
      <c r="AS43" s="56"/>
      <c r="AT43" s="37" t="s">
        <v>3</v>
      </c>
      <c r="AU43" s="57">
        <v>529090</v>
      </c>
      <c r="AV43" s="57">
        <v>3258.9</v>
      </c>
      <c r="AW43" s="57">
        <v>2819.1</v>
      </c>
      <c r="AX43" s="57">
        <v>522.98</v>
      </c>
      <c r="AY43" s="57">
        <v>4.7572000000000001</v>
      </c>
      <c r="AZ43" s="57">
        <v>3.5333999999999999</v>
      </c>
      <c r="BA43" s="37"/>
      <c r="BB43" s="37"/>
      <c r="BC43" s="37"/>
      <c r="BD43" s="56"/>
      <c r="BE43" s="37" t="s">
        <v>3</v>
      </c>
      <c r="BF43" s="57">
        <v>518880</v>
      </c>
      <c r="BG43" s="57">
        <v>3178.3</v>
      </c>
      <c r="BH43" s="57">
        <v>2576.6999999999998</v>
      </c>
      <c r="BI43" s="57">
        <v>231.5</v>
      </c>
      <c r="BJ43" s="57">
        <v>1.6468</v>
      </c>
      <c r="BK43" s="57">
        <v>1.2326999999999999</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36.15</v>
      </c>
      <c r="AM45" s="57">
        <v>397.28</v>
      </c>
      <c r="AN45" s="57">
        <v>2407</v>
      </c>
      <c r="AO45" s="57">
        <v>3338.6</v>
      </c>
      <c r="AP45" s="57">
        <v>3343.2</v>
      </c>
      <c r="AQ45" s="37"/>
      <c r="AR45" s="37"/>
      <c r="AS45" s="56"/>
      <c r="AT45" s="37" t="s">
        <v>5</v>
      </c>
      <c r="AU45" s="57">
        <v>0</v>
      </c>
      <c r="AV45" s="57">
        <v>44.389000000000003</v>
      </c>
      <c r="AW45" s="57">
        <v>484.12</v>
      </c>
      <c r="AX45" s="57">
        <v>2780.3</v>
      </c>
      <c r="AY45" s="57">
        <v>3298.5</v>
      </c>
      <c r="AZ45" s="57">
        <v>3299.8</v>
      </c>
      <c r="BA45" s="37"/>
      <c r="BB45" s="37"/>
      <c r="BC45" s="37"/>
      <c r="BD45" s="56"/>
      <c r="BE45" s="37" t="s">
        <v>5</v>
      </c>
      <c r="BF45" s="57">
        <v>0</v>
      </c>
      <c r="BG45" s="57">
        <v>61.231999999999999</v>
      </c>
      <c r="BH45" s="57">
        <v>662.71</v>
      </c>
      <c r="BI45" s="57">
        <v>3008.1</v>
      </c>
      <c r="BJ45" s="57">
        <v>3238</v>
      </c>
      <c r="BK45" s="57">
        <v>3238.4</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545100</v>
      </c>
      <c r="AL47" s="57">
        <v>3403.3</v>
      </c>
      <c r="AM47" s="57">
        <v>3403.3</v>
      </c>
      <c r="AN47" s="57">
        <v>3403.3</v>
      </c>
      <c r="AO47" s="57">
        <v>3403.3</v>
      </c>
      <c r="AP47" s="57">
        <v>3403.3</v>
      </c>
      <c r="AQ47" s="37"/>
      <c r="AR47" s="37"/>
      <c r="AS47" s="56">
        <v>1.2</v>
      </c>
      <c r="AT47" s="37" t="s">
        <v>0</v>
      </c>
      <c r="AU47" s="57">
        <v>545100</v>
      </c>
      <c r="AV47" s="57">
        <v>3403.3</v>
      </c>
      <c r="AW47" s="57">
        <v>3403.3</v>
      </c>
      <c r="AX47" s="57">
        <v>3403.3</v>
      </c>
      <c r="AY47" s="57">
        <v>3403.3</v>
      </c>
      <c r="AZ47" s="57">
        <v>3403.3</v>
      </c>
      <c r="BA47" s="37"/>
      <c r="BB47" s="37"/>
      <c r="BC47" s="37"/>
      <c r="BD47" s="56">
        <v>1.2</v>
      </c>
      <c r="BE47" s="37" t="s">
        <v>0</v>
      </c>
      <c r="BF47" s="57">
        <v>545100</v>
      </c>
      <c r="BG47" s="57">
        <v>3403.3</v>
      </c>
      <c r="BH47" s="57">
        <v>3403.3</v>
      </c>
      <c r="BI47" s="57">
        <v>3403.3</v>
      </c>
      <c r="BJ47" s="57">
        <v>3403.3</v>
      </c>
      <c r="BK47" s="57">
        <v>3403.3</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541030</v>
      </c>
      <c r="AL48" s="57">
        <v>3377.8</v>
      </c>
      <c r="AM48" s="57">
        <v>3377.8</v>
      </c>
      <c r="AN48" s="57">
        <v>3377.8</v>
      </c>
      <c r="AO48" s="57">
        <v>3377.8</v>
      </c>
      <c r="AP48" s="57">
        <v>3377.8</v>
      </c>
      <c r="AQ48" s="37"/>
      <c r="AR48" s="37"/>
      <c r="AS48" s="56"/>
      <c r="AT48" s="37" t="s">
        <v>1</v>
      </c>
      <c r="AU48" s="57">
        <v>534660</v>
      </c>
      <c r="AV48" s="57">
        <v>3338.1</v>
      </c>
      <c r="AW48" s="57">
        <v>3338.1</v>
      </c>
      <c r="AX48" s="57">
        <v>3338.1</v>
      </c>
      <c r="AY48" s="57">
        <v>3338.1</v>
      </c>
      <c r="AZ48" s="57">
        <v>3338.1</v>
      </c>
      <c r="BA48" s="37"/>
      <c r="BB48" s="37"/>
      <c r="BC48" s="37"/>
      <c r="BD48" s="56"/>
      <c r="BE48" s="37" t="s">
        <v>1</v>
      </c>
      <c r="BF48" s="57">
        <v>527110</v>
      </c>
      <c r="BG48" s="57">
        <v>3290.9</v>
      </c>
      <c r="BH48" s="57">
        <v>3290.9</v>
      </c>
      <c r="BI48" s="57">
        <v>3290.9</v>
      </c>
      <c r="BJ48" s="57">
        <v>3290.9</v>
      </c>
      <c r="BK48" s="57">
        <v>3290.9</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4075.2</v>
      </c>
      <c r="AL49" s="57">
        <v>25.443000000000001</v>
      </c>
      <c r="AM49" s="57">
        <v>25.443000000000001</v>
      </c>
      <c r="AN49" s="57">
        <v>25.443000000000001</v>
      </c>
      <c r="AO49" s="57">
        <v>25.443000000000001</v>
      </c>
      <c r="AP49" s="57">
        <v>25.443000000000001</v>
      </c>
      <c r="AQ49" s="37"/>
      <c r="AR49" s="37"/>
      <c r="AS49" s="56"/>
      <c r="AT49" s="37" t="s">
        <v>2</v>
      </c>
      <c r="AU49" s="57">
        <v>10442</v>
      </c>
      <c r="AV49" s="57">
        <v>65.194000000000003</v>
      </c>
      <c r="AW49" s="57">
        <v>65.194000000000003</v>
      </c>
      <c r="AX49" s="57">
        <v>65.194000000000003</v>
      </c>
      <c r="AY49" s="57">
        <v>65.194000000000003</v>
      </c>
      <c r="AZ49" s="57">
        <v>65.194000000000003</v>
      </c>
      <c r="BA49" s="37"/>
      <c r="BB49" s="37"/>
      <c r="BC49" s="37"/>
      <c r="BD49" s="56"/>
      <c r="BE49" s="37" t="s">
        <v>2</v>
      </c>
      <c r="BF49" s="57">
        <v>17994</v>
      </c>
      <c r="BG49" s="57">
        <v>112.34</v>
      </c>
      <c r="BH49" s="57">
        <v>112.34</v>
      </c>
      <c r="BI49" s="57">
        <v>112.34</v>
      </c>
      <c r="BJ49" s="57">
        <v>112.34</v>
      </c>
      <c r="BK49" s="57">
        <v>112.34</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540930</v>
      </c>
      <c r="AL50" s="57">
        <v>3334.6</v>
      </c>
      <c r="AM50" s="57">
        <v>2924.2</v>
      </c>
      <c r="AN50" s="57">
        <v>857.05</v>
      </c>
      <c r="AO50" s="57">
        <v>13.919</v>
      </c>
      <c r="AP50" s="57">
        <v>9.8679000000000006</v>
      </c>
      <c r="AQ50" s="37"/>
      <c r="AR50" s="37"/>
      <c r="AS50" s="56"/>
      <c r="AT50" s="37" t="s">
        <v>3</v>
      </c>
      <c r="AU50" s="57">
        <v>534480</v>
      </c>
      <c r="AV50" s="57">
        <v>3284.2</v>
      </c>
      <c r="AW50" s="57">
        <v>2787.1</v>
      </c>
      <c r="AX50" s="57">
        <v>473.51</v>
      </c>
      <c r="AY50" s="57">
        <v>4.6254999999999997</v>
      </c>
      <c r="AZ50" s="57">
        <v>3.5402</v>
      </c>
      <c r="BA50" s="37"/>
      <c r="BB50" s="37"/>
      <c r="BC50" s="37"/>
      <c r="BD50" s="56"/>
      <c r="BE50" s="37" t="s">
        <v>3</v>
      </c>
      <c r="BF50" s="57">
        <v>526790</v>
      </c>
      <c r="BG50" s="57">
        <v>3218.1</v>
      </c>
      <c r="BH50" s="57">
        <v>2555.3000000000002</v>
      </c>
      <c r="BI50" s="57">
        <v>213.12</v>
      </c>
      <c r="BJ50" s="57">
        <v>1.6669</v>
      </c>
      <c r="BK50" s="57">
        <v>1.3082</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42.624000000000002</v>
      </c>
      <c r="AM52" s="57">
        <v>452.91</v>
      </c>
      <c r="AN52" s="57">
        <v>2520.1999999999998</v>
      </c>
      <c r="AO52" s="57">
        <v>3363.3</v>
      </c>
      <c r="AP52" s="57">
        <v>3367.4</v>
      </c>
      <c r="AQ52" s="37"/>
      <c r="AR52" s="37"/>
      <c r="AS52" s="56"/>
      <c r="AT52" s="37" t="s">
        <v>5</v>
      </c>
      <c r="AU52" s="57">
        <v>0</v>
      </c>
      <c r="AV52" s="57">
        <v>52.759</v>
      </c>
      <c r="AW52" s="57">
        <v>549.75</v>
      </c>
      <c r="AX52" s="57">
        <v>2863.5</v>
      </c>
      <c r="AY52" s="57">
        <v>3332.3</v>
      </c>
      <c r="AZ52" s="57">
        <v>3333.4</v>
      </c>
      <c r="BA52" s="37"/>
      <c r="BB52" s="37"/>
      <c r="BC52" s="37"/>
      <c r="BD52" s="56"/>
      <c r="BE52" s="37" t="s">
        <v>5</v>
      </c>
      <c r="BF52" s="57">
        <v>0</v>
      </c>
      <c r="BG52" s="57">
        <v>70.811999999999998</v>
      </c>
      <c r="BH52" s="57">
        <v>733.57</v>
      </c>
      <c r="BI52" s="57">
        <v>3075.9</v>
      </c>
      <c r="BJ52" s="57">
        <v>3287.4</v>
      </c>
      <c r="BK52" s="57">
        <v>3287.7</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545100</v>
      </c>
      <c r="AL54" s="57">
        <v>3403.3</v>
      </c>
      <c r="AM54" s="57">
        <v>3403.3</v>
      </c>
      <c r="AN54" s="57">
        <v>3403.3</v>
      </c>
      <c r="AO54" s="57">
        <v>3403.3</v>
      </c>
      <c r="AP54" s="57">
        <v>3403.3</v>
      </c>
      <c r="AQ54" s="37"/>
      <c r="AR54" s="37"/>
      <c r="AS54" s="56">
        <v>1.6</v>
      </c>
      <c r="AT54" s="37" t="s">
        <v>0</v>
      </c>
      <c r="AU54" s="57">
        <v>545100</v>
      </c>
      <c r="AV54" s="57">
        <v>3403.3</v>
      </c>
      <c r="AW54" s="57">
        <v>3403.3</v>
      </c>
      <c r="AX54" s="57">
        <v>3403.3</v>
      </c>
      <c r="AY54" s="57">
        <v>3403.3</v>
      </c>
      <c r="AZ54" s="57">
        <v>3403.3</v>
      </c>
      <c r="BA54" s="37"/>
      <c r="BB54" s="37"/>
      <c r="BC54" s="37"/>
      <c r="BD54" s="56">
        <v>1.6</v>
      </c>
      <c r="BE54" s="37" t="s">
        <v>0</v>
      </c>
      <c r="BF54" s="57">
        <v>545100</v>
      </c>
      <c r="BG54" s="57">
        <v>3403.3</v>
      </c>
      <c r="BH54" s="57">
        <v>3403.3</v>
      </c>
      <c r="BI54" s="57">
        <v>3403.3</v>
      </c>
      <c r="BJ54" s="57">
        <v>3403.3</v>
      </c>
      <c r="BK54" s="57">
        <v>3403.3</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545100</v>
      </c>
      <c r="AL55" s="57">
        <v>3403.3</v>
      </c>
      <c r="AM55" s="57">
        <v>3403.3</v>
      </c>
      <c r="AN55" s="57">
        <v>3403.3</v>
      </c>
      <c r="AO55" s="57">
        <v>3403.3</v>
      </c>
      <c r="AP55" s="57">
        <v>3403.3</v>
      </c>
      <c r="AQ55" s="37"/>
      <c r="AR55" s="37"/>
      <c r="AS55" s="56"/>
      <c r="AT55" s="37" t="s">
        <v>1</v>
      </c>
      <c r="AU55" s="57">
        <v>539930</v>
      </c>
      <c r="AV55" s="57">
        <v>3371</v>
      </c>
      <c r="AW55" s="57">
        <v>3371</v>
      </c>
      <c r="AX55" s="57">
        <v>3371</v>
      </c>
      <c r="AY55" s="57">
        <v>3371</v>
      </c>
      <c r="AZ55" s="57">
        <v>3371</v>
      </c>
      <c r="BA55" s="37"/>
      <c r="BB55" s="37"/>
      <c r="BC55" s="37"/>
      <c r="BD55" s="56"/>
      <c r="BE55" s="37" t="s">
        <v>1</v>
      </c>
      <c r="BF55" s="57">
        <v>534590</v>
      </c>
      <c r="BG55" s="57">
        <v>3337.6</v>
      </c>
      <c r="BH55" s="57">
        <v>3337.6</v>
      </c>
      <c r="BI55" s="57">
        <v>3337.6</v>
      </c>
      <c r="BJ55" s="57">
        <v>3337.6</v>
      </c>
      <c r="BK55" s="57">
        <v>3337.6</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5171.2</v>
      </c>
      <c r="AV56" s="57">
        <v>32.286000000000001</v>
      </c>
      <c r="AW56" s="57">
        <v>32.286000000000001</v>
      </c>
      <c r="AX56" s="57">
        <v>32.286000000000001</v>
      </c>
      <c r="AY56" s="57">
        <v>32.286000000000001</v>
      </c>
      <c r="AZ56" s="57">
        <v>32.286000000000001</v>
      </c>
      <c r="BA56" s="37"/>
      <c r="BB56" s="37"/>
      <c r="BC56" s="37"/>
      <c r="BD56" s="56"/>
      <c r="BE56" s="37" t="s">
        <v>2</v>
      </c>
      <c r="BF56" s="57">
        <v>10519</v>
      </c>
      <c r="BG56" s="57">
        <v>65.671000000000006</v>
      </c>
      <c r="BH56" s="57">
        <v>65.671000000000006</v>
      </c>
      <c r="BI56" s="57">
        <v>65.671000000000006</v>
      </c>
      <c r="BJ56" s="57">
        <v>65.671000000000006</v>
      </c>
      <c r="BK56" s="57">
        <v>65.671000000000006</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545000</v>
      </c>
      <c r="AL57" s="57">
        <v>3347.7</v>
      </c>
      <c r="AM57" s="57">
        <v>2850</v>
      </c>
      <c r="AN57" s="57">
        <v>725.15</v>
      </c>
      <c r="AO57" s="57">
        <v>14.08</v>
      </c>
      <c r="AP57" s="57">
        <v>10.872999999999999</v>
      </c>
      <c r="AQ57" s="37"/>
      <c r="AR57" s="37"/>
      <c r="AS57" s="56"/>
      <c r="AT57" s="37" t="s">
        <v>3</v>
      </c>
      <c r="AU57" s="57">
        <v>539760</v>
      </c>
      <c r="AV57" s="57">
        <v>3302.9</v>
      </c>
      <c r="AW57" s="57">
        <v>2714.1</v>
      </c>
      <c r="AX57" s="57">
        <v>400.02</v>
      </c>
      <c r="AY57" s="57">
        <v>4.7866999999999997</v>
      </c>
      <c r="AZ57" s="57">
        <v>3.9379</v>
      </c>
      <c r="BA57" s="37"/>
      <c r="BB57" s="37"/>
      <c r="BC57" s="37"/>
      <c r="BD57" s="56"/>
      <c r="BE57" s="37" t="s">
        <v>3</v>
      </c>
      <c r="BF57" s="57">
        <v>534250</v>
      </c>
      <c r="BG57" s="57">
        <v>3244.6</v>
      </c>
      <c r="BH57" s="57">
        <v>2469.8000000000002</v>
      </c>
      <c r="BI57" s="57">
        <v>177.73</v>
      </c>
      <c r="BJ57" s="57">
        <v>1.5603</v>
      </c>
      <c r="BK57" s="57">
        <v>1.2810999999999999</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54.933999999999997</v>
      </c>
      <c r="AM59" s="57">
        <v>552.64</v>
      </c>
      <c r="AN59" s="57">
        <v>2677.5</v>
      </c>
      <c r="AO59" s="57">
        <v>3388.6</v>
      </c>
      <c r="AP59" s="57">
        <v>3391.8</v>
      </c>
      <c r="AQ59" s="37"/>
      <c r="AR59" s="37"/>
      <c r="AS59" s="56"/>
      <c r="AT59" s="37" t="s">
        <v>5</v>
      </c>
      <c r="AU59" s="57">
        <v>0</v>
      </c>
      <c r="AV59" s="57">
        <v>66.918000000000006</v>
      </c>
      <c r="AW59" s="57">
        <v>655.75</v>
      </c>
      <c r="AX59" s="57">
        <v>2969.9</v>
      </c>
      <c r="AY59" s="57">
        <v>3365.1</v>
      </c>
      <c r="AZ59" s="57">
        <v>3366</v>
      </c>
      <c r="BA59" s="37"/>
      <c r="BB59" s="37"/>
      <c r="BC59" s="37"/>
      <c r="BD59" s="56"/>
      <c r="BE59" s="37" t="s">
        <v>5</v>
      </c>
      <c r="BF59" s="57">
        <v>0</v>
      </c>
      <c r="BG59" s="57">
        <v>90.912000000000006</v>
      </c>
      <c r="BH59" s="57">
        <v>865.65</v>
      </c>
      <c r="BI59" s="57">
        <v>3157.9</v>
      </c>
      <c r="BJ59" s="57">
        <v>3334</v>
      </c>
      <c r="BK59" s="57">
        <v>3334.3</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545100</v>
      </c>
      <c r="AL61" s="57">
        <v>3403.3</v>
      </c>
      <c r="AM61" s="57">
        <v>3403.3</v>
      </c>
      <c r="AN61" s="57">
        <v>3403.3</v>
      </c>
      <c r="AO61" s="57">
        <v>3403.3</v>
      </c>
      <c r="AP61" s="57">
        <v>3403.3</v>
      </c>
      <c r="AQ61" s="37"/>
      <c r="AR61" s="37"/>
      <c r="AS61" s="56">
        <v>2</v>
      </c>
      <c r="AT61" s="37" t="s">
        <v>0</v>
      </c>
      <c r="AU61" s="57">
        <v>545100</v>
      </c>
      <c r="AV61" s="57">
        <v>3403.3</v>
      </c>
      <c r="AW61" s="57">
        <v>3403.3</v>
      </c>
      <c r="AX61" s="57">
        <v>3403.3</v>
      </c>
      <c r="AY61" s="57">
        <v>3403.3</v>
      </c>
      <c r="AZ61" s="57">
        <v>3403.3</v>
      </c>
      <c r="BA61" s="37"/>
      <c r="BB61" s="37"/>
      <c r="BC61" s="37"/>
      <c r="BD61" s="56">
        <v>2</v>
      </c>
      <c r="BE61" s="37" t="s">
        <v>0</v>
      </c>
      <c r="BF61" s="57">
        <v>545100</v>
      </c>
      <c r="BG61" s="57">
        <v>3403.3</v>
      </c>
      <c r="BH61" s="57">
        <v>3403.3</v>
      </c>
      <c r="BI61" s="57">
        <v>3403.3</v>
      </c>
      <c r="BJ61" s="57">
        <v>3403.3</v>
      </c>
      <c r="BK61" s="57">
        <v>3403.3</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545100</v>
      </c>
      <c r="AL62" s="57">
        <v>3403.3</v>
      </c>
      <c r="AM62" s="57">
        <v>3403.3</v>
      </c>
      <c r="AN62" s="57">
        <v>3403.3</v>
      </c>
      <c r="AO62" s="57">
        <v>3403.3</v>
      </c>
      <c r="AP62" s="57">
        <v>3403.3</v>
      </c>
      <c r="AQ62" s="37"/>
      <c r="AR62" s="37"/>
      <c r="AS62" s="37"/>
      <c r="AT62" s="37" t="s">
        <v>1</v>
      </c>
      <c r="AU62" s="57">
        <v>543220</v>
      </c>
      <c r="AV62" s="57">
        <v>3391.5</v>
      </c>
      <c r="AW62" s="57">
        <v>3391.5</v>
      </c>
      <c r="AX62" s="57">
        <v>3391.5</v>
      </c>
      <c r="AY62" s="57">
        <v>3391.5</v>
      </c>
      <c r="AZ62" s="57">
        <v>3391.5</v>
      </c>
      <c r="BA62" s="37"/>
      <c r="BB62" s="37"/>
      <c r="BC62" s="37"/>
      <c r="BD62" s="37"/>
      <c r="BE62" s="37" t="s">
        <v>1</v>
      </c>
      <c r="BF62" s="57">
        <v>538910</v>
      </c>
      <c r="BG62" s="57">
        <v>3364.6</v>
      </c>
      <c r="BH62" s="57">
        <v>3364.6</v>
      </c>
      <c r="BI62" s="57">
        <v>3364.6</v>
      </c>
      <c r="BJ62" s="57">
        <v>3364.6</v>
      </c>
      <c r="BK62" s="57">
        <v>3364.6</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1880.3</v>
      </c>
      <c r="AV63" s="57">
        <v>11.74</v>
      </c>
      <c r="AW63" s="57">
        <v>11.74</v>
      </c>
      <c r="AX63" s="57">
        <v>11.74</v>
      </c>
      <c r="AY63" s="57">
        <v>11.74</v>
      </c>
      <c r="AZ63" s="57">
        <v>11.74</v>
      </c>
      <c r="BA63" s="37"/>
      <c r="BB63" s="37"/>
      <c r="BC63" s="37"/>
      <c r="BD63" s="37"/>
      <c r="BE63" s="37" t="s">
        <v>2</v>
      </c>
      <c r="BF63" s="57">
        <v>6190.7</v>
      </c>
      <c r="BG63" s="57">
        <v>38.651000000000003</v>
      </c>
      <c r="BH63" s="57">
        <v>38.651000000000003</v>
      </c>
      <c r="BI63" s="57">
        <v>38.651000000000003</v>
      </c>
      <c r="BJ63" s="57">
        <v>38.651000000000003</v>
      </c>
      <c r="BK63" s="57">
        <v>38.651000000000003</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545000</v>
      </c>
      <c r="AL64" s="57">
        <v>3335.3</v>
      </c>
      <c r="AM64" s="57">
        <v>2756.6</v>
      </c>
      <c r="AN64" s="57">
        <v>615.86</v>
      </c>
      <c r="AO64" s="57">
        <v>13.487</v>
      </c>
      <c r="AP64" s="57">
        <v>11.019</v>
      </c>
      <c r="AQ64" s="37"/>
      <c r="AR64" s="37"/>
      <c r="AS64" s="37"/>
      <c r="AT64" s="37" t="s">
        <v>3</v>
      </c>
      <c r="AU64" s="57">
        <v>543040</v>
      </c>
      <c r="AV64" s="57">
        <v>3308</v>
      </c>
      <c r="AW64" s="57">
        <v>2626.1</v>
      </c>
      <c r="AX64" s="57">
        <v>339.3</v>
      </c>
      <c r="AY64" s="57">
        <v>4.4195000000000002</v>
      </c>
      <c r="AZ64" s="57">
        <v>3.7909999999999999</v>
      </c>
      <c r="BA64" s="37"/>
      <c r="BB64" s="37"/>
      <c r="BC64" s="37"/>
      <c r="BD64" s="37"/>
      <c r="BE64" s="37" t="s">
        <v>3</v>
      </c>
      <c r="BF64" s="57">
        <v>538610</v>
      </c>
      <c r="BG64" s="57">
        <v>3258.1</v>
      </c>
      <c r="BH64" s="57">
        <v>2410.1999999999998</v>
      </c>
      <c r="BI64" s="57">
        <v>151.31</v>
      </c>
      <c r="BJ64" s="57">
        <v>1.7507999999999999</v>
      </c>
      <c r="BK64" s="57">
        <v>1.5415000000000001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67.293000000000006</v>
      </c>
      <c r="AM66" s="57">
        <v>645.98</v>
      </c>
      <c r="AN66" s="57">
        <v>2786.8</v>
      </c>
      <c r="AO66" s="57">
        <v>3389.1</v>
      </c>
      <c r="AP66" s="57">
        <v>3391.6</v>
      </c>
      <c r="AQ66" s="37"/>
      <c r="AR66" s="37"/>
      <c r="AS66" s="37"/>
      <c r="AT66" s="37" t="s">
        <v>5</v>
      </c>
      <c r="AU66" s="57">
        <v>0</v>
      </c>
      <c r="AV66" s="57">
        <v>82.349000000000004</v>
      </c>
      <c r="AW66" s="57">
        <v>764.23</v>
      </c>
      <c r="AX66" s="57">
        <v>3051.1</v>
      </c>
      <c r="AY66" s="57">
        <v>3386</v>
      </c>
      <c r="AZ66" s="57">
        <v>3386.6</v>
      </c>
      <c r="BA66" s="37"/>
      <c r="BB66" s="37"/>
      <c r="BC66" s="37"/>
      <c r="BD66" s="37"/>
      <c r="BE66" s="37" t="s">
        <v>5</v>
      </c>
      <c r="BF66" s="57">
        <v>0</v>
      </c>
      <c r="BG66" s="57">
        <v>104.57</v>
      </c>
      <c r="BH66" s="57">
        <v>952.46</v>
      </c>
      <c r="BI66" s="57">
        <v>3211.5</v>
      </c>
      <c r="BJ66" s="57">
        <v>3361</v>
      </c>
      <c r="BK66" s="57">
        <v>3361.2</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sheetPr codeName="Sheet21"/>
  <dimension ref="A1:BP150"/>
  <sheetViews>
    <sheetView topLeftCell="A4" workbookViewId="0">
      <pane xSplit="8" topLeftCell="BJ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1.2508953168044077</v>
      </c>
      <c r="E2" t="s">
        <v>119</v>
      </c>
      <c r="G2" s="103">
        <f>C2*12</f>
        <v>15.010743801652893</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544890</v>
      </c>
      <c r="N4" s="10">
        <v>100</v>
      </c>
      <c r="O4" s="2">
        <f>L5/$L$4</f>
        <v>0.11421204279762888</v>
      </c>
      <c r="P4" s="32">
        <v>2.3757000000000001E-3</v>
      </c>
      <c r="Q4" s="9">
        <f t="shared" ref="Q4:Q9" si="0">2/((P4/(N4*0.35))*3600)</f>
        <v>8.1847221637599201</v>
      </c>
      <c r="S4" s="7"/>
      <c r="T4" s="26">
        <v>100</v>
      </c>
      <c r="U4" s="4" t="s">
        <v>0</v>
      </c>
      <c r="V4" s="5">
        <v>544890</v>
      </c>
      <c r="X4" s="24">
        <v>100</v>
      </c>
      <c r="Y4" s="22">
        <f>V5/$V$4</f>
        <v>0.22362311659233974</v>
      </c>
      <c r="Z4" s="33">
        <v>8.7665999999999994E-3</v>
      </c>
      <c r="AA4" s="9">
        <f t="shared" ref="AA4:AA9" si="1">2/((Z4/(X4*0.35))*3600)</f>
        <v>2.2180143321748962</v>
      </c>
      <c r="AD4" s="26">
        <v>100</v>
      </c>
      <c r="AE4" s="4" t="s">
        <v>0</v>
      </c>
      <c r="AF4" s="5">
        <v>544890</v>
      </c>
      <c r="AH4" s="10">
        <v>100</v>
      </c>
      <c r="AI4" s="2">
        <f>AF5/$AF$4</f>
        <v>0.61601424140652239</v>
      </c>
      <c r="AJ4" s="32">
        <v>3.2613000000000003E-2</v>
      </c>
      <c r="AK4" s="9">
        <f t="shared" ref="AK4:AK9" si="2">2/((AJ4/(AH4*0.35))*3600)</f>
        <v>0.59621759557368048</v>
      </c>
      <c r="AN4" s="26">
        <v>100</v>
      </c>
      <c r="AO4" s="4" t="s">
        <v>0</v>
      </c>
      <c r="AP4" s="5">
        <v>544890</v>
      </c>
      <c r="AR4" s="10">
        <v>100</v>
      </c>
      <c r="AS4" s="2">
        <f>AP5/AP$4</f>
        <v>0.28763603663124665</v>
      </c>
      <c r="AT4" s="32">
        <v>3.1237999999999999E-3</v>
      </c>
      <c r="AU4" s="9">
        <f t="shared" ref="AU4:AU9" si="3">2/((AT4/(AR4*0.35))*3600)</f>
        <v>6.2246124734120123</v>
      </c>
      <c r="AW4" s="7"/>
      <c r="AX4" s="26">
        <v>100</v>
      </c>
      <c r="AY4" s="4" t="s">
        <v>0</v>
      </c>
      <c r="AZ4" s="5">
        <v>544890</v>
      </c>
      <c r="BB4" s="24">
        <v>100</v>
      </c>
      <c r="BC4" s="2">
        <f>AZ5/AZ$4</f>
        <v>0.44966874047972988</v>
      </c>
      <c r="BD4" s="33">
        <v>1.2189999999999999E-2</v>
      </c>
      <c r="BE4" s="9">
        <f t="shared" ref="BE4:BE9" si="4">2/((BD4/(BB4*0.35))*3600)</f>
        <v>1.5951143924892899</v>
      </c>
      <c r="BH4" s="26">
        <v>100</v>
      </c>
      <c r="BI4" s="4" t="s">
        <v>0</v>
      </c>
      <c r="BJ4" s="5">
        <v>544890</v>
      </c>
      <c r="BL4" s="10">
        <v>100</v>
      </c>
      <c r="BM4" s="2">
        <f>BJ5/BJ$4</f>
        <v>0.80728220374754533</v>
      </c>
      <c r="BN4" s="32">
        <v>4.5907999999999997E-2</v>
      </c>
      <c r="BO4" s="9">
        <f t="shared" ref="BO4:BO7" si="5">2/((BN4/(BL4*0.35))*3600)</f>
        <v>0.42355241884735656</v>
      </c>
      <c r="BP4" s="12"/>
    </row>
    <row r="5" spans="1:68">
      <c r="J5" s="26"/>
      <c r="K5" s="4" t="s">
        <v>1</v>
      </c>
      <c r="L5" s="5">
        <v>62233</v>
      </c>
      <c r="N5" s="10">
        <v>200</v>
      </c>
      <c r="O5" s="2">
        <f>L12/$L$4</f>
        <v>0.20409623960799428</v>
      </c>
      <c r="P5" s="32">
        <v>4.1732999999999996E-3</v>
      </c>
      <c r="Q5" s="9">
        <f t="shared" si="0"/>
        <v>9.3184982840651021</v>
      </c>
      <c r="S5" s="7"/>
      <c r="T5" s="26"/>
      <c r="U5" s="4" t="s">
        <v>1</v>
      </c>
      <c r="V5" s="5">
        <v>121850</v>
      </c>
      <c r="X5" s="24">
        <v>200</v>
      </c>
      <c r="Y5" s="22">
        <f>V12/$V$4</f>
        <v>0.37104736735854943</v>
      </c>
      <c r="Z5" s="33">
        <v>1.4718999999999999E-2</v>
      </c>
      <c r="AA5" s="9">
        <f t="shared" si="1"/>
        <v>2.6420877022140696</v>
      </c>
      <c r="AD5" s="26"/>
      <c r="AE5" s="4" t="s">
        <v>1</v>
      </c>
      <c r="AF5" s="5">
        <v>335660</v>
      </c>
      <c r="AH5" s="10">
        <v>200</v>
      </c>
      <c r="AI5" s="2">
        <f>AF12/$AF$4</f>
        <v>0.77312852135293364</v>
      </c>
      <c r="AJ5" s="32">
        <v>4.3112999999999999E-2</v>
      </c>
      <c r="AK5" s="9">
        <f t="shared" si="2"/>
        <v>0.9020223340729917</v>
      </c>
      <c r="AN5" s="26"/>
      <c r="AO5" s="4" t="s">
        <v>1</v>
      </c>
      <c r="AP5" s="5">
        <v>156730</v>
      </c>
      <c r="AR5" s="10">
        <v>200</v>
      </c>
      <c r="AS5" s="2">
        <f>AP12/AP$4</f>
        <v>0.47574739855750703</v>
      </c>
      <c r="AT5" s="32">
        <v>5.3049999999999998E-3</v>
      </c>
      <c r="AU5" s="9">
        <f t="shared" si="3"/>
        <v>7.3306105351345696</v>
      </c>
      <c r="AW5" s="7"/>
      <c r="AX5" s="26"/>
      <c r="AY5" s="4" t="s">
        <v>1</v>
      </c>
      <c r="AZ5" s="5">
        <v>245020</v>
      </c>
      <c r="BB5" s="24">
        <v>200</v>
      </c>
      <c r="BC5" s="2">
        <f>AZ12/AZ$4</f>
        <v>0.67164014755271706</v>
      </c>
      <c r="BD5" s="33">
        <v>1.9494000000000001E-2</v>
      </c>
      <c r="BE5" s="9">
        <f t="shared" si="4"/>
        <v>1.9949158145526256</v>
      </c>
      <c r="BH5" s="26"/>
      <c r="BI5" s="4" t="s">
        <v>1</v>
      </c>
      <c r="BJ5" s="5">
        <v>439880</v>
      </c>
      <c r="BL5" s="10">
        <v>200</v>
      </c>
      <c r="BM5" s="2">
        <f>BJ12/BJ$4</f>
        <v>0.92409477142175489</v>
      </c>
      <c r="BN5" s="32">
        <v>5.4547999999999999E-2</v>
      </c>
      <c r="BO5" s="9">
        <f t="shared" si="5"/>
        <v>0.71292969291062713</v>
      </c>
      <c r="BP5" s="12"/>
    </row>
    <row r="6" spans="1:68">
      <c r="J6" s="26"/>
      <c r="K6" s="4" t="s">
        <v>2</v>
      </c>
      <c r="L6" s="5">
        <v>482660</v>
      </c>
      <c r="N6" s="10">
        <v>400</v>
      </c>
      <c r="O6" s="2">
        <f>L19/L$4</f>
        <v>0.34979537154288021</v>
      </c>
      <c r="P6" s="32">
        <v>7.0911000000000004E-3</v>
      </c>
      <c r="Q6" s="9">
        <f t="shared" si="0"/>
        <v>10.968365666508408</v>
      </c>
      <c r="S6" s="7"/>
      <c r="T6" s="26"/>
      <c r="U6" s="4" t="s">
        <v>2</v>
      </c>
      <c r="V6" s="5">
        <v>423040</v>
      </c>
      <c r="X6" s="24">
        <v>400</v>
      </c>
      <c r="Y6" s="22">
        <f>V19/$V$4</f>
        <v>0.57009671676852214</v>
      </c>
      <c r="Z6" s="33">
        <v>2.3963000000000002E-2</v>
      </c>
      <c r="AA6" s="9">
        <f t="shared" si="1"/>
        <v>3.2457445969944403</v>
      </c>
      <c r="AD6" s="26"/>
      <c r="AE6" s="4" t="s">
        <v>2</v>
      </c>
      <c r="AF6" s="5">
        <v>209220</v>
      </c>
      <c r="AH6" s="10">
        <v>400</v>
      </c>
      <c r="AI6" s="2">
        <f>AF19/$AF$4</f>
        <v>0.89752060048817195</v>
      </c>
      <c r="AJ6" s="32">
        <v>5.2219000000000002E-2</v>
      </c>
      <c r="AK6" s="9">
        <f t="shared" si="2"/>
        <v>1.4894536045841125</v>
      </c>
      <c r="AN6" s="26"/>
      <c r="AO6" s="4" t="s">
        <v>2</v>
      </c>
      <c r="AP6" s="5">
        <v>388160</v>
      </c>
      <c r="AR6" s="10">
        <v>400</v>
      </c>
      <c r="AS6" s="2">
        <f>AP19/AP$4</f>
        <v>0.71451118574391159</v>
      </c>
      <c r="AT6" s="32">
        <v>8.5041000000000005E-3</v>
      </c>
      <c r="AU6" s="9">
        <f t="shared" si="3"/>
        <v>9.1459152382706908</v>
      </c>
      <c r="AW6" s="7"/>
      <c r="AX6" s="26"/>
      <c r="AY6" s="4" t="s">
        <v>2</v>
      </c>
      <c r="AZ6" s="5">
        <v>299870</v>
      </c>
      <c r="BB6" s="24">
        <v>400</v>
      </c>
      <c r="BC6" s="2">
        <f>AZ19/AZ$4</f>
        <v>0.86211895979004938</v>
      </c>
      <c r="BD6" s="33">
        <v>2.8853E-2</v>
      </c>
      <c r="BE6" s="9">
        <f t="shared" si="4"/>
        <v>2.6956565271471864</v>
      </c>
      <c r="BH6" s="26"/>
      <c r="BI6" s="4" t="s">
        <v>2</v>
      </c>
      <c r="BJ6" s="5">
        <v>105000</v>
      </c>
      <c r="BL6" s="10">
        <v>400</v>
      </c>
      <c r="BM6" s="2">
        <f>BJ19/BJ$4</f>
        <v>0.98889684156435242</v>
      </c>
      <c r="BN6" s="32">
        <v>5.9549999999999999E-2</v>
      </c>
      <c r="BO6" s="9">
        <f t="shared" si="5"/>
        <v>1.3060919861927418</v>
      </c>
      <c r="BP6" s="12"/>
    </row>
    <row r="7" spans="1:68">
      <c r="J7" s="26"/>
      <c r="K7" s="4" t="s">
        <v>3</v>
      </c>
      <c r="L7" s="5">
        <v>61933</v>
      </c>
      <c r="N7" s="10">
        <v>600</v>
      </c>
      <c r="O7" s="2">
        <f>L26/$L$4</f>
        <v>0.46576373212942063</v>
      </c>
      <c r="P7" s="32">
        <v>9.6477999999999998E-3</v>
      </c>
      <c r="Q7" s="9">
        <f t="shared" si="0"/>
        <v>12.092566871894801</v>
      </c>
      <c r="S7" s="7"/>
      <c r="T7" s="26"/>
      <c r="U7" s="4" t="s">
        <v>3</v>
      </c>
      <c r="V7" s="5">
        <v>121720</v>
      </c>
      <c r="X7" s="24">
        <v>600</v>
      </c>
      <c r="Y7" s="22">
        <f>V26/$V$4</f>
        <v>0.69364458881609137</v>
      </c>
      <c r="Z7" s="33">
        <v>3.0685E-2</v>
      </c>
      <c r="AA7" s="9">
        <f t="shared" si="1"/>
        <v>3.8020748465591225</v>
      </c>
      <c r="AD7" s="26"/>
      <c r="AE7" s="4" t="s">
        <v>3</v>
      </c>
      <c r="AF7" s="5">
        <v>335590</v>
      </c>
      <c r="AH7" s="10">
        <v>600</v>
      </c>
      <c r="AI7" s="2">
        <f>AF26/$AF$4</f>
        <v>0.94848501532419383</v>
      </c>
      <c r="AJ7" s="32">
        <v>5.6070000000000002E-2</v>
      </c>
      <c r="AK7" s="9">
        <f t="shared" si="2"/>
        <v>2.0807324178110695</v>
      </c>
      <c r="AN7" s="26"/>
      <c r="AO7" s="4" t="s">
        <v>3</v>
      </c>
      <c r="AP7" s="5">
        <v>156210</v>
      </c>
      <c r="AR7" s="10">
        <v>600</v>
      </c>
      <c r="AS7" s="2">
        <f>AP26/AP$4</f>
        <v>0.84180293270201323</v>
      </c>
      <c r="AT7" s="32">
        <v>1.1054E-2</v>
      </c>
      <c r="AU7" s="9">
        <f t="shared" si="3"/>
        <v>10.554248839032629</v>
      </c>
      <c r="AW7" s="7"/>
      <c r="AX7" s="26"/>
      <c r="AY7" s="4" t="s">
        <v>3</v>
      </c>
      <c r="AZ7" s="5">
        <v>244850</v>
      </c>
      <c r="BB7" s="24">
        <v>600</v>
      </c>
      <c r="BC7" s="2">
        <f>AZ26/AZ$4</f>
        <v>0.93369303896199229</v>
      </c>
      <c r="BD7" s="33">
        <v>3.5222000000000003E-2</v>
      </c>
      <c r="BE7" s="9">
        <f t="shared" si="4"/>
        <v>3.3123237370582772</v>
      </c>
      <c r="BH7" s="26"/>
      <c r="BI7" s="4" t="s">
        <v>3</v>
      </c>
      <c r="BJ7" s="5">
        <v>439800</v>
      </c>
      <c r="BL7" s="10">
        <v>600</v>
      </c>
      <c r="BM7" s="2">
        <f>BJ26/BJ$4</f>
        <v>0.99862357540053959</v>
      </c>
      <c r="BN7" s="32">
        <v>6.0317999999999997E-2</v>
      </c>
      <c r="BO7" s="9">
        <f t="shared" si="5"/>
        <v>1.9341932203764498</v>
      </c>
      <c r="BP7" s="12"/>
    </row>
    <row r="8" spans="1:68">
      <c r="J8" s="26"/>
      <c r="K8" s="4" t="s">
        <v>4</v>
      </c>
      <c r="L8" s="5">
        <v>0</v>
      </c>
      <c r="N8" s="10">
        <v>800</v>
      </c>
      <c r="O8" s="2">
        <f>L33/$L$4</f>
        <v>0.56073702949219106</v>
      </c>
      <c r="P8" s="32">
        <v>1.1899E-2</v>
      </c>
      <c r="Q8" s="9">
        <f t="shared" si="0"/>
        <v>13.072993995760616</v>
      </c>
      <c r="S8" s="7"/>
      <c r="T8" s="26"/>
      <c r="U8" s="4" t="s">
        <v>4</v>
      </c>
      <c r="V8" s="5">
        <v>0</v>
      </c>
      <c r="X8" s="24">
        <v>800</v>
      </c>
      <c r="Y8" s="22">
        <f>V33/$V$4</f>
        <v>0.772522894529171</v>
      </c>
      <c r="Z8" s="33">
        <v>3.5861999999999998E-2</v>
      </c>
      <c r="AA8" s="9">
        <f t="shared" si="1"/>
        <v>4.3376151791744899</v>
      </c>
      <c r="AD8" s="26"/>
      <c r="AE8" s="4" t="s">
        <v>4</v>
      </c>
      <c r="AF8" s="5">
        <v>0</v>
      </c>
      <c r="AH8" s="10">
        <v>800</v>
      </c>
      <c r="AI8" s="2">
        <f>AF33/$AF$4</f>
        <v>0.97487566297784878</v>
      </c>
      <c r="AJ8" s="32">
        <v>5.8209999999999998E-2</v>
      </c>
      <c r="AK8" s="9">
        <f t="shared" si="2"/>
        <v>2.6723167077058161</v>
      </c>
      <c r="AN8" s="26"/>
      <c r="AO8" s="4" t="s">
        <v>4</v>
      </c>
      <c r="AP8" s="5">
        <v>0</v>
      </c>
      <c r="AR8" s="10">
        <v>800</v>
      </c>
      <c r="AS8" s="2">
        <f>AP33/AP$4</f>
        <v>0.91133990346675475</v>
      </c>
      <c r="AT8" s="32">
        <v>1.3297E-2</v>
      </c>
      <c r="AU8" s="9">
        <f t="shared" si="3"/>
        <v>11.698545202343052</v>
      </c>
      <c r="AW8" s="7"/>
      <c r="AX8" s="26"/>
      <c r="AY8" s="4" t="s">
        <v>4</v>
      </c>
      <c r="AZ8" s="5">
        <v>0</v>
      </c>
      <c r="BB8" s="24">
        <v>800</v>
      </c>
      <c r="BC8" s="2">
        <f>AZ33/AZ$4</f>
        <v>0.96412119877406444</v>
      </c>
      <c r="BD8" s="33">
        <v>3.9691999999999998E-2</v>
      </c>
      <c r="BE8" s="9">
        <f t="shared" si="4"/>
        <v>3.9190656947383746</v>
      </c>
      <c r="BH8" s="26"/>
      <c r="BI8" s="4" t="s">
        <v>4</v>
      </c>
      <c r="BJ8" s="5">
        <v>0</v>
      </c>
      <c r="BL8" s="10">
        <v>800</v>
      </c>
      <c r="BM8" s="2">
        <f>BJ33/BJ$4</f>
        <v>1</v>
      </c>
      <c r="BN8" s="32">
        <v>6.0374999999999998E-2</v>
      </c>
      <c r="BO8" s="9">
        <f>2/((BN8/(BL8*0.35))*3600)</f>
        <v>2.576489533011272</v>
      </c>
      <c r="BP8" s="12"/>
    </row>
    <row r="9" spans="1:68">
      <c r="J9" s="26"/>
      <c r="K9" s="4" t="s">
        <v>5</v>
      </c>
      <c r="L9" s="5">
        <v>0</v>
      </c>
      <c r="M9" s="1"/>
      <c r="N9" s="10">
        <v>1000</v>
      </c>
      <c r="O9" s="2">
        <f>L40/$L$4</f>
        <v>0.63766998843803335</v>
      </c>
      <c r="P9" s="32">
        <v>1.3936E-2</v>
      </c>
      <c r="Q9" s="9">
        <f t="shared" si="0"/>
        <v>13.952672534762087</v>
      </c>
      <c r="S9" s="7"/>
      <c r="T9" s="26"/>
      <c r="U9" s="4" t="s">
        <v>5</v>
      </c>
      <c r="V9" s="5">
        <v>0</v>
      </c>
      <c r="W9" s="1"/>
      <c r="X9" s="24">
        <v>1000</v>
      </c>
      <c r="Y9" s="22">
        <f>V40/$V$4</f>
        <v>0.82785516342748078</v>
      </c>
      <c r="Z9" s="33">
        <v>3.9947999999999997E-2</v>
      </c>
      <c r="AA9" s="9">
        <f t="shared" si="1"/>
        <v>4.8674387815270972</v>
      </c>
      <c r="AD9" s="26"/>
      <c r="AE9" s="4" t="s">
        <v>5</v>
      </c>
      <c r="AF9" s="5">
        <v>0</v>
      </c>
      <c r="AG9" s="1"/>
      <c r="AH9" s="10">
        <v>1000</v>
      </c>
      <c r="AI9" s="2">
        <f>AF40/$AF$4</f>
        <v>0.98847473802051788</v>
      </c>
      <c r="AJ9" s="32">
        <v>5.9367999999999997E-2</v>
      </c>
      <c r="AK9" s="9">
        <f t="shared" si="2"/>
        <v>3.2752399347197891</v>
      </c>
      <c r="AN9" s="26"/>
      <c r="AO9" s="4" t="s">
        <v>5</v>
      </c>
      <c r="AP9" s="5">
        <v>0</v>
      </c>
      <c r="AQ9" s="1"/>
      <c r="AR9" s="10">
        <v>1000</v>
      </c>
      <c r="AS9" s="2">
        <f>AP40/AP$4</f>
        <v>0.94442915083778378</v>
      </c>
      <c r="AT9" s="32">
        <v>1.5217E-2</v>
      </c>
      <c r="AU9" s="9">
        <f t="shared" si="3"/>
        <v>12.778106357655549</v>
      </c>
      <c r="AW9" s="7"/>
      <c r="AX9" s="26"/>
      <c r="AY9" s="4" t="s">
        <v>5</v>
      </c>
      <c r="AZ9" s="5">
        <v>0</v>
      </c>
      <c r="BA9" s="1"/>
      <c r="BB9" s="24">
        <v>1000</v>
      </c>
      <c r="BC9" s="2">
        <f>AZ40/AZ$4</f>
        <v>0.97797720640863295</v>
      </c>
      <c r="BD9" s="33">
        <v>4.3151000000000002E-2</v>
      </c>
      <c r="BE9" s="9">
        <f t="shared" si="4"/>
        <v>4.5061399375320255</v>
      </c>
      <c r="BH9" s="26"/>
      <c r="BI9" s="4" t="s">
        <v>5</v>
      </c>
      <c r="BJ9" s="5">
        <v>0</v>
      </c>
      <c r="BK9" s="1"/>
      <c r="BL9" s="10">
        <v>1000</v>
      </c>
      <c r="BM9" s="2">
        <f>BJ40/BJ$4</f>
        <v>1</v>
      </c>
      <c r="BN9" s="32">
        <v>6.0361999999999999E-2</v>
      </c>
      <c r="BO9" s="9">
        <f t="shared" ref="BO9" si="6">2/((BN9/(BL9*0.35))*3600)</f>
        <v>3.2213055307054845</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544890</v>
      </c>
      <c r="S11" s="7"/>
      <c r="T11" s="26">
        <v>200</v>
      </c>
      <c r="U11" s="4" t="s">
        <v>0</v>
      </c>
      <c r="V11" s="5">
        <v>544890</v>
      </c>
      <c r="AD11" s="26">
        <v>200</v>
      </c>
      <c r="AE11" s="4" t="s">
        <v>0</v>
      </c>
      <c r="AF11" s="5">
        <v>544890</v>
      </c>
      <c r="AN11" s="26">
        <v>200</v>
      </c>
      <c r="AO11" s="4" t="s">
        <v>0</v>
      </c>
      <c r="AP11" s="5">
        <v>544890</v>
      </c>
      <c r="AW11" s="7"/>
      <c r="AX11" s="26">
        <v>200</v>
      </c>
      <c r="AY11" s="4" t="s">
        <v>0</v>
      </c>
      <c r="AZ11" s="5">
        <v>544890</v>
      </c>
      <c r="BH11" s="26">
        <v>200</v>
      </c>
      <c r="BI11" s="4" t="s">
        <v>0</v>
      </c>
      <c r="BJ11" s="5">
        <v>544890</v>
      </c>
      <c r="BP11" s="12"/>
    </row>
    <row r="12" spans="1:68">
      <c r="J12" s="26"/>
      <c r="K12" s="4" t="s">
        <v>1</v>
      </c>
      <c r="L12" s="5">
        <v>111210</v>
      </c>
      <c r="S12" s="7"/>
      <c r="T12" s="26"/>
      <c r="U12" s="4" t="s">
        <v>1</v>
      </c>
      <c r="V12" s="5">
        <v>202180</v>
      </c>
      <c r="AD12" s="26"/>
      <c r="AE12" s="4" t="s">
        <v>1</v>
      </c>
      <c r="AF12" s="5">
        <v>421270</v>
      </c>
      <c r="AN12" s="26"/>
      <c r="AO12" s="4" t="s">
        <v>1</v>
      </c>
      <c r="AP12" s="5">
        <v>259230</v>
      </c>
      <c r="AW12" s="7"/>
      <c r="AX12" s="26"/>
      <c r="AY12" s="4" t="s">
        <v>1</v>
      </c>
      <c r="AZ12" s="5">
        <v>365970</v>
      </c>
      <c r="BH12" s="26"/>
      <c r="BI12" s="4" t="s">
        <v>1</v>
      </c>
      <c r="BJ12" s="5">
        <v>503530</v>
      </c>
      <c r="BP12" s="12"/>
    </row>
    <row r="13" spans="1:68">
      <c r="J13" s="26"/>
      <c r="K13" s="4" t="s">
        <v>2</v>
      </c>
      <c r="L13" s="5">
        <v>433680</v>
      </c>
      <c r="T13" s="26"/>
      <c r="U13" s="4" t="s">
        <v>2</v>
      </c>
      <c r="V13" s="5">
        <v>342720</v>
      </c>
      <c r="AD13" s="26"/>
      <c r="AE13" s="4" t="s">
        <v>2</v>
      </c>
      <c r="AF13" s="5">
        <v>123620</v>
      </c>
      <c r="AN13" s="26"/>
      <c r="AO13" s="4" t="s">
        <v>2</v>
      </c>
      <c r="AP13" s="5">
        <v>285660</v>
      </c>
      <c r="AX13" s="26"/>
      <c r="AY13" s="4" t="s">
        <v>2</v>
      </c>
      <c r="AZ13" s="5">
        <v>178910</v>
      </c>
      <c r="BH13" s="26"/>
      <c r="BI13" s="4" t="s">
        <v>2</v>
      </c>
      <c r="BJ13" s="5">
        <v>41362</v>
      </c>
    </row>
    <row r="14" spans="1:68">
      <c r="J14" s="26"/>
      <c r="K14" s="4" t="s">
        <v>3</v>
      </c>
      <c r="L14" s="5">
        <v>110670</v>
      </c>
      <c r="T14" s="26"/>
      <c r="U14" s="4" t="s">
        <v>3</v>
      </c>
      <c r="V14" s="5">
        <v>201950</v>
      </c>
      <c r="AD14" s="26"/>
      <c r="AE14" s="4" t="s">
        <v>3</v>
      </c>
      <c r="AF14" s="5">
        <v>421120</v>
      </c>
      <c r="AN14" s="26"/>
      <c r="AO14" s="4" t="s">
        <v>3</v>
      </c>
      <c r="AP14" s="5">
        <v>258370</v>
      </c>
      <c r="AX14" s="26"/>
      <c r="AY14" s="4" t="s">
        <v>3</v>
      </c>
      <c r="AZ14" s="5">
        <v>365690</v>
      </c>
      <c r="BH14" s="26"/>
      <c r="BI14" s="4" t="s">
        <v>3</v>
      </c>
      <c r="BJ14" s="5">
        <v>503380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544890</v>
      </c>
      <c r="T18" s="26">
        <v>400</v>
      </c>
      <c r="U18" s="4" t="s">
        <v>0</v>
      </c>
      <c r="V18" s="5">
        <v>544890</v>
      </c>
      <c r="AD18" s="26">
        <v>400</v>
      </c>
      <c r="AE18" s="4" t="s">
        <v>0</v>
      </c>
      <c r="AF18" s="5">
        <v>544890</v>
      </c>
      <c r="AN18" s="26">
        <v>400</v>
      </c>
      <c r="AO18" s="4" t="s">
        <v>0</v>
      </c>
      <c r="AP18" s="5">
        <v>544890</v>
      </c>
      <c r="AX18" s="26">
        <v>400</v>
      </c>
      <c r="AY18" s="4" t="s">
        <v>0</v>
      </c>
      <c r="AZ18" s="5">
        <v>544890</v>
      </c>
      <c r="BH18" s="26">
        <v>400</v>
      </c>
      <c r="BI18" s="4" t="s">
        <v>0</v>
      </c>
      <c r="BJ18" s="5">
        <v>544890</v>
      </c>
    </row>
    <row r="19" spans="1:62">
      <c r="J19" s="26"/>
      <c r="K19" s="4" t="s">
        <v>1</v>
      </c>
      <c r="L19" s="5">
        <v>190600</v>
      </c>
      <c r="T19" s="26"/>
      <c r="U19" s="4" t="s">
        <v>1</v>
      </c>
      <c r="V19" s="5">
        <v>310640</v>
      </c>
      <c r="AD19" s="26"/>
      <c r="AE19" s="4" t="s">
        <v>1</v>
      </c>
      <c r="AF19" s="5">
        <v>489050</v>
      </c>
      <c r="AN19" s="26"/>
      <c r="AO19" s="4" t="s">
        <v>1</v>
      </c>
      <c r="AP19" s="5">
        <v>389330</v>
      </c>
      <c r="AX19" s="26"/>
      <c r="AY19" s="4" t="s">
        <v>1</v>
      </c>
      <c r="AZ19" s="5">
        <v>469760</v>
      </c>
      <c r="BH19" s="26"/>
      <c r="BI19" s="4" t="s">
        <v>1</v>
      </c>
      <c r="BJ19" s="5">
        <v>538840</v>
      </c>
    </row>
    <row r="20" spans="1:62">
      <c r="J20" s="26"/>
      <c r="K20" s="4" t="s">
        <v>2</v>
      </c>
      <c r="L20" s="5">
        <v>354290</v>
      </c>
      <c r="T20" s="26"/>
      <c r="U20" s="4" t="s">
        <v>2</v>
      </c>
      <c r="V20" s="5">
        <v>234250</v>
      </c>
      <c r="AD20" s="26"/>
      <c r="AE20" s="4" t="s">
        <v>2</v>
      </c>
      <c r="AF20" s="5">
        <v>55843</v>
      </c>
      <c r="AN20" s="26"/>
      <c r="AO20" s="4" t="s">
        <v>2</v>
      </c>
      <c r="AP20" s="5">
        <v>155560</v>
      </c>
      <c r="AX20" s="26"/>
      <c r="AY20" s="4" t="s">
        <v>2</v>
      </c>
      <c r="AZ20" s="5">
        <v>75131</v>
      </c>
      <c r="BH20" s="26"/>
      <c r="BI20" s="4" t="s">
        <v>2</v>
      </c>
      <c r="BJ20" s="5">
        <v>6050.7</v>
      </c>
    </row>
    <row r="21" spans="1:62">
      <c r="J21" s="26"/>
      <c r="K21" s="4" t="s">
        <v>3</v>
      </c>
      <c r="L21" s="5">
        <v>189650</v>
      </c>
      <c r="T21" s="26"/>
      <c r="U21" s="4" t="s">
        <v>3</v>
      </c>
      <c r="V21" s="5">
        <v>310240</v>
      </c>
      <c r="AD21" s="26"/>
      <c r="AE21" s="4" t="s">
        <v>3</v>
      </c>
      <c r="AF21" s="5">
        <v>488770</v>
      </c>
      <c r="AN21" s="26"/>
      <c r="AO21" s="4" t="s">
        <v>3</v>
      </c>
      <c r="AP21" s="5">
        <v>387920</v>
      </c>
      <c r="AX21" s="26"/>
      <c r="AY21" s="4" t="s">
        <v>3</v>
      </c>
      <c r="AZ21" s="5">
        <v>469300</v>
      </c>
      <c r="BH21" s="26"/>
      <c r="BI21" s="4" t="s">
        <v>3</v>
      </c>
      <c r="BJ21" s="5">
        <v>538560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544890</v>
      </c>
      <c r="T25" s="26">
        <v>600</v>
      </c>
      <c r="U25" s="4" t="s">
        <v>0</v>
      </c>
      <c r="V25" s="5">
        <v>544890</v>
      </c>
      <c r="AD25" s="26">
        <v>600</v>
      </c>
      <c r="AE25" s="4" t="s">
        <v>0</v>
      </c>
      <c r="AF25" s="5">
        <v>544890</v>
      </c>
      <c r="AN25" s="26">
        <v>600</v>
      </c>
      <c r="AO25" s="4" t="s">
        <v>0</v>
      </c>
      <c r="AP25" s="5">
        <v>544890</v>
      </c>
      <c r="AX25" s="26">
        <v>600</v>
      </c>
      <c r="AY25" s="4" t="s">
        <v>0</v>
      </c>
      <c r="AZ25" s="5">
        <v>544890</v>
      </c>
      <c r="BH25" s="26">
        <v>600</v>
      </c>
      <c r="BI25" s="4" t="s">
        <v>0</v>
      </c>
      <c r="BJ25" s="5">
        <v>544890</v>
      </c>
    </row>
    <row r="26" spans="1:62">
      <c r="J26" s="26"/>
      <c r="K26" s="4" t="s">
        <v>1</v>
      </c>
      <c r="L26" s="5">
        <v>253790</v>
      </c>
      <c r="T26" s="26"/>
      <c r="U26" s="4" t="s">
        <v>1</v>
      </c>
      <c r="V26" s="5">
        <v>377960</v>
      </c>
      <c r="AD26" s="26"/>
      <c r="AE26" s="4" t="s">
        <v>1</v>
      </c>
      <c r="AF26" s="5">
        <v>516820</v>
      </c>
      <c r="AN26" s="26"/>
      <c r="AO26" s="4" t="s">
        <v>1</v>
      </c>
      <c r="AP26" s="5">
        <v>458690</v>
      </c>
      <c r="AX26" s="26"/>
      <c r="AY26" s="4" t="s">
        <v>1</v>
      </c>
      <c r="AZ26" s="5">
        <v>508760</v>
      </c>
      <c r="BH26" s="26"/>
      <c r="BI26" s="4" t="s">
        <v>1</v>
      </c>
      <c r="BJ26" s="5">
        <v>544140</v>
      </c>
    </row>
    <row r="27" spans="1:62">
      <c r="A27" s="120" t="s">
        <v>145</v>
      </c>
      <c r="J27" s="26"/>
      <c r="K27" s="4" t="s">
        <v>2</v>
      </c>
      <c r="L27" s="5">
        <v>291100</v>
      </c>
      <c r="T27" s="26"/>
      <c r="U27" s="4" t="s">
        <v>2</v>
      </c>
      <c r="V27" s="5">
        <v>166930</v>
      </c>
      <c r="AD27" s="26"/>
      <c r="AE27" s="4" t="s">
        <v>2</v>
      </c>
      <c r="AF27" s="5">
        <v>28069</v>
      </c>
      <c r="AN27" s="26"/>
      <c r="AO27" s="4" t="s">
        <v>2</v>
      </c>
      <c r="AP27" s="5">
        <v>86194</v>
      </c>
      <c r="AX27" s="26"/>
      <c r="AY27" s="4" t="s">
        <v>2</v>
      </c>
      <c r="AZ27" s="5">
        <v>36129</v>
      </c>
      <c r="BH27" s="26"/>
      <c r="BI27" s="4" t="s">
        <v>2</v>
      </c>
      <c r="BJ27" s="5">
        <v>745.3</v>
      </c>
    </row>
    <row r="28" spans="1:62">
      <c r="A28" s="199" t="str">
        <f>AH3</f>
        <v>Filter Area (ft2)</v>
      </c>
      <c r="B28" s="200" t="s">
        <v>11</v>
      </c>
      <c r="C28" s="200"/>
      <c r="D28" s="200"/>
      <c r="E28" s="200" t="s">
        <v>12</v>
      </c>
      <c r="F28" s="200"/>
      <c r="G28" s="200"/>
      <c r="H28" s="6"/>
      <c r="J28" s="26"/>
      <c r="K28" s="4" t="s">
        <v>3</v>
      </c>
      <c r="L28" s="5">
        <v>252460</v>
      </c>
      <c r="T28" s="26"/>
      <c r="U28" s="4" t="s">
        <v>3</v>
      </c>
      <c r="V28" s="5">
        <v>377420</v>
      </c>
      <c r="AD28" s="26"/>
      <c r="AE28" s="4" t="s">
        <v>3</v>
      </c>
      <c r="AF28" s="5">
        <v>516430</v>
      </c>
      <c r="AN28" s="26"/>
      <c r="AO28" s="4" t="s">
        <v>3</v>
      </c>
      <c r="AP28" s="5">
        <v>456880</v>
      </c>
      <c r="AX28" s="26"/>
      <c r="AY28" s="4" t="s">
        <v>3</v>
      </c>
      <c r="AZ28" s="5">
        <v>508160</v>
      </c>
      <c r="BH28" s="26"/>
      <c r="BI28" s="4" t="s">
        <v>3</v>
      </c>
      <c r="BJ28" s="5">
        <v>543750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0.11421204279762888</v>
      </c>
      <c r="C30" s="2">
        <f t="shared" ref="C30:C35" si="8">Y4</f>
        <v>0.22362311659233974</v>
      </c>
      <c r="D30" s="2">
        <f t="shared" ref="D30:D35" si="9">AI4</f>
        <v>0.61601424140652239</v>
      </c>
      <c r="E30" s="11">
        <f t="shared" ref="E30:E35" si="10">Q4</f>
        <v>8.1847221637599201</v>
      </c>
      <c r="F30" s="11">
        <f t="shared" ref="F30:F35" si="11">AA4</f>
        <v>2.2180143321748962</v>
      </c>
      <c r="G30" s="9">
        <f t="shared" ref="G30:G35" si="12">AK4</f>
        <v>0.59621759557368048</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0.20409623960799428</v>
      </c>
      <c r="C31" s="2">
        <f t="shared" si="8"/>
        <v>0.37104736735854943</v>
      </c>
      <c r="D31" s="2">
        <f t="shared" si="9"/>
        <v>0.77312852135293364</v>
      </c>
      <c r="E31" s="11">
        <f t="shared" si="10"/>
        <v>9.3184982840651021</v>
      </c>
      <c r="F31" s="11">
        <f t="shared" si="11"/>
        <v>2.6420877022140696</v>
      </c>
      <c r="G31" s="9">
        <f t="shared" si="12"/>
        <v>0.9020223340729917</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0.34979537154288021</v>
      </c>
      <c r="C32" s="2">
        <f t="shared" si="8"/>
        <v>0.57009671676852214</v>
      </c>
      <c r="D32" s="2">
        <f t="shared" si="9"/>
        <v>0.89752060048817195</v>
      </c>
      <c r="E32" s="11">
        <f t="shared" si="10"/>
        <v>10.968365666508408</v>
      </c>
      <c r="F32" s="11">
        <f t="shared" si="11"/>
        <v>3.2457445969944403</v>
      </c>
      <c r="G32" s="9">
        <f t="shared" si="12"/>
        <v>1.4894536045841125</v>
      </c>
      <c r="H32" s="12"/>
      <c r="J32" s="26">
        <v>800</v>
      </c>
      <c r="K32" s="4" t="s">
        <v>0</v>
      </c>
      <c r="L32" s="5">
        <v>544890</v>
      </c>
      <c r="T32" s="26">
        <v>800</v>
      </c>
      <c r="U32" s="4" t="s">
        <v>0</v>
      </c>
      <c r="V32" s="5">
        <v>544890</v>
      </c>
      <c r="AD32" s="26">
        <v>800</v>
      </c>
      <c r="AE32" s="4" t="s">
        <v>0</v>
      </c>
      <c r="AF32" s="5">
        <v>544890</v>
      </c>
      <c r="AN32" s="26">
        <v>800</v>
      </c>
      <c r="AO32" s="4" t="s">
        <v>0</v>
      </c>
      <c r="AP32" s="5">
        <v>544890</v>
      </c>
      <c r="AX32" s="26">
        <v>800</v>
      </c>
      <c r="AY32" s="4" t="s">
        <v>0</v>
      </c>
      <c r="AZ32" s="5">
        <v>544890</v>
      </c>
      <c r="BH32" s="26">
        <v>800</v>
      </c>
      <c r="BI32" s="4" t="s">
        <v>0</v>
      </c>
      <c r="BJ32" s="5">
        <v>544890</v>
      </c>
    </row>
    <row r="33" spans="1:62">
      <c r="A33" s="10">
        <v>600</v>
      </c>
      <c r="B33" s="2">
        <f t="shared" si="7"/>
        <v>0.46576373212942063</v>
      </c>
      <c r="C33" s="2">
        <f t="shared" si="8"/>
        <v>0.69364458881609137</v>
      </c>
      <c r="D33" s="2">
        <f t="shared" si="9"/>
        <v>0.94848501532419383</v>
      </c>
      <c r="E33" s="11">
        <f t="shared" si="10"/>
        <v>12.092566871894801</v>
      </c>
      <c r="F33" s="11">
        <f t="shared" si="11"/>
        <v>3.8020748465591225</v>
      </c>
      <c r="G33" s="9">
        <f t="shared" si="12"/>
        <v>2.0807324178110695</v>
      </c>
      <c r="H33" s="12"/>
      <c r="J33" s="26"/>
      <c r="K33" s="4" t="s">
        <v>1</v>
      </c>
      <c r="L33" s="5">
        <v>305540</v>
      </c>
      <c r="T33" s="26"/>
      <c r="U33" s="4" t="s">
        <v>1</v>
      </c>
      <c r="V33" s="5">
        <v>420940</v>
      </c>
      <c r="AD33" s="26"/>
      <c r="AE33" s="4" t="s">
        <v>1</v>
      </c>
      <c r="AF33" s="5">
        <v>531200</v>
      </c>
      <c r="AN33" s="26"/>
      <c r="AO33" s="4" t="s">
        <v>1</v>
      </c>
      <c r="AP33" s="5">
        <v>496580</v>
      </c>
      <c r="AX33" s="26"/>
      <c r="AY33" s="4" t="s">
        <v>1</v>
      </c>
      <c r="AZ33" s="5">
        <v>525340</v>
      </c>
      <c r="BH33" s="26"/>
      <c r="BI33" s="4" t="s">
        <v>1</v>
      </c>
      <c r="BJ33" s="5">
        <v>544890</v>
      </c>
    </row>
    <row r="34" spans="1:62">
      <c r="A34" s="10">
        <v>800</v>
      </c>
      <c r="B34" s="2">
        <f t="shared" si="7"/>
        <v>0.56073702949219106</v>
      </c>
      <c r="C34" s="2">
        <f t="shared" si="8"/>
        <v>0.772522894529171</v>
      </c>
      <c r="D34" s="2">
        <f t="shared" si="9"/>
        <v>0.97487566297784878</v>
      </c>
      <c r="E34" s="11">
        <f t="shared" si="10"/>
        <v>13.072993995760616</v>
      </c>
      <c r="F34" s="11">
        <f t="shared" si="11"/>
        <v>4.3376151791744899</v>
      </c>
      <c r="G34" s="9">
        <f t="shared" si="12"/>
        <v>2.6723167077058161</v>
      </c>
      <c r="H34" s="12"/>
      <c r="J34" s="26"/>
      <c r="K34" s="4" t="s">
        <v>2</v>
      </c>
      <c r="L34" s="5">
        <v>239350</v>
      </c>
      <c r="T34" s="26"/>
      <c r="U34" s="4" t="s">
        <v>2</v>
      </c>
      <c r="V34" s="5">
        <v>123950</v>
      </c>
      <c r="AD34" s="26"/>
      <c r="AE34" s="4" t="s">
        <v>2</v>
      </c>
      <c r="AF34" s="5">
        <v>13682</v>
      </c>
      <c r="AN34" s="26"/>
      <c r="AO34" s="4" t="s">
        <v>2</v>
      </c>
      <c r="AP34" s="5">
        <v>48313</v>
      </c>
      <c r="AX34" s="26"/>
      <c r="AY34" s="4" t="s">
        <v>2</v>
      </c>
      <c r="AZ34" s="5">
        <v>19544</v>
      </c>
      <c r="BH34" s="26"/>
      <c r="BI34" s="4" t="s">
        <v>2</v>
      </c>
      <c r="BJ34" s="5">
        <v>0</v>
      </c>
    </row>
    <row r="35" spans="1:62">
      <c r="A35" s="10">
        <v>1000</v>
      </c>
      <c r="B35" s="2">
        <f t="shared" si="7"/>
        <v>0.63766998843803335</v>
      </c>
      <c r="C35" s="2">
        <f t="shared" si="8"/>
        <v>0.82785516342748078</v>
      </c>
      <c r="D35" s="2">
        <f t="shared" si="9"/>
        <v>0.98847473802051788</v>
      </c>
      <c r="E35" s="11">
        <f t="shared" si="10"/>
        <v>13.952672534762087</v>
      </c>
      <c r="F35" s="11">
        <f t="shared" si="11"/>
        <v>4.8674387815270972</v>
      </c>
      <c r="G35" s="9">
        <f t="shared" si="12"/>
        <v>3.2752399347197891</v>
      </c>
      <c r="H35" s="12"/>
      <c r="J35" s="26"/>
      <c r="K35" s="4" t="s">
        <v>3</v>
      </c>
      <c r="L35" s="5">
        <v>303930</v>
      </c>
      <c r="T35" s="26"/>
      <c r="U35" s="4" t="s">
        <v>3</v>
      </c>
      <c r="V35" s="5">
        <v>420250</v>
      </c>
      <c r="AD35" s="26"/>
      <c r="AE35" s="4" t="s">
        <v>3</v>
      </c>
      <c r="AF35" s="5">
        <v>530700</v>
      </c>
      <c r="AN35" s="26"/>
      <c r="AO35" s="4" t="s">
        <v>3</v>
      </c>
      <c r="AP35" s="5">
        <v>494470</v>
      </c>
      <c r="AX35" s="26"/>
      <c r="AY35" s="4" t="s">
        <v>3</v>
      </c>
      <c r="AZ35" s="5">
        <v>524610</v>
      </c>
      <c r="BH35" s="26"/>
      <c r="BI35" s="4" t="s">
        <v>3</v>
      </c>
      <c r="BJ35" s="5">
        <v>544380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544890</v>
      </c>
      <c r="T39" s="26">
        <v>1000</v>
      </c>
      <c r="U39" s="4" t="s">
        <v>0</v>
      </c>
      <c r="V39" s="5">
        <v>544890</v>
      </c>
      <c r="AD39" s="26">
        <v>1000</v>
      </c>
      <c r="AE39" s="4" t="s">
        <v>0</v>
      </c>
      <c r="AF39" s="5">
        <v>544890</v>
      </c>
      <c r="AN39" s="26">
        <v>1000</v>
      </c>
      <c r="AO39" s="4" t="s">
        <v>0</v>
      </c>
      <c r="AP39" s="5">
        <v>544890</v>
      </c>
      <c r="AX39" s="26">
        <v>1000</v>
      </c>
      <c r="AY39" s="4" t="s">
        <v>0</v>
      </c>
      <c r="AZ39" s="5">
        <v>544890</v>
      </c>
      <c r="BH39" s="26">
        <v>1000</v>
      </c>
      <c r="BI39" s="4" t="s">
        <v>0</v>
      </c>
      <c r="BJ39" s="5">
        <v>544890</v>
      </c>
    </row>
    <row r="40" spans="1:62">
      <c r="A40" s="199"/>
      <c r="B40" s="15" t="s">
        <v>15</v>
      </c>
      <c r="C40" s="15" t="s">
        <v>14</v>
      </c>
      <c r="D40" s="15" t="s">
        <v>13</v>
      </c>
      <c r="E40" s="15" t="s">
        <v>15</v>
      </c>
      <c r="F40" s="15" t="s">
        <v>14</v>
      </c>
      <c r="G40" s="15" t="s">
        <v>13</v>
      </c>
      <c r="J40" s="26"/>
      <c r="K40" s="4" t="s">
        <v>1</v>
      </c>
      <c r="L40" s="5">
        <v>347460</v>
      </c>
      <c r="T40" s="26"/>
      <c r="U40" s="4" t="s">
        <v>1</v>
      </c>
      <c r="V40" s="5">
        <v>451090</v>
      </c>
      <c r="AD40" s="26"/>
      <c r="AE40" s="4" t="s">
        <v>1</v>
      </c>
      <c r="AF40" s="5">
        <v>538610</v>
      </c>
      <c r="AN40" s="26"/>
      <c r="AO40" s="4" t="s">
        <v>1</v>
      </c>
      <c r="AP40" s="5">
        <v>514610</v>
      </c>
      <c r="AX40" s="26"/>
      <c r="AY40" s="4" t="s">
        <v>1</v>
      </c>
      <c r="AZ40" s="5">
        <v>532890</v>
      </c>
      <c r="BH40" s="26"/>
      <c r="BI40" s="4" t="s">
        <v>1</v>
      </c>
      <c r="BJ40" s="5">
        <v>544890</v>
      </c>
    </row>
    <row r="41" spans="1:62">
      <c r="A41" s="10">
        <v>100</v>
      </c>
      <c r="B41" s="2">
        <f>AS4</f>
        <v>0.28763603663124665</v>
      </c>
      <c r="C41" s="2">
        <f>BC4</f>
        <v>0.44966874047972988</v>
      </c>
      <c r="D41" s="2">
        <f>BM4</f>
        <v>0.80728220374754533</v>
      </c>
      <c r="E41" s="11">
        <f>AU4</f>
        <v>6.2246124734120123</v>
      </c>
      <c r="F41" s="11">
        <f>BE4</f>
        <v>1.5951143924892899</v>
      </c>
      <c r="G41" s="9">
        <f>BO4</f>
        <v>0.42355241884735656</v>
      </c>
      <c r="J41" s="26"/>
      <c r="K41" s="4" t="s">
        <v>2</v>
      </c>
      <c r="L41" s="5">
        <v>197430</v>
      </c>
      <c r="T41" s="26"/>
      <c r="U41" s="4" t="s">
        <v>2</v>
      </c>
      <c r="V41" s="5">
        <v>93797</v>
      </c>
      <c r="AD41" s="26"/>
      <c r="AE41" s="4" t="s">
        <v>2</v>
      </c>
      <c r="AF41" s="5">
        <v>6278.8</v>
      </c>
      <c r="AN41" s="26"/>
      <c r="AO41" s="4" t="s">
        <v>2</v>
      </c>
      <c r="AP41" s="5">
        <v>30280</v>
      </c>
      <c r="AX41" s="26"/>
      <c r="AY41" s="4" t="s">
        <v>2</v>
      </c>
      <c r="AZ41" s="5">
        <v>11996</v>
      </c>
      <c r="BH41" s="26"/>
      <c r="BI41" s="4" t="s">
        <v>2</v>
      </c>
      <c r="BJ41" s="5">
        <v>0</v>
      </c>
    </row>
    <row r="42" spans="1:62">
      <c r="A42" s="10">
        <v>200</v>
      </c>
      <c r="B42" s="2">
        <f t="shared" ref="B42:B46" si="13">AS5</f>
        <v>0.47574739855750703</v>
      </c>
      <c r="C42" s="2">
        <f t="shared" ref="C42:C46" si="14">BC5</f>
        <v>0.67164014755271706</v>
      </c>
      <c r="D42" s="2">
        <f t="shared" ref="D42:D46" si="15">BM5</f>
        <v>0.92409477142175489</v>
      </c>
      <c r="E42" s="11">
        <f t="shared" ref="E42:E46" si="16">AU5</f>
        <v>7.3306105351345696</v>
      </c>
      <c r="F42" s="11">
        <f t="shared" ref="F42:F46" si="17">BE5</f>
        <v>1.9949158145526256</v>
      </c>
      <c r="G42" s="9">
        <f t="shared" ref="G42:G46" si="18">BO5</f>
        <v>0.71292969291062713</v>
      </c>
      <c r="J42" s="26"/>
      <c r="K42" s="4" t="s">
        <v>3</v>
      </c>
      <c r="L42" s="5">
        <v>345540</v>
      </c>
      <c r="T42" s="26"/>
      <c r="U42" s="4" t="s">
        <v>3</v>
      </c>
      <c r="V42" s="5">
        <v>450280</v>
      </c>
      <c r="AD42" s="26"/>
      <c r="AE42" s="4" t="s">
        <v>3</v>
      </c>
      <c r="AF42" s="5">
        <v>537990</v>
      </c>
      <c r="AN42" s="26"/>
      <c r="AO42" s="4" t="s">
        <v>3</v>
      </c>
      <c r="AP42" s="5">
        <v>512260</v>
      </c>
      <c r="AX42" s="26"/>
      <c r="AY42" s="4" t="s">
        <v>3</v>
      </c>
      <c r="AZ42" s="5">
        <v>532030</v>
      </c>
      <c r="BH42" s="26"/>
      <c r="BI42" s="4" t="s">
        <v>3</v>
      </c>
      <c r="BJ42" s="5">
        <v>544270</v>
      </c>
    </row>
    <row r="43" spans="1:62">
      <c r="A43" s="10">
        <v>400</v>
      </c>
      <c r="B43" s="2">
        <f t="shared" si="13"/>
        <v>0.71451118574391159</v>
      </c>
      <c r="C43" s="2">
        <f t="shared" si="14"/>
        <v>0.86211895979004938</v>
      </c>
      <c r="D43" s="2">
        <f t="shared" si="15"/>
        <v>0.98889684156435242</v>
      </c>
      <c r="E43" s="11">
        <f t="shared" si="16"/>
        <v>9.1459152382706908</v>
      </c>
      <c r="F43" s="11">
        <f t="shared" si="17"/>
        <v>2.6956565271471864</v>
      </c>
      <c r="G43" s="9">
        <f t="shared" si="18"/>
        <v>1.3060919861927418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0.84180293270201323</v>
      </c>
      <c r="C44" s="2">
        <f t="shared" si="14"/>
        <v>0.93369303896199229</v>
      </c>
      <c r="D44" s="2">
        <f t="shared" si="15"/>
        <v>0.99862357540053959</v>
      </c>
      <c r="E44" s="11">
        <f t="shared" si="16"/>
        <v>10.554248839032629</v>
      </c>
      <c r="F44" s="11">
        <f t="shared" si="17"/>
        <v>3.3123237370582772</v>
      </c>
      <c r="G44" s="9">
        <f t="shared" si="18"/>
        <v>1.9341932203764498</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0.91133990346675475</v>
      </c>
      <c r="C45" s="2">
        <f t="shared" si="14"/>
        <v>0.96412119877406444</v>
      </c>
      <c r="D45" s="2">
        <f t="shared" si="15"/>
        <v>1</v>
      </c>
      <c r="E45" s="11">
        <f t="shared" si="16"/>
        <v>11.698545202343052</v>
      </c>
      <c r="F45" s="11">
        <f t="shared" si="17"/>
        <v>3.9190656947383746</v>
      </c>
      <c r="G45" s="9">
        <f t="shared" si="18"/>
        <v>2.576489533011272</v>
      </c>
      <c r="Y45"/>
      <c r="Z45"/>
      <c r="AA45"/>
      <c r="AB45"/>
      <c r="BC45"/>
      <c r="BD45"/>
      <c r="BE45"/>
      <c r="BF45"/>
    </row>
    <row r="46" spans="1:62">
      <c r="A46" s="10">
        <v>1000</v>
      </c>
      <c r="B46" s="2">
        <f t="shared" si="13"/>
        <v>0.94442915083778378</v>
      </c>
      <c r="C46" s="2">
        <f t="shared" si="14"/>
        <v>0.97797720640863295</v>
      </c>
      <c r="D46" s="2">
        <f t="shared" si="15"/>
        <v>1</v>
      </c>
      <c r="E46" s="11">
        <f t="shared" si="16"/>
        <v>12.778106357655549</v>
      </c>
      <c r="F46" s="11">
        <f t="shared" si="17"/>
        <v>4.5061399375320255</v>
      </c>
      <c r="G46" s="9">
        <f t="shared" si="18"/>
        <v>3.2213055307054845</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0.28763603663124665</v>
      </c>
      <c r="C52" s="2">
        <f>C30+(($A$25-1)/3)*(C41-C30)</f>
        <v>0.44966874047972988</v>
      </c>
      <c r="D52" s="2">
        <f>D30+(($A$25-1)/3)*(D41-D30)</f>
        <v>0.80728220374754533</v>
      </c>
      <c r="E52" s="9">
        <f>E30+(($A$25-1)/3)*(E41-E30)</f>
        <v>6.2246124734120123</v>
      </c>
      <c r="F52" s="9">
        <f t="shared" ref="F52:G57" si="19">F30+(($A$25-1)/3)*(F41-F30)</f>
        <v>1.5951143924892899</v>
      </c>
      <c r="G52" s="9">
        <f t="shared" si="19"/>
        <v>0.42355241884735656</v>
      </c>
      <c r="Y52"/>
      <c r="Z52"/>
      <c r="AA52"/>
      <c r="AB52"/>
      <c r="BC52"/>
      <c r="BD52"/>
      <c r="BE52"/>
      <c r="BF52"/>
    </row>
    <row r="53" spans="1:58">
      <c r="A53" s="10">
        <v>200</v>
      </c>
      <c r="B53" s="2">
        <f t="shared" ref="B53:E57" si="20">B31+(($A$25-1)/3)*(B42-B31)</f>
        <v>0.47574739855750703</v>
      </c>
      <c r="C53" s="2">
        <f t="shared" si="20"/>
        <v>0.67164014755271706</v>
      </c>
      <c r="D53" s="2">
        <f t="shared" si="20"/>
        <v>0.92409477142175489</v>
      </c>
      <c r="E53" s="9">
        <f t="shared" si="20"/>
        <v>7.3306105351345696</v>
      </c>
      <c r="F53" s="9">
        <f t="shared" si="19"/>
        <v>1.9949158145526256</v>
      </c>
      <c r="G53" s="9">
        <f t="shared" si="19"/>
        <v>0.71292969291062713</v>
      </c>
      <c r="Y53"/>
      <c r="Z53"/>
      <c r="AA53"/>
      <c r="AB53"/>
      <c r="BC53"/>
      <c r="BD53"/>
      <c r="BE53"/>
      <c r="BF53"/>
    </row>
    <row r="54" spans="1:58">
      <c r="A54" s="10">
        <v>400</v>
      </c>
      <c r="B54" s="2">
        <f t="shared" si="20"/>
        <v>0.71451118574391159</v>
      </c>
      <c r="C54" s="2">
        <f t="shared" si="20"/>
        <v>0.86211895979004938</v>
      </c>
      <c r="D54" s="2">
        <f t="shared" si="20"/>
        <v>0.98889684156435242</v>
      </c>
      <c r="E54" s="9">
        <f t="shared" si="20"/>
        <v>9.1459152382706908</v>
      </c>
      <c r="F54" s="9">
        <f t="shared" si="19"/>
        <v>2.6956565271471864</v>
      </c>
      <c r="G54" s="9">
        <f t="shared" si="19"/>
        <v>1.3060919861927418</v>
      </c>
      <c r="Y54"/>
      <c r="Z54"/>
      <c r="AA54"/>
      <c r="AB54"/>
      <c r="BC54"/>
      <c r="BD54"/>
      <c r="BE54"/>
      <c r="BF54"/>
    </row>
    <row r="55" spans="1:58">
      <c r="A55" s="10">
        <v>600</v>
      </c>
      <c r="B55" s="2">
        <f t="shared" si="20"/>
        <v>0.84180293270201323</v>
      </c>
      <c r="C55" s="2">
        <f t="shared" si="20"/>
        <v>0.93369303896199229</v>
      </c>
      <c r="D55" s="2">
        <f t="shared" si="20"/>
        <v>0.99862357540053959</v>
      </c>
      <c r="E55" s="9">
        <f t="shared" si="20"/>
        <v>10.554248839032629</v>
      </c>
      <c r="F55" s="9">
        <f t="shared" si="19"/>
        <v>3.3123237370582772</v>
      </c>
      <c r="G55" s="9">
        <f t="shared" si="19"/>
        <v>1.9341932203764498</v>
      </c>
      <c r="Y55"/>
      <c r="Z55"/>
      <c r="AA55"/>
      <c r="AB55"/>
      <c r="BC55"/>
      <c r="BD55"/>
      <c r="BE55"/>
      <c r="BF55"/>
    </row>
    <row r="56" spans="1:58">
      <c r="A56" s="10">
        <v>800</v>
      </c>
      <c r="B56" s="2">
        <f t="shared" si="20"/>
        <v>0.91133990346675475</v>
      </c>
      <c r="C56" s="2">
        <f t="shared" si="20"/>
        <v>0.96412119877406444</v>
      </c>
      <c r="D56" s="2">
        <f t="shared" si="20"/>
        <v>1</v>
      </c>
      <c r="E56" s="9">
        <f t="shared" si="20"/>
        <v>11.698545202343052</v>
      </c>
      <c r="F56" s="9">
        <f t="shared" si="19"/>
        <v>3.9190656947383746</v>
      </c>
      <c r="G56" s="9">
        <f t="shared" si="19"/>
        <v>2.576489533011272</v>
      </c>
      <c r="Y56"/>
      <c r="Z56"/>
      <c r="AA56"/>
      <c r="AB56"/>
      <c r="BC56"/>
      <c r="BD56"/>
      <c r="BE56"/>
      <c r="BF56"/>
    </row>
    <row r="57" spans="1:58">
      <c r="A57" s="10">
        <v>1000</v>
      </c>
      <c r="B57" s="2">
        <f t="shared" si="20"/>
        <v>0.94442915083778378</v>
      </c>
      <c r="C57" s="2">
        <f t="shared" si="20"/>
        <v>0.97797720640863295</v>
      </c>
      <c r="D57" s="2">
        <f t="shared" si="20"/>
        <v>1</v>
      </c>
      <c r="E57" s="9">
        <f t="shared" si="20"/>
        <v>12.778106357655549</v>
      </c>
      <c r="F57" s="9">
        <f t="shared" si="19"/>
        <v>4.5061399375320255</v>
      </c>
      <c r="G57" s="9">
        <f t="shared" si="19"/>
        <v>3.2213055307054845</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sheetPr codeName="Sheet33"/>
  <dimension ref="A1:DD96"/>
  <sheetViews>
    <sheetView topLeftCell="E1" zoomScale="80" zoomScaleNormal="80" workbookViewId="0">
      <pane xSplit="10680" topLeftCell="AS1" activePane="topRight"/>
      <selection activeCell="H35" sqref="H35"/>
      <selection pane="topRight" activeCell="AX15" sqref="AX15"/>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283780</v>
      </c>
      <c r="AL5" s="57">
        <v>1771.7</v>
      </c>
      <c r="AM5" s="57">
        <v>1771.7</v>
      </c>
      <c r="AN5" s="57">
        <v>1771.7</v>
      </c>
      <c r="AO5" s="57">
        <v>1771.7</v>
      </c>
      <c r="AP5" s="57">
        <v>1771.7</v>
      </c>
      <c r="AQ5" s="37"/>
      <c r="AR5" s="37"/>
      <c r="AS5" s="56">
        <v>0.1</v>
      </c>
      <c r="AT5" s="37" t="s">
        <v>0</v>
      </c>
      <c r="AU5" s="57">
        <v>283780</v>
      </c>
      <c r="AV5" s="57">
        <v>1771.7</v>
      </c>
      <c r="AW5" s="57">
        <v>1771.7</v>
      </c>
      <c r="AX5" s="57">
        <v>1771.7</v>
      </c>
      <c r="AY5" s="57">
        <v>1771.7</v>
      </c>
      <c r="AZ5" s="57">
        <v>1771.7</v>
      </c>
      <c r="BA5" s="37"/>
      <c r="BB5" s="37"/>
      <c r="BC5" s="37"/>
      <c r="BD5" s="56">
        <v>0.1</v>
      </c>
      <c r="BE5" s="37" t="s">
        <v>0</v>
      </c>
      <c r="BF5" s="57">
        <v>283780</v>
      </c>
      <c r="BG5" s="57">
        <v>1771.7</v>
      </c>
      <c r="BH5" s="57">
        <v>1771.7</v>
      </c>
      <c r="BI5" s="57">
        <v>1771.7</v>
      </c>
      <c r="BJ5" s="57">
        <v>1771.7</v>
      </c>
      <c r="BK5" s="57">
        <v>1771.7</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162330</v>
      </c>
      <c r="AL6" s="57">
        <v>1013.5</v>
      </c>
      <c r="AM6" s="57">
        <v>1013.5</v>
      </c>
      <c r="AN6" s="57">
        <v>1013.5</v>
      </c>
      <c r="AO6" s="57">
        <v>1013.5</v>
      </c>
      <c r="AP6" s="57">
        <v>1013.5</v>
      </c>
      <c r="AQ6" s="37"/>
      <c r="AR6" s="37"/>
      <c r="AS6" s="56"/>
      <c r="AT6" s="37" t="s">
        <v>1</v>
      </c>
      <c r="AU6" s="57">
        <v>127130</v>
      </c>
      <c r="AV6" s="57">
        <v>793.72</v>
      </c>
      <c r="AW6" s="57">
        <v>793.72</v>
      </c>
      <c r="AX6" s="57">
        <v>793.72</v>
      </c>
      <c r="AY6" s="57">
        <v>793.72</v>
      </c>
      <c r="AZ6" s="57">
        <v>793.72</v>
      </c>
      <c r="BA6" s="37"/>
      <c r="BB6" s="37"/>
      <c r="BC6" s="37"/>
      <c r="BD6" s="56"/>
      <c r="BE6" s="37" t="s">
        <v>1</v>
      </c>
      <c r="BF6" s="57">
        <v>98368</v>
      </c>
      <c r="BG6" s="57">
        <v>614.13</v>
      </c>
      <c r="BH6" s="57">
        <v>614.13</v>
      </c>
      <c r="BI6" s="57">
        <v>614.13</v>
      </c>
      <c r="BJ6" s="57">
        <v>614.13</v>
      </c>
      <c r="BK6" s="57">
        <v>614.13</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0.65146923783287425</v>
      </c>
      <c r="D7"/>
      <c r="E7" t="s">
        <v>119</v>
      </c>
      <c r="F7"/>
      <c r="G7" s="103">
        <f>C7*12</f>
        <v>7.8176308539944905</v>
      </c>
      <c r="H7"/>
      <c r="I7"/>
      <c r="J7"/>
      <c r="K7"/>
      <c r="L7"/>
      <c r="M7"/>
      <c r="N7"/>
      <c r="O7"/>
      <c r="P7"/>
      <c r="Q7"/>
      <c r="R7"/>
      <c r="S7"/>
      <c r="T7"/>
      <c r="U7"/>
      <c r="V7"/>
      <c r="W7"/>
      <c r="X7"/>
      <c r="Y7"/>
      <c r="Z7"/>
      <c r="AA7"/>
      <c r="AB7"/>
      <c r="AC7"/>
      <c r="AD7"/>
      <c r="AE7"/>
      <c r="AF7"/>
      <c r="AG7"/>
      <c r="AH7" s="37"/>
      <c r="AI7" s="56"/>
      <c r="AJ7" s="37" t="s">
        <v>2</v>
      </c>
      <c r="AK7" s="57">
        <v>121440</v>
      </c>
      <c r="AL7" s="57">
        <v>758.22</v>
      </c>
      <c r="AM7" s="57">
        <v>758.22</v>
      </c>
      <c r="AN7" s="57">
        <v>758.22</v>
      </c>
      <c r="AO7" s="57">
        <v>758.22</v>
      </c>
      <c r="AP7" s="57">
        <v>758.22</v>
      </c>
      <c r="AQ7" s="37"/>
      <c r="AR7" s="37"/>
      <c r="AS7" s="56"/>
      <c r="AT7" s="37" t="s">
        <v>2</v>
      </c>
      <c r="AU7" s="57">
        <v>156650</v>
      </c>
      <c r="AV7" s="57">
        <v>978.02</v>
      </c>
      <c r="AW7" s="57">
        <v>978.02</v>
      </c>
      <c r="AX7" s="57">
        <v>978.02</v>
      </c>
      <c r="AY7" s="57">
        <v>978.02</v>
      </c>
      <c r="AZ7" s="57">
        <v>978.02</v>
      </c>
      <c r="BA7" s="37"/>
      <c r="BB7" s="37"/>
      <c r="BC7" s="37"/>
      <c r="BD7" s="56"/>
      <c r="BE7" s="37" t="s">
        <v>2</v>
      </c>
      <c r="BF7" s="57">
        <v>185410</v>
      </c>
      <c r="BG7" s="57">
        <v>1157.5999999999999</v>
      </c>
      <c r="BH7" s="57">
        <v>1157.5999999999999</v>
      </c>
      <c r="BI7" s="57">
        <v>1157.5999999999999</v>
      </c>
      <c r="BJ7" s="57">
        <v>1157.5999999999999</v>
      </c>
      <c r="BK7" s="57">
        <v>1157.5999999999999</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162260</v>
      </c>
      <c r="AL8" s="57">
        <v>1011</v>
      </c>
      <c r="AM8" s="57">
        <v>981.47</v>
      </c>
      <c r="AN8" s="57">
        <v>618.91999999999996</v>
      </c>
      <c r="AO8" s="57">
        <v>6.4260000000000002</v>
      </c>
      <c r="AP8" s="57">
        <v>1.3869</v>
      </c>
      <c r="AQ8" s="37"/>
      <c r="AR8" s="37"/>
      <c r="AS8" s="56"/>
      <c r="AT8" s="37" t="s">
        <v>3</v>
      </c>
      <c r="AU8" s="57">
        <v>127060</v>
      </c>
      <c r="AV8" s="57">
        <v>790.75</v>
      </c>
      <c r="AW8" s="57">
        <v>752.99</v>
      </c>
      <c r="AX8" s="57">
        <v>307.13</v>
      </c>
      <c r="AY8" s="57">
        <v>2.6322000000000001</v>
      </c>
      <c r="AZ8" s="57">
        <v>0.74639</v>
      </c>
      <c r="BA8" s="37"/>
      <c r="BB8" s="37"/>
      <c r="BC8" s="37"/>
      <c r="BD8" s="56"/>
      <c r="BE8" s="37" t="s">
        <v>3</v>
      </c>
      <c r="BF8" s="57">
        <v>98206</v>
      </c>
      <c r="BG8" s="57">
        <v>609.22</v>
      </c>
      <c r="BH8" s="57">
        <v>553.03</v>
      </c>
      <c r="BI8" s="57">
        <v>102.36</v>
      </c>
      <c r="BJ8" s="57">
        <v>0.90686</v>
      </c>
      <c r="BK8" s="57">
        <v>0.25430000000000003</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10.688000000000001</v>
      </c>
      <c r="AL10" s="57">
        <v>2.1086999999999998</v>
      </c>
      <c r="AM10" s="57">
        <v>31.672999999999998</v>
      </c>
      <c r="AN10" s="57">
        <v>394.22</v>
      </c>
      <c r="AO10" s="57">
        <v>1006.7</v>
      </c>
      <c r="AP10" s="57">
        <v>1011.8</v>
      </c>
      <c r="AQ10" s="37"/>
      <c r="AR10" s="37"/>
      <c r="AS10" s="56"/>
      <c r="AT10" s="37" t="s">
        <v>5</v>
      </c>
      <c r="AU10" s="57">
        <v>10.688000000000001</v>
      </c>
      <c r="AV10" s="57">
        <v>2.6276000000000002</v>
      </c>
      <c r="AW10" s="57">
        <v>40.381</v>
      </c>
      <c r="AX10" s="57">
        <v>486.25</v>
      </c>
      <c r="AY10" s="57">
        <v>790.74</v>
      </c>
      <c r="AZ10" s="57">
        <v>792.62</v>
      </c>
      <c r="BA10" s="37"/>
      <c r="BB10" s="37"/>
      <c r="BC10" s="37"/>
      <c r="BD10" s="56"/>
      <c r="BE10" s="37" t="s">
        <v>5</v>
      </c>
      <c r="BF10" s="57">
        <v>17.059999999999999</v>
      </c>
      <c r="BG10" s="57">
        <v>4.0060000000000002</v>
      </c>
      <c r="BH10" s="57">
        <v>60.195999999999998</v>
      </c>
      <c r="BI10" s="57">
        <v>510.87</v>
      </c>
      <c r="BJ10" s="57">
        <v>612.32000000000005</v>
      </c>
      <c r="BK10" s="57">
        <v>612.97</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0.57202762703502719</v>
      </c>
      <c r="C11" s="75">
        <f t="shared" ref="C11:C19" si="0">(($C$4*D11)+($D$4*E11)+($E$4*F11)+($F$4*G11)+($G$4*I11))</f>
        <v>0.40689416097533443</v>
      </c>
      <c r="D11" s="75">
        <f>AL10/$AL$5</f>
        <v>1.1902127899757293E-3</v>
      </c>
      <c r="E11" s="75">
        <f>AM$10/AM$5</f>
        <v>1.787718010949935E-2</v>
      </c>
      <c r="F11" s="75">
        <f>AN$10/AN$5</f>
        <v>0.22250945419653442</v>
      </c>
      <c r="G11" s="75">
        <f>AO$10/AO$5</f>
        <v>0.56821132245865558</v>
      </c>
      <c r="H11" s="76">
        <f t="shared" ref="H11:H19" si="1">($D$4*E11+$E$4*F11+$F$4*G11)/(SUM($D$4:$F$4))</f>
        <v>0.26953265225489648</v>
      </c>
      <c r="I11" s="75">
        <f>AP10/$AP$5</f>
        <v>0.57108991364226447</v>
      </c>
      <c r="J11" s="75">
        <f>(($C$5*D11)+($D$5*E11)+($E$5*F11)+($F$5*G11)+($G$5*I11))</f>
        <v>0.26344949483546876</v>
      </c>
      <c r="K11"/>
      <c r="L11" s="68">
        <v>0.1</v>
      </c>
      <c r="M11" s="69">
        <f>AU6/$AK$5</f>
        <v>0.44798787793361056</v>
      </c>
      <c r="N11" s="69">
        <f t="shared" ref="N11:N19" si="2">(($C$4*O11)+($D$4*P11)+($E$4*Q11)+($F$4*R11)+($G$4*T11))</f>
        <v>0.33529775357001745</v>
      </c>
      <c r="O11" s="69">
        <f>AV10/$AL$5</f>
        <v>1.4830953321668455E-3</v>
      </c>
      <c r="P11" s="69">
        <f>AW$10/AW$5</f>
        <v>2.2792233448100694E-2</v>
      </c>
      <c r="Q11" s="69">
        <f>AX$10/AX$5</f>
        <v>0.27445391431958005</v>
      </c>
      <c r="R11" s="69">
        <f>AY$10/AY$5</f>
        <v>0.44631709657391205</v>
      </c>
      <c r="S11" s="70">
        <f t="shared" ref="S11:S19" si="3">($D$4*P11+$E$4*Q11+$F$4*R11)/(SUM($D$4:$F$4))</f>
        <v>0.24785441478053097</v>
      </c>
      <c r="T11" s="69">
        <f>AZ10/$AP$5</f>
        <v>0.44737822430434043</v>
      </c>
      <c r="U11" s="69">
        <f>(($C$5*O11)+($D$5*P11)+($E$5*Q11)+($F$5*R11)+($G$5*T11))</f>
        <v>0.24848956369588532</v>
      </c>
      <c r="V11"/>
      <c r="W11" s="84">
        <v>0.1</v>
      </c>
      <c r="X11" s="85">
        <f>BF6/$AK$5</f>
        <v>0.34663471703432236</v>
      </c>
      <c r="Y11" s="85">
        <f t="shared" ref="Y11:Y19" si="4">(($C$4*Z11)+($D$4*AA11)+($E$4*AB11)+($F$4*AC11)+($G$4*AE11))</f>
        <v>0.27329299542811991</v>
      </c>
      <c r="Z11" s="85">
        <f>BG10/$AL$5</f>
        <v>2.2611051532426484E-3</v>
      </c>
      <c r="AA11" s="85">
        <f>BH$10/BH$5</f>
        <v>3.3976406840887284E-2</v>
      </c>
      <c r="AB11" s="85">
        <f>BI$10/BI$5</f>
        <v>0.28835017215104136</v>
      </c>
      <c r="AC11" s="85">
        <f>BJ$10/BJ$5</f>
        <v>0.34561155951910594</v>
      </c>
      <c r="AD11" s="86">
        <f t="shared" ref="AD11:AD19" si="5">($D$4*AA11+$E$4*AB11+$F$4*AC11)/(SUM($D$4:$F$4))</f>
        <v>0.22264604617034486</v>
      </c>
      <c r="AE11" s="85">
        <f>BK10/$AP$5</f>
        <v>0.34597843878760515</v>
      </c>
      <c r="AF11" s="85">
        <f>(($C$5*Z11)+($D$5*AA11)+($E$5*AB11)+($F$5*AC11)+($G$5*AE11))</f>
        <v>0.2260816165265</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0.80717457185143426</v>
      </c>
      <c r="C12" s="75">
        <f t="shared" si="0"/>
        <v>0.58361967037308793</v>
      </c>
      <c r="D12" s="75">
        <f>AL17/$AL$5</f>
        <v>2.2263362871818028E-3</v>
      </c>
      <c r="E12" s="75">
        <f>AM17/AM$5</f>
        <v>3.2536546819438961E-2</v>
      </c>
      <c r="F12" s="75">
        <f>AN17/AN$5</f>
        <v>0.36817745668002477</v>
      </c>
      <c r="G12" s="75">
        <f>AO17/AO$5</f>
        <v>0.80340915504882315</v>
      </c>
      <c r="H12" s="76">
        <f t="shared" si="1"/>
        <v>0.40137438618276233</v>
      </c>
      <c r="I12" s="75">
        <f>AP17/$AP$5</f>
        <v>0.80577975955297165</v>
      </c>
      <c r="J12" s="75">
        <f t="shared" ref="J12:J18" si="6">(($C$5*D12)+($D$5*E12)+($E$5*F12)+($F$5*G12)+($G$5*I12))</f>
        <v>0.39526073262967765</v>
      </c>
      <c r="K12"/>
      <c r="L12" s="68">
        <v>0.2</v>
      </c>
      <c r="M12" s="69">
        <f>AU13/$AK$5</f>
        <v>0.69427020931707661</v>
      </c>
      <c r="N12" s="69">
        <f t="shared" si="2"/>
        <v>0.52715101032906253</v>
      </c>
      <c r="O12" s="69">
        <f>AV17/$AL$5</f>
        <v>3.1895354744031156E-3</v>
      </c>
      <c r="P12" s="69">
        <f>AW17/AW$5</f>
        <v>4.5022294970931874E-2</v>
      </c>
      <c r="Q12" s="69">
        <f>AX17/AX$5</f>
        <v>0.46381441553310382</v>
      </c>
      <c r="R12" s="69">
        <f>AY17/AY$5</f>
        <v>0.69272450189083923</v>
      </c>
      <c r="S12" s="70">
        <f t="shared" si="3"/>
        <v>0.40052040413162499</v>
      </c>
      <c r="T12" s="69">
        <f>AZ17/$AP$5</f>
        <v>0.69351470339222221</v>
      </c>
      <c r="U12" s="69">
        <f t="shared" ref="U12:U18" si="7">(($C$5*O12)+($D$5*P12)+($E$5*Q12)+($F$5*R12)+($G$5*T12))</f>
        <v>0.40274554947225832</v>
      </c>
      <c r="V12"/>
      <c r="W12" s="84">
        <v>0.2</v>
      </c>
      <c r="X12" s="85">
        <f>BF13/$AK$5</f>
        <v>0.58397350059905562</v>
      </c>
      <c r="Y12" s="85">
        <f t="shared" si="4"/>
        <v>0.46324417790822375</v>
      </c>
      <c r="Z12" s="85">
        <f>BG17/$AL$5</f>
        <v>4.2751030084100016E-3</v>
      </c>
      <c r="AA12" s="85">
        <f>BH17/BH$5</f>
        <v>6.178246881526217E-2</v>
      </c>
      <c r="AB12" s="85">
        <f>BI17/BI$5</f>
        <v>0.49781565727832028</v>
      </c>
      <c r="AC12" s="85">
        <f>BJ17/BJ$5</f>
        <v>0.58299937912739186</v>
      </c>
      <c r="AD12" s="86">
        <f t="shared" si="5"/>
        <v>0.38086583507365812</v>
      </c>
      <c r="AE12" s="85">
        <f>BK17/$AP$5</f>
        <v>0.58328159394931423</v>
      </c>
      <c r="AF12" s="85">
        <f t="shared" ref="AF12:AF18" si="8">(($C$5*Z12)+($D$5*AA12)+($E$5*AB12)+($F$5*AC12)+($G$5*AE12))</f>
        <v>0.38683830219563131</v>
      </c>
      <c r="AG12"/>
      <c r="AH12" s="37"/>
      <c r="AI12" s="56">
        <v>0.2</v>
      </c>
      <c r="AJ12" s="37" t="s">
        <v>0</v>
      </c>
      <c r="AK12" s="57">
        <v>283780</v>
      </c>
      <c r="AL12" s="57">
        <v>1771.7</v>
      </c>
      <c r="AM12" s="57">
        <v>1771.7</v>
      </c>
      <c r="AN12" s="57">
        <v>1771.7</v>
      </c>
      <c r="AO12" s="57">
        <v>1771.7</v>
      </c>
      <c r="AP12" s="57">
        <v>1771.7</v>
      </c>
      <c r="AQ12" s="37"/>
      <c r="AR12" s="37"/>
      <c r="AS12" s="56">
        <v>0.2</v>
      </c>
      <c r="AT12" s="37" t="s">
        <v>0</v>
      </c>
      <c r="AU12" s="57">
        <v>283780</v>
      </c>
      <c r="AV12" s="57">
        <v>1771.7</v>
      </c>
      <c r="AW12" s="57">
        <v>1771.7</v>
      </c>
      <c r="AX12" s="57">
        <v>1771.7</v>
      </c>
      <c r="AY12" s="57">
        <v>1771.7</v>
      </c>
      <c r="AZ12" s="57">
        <v>1771.7</v>
      </c>
      <c r="BA12" s="37"/>
      <c r="BB12" s="37"/>
      <c r="BC12" s="37"/>
      <c r="BD12" s="56">
        <v>0.2</v>
      </c>
      <c r="BE12" s="37" t="s">
        <v>0</v>
      </c>
      <c r="BF12" s="57">
        <v>283780</v>
      </c>
      <c r="BG12" s="57">
        <v>1771.7</v>
      </c>
      <c r="BH12" s="57">
        <v>1771.7</v>
      </c>
      <c r="BI12" s="57">
        <v>1771.7</v>
      </c>
      <c r="BJ12" s="57">
        <v>1771.7</v>
      </c>
      <c r="BK12" s="57">
        <v>1771.7</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0.94220875325956732</v>
      </c>
      <c r="C13" s="75">
        <f t="shared" si="0"/>
        <v>0.6974060676186713</v>
      </c>
      <c r="D13" s="75">
        <f>AL24/$AL$5</f>
        <v>4.1590562736354914E-3</v>
      </c>
      <c r="E13" s="75">
        <f>AM24/AM$5</f>
        <v>5.5904498504261449E-2</v>
      </c>
      <c r="F13" s="75">
        <f>AN24/AN$5</f>
        <v>0.51857537957893551</v>
      </c>
      <c r="G13" s="75">
        <f>AO24/AO$5</f>
        <v>0.93847716882090648</v>
      </c>
      <c r="H13" s="76">
        <f t="shared" si="1"/>
        <v>0.50431901563470127</v>
      </c>
      <c r="I13" s="75">
        <f>AP24/$AP$5</f>
        <v>0.94050911553874805</v>
      </c>
      <c r="J13" s="75">
        <f t="shared" si="6"/>
        <v>0.50077330247784613</v>
      </c>
      <c r="K13"/>
      <c r="L13" s="68">
        <v>0.4</v>
      </c>
      <c r="M13" s="69">
        <f>AU20/$AK$5</f>
        <v>0.88797660159278313</v>
      </c>
      <c r="N13" s="69">
        <f t="shared" si="2"/>
        <v>0.68429198509905731</v>
      </c>
      <c r="O13" s="69">
        <f>AV24/$AL$5</f>
        <v>5.1714172828356943E-3</v>
      </c>
      <c r="P13" s="69">
        <f>AW24/AW$5</f>
        <v>7.0147316137043517E-2</v>
      </c>
      <c r="Q13" s="69">
        <f>AX24/AX$5</f>
        <v>0.6467234859174803</v>
      </c>
      <c r="R13" s="69">
        <f>AY24/AY$5</f>
        <v>0.88649319862279163</v>
      </c>
      <c r="S13" s="70">
        <f t="shared" si="3"/>
        <v>0.53445466689243848</v>
      </c>
      <c r="T13" s="69">
        <f>AZ24/$AP$5</f>
        <v>0.88705762826663648</v>
      </c>
      <c r="U13" s="69">
        <f t="shared" si="7"/>
        <v>0.53924040187390632</v>
      </c>
      <c r="V13"/>
      <c r="W13" s="84">
        <v>0.4</v>
      </c>
      <c r="X13" s="85">
        <f>BF20/$AK$5</f>
        <v>0.8185566283740926</v>
      </c>
      <c r="Y13" s="85">
        <f t="shared" si="4"/>
        <v>0.65612852062990346</v>
      </c>
      <c r="Z13" s="85">
        <f>BG24/$AL$5</f>
        <v>7.5622283682338989E-3</v>
      </c>
      <c r="AA13" s="85">
        <f>BH24/BH$5</f>
        <v>0.10189083930688041</v>
      </c>
      <c r="AB13" s="85">
        <f>BI24/BI$5</f>
        <v>0.72619517977084147</v>
      </c>
      <c r="AC13" s="85">
        <f>BJ24/BJ$5</f>
        <v>0.81757633910933003</v>
      </c>
      <c r="AD13" s="86">
        <f t="shared" si="5"/>
        <v>0.54855411939568399</v>
      </c>
      <c r="AE13" s="85">
        <f>BK24/$AP$5</f>
        <v>0.81780211096686806</v>
      </c>
      <c r="AF13" s="85">
        <f t="shared" si="8"/>
        <v>0.55690794152508882</v>
      </c>
      <c r="AG13"/>
      <c r="AH13" s="37"/>
      <c r="AI13" s="56"/>
      <c r="AJ13" s="37" t="s">
        <v>1</v>
      </c>
      <c r="AK13" s="57">
        <v>229060</v>
      </c>
      <c r="AL13" s="57">
        <v>1430.1</v>
      </c>
      <c r="AM13" s="57">
        <v>1430.1</v>
      </c>
      <c r="AN13" s="57">
        <v>1430.1</v>
      </c>
      <c r="AO13" s="57">
        <v>1430.1</v>
      </c>
      <c r="AP13" s="57">
        <v>1430.1</v>
      </c>
      <c r="AQ13" s="37"/>
      <c r="AR13" s="37"/>
      <c r="AS13" s="56"/>
      <c r="AT13" s="37" t="s">
        <v>1</v>
      </c>
      <c r="AU13" s="57">
        <v>197020</v>
      </c>
      <c r="AV13" s="57">
        <v>1230</v>
      </c>
      <c r="AW13" s="57">
        <v>1230</v>
      </c>
      <c r="AX13" s="57">
        <v>1230</v>
      </c>
      <c r="AY13" s="57">
        <v>1230</v>
      </c>
      <c r="AZ13" s="57">
        <v>1230</v>
      </c>
      <c r="BA13" s="37"/>
      <c r="BB13" s="37"/>
      <c r="BC13" s="37"/>
      <c r="BD13" s="56"/>
      <c r="BE13" s="37" t="s">
        <v>1</v>
      </c>
      <c r="BF13" s="57">
        <v>165720</v>
      </c>
      <c r="BG13" s="57">
        <v>1034.5999999999999</v>
      </c>
      <c r="BH13" s="57">
        <v>1034.5999999999999</v>
      </c>
      <c r="BI13" s="57">
        <v>1034.5999999999999</v>
      </c>
      <c r="BJ13" s="57">
        <v>1034.5999999999999</v>
      </c>
      <c r="BK13" s="57">
        <v>1034.5999999999999</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0.98519980266403551</v>
      </c>
      <c r="C14" s="75">
        <f t="shared" si="0"/>
        <v>0.74321005249195682</v>
      </c>
      <c r="D14" s="75">
        <f>AL31/$AL$5</f>
        <v>6.0704408195518429E-3</v>
      </c>
      <c r="E14" s="75">
        <f>AM31/AM$5</f>
        <v>7.7129310831404868E-2</v>
      </c>
      <c r="F14" s="75">
        <f>AN31/AN$5</f>
        <v>0.616582942936163</v>
      </c>
      <c r="G14" s="75">
        <f>AO31/AO$5</f>
        <v>0.98154315064627196</v>
      </c>
      <c r="H14" s="76">
        <f t="shared" si="1"/>
        <v>0.5584184681379466</v>
      </c>
      <c r="I14" s="75">
        <f>AP31/$AP$5</f>
        <v>0.9832364395778066</v>
      </c>
      <c r="J14" s="75">
        <f t="shared" si="6"/>
        <v>0.55729835750973644</v>
      </c>
      <c r="K14"/>
      <c r="L14" s="68">
        <v>0.6</v>
      </c>
      <c r="M14" s="69">
        <f>AU27/$AK$5</f>
        <v>0.96190711114243432</v>
      </c>
      <c r="N14" s="69">
        <f t="shared" si="2"/>
        <v>0.75141906078907261</v>
      </c>
      <c r="O14" s="69">
        <f>AV31/$AL$5</f>
        <v>7.6384263701529597E-3</v>
      </c>
      <c r="P14" s="69">
        <f>AW31/AW$5</f>
        <v>9.6150589828977812E-2</v>
      </c>
      <c r="Q14" s="69">
        <f>AX31/AX$5</f>
        <v>0.74713551955748714</v>
      </c>
      <c r="R14" s="69">
        <f>AY31/AY$5</f>
        <v>0.96048992493085739</v>
      </c>
      <c r="S14" s="70">
        <f t="shared" si="3"/>
        <v>0.60125867810577416</v>
      </c>
      <c r="T14" s="69">
        <f>AZ31/$AP$5</f>
        <v>0.96094146864593322</v>
      </c>
      <c r="U14" s="69">
        <f t="shared" si="7"/>
        <v>0.60704030027657052</v>
      </c>
      <c r="V14"/>
      <c r="W14" s="84">
        <v>0.6</v>
      </c>
      <c r="X14" s="85">
        <f>BF27/$AK$5</f>
        <v>0.91602649940094438</v>
      </c>
      <c r="Y14" s="85">
        <f t="shared" si="4"/>
        <v>0.74034339899531521</v>
      </c>
      <c r="Z14" s="85">
        <f>BG31/$AL$5</f>
        <v>1.0581926962804087E-2</v>
      </c>
      <c r="AA14" s="85">
        <f>BH31/BH$5</f>
        <v>0.13386013433425523</v>
      </c>
      <c r="AB14" s="85">
        <f>BI31/BI$5</f>
        <v>0.83219506688491285</v>
      </c>
      <c r="AC14" s="85">
        <f>BJ31/BJ$5</f>
        <v>0.91510978156572775</v>
      </c>
      <c r="AD14" s="86">
        <f t="shared" si="5"/>
        <v>0.62705499426163203</v>
      </c>
      <c r="AE14" s="85">
        <f>BK31/$AP$5</f>
        <v>0.91527911045888122</v>
      </c>
      <c r="AF14" s="85">
        <f t="shared" si="8"/>
        <v>0.63525811367613028</v>
      </c>
      <c r="AG14"/>
      <c r="AH14" s="37"/>
      <c r="AI14" s="56"/>
      <c r="AJ14" s="37" t="s">
        <v>2</v>
      </c>
      <c r="AK14" s="57">
        <v>54713</v>
      </c>
      <c r="AL14" s="57">
        <v>341.59</v>
      </c>
      <c r="AM14" s="57">
        <v>341.59</v>
      </c>
      <c r="AN14" s="57">
        <v>341.59</v>
      </c>
      <c r="AO14" s="57">
        <v>341.59</v>
      </c>
      <c r="AP14" s="57">
        <v>341.59</v>
      </c>
      <c r="AQ14" s="37"/>
      <c r="AR14" s="37"/>
      <c r="AS14" s="56"/>
      <c r="AT14" s="37" t="s">
        <v>2</v>
      </c>
      <c r="AU14" s="57">
        <v>86761</v>
      </c>
      <c r="AV14" s="57">
        <v>541.67999999999995</v>
      </c>
      <c r="AW14" s="57">
        <v>541.67999999999995</v>
      </c>
      <c r="AX14" s="57">
        <v>541.67999999999995</v>
      </c>
      <c r="AY14" s="57">
        <v>541.67999999999995</v>
      </c>
      <c r="AZ14" s="57">
        <v>541.67999999999995</v>
      </c>
      <c r="BA14" s="37"/>
      <c r="BB14" s="37"/>
      <c r="BC14" s="37"/>
      <c r="BD14" s="56"/>
      <c r="BE14" s="37" t="s">
        <v>2</v>
      </c>
      <c r="BF14" s="57">
        <v>118060</v>
      </c>
      <c r="BG14" s="57">
        <v>737.07</v>
      </c>
      <c r="BH14" s="57">
        <v>737.07</v>
      </c>
      <c r="BI14" s="57">
        <v>737.07</v>
      </c>
      <c r="BJ14" s="57">
        <v>737.07</v>
      </c>
      <c r="BK14" s="57">
        <v>737.07</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0.99689900627246464</v>
      </c>
      <c r="C15" s="75">
        <f t="shared" si="0"/>
        <v>0.76239812044928601</v>
      </c>
      <c r="D15" s="75">
        <f>AL38/$AL$5</f>
        <v>7.9274143478015469E-3</v>
      </c>
      <c r="E15" s="75">
        <f>AM38/AM$5</f>
        <v>9.6116724050347116E-2</v>
      </c>
      <c r="F15" s="75">
        <f>AN38/AN$5</f>
        <v>0.67488852514534059</v>
      </c>
      <c r="G15" s="75">
        <f>AO38/AO$5</f>
        <v>0.99317040130947665</v>
      </c>
      <c r="H15" s="76">
        <f t="shared" si="1"/>
        <v>0.58805855016838815</v>
      </c>
      <c r="I15" s="75">
        <f>AP38/$AP$5</f>
        <v>0.9947508043122425</v>
      </c>
      <c r="J15" s="75">
        <f t="shared" si="6"/>
        <v>0.58808065699610534</v>
      </c>
      <c r="K15"/>
      <c r="L15" s="68">
        <v>0.8</v>
      </c>
      <c r="M15" s="69">
        <f>AU34/$AK$5</f>
        <v>0.99147226724927762</v>
      </c>
      <c r="N15" s="69">
        <f t="shared" si="2"/>
        <v>0.78450773268612062</v>
      </c>
      <c r="O15" s="69">
        <f>AV38/$AL$5</f>
        <v>1.0056442964384489E-2</v>
      </c>
      <c r="P15" s="69">
        <f>AW38/AW$5</f>
        <v>0.1198340576847096</v>
      </c>
      <c r="Q15" s="69">
        <f>AX38/AX$5</f>
        <v>0.81503640571202796</v>
      </c>
      <c r="R15" s="69">
        <f>AY38/AY$5</f>
        <v>0.99029181012586776</v>
      </c>
      <c r="S15" s="70">
        <f t="shared" si="3"/>
        <v>0.64172075784086846</v>
      </c>
      <c r="T15" s="69">
        <f>AZ38/$AP$5</f>
        <v>0.99046113901902122</v>
      </c>
      <c r="U15" s="69">
        <f t="shared" si="7"/>
        <v>0.64809149404526722</v>
      </c>
      <c r="V15"/>
      <c r="W15" s="84">
        <v>0.8</v>
      </c>
      <c r="X15" s="85">
        <f>BF34/$AK$5</f>
        <v>0.96550144478116851</v>
      </c>
      <c r="Y15" s="85">
        <f t="shared" si="4"/>
        <v>0.78487531749167472</v>
      </c>
      <c r="Z15" s="85">
        <f>BG38/$AL$5</f>
        <v>1.3361178529096348E-2</v>
      </c>
      <c r="AA15" s="85">
        <f>BH38/BH$5</f>
        <v>0.1602415758875656</v>
      </c>
      <c r="AB15" s="85">
        <f>BI38/BI$5</f>
        <v>0.88750917198171253</v>
      </c>
      <c r="AC15" s="85">
        <f>BJ38/BJ$5</f>
        <v>0.96455381836654064</v>
      </c>
      <c r="AD15" s="86">
        <f t="shared" si="5"/>
        <v>0.67076818874527289</v>
      </c>
      <c r="AE15" s="85">
        <f>BK38/$AP$5</f>
        <v>0.9647231472596941</v>
      </c>
      <c r="AF15" s="85">
        <f t="shared" si="8"/>
        <v>0.67777118022238536</v>
      </c>
      <c r="AG15"/>
      <c r="AH15" s="37"/>
      <c r="AI15" s="56"/>
      <c r="AJ15" s="37" t="s">
        <v>3</v>
      </c>
      <c r="AK15" s="57">
        <v>229010</v>
      </c>
      <c r="AL15" s="57">
        <v>1425.9</v>
      </c>
      <c r="AM15" s="57">
        <v>1372.2</v>
      </c>
      <c r="AN15" s="57">
        <v>777.56</v>
      </c>
      <c r="AO15" s="57">
        <v>6.4492000000000003</v>
      </c>
      <c r="AP15" s="57">
        <v>2.2783000000000002</v>
      </c>
      <c r="AQ15" s="37"/>
      <c r="AR15" s="37"/>
      <c r="AS15" s="56"/>
      <c r="AT15" s="37" t="s">
        <v>3</v>
      </c>
      <c r="AU15" s="57">
        <v>196900</v>
      </c>
      <c r="AV15" s="57">
        <v>1223.7</v>
      </c>
      <c r="AW15" s="57">
        <v>1149.5999999999999</v>
      </c>
      <c r="AX15" s="57">
        <v>407.65</v>
      </c>
      <c r="AY15" s="57">
        <v>2.1187999999999998</v>
      </c>
      <c r="AZ15" s="57">
        <v>0.72333000000000003</v>
      </c>
      <c r="BA15" s="37"/>
      <c r="BB15" s="37"/>
      <c r="BC15" s="37"/>
      <c r="BD15" s="56"/>
      <c r="BE15" s="37" t="s">
        <v>3</v>
      </c>
      <c r="BF15" s="57">
        <v>165570</v>
      </c>
      <c r="BG15" s="57">
        <v>1026.2</v>
      </c>
      <c r="BH15" s="57">
        <v>924.34</v>
      </c>
      <c r="BI15" s="57">
        <v>151.82</v>
      </c>
      <c r="BJ15" s="57">
        <v>0.90559000000000001</v>
      </c>
      <c r="BK15" s="57">
        <v>0.36407</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0.99975333004440059</v>
      </c>
      <c r="C16" s="75">
        <f t="shared" si="0"/>
        <v>0.77339913642264491</v>
      </c>
      <c r="D16" s="75">
        <f>AL45/$AL$5</f>
        <v>9.7730992831743524E-3</v>
      </c>
      <c r="E16" s="75">
        <f>AM45/AM$5</f>
        <v>0.11399785516735339</v>
      </c>
      <c r="F16" s="75">
        <f>AN45/AN$5</f>
        <v>0.71739007732686122</v>
      </c>
      <c r="G16" s="75">
        <f>AO45/AO$5</f>
        <v>0.99610543545747021</v>
      </c>
      <c r="H16" s="76">
        <f t="shared" si="1"/>
        <v>0.60916445598389501</v>
      </c>
      <c r="I16" s="75">
        <f>AP45/$AP$5</f>
        <v>0.99757295253146694</v>
      </c>
      <c r="J16" s="75">
        <f t="shared" si="6"/>
        <v>0.60971129423717341</v>
      </c>
      <c r="K16"/>
      <c r="L16" s="68">
        <v>1</v>
      </c>
      <c r="M16" s="69">
        <f>AU41/$AK$5</f>
        <v>0.997815208964691</v>
      </c>
      <c r="N16" s="69">
        <f t="shared" si="2"/>
        <v>0.79410456059152223</v>
      </c>
      <c r="O16" s="69">
        <f>AV45/$AL$5</f>
        <v>1.1785855393125247E-2</v>
      </c>
      <c r="P16" s="69">
        <f>AW45/AW$5</f>
        <v>0.13605012135237343</v>
      </c>
      <c r="Q16" s="69">
        <f>AX45/AX$5</f>
        <v>0.83518654399729075</v>
      </c>
      <c r="R16" s="69">
        <f>AY45/AY$5</f>
        <v>0.99644409324377714</v>
      </c>
      <c r="S16" s="70">
        <f t="shared" si="3"/>
        <v>0.65589358619781379</v>
      </c>
      <c r="T16" s="69">
        <f>AZ45/$AP$5</f>
        <v>0.99672630806569962</v>
      </c>
      <c r="U16" s="69">
        <f t="shared" si="7"/>
        <v>0.66142467686402895</v>
      </c>
      <c r="V16"/>
      <c r="W16" s="84">
        <v>1</v>
      </c>
      <c r="X16" s="85">
        <f>BF41/$AK$5</f>
        <v>0.98791317217562902</v>
      </c>
      <c r="Y16" s="85">
        <f t="shared" si="4"/>
        <v>0.80757769374047528</v>
      </c>
      <c r="Z16" s="85">
        <f>BG45/$AL$5</f>
        <v>1.5972230061522829E-2</v>
      </c>
      <c r="AA16" s="85">
        <f>BH45/BH$5</f>
        <v>0.18285827171643057</v>
      </c>
      <c r="AB16" s="85">
        <f>BI45/BI$5</f>
        <v>0.91821414460687467</v>
      </c>
      <c r="AC16" s="85">
        <f>BJ45/BJ$5</f>
        <v>0.98701811819156737</v>
      </c>
      <c r="AD16" s="86">
        <f t="shared" si="5"/>
        <v>0.69603017817162427</v>
      </c>
      <c r="AE16" s="85">
        <f>BK45/$AP$5</f>
        <v>0.98713100412033639</v>
      </c>
      <c r="AF16" s="85">
        <f t="shared" si="8"/>
        <v>0.70157125924253538</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0.78109262290455495</v>
      </c>
      <c r="D17" s="75">
        <f>AL52/$AL$5</f>
        <v>1.1568549980244961E-2</v>
      </c>
      <c r="E17" s="75">
        <f>AM52/AM$5</f>
        <v>0.1308235028503697</v>
      </c>
      <c r="F17" s="75">
        <f>AN52/AN$5</f>
        <v>0.75040921149178752</v>
      </c>
      <c r="G17" s="75">
        <f>AO52/AO$5</f>
        <v>0.99638765027939258</v>
      </c>
      <c r="H17" s="76">
        <f t="shared" si="1"/>
        <v>0.62587345487385004</v>
      </c>
      <c r="I17" s="75">
        <f>AP52/$AP$5</f>
        <v>0.9977422814246204</v>
      </c>
      <c r="J17" s="75">
        <f t="shared" si="6"/>
        <v>0.62653699836315413</v>
      </c>
      <c r="K17"/>
      <c r="L17" s="68">
        <v>1.2</v>
      </c>
      <c r="M17" s="69">
        <f>AU48/$AK$5</f>
        <v>1</v>
      </c>
      <c r="N17" s="69">
        <f t="shared" si="2"/>
        <v>0.80198546593667097</v>
      </c>
      <c r="O17" s="69">
        <f>AV52/$AL$5</f>
        <v>1.4084212902861657E-2</v>
      </c>
      <c r="P17" s="69">
        <f>AW52/AW$5</f>
        <v>0.15566969577242196</v>
      </c>
      <c r="Q17" s="69">
        <f>AX52/AX$5</f>
        <v>0.85798950160862442</v>
      </c>
      <c r="R17" s="69">
        <f>AY52/AY$5</f>
        <v>0.99864536885477218</v>
      </c>
      <c r="S17" s="70">
        <f t="shared" si="3"/>
        <v>0.67076818874527289</v>
      </c>
      <c r="T17" s="69">
        <f>AZ52/$AP$5</f>
        <v>0.9988711407123102</v>
      </c>
      <c r="U17" s="69">
        <f t="shared" si="7"/>
        <v>0.67535434893040569</v>
      </c>
      <c r="V17"/>
      <c r="W17" s="84">
        <v>1.2</v>
      </c>
      <c r="X17" s="85">
        <f>BF48/$AK$5</f>
        <v>0.99869617309183167</v>
      </c>
      <c r="Y17" s="85">
        <f t="shared" si="4"/>
        <v>0.82054213467291293</v>
      </c>
      <c r="Z17" s="85">
        <f>BG52/$AL$5</f>
        <v>1.8569735282497037E-2</v>
      </c>
      <c r="AA17" s="85">
        <f>BH52/BH$5</f>
        <v>0.20355026245978439</v>
      </c>
      <c r="AB17" s="85">
        <f>BI52/BI$5</f>
        <v>0.93655810803183381</v>
      </c>
      <c r="AC17" s="85">
        <f>BJ52/BJ$5</f>
        <v>0.99779872438900485</v>
      </c>
      <c r="AD17" s="86">
        <f t="shared" si="5"/>
        <v>0.71263569829354112</v>
      </c>
      <c r="AE17" s="85">
        <f>BK52/$AP$5</f>
        <v>0.99785516735338942</v>
      </c>
      <c r="AF17" s="85">
        <f t="shared" si="8"/>
        <v>0.71653553084608013</v>
      </c>
      <c r="AG17"/>
      <c r="AH17" s="37"/>
      <c r="AI17" s="56"/>
      <c r="AJ17" s="37" t="s">
        <v>5</v>
      </c>
      <c r="AK17" s="57">
        <v>8.9364000000000008</v>
      </c>
      <c r="AL17" s="57">
        <v>3.9443999999999999</v>
      </c>
      <c r="AM17" s="57">
        <v>57.645000000000003</v>
      </c>
      <c r="AN17" s="57">
        <v>652.29999999999995</v>
      </c>
      <c r="AO17" s="57">
        <v>1423.4</v>
      </c>
      <c r="AP17" s="57">
        <v>1427.6</v>
      </c>
      <c r="AQ17" s="37"/>
      <c r="AR17" s="37"/>
      <c r="AS17" s="56"/>
      <c r="AT17" s="37" t="s">
        <v>5</v>
      </c>
      <c r="AU17" s="57">
        <v>14.789</v>
      </c>
      <c r="AV17" s="57">
        <v>5.6509</v>
      </c>
      <c r="AW17" s="57">
        <v>79.766000000000005</v>
      </c>
      <c r="AX17" s="57">
        <v>821.74</v>
      </c>
      <c r="AY17" s="57">
        <v>1227.3</v>
      </c>
      <c r="AZ17" s="57">
        <v>1228.7</v>
      </c>
      <c r="BA17" s="37"/>
      <c r="BB17" s="37"/>
      <c r="BC17" s="37"/>
      <c r="BD17" s="56"/>
      <c r="BE17" s="37" t="s">
        <v>5</v>
      </c>
      <c r="BF17" s="57">
        <v>16.617000000000001</v>
      </c>
      <c r="BG17" s="57">
        <v>7.5742000000000003</v>
      </c>
      <c r="BH17" s="57">
        <v>109.46</v>
      </c>
      <c r="BI17" s="57">
        <v>881.98</v>
      </c>
      <c r="BJ17" s="57">
        <v>1032.9000000000001</v>
      </c>
      <c r="BK17" s="57">
        <v>1033.4000000000001</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0.79266122932776428</v>
      </c>
      <c r="D18" s="75">
        <f>AL59/$AL$5</f>
        <v>1.5007055370548061E-2</v>
      </c>
      <c r="E18" s="75">
        <f>AM59/AM$5</f>
        <v>0.16130834791443247</v>
      </c>
      <c r="F18" s="75">
        <f>AN59/AN$5</f>
        <v>0.796353784500762</v>
      </c>
      <c r="G18" s="75">
        <f>AO59/AO$5</f>
        <v>0.99650053620816159</v>
      </c>
      <c r="H18" s="76">
        <f t="shared" si="1"/>
        <v>0.65138755620778543</v>
      </c>
      <c r="I18" s="75">
        <f>AP59/$AP$5</f>
        <v>0.99757295253146694</v>
      </c>
      <c r="J18" s="75">
        <f t="shared" si="6"/>
        <v>0.65136129141502508</v>
      </c>
      <c r="K18"/>
      <c r="L18" s="68">
        <v>1.6</v>
      </c>
      <c r="M18" s="69">
        <f>AU55/$AK$5</f>
        <v>1</v>
      </c>
      <c r="N18" s="69">
        <f t="shared" si="2"/>
        <v>0.81118098436529884</v>
      </c>
      <c r="O18" s="69">
        <f>AV59/$AL$5</f>
        <v>1.8037478128351301E-2</v>
      </c>
      <c r="P18" s="69">
        <f>AW59/AW$5</f>
        <v>0.18790427273240393</v>
      </c>
      <c r="Q18" s="69">
        <f>AX59/AX$5</f>
        <v>0.88592876897894668</v>
      </c>
      <c r="R18" s="69">
        <f>AY59/AY$5</f>
        <v>0.99864536885477218</v>
      </c>
      <c r="S18" s="70">
        <f t="shared" si="3"/>
        <v>0.69082613685537431</v>
      </c>
      <c r="T18" s="69">
        <f>AZ59/$AP$5</f>
        <v>0.99881469774792564</v>
      </c>
      <c r="U18" s="69">
        <f t="shared" si="7"/>
        <v>0.69336665349664162</v>
      </c>
      <c r="V18"/>
      <c r="W18" s="84">
        <v>1.6</v>
      </c>
      <c r="X18" s="85">
        <f>BF55/$AK$5</f>
        <v>1</v>
      </c>
      <c r="Y18" s="85">
        <f t="shared" si="4"/>
        <v>0.82972114353445847</v>
      </c>
      <c r="Z18" s="85">
        <f>BG59/$AL$5</f>
        <v>2.4072359880340916E-2</v>
      </c>
      <c r="AA18" s="85">
        <f>BH59/BH$5</f>
        <v>0.24289100863577354</v>
      </c>
      <c r="AB18" s="85">
        <f>BI59/BI$5</f>
        <v>0.95095106394987861</v>
      </c>
      <c r="AC18" s="85">
        <f>BJ59/BJ$5</f>
        <v>0.99909691256984812</v>
      </c>
      <c r="AD18" s="86">
        <f t="shared" si="5"/>
        <v>0.73097966171850004</v>
      </c>
      <c r="AE18" s="85">
        <f>BK59/$AP$5</f>
        <v>0.99915335553423268</v>
      </c>
      <c r="AF18" s="85">
        <f t="shared" si="8"/>
        <v>0.73110058136253309</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0.40689416097533443</v>
      </c>
      <c r="CH18" s="62">
        <f t="shared" ref="CH18:CH26" si="10">N11</f>
        <v>0.33529775357001745</v>
      </c>
      <c r="CI18" s="62">
        <f t="shared" ref="CI18:CI26" si="11">Y11</f>
        <v>0.27329299542811991</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0.80210487102782624</v>
      </c>
      <c r="D19" s="75">
        <f>AL66/$AL$5</f>
        <v>1.8470395665180332E-2</v>
      </c>
      <c r="E19" s="75">
        <f>AM66/AM$5</f>
        <v>0.19005474967545297</v>
      </c>
      <c r="F19" s="75">
        <f>AN66/AN$5</f>
        <v>0.82931647570130373</v>
      </c>
      <c r="G19" s="75">
        <f>AO66/AO$5</f>
        <v>0.99678275103008407</v>
      </c>
      <c r="H19" s="76">
        <f t="shared" si="1"/>
        <v>0.67205132546894686</v>
      </c>
      <c r="I19" s="75">
        <f>AP66/$AP$5</f>
        <v>0.99751650956708238</v>
      </c>
      <c r="J19" s="75">
        <f>(($C$5*D19)+($D$5*E19)+($E$5*F19)+($F$5*G19)+($G$5*I19))</f>
        <v>0.67069278094485529</v>
      </c>
      <c r="K19"/>
      <c r="L19" s="68">
        <v>2</v>
      </c>
      <c r="M19" s="69">
        <f>AU62/$AK$5</f>
        <v>1</v>
      </c>
      <c r="N19" s="69">
        <f t="shared" si="2"/>
        <v>0.81973813286673813</v>
      </c>
      <c r="O19" s="69">
        <f>AV66/$AL$5</f>
        <v>2.2357622622340124E-2</v>
      </c>
      <c r="P19" s="69">
        <f>AW66/AW$5</f>
        <v>0.22116046734774508</v>
      </c>
      <c r="Q19" s="69">
        <f>AX66/AX$5</f>
        <v>0.90822373991082006</v>
      </c>
      <c r="R19" s="69">
        <f>AY66/AY$5</f>
        <v>0.99870181181915674</v>
      </c>
      <c r="S19" s="70">
        <f t="shared" si="3"/>
        <v>0.70936200635924063</v>
      </c>
      <c r="T19" s="69">
        <f>AZ66/$AP$5</f>
        <v>0.99881469774792564</v>
      </c>
      <c r="U19" s="69">
        <f>(($C$5*O19)+($D$5*P19)+($E$5*Q19)+($F$5*R19)+($G$5*T19))</f>
        <v>0.70937918383473497</v>
      </c>
      <c r="V19"/>
      <c r="W19" s="84">
        <v>2</v>
      </c>
      <c r="X19" s="85">
        <f>BF62/$AK$5</f>
        <v>1</v>
      </c>
      <c r="Y19" s="85">
        <f t="shared" si="4"/>
        <v>0.83507560535079295</v>
      </c>
      <c r="Z19" s="85">
        <f>BG66/$AL$5</f>
        <v>2.7927414347801546E-2</v>
      </c>
      <c r="AA19" s="85">
        <f>BH66/BH$5</f>
        <v>0.26930631596771459</v>
      </c>
      <c r="AB19" s="85">
        <f>BI66/BI$5</f>
        <v>0.95913529378562956</v>
      </c>
      <c r="AC19" s="85">
        <f>BJ66/BJ$5</f>
        <v>0.99909691256984812</v>
      </c>
      <c r="AD19" s="86">
        <f t="shared" si="5"/>
        <v>0.7425128407743975</v>
      </c>
      <c r="AE19" s="85">
        <f>BK66/$AP$5</f>
        <v>0.99909691256984812</v>
      </c>
      <c r="AF19" s="85">
        <f>(($C$5*Z19)+($D$5*AA19)+($E$5*AB19)+($F$5*AC19)+($G$5*AE19))</f>
        <v>0.74003719591352934</v>
      </c>
      <c r="AG19"/>
      <c r="AH19" s="37"/>
      <c r="AI19" s="56">
        <v>0.4</v>
      </c>
      <c r="AJ19" s="37" t="s">
        <v>0</v>
      </c>
      <c r="AK19" s="57">
        <v>283780</v>
      </c>
      <c r="AL19" s="57">
        <v>1771.7</v>
      </c>
      <c r="AM19" s="57">
        <v>1771.7</v>
      </c>
      <c r="AN19" s="57">
        <v>1771.7</v>
      </c>
      <c r="AO19" s="57">
        <v>1771.7</v>
      </c>
      <c r="AP19" s="57">
        <v>1771.7</v>
      </c>
      <c r="AQ19" s="37"/>
      <c r="AR19" s="37"/>
      <c r="AS19" s="56">
        <v>0.4</v>
      </c>
      <c r="AT19" s="37" t="s">
        <v>0</v>
      </c>
      <c r="AU19" s="57">
        <v>283780</v>
      </c>
      <c r="AV19" s="57">
        <v>1771.7</v>
      </c>
      <c r="AW19" s="57">
        <v>1771.7</v>
      </c>
      <c r="AX19" s="57">
        <v>1771.7</v>
      </c>
      <c r="AY19" s="57">
        <v>1771.7</v>
      </c>
      <c r="AZ19" s="57">
        <v>1771.7</v>
      </c>
      <c r="BA19" s="37"/>
      <c r="BB19" s="37"/>
      <c r="BC19" s="37"/>
      <c r="BD19" s="56">
        <v>0.4</v>
      </c>
      <c r="BE19" s="37" t="s">
        <v>0</v>
      </c>
      <c r="BF19" s="57">
        <v>283780</v>
      </c>
      <c r="BG19" s="57">
        <v>1771.7</v>
      </c>
      <c r="BH19" s="57">
        <v>1771.7</v>
      </c>
      <c r="BI19" s="57">
        <v>1771.7</v>
      </c>
      <c r="BJ19" s="57">
        <v>1771.7</v>
      </c>
      <c r="BK19" s="57">
        <v>1771.7</v>
      </c>
      <c r="BL19" s="37"/>
      <c r="BM19" s="37"/>
      <c r="BN19" s="37"/>
      <c r="BO19" s="37"/>
      <c r="BY19" s="37"/>
      <c r="BZ19" s="37"/>
      <c r="CA19" s="37"/>
      <c r="CB19" s="37"/>
      <c r="CC19" s="61">
        <v>0.2</v>
      </c>
      <c r="CD19" s="62">
        <v>0.77280172734718189</v>
      </c>
      <c r="CE19" s="62">
        <v>0.62134241679696223</v>
      </c>
      <c r="CF19" s="62">
        <v>0.48760330578512395</v>
      </c>
      <c r="CG19" s="62">
        <f t="shared" si="9"/>
        <v>0.58361967037308793</v>
      </c>
      <c r="CH19" s="62">
        <f t="shared" si="10"/>
        <v>0.52715101032906253</v>
      </c>
      <c r="CI19" s="62">
        <f t="shared" si="11"/>
        <v>0.46324417790822375</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267380</v>
      </c>
      <c r="AL20" s="57">
        <v>1669.3</v>
      </c>
      <c r="AM20" s="57">
        <v>1669.3</v>
      </c>
      <c r="AN20" s="57">
        <v>1669.3</v>
      </c>
      <c r="AO20" s="57">
        <v>1669.3</v>
      </c>
      <c r="AP20" s="57">
        <v>1669.3</v>
      </c>
      <c r="AQ20" s="37"/>
      <c r="AR20" s="37"/>
      <c r="AS20" s="56"/>
      <c r="AT20" s="37" t="s">
        <v>1</v>
      </c>
      <c r="AU20" s="57">
        <v>251990</v>
      </c>
      <c r="AV20" s="57">
        <v>1573.3</v>
      </c>
      <c r="AW20" s="57">
        <v>1573.3</v>
      </c>
      <c r="AX20" s="57">
        <v>1573.3</v>
      </c>
      <c r="AY20" s="57">
        <v>1573.3</v>
      </c>
      <c r="AZ20" s="57">
        <v>1573.3</v>
      </c>
      <c r="BA20" s="37"/>
      <c r="BB20" s="37"/>
      <c r="BC20" s="37"/>
      <c r="BD20" s="56"/>
      <c r="BE20" s="37" t="s">
        <v>1</v>
      </c>
      <c r="BF20" s="57">
        <v>232290</v>
      </c>
      <c r="BG20" s="57">
        <v>1450.3</v>
      </c>
      <c r="BH20" s="57">
        <v>1450.3</v>
      </c>
      <c r="BI20" s="57">
        <v>1450.3</v>
      </c>
      <c r="BJ20" s="57">
        <v>1450.3</v>
      </c>
      <c r="BK20" s="57">
        <v>1450.3</v>
      </c>
      <c r="BL20" s="37"/>
      <c r="BM20" s="37"/>
      <c r="BN20" s="37"/>
      <c r="BO20" s="37"/>
      <c r="BY20" s="37"/>
      <c r="BZ20" s="37"/>
      <c r="CA20" s="37"/>
      <c r="CB20" s="37"/>
      <c r="CC20" s="61">
        <v>0.4</v>
      </c>
      <c r="CD20" s="62">
        <v>0.93740227831136924</v>
      </c>
      <c r="CE20" s="62">
        <v>0.83551113096567642</v>
      </c>
      <c r="CF20" s="62">
        <v>0.7119350755714392</v>
      </c>
      <c r="CG20" s="62">
        <f t="shared" si="9"/>
        <v>0.6974060676186713</v>
      </c>
      <c r="CH20" s="62">
        <f t="shared" si="10"/>
        <v>0.68429198509905731</v>
      </c>
      <c r="CI20" s="62">
        <f t="shared" si="11"/>
        <v>0.65612852062990346</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16397</v>
      </c>
      <c r="AL21" s="57">
        <v>102.38</v>
      </c>
      <c r="AM21" s="57">
        <v>102.38</v>
      </c>
      <c r="AN21" s="57">
        <v>102.38</v>
      </c>
      <c r="AO21" s="57">
        <v>102.38</v>
      </c>
      <c r="AP21" s="57">
        <v>102.38</v>
      </c>
      <c r="AQ21" s="57"/>
      <c r="AR21" s="37"/>
      <c r="AS21" s="56"/>
      <c r="AT21" s="37" t="s">
        <v>2</v>
      </c>
      <c r="AU21" s="57">
        <v>31785</v>
      </c>
      <c r="AV21" s="57">
        <v>198.45</v>
      </c>
      <c r="AW21" s="57">
        <v>198.45</v>
      </c>
      <c r="AX21" s="57">
        <v>198.45</v>
      </c>
      <c r="AY21" s="57">
        <v>198.45</v>
      </c>
      <c r="AZ21" s="57">
        <v>198.45</v>
      </c>
      <c r="BA21" s="57"/>
      <c r="BB21" s="37"/>
      <c r="BC21" s="37"/>
      <c r="BD21" s="56"/>
      <c r="BE21" s="37" t="s">
        <v>2</v>
      </c>
      <c r="BF21" s="57">
        <v>51489</v>
      </c>
      <c r="BG21" s="57">
        <v>321.45999999999998</v>
      </c>
      <c r="BH21" s="57">
        <v>321.45999999999998</v>
      </c>
      <c r="BI21" s="57">
        <v>321.45999999999998</v>
      </c>
      <c r="BJ21" s="57">
        <v>321.45999999999998</v>
      </c>
      <c r="BK21" s="57">
        <v>321.45999999999998</v>
      </c>
      <c r="BL21" s="57"/>
      <c r="BM21" s="57"/>
      <c r="BN21" s="57"/>
      <c r="BO21" s="37"/>
      <c r="BY21" s="37"/>
      <c r="BZ21" s="37"/>
      <c r="CA21" s="37"/>
      <c r="CB21" s="37"/>
      <c r="CC21" s="61">
        <v>0.6</v>
      </c>
      <c r="CD21" s="62">
        <v>0.98157248157248156</v>
      </c>
      <c r="CE21" s="62">
        <v>0.93494527585436671</v>
      </c>
      <c r="CF21" s="62">
        <v>0.84556250465341376</v>
      </c>
      <c r="CG21" s="62">
        <f t="shared" si="9"/>
        <v>0.74321005249195682</v>
      </c>
      <c r="CH21" s="62">
        <f t="shared" si="10"/>
        <v>0.75141906078907261</v>
      </c>
      <c r="CI21" s="62">
        <f t="shared" si="11"/>
        <v>0.74034339899531521</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267320</v>
      </c>
      <c r="AL22" s="57">
        <v>1661.7</v>
      </c>
      <c r="AM22" s="57">
        <v>1570</v>
      </c>
      <c r="AN22" s="57">
        <v>750.28</v>
      </c>
      <c r="AO22" s="57">
        <v>6.3723999999999998</v>
      </c>
      <c r="AP22" s="57">
        <v>2.7475999999999998</v>
      </c>
      <c r="AQ22" s="37"/>
      <c r="AR22" s="37"/>
      <c r="AS22" s="56"/>
      <c r="AT22" s="37" t="s">
        <v>3</v>
      </c>
      <c r="AU22" s="57">
        <v>251910</v>
      </c>
      <c r="AV22" s="57">
        <v>1563.7</v>
      </c>
      <c r="AW22" s="57">
        <v>1448.5</v>
      </c>
      <c r="AX22" s="57">
        <v>427.05</v>
      </c>
      <c r="AY22" s="57">
        <v>2.2823000000000002</v>
      </c>
      <c r="AZ22" s="57">
        <v>1.2000999999999999</v>
      </c>
      <c r="BA22" s="37"/>
      <c r="BB22" s="37"/>
      <c r="BC22" s="37"/>
      <c r="BD22" s="56"/>
      <c r="BE22" s="37" t="s">
        <v>3</v>
      </c>
      <c r="BF22" s="57">
        <v>232130</v>
      </c>
      <c r="BG22" s="57">
        <v>1436</v>
      </c>
      <c r="BH22" s="57">
        <v>1268.8</v>
      </c>
      <c r="BI22" s="57">
        <v>162.75</v>
      </c>
      <c r="BJ22" s="57">
        <v>0.92508000000000001</v>
      </c>
      <c r="BK22" s="57">
        <v>0.44883000000000001</v>
      </c>
      <c r="BL22" s="37"/>
      <c r="BM22" s="37"/>
      <c r="BN22" s="37"/>
      <c r="BO22" s="37"/>
      <c r="BY22" s="37"/>
      <c r="BZ22" s="37"/>
      <c r="CA22" s="37"/>
      <c r="CB22" s="37"/>
      <c r="CC22" s="61">
        <v>0.8</v>
      </c>
      <c r="CD22" s="62">
        <v>0.99348522075794798</v>
      </c>
      <c r="CE22" s="62">
        <v>0.97371751917206462</v>
      </c>
      <c r="CF22" s="62">
        <v>0.92195294468021738</v>
      </c>
      <c r="CG22" s="62">
        <f t="shared" si="9"/>
        <v>0.76239812044928601</v>
      </c>
      <c r="CH22" s="62">
        <f t="shared" si="10"/>
        <v>0.78450773268612062</v>
      </c>
      <c r="CI22" s="62">
        <f t="shared" si="11"/>
        <v>0.78487531749167472</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0.77339913642264491</v>
      </c>
      <c r="CH23" s="62">
        <f t="shared" si="10"/>
        <v>0.79410456059152223</v>
      </c>
      <c r="CI23" s="62">
        <f t="shared" si="11"/>
        <v>0.80757769374047528</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9.6948000000000008</v>
      </c>
      <c r="AL24" s="57">
        <v>7.3685999999999998</v>
      </c>
      <c r="AM24" s="57">
        <v>99.046000000000006</v>
      </c>
      <c r="AN24" s="57">
        <v>918.76</v>
      </c>
      <c r="AO24" s="57">
        <v>1662.7</v>
      </c>
      <c r="AP24" s="57">
        <v>1666.3</v>
      </c>
      <c r="AQ24" s="37"/>
      <c r="AR24" s="37"/>
      <c r="AS24" s="56"/>
      <c r="AT24" s="37" t="s">
        <v>5</v>
      </c>
      <c r="AU24" s="57">
        <v>12.407999999999999</v>
      </c>
      <c r="AV24" s="57">
        <v>9.1622000000000003</v>
      </c>
      <c r="AW24" s="57">
        <v>124.28</v>
      </c>
      <c r="AX24" s="57">
        <v>1145.8</v>
      </c>
      <c r="AY24" s="57">
        <v>1570.6</v>
      </c>
      <c r="AZ24" s="57">
        <v>1571.6</v>
      </c>
      <c r="BA24" s="37"/>
      <c r="BB24" s="37"/>
      <c r="BC24" s="37"/>
      <c r="BD24" s="56"/>
      <c r="BE24" s="37" t="s">
        <v>5</v>
      </c>
      <c r="BF24" s="57">
        <v>16.829000000000001</v>
      </c>
      <c r="BG24" s="57">
        <v>13.398</v>
      </c>
      <c r="BH24" s="57">
        <v>180.52</v>
      </c>
      <c r="BI24" s="57">
        <v>1286.5999999999999</v>
      </c>
      <c r="BJ24" s="57">
        <v>1448.5</v>
      </c>
      <c r="BK24" s="57">
        <v>1448.9</v>
      </c>
      <c r="BL24" s="37"/>
      <c r="BM24" s="37"/>
      <c r="BN24" s="37"/>
      <c r="BO24" s="37"/>
      <c r="BY24" s="37"/>
      <c r="BZ24" s="37"/>
      <c r="CA24" s="37"/>
      <c r="CB24" s="37"/>
      <c r="CC24" s="61">
        <v>1.2</v>
      </c>
      <c r="CD24" s="62">
        <v>0.9987156578065669</v>
      </c>
      <c r="CE24" s="62">
        <v>0.99434144888690346</v>
      </c>
      <c r="CF24" s="62">
        <v>0.97799865981684164</v>
      </c>
      <c r="CG24" s="62">
        <f t="shared" si="9"/>
        <v>0.78109262290455495</v>
      </c>
      <c r="CH24" s="62">
        <f t="shared" si="10"/>
        <v>0.80198546593667097</v>
      </c>
      <c r="CI24" s="62">
        <f t="shared" si="11"/>
        <v>0.82054213467291293</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0.79266122932776428</v>
      </c>
      <c r="CH25" s="62">
        <f t="shared" si="10"/>
        <v>0.81118098436529884</v>
      </c>
      <c r="CI25" s="62">
        <f t="shared" si="11"/>
        <v>0.82972114353445847</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283780</v>
      </c>
      <c r="AL26" s="57">
        <v>1771.7</v>
      </c>
      <c r="AM26" s="57">
        <v>1771.7</v>
      </c>
      <c r="AN26" s="57">
        <v>1771.7</v>
      </c>
      <c r="AO26" s="57">
        <v>1771.7</v>
      </c>
      <c r="AP26" s="57">
        <v>1771.7</v>
      </c>
      <c r="AQ26" s="37"/>
      <c r="AR26" s="37"/>
      <c r="AS26" s="56">
        <v>0.6</v>
      </c>
      <c r="AT26" s="37" t="s">
        <v>0</v>
      </c>
      <c r="AU26" s="57">
        <v>283780</v>
      </c>
      <c r="AV26" s="57">
        <v>1771.7</v>
      </c>
      <c r="AW26" s="57">
        <v>1771.7</v>
      </c>
      <c r="AX26" s="57">
        <v>1771.7</v>
      </c>
      <c r="AY26" s="57">
        <v>1771.7</v>
      </c>
      <c r="AZ26" s="57">
        <v>1771.7</v>
      </c>
      <c r="BA26" s="37"/>
      <c r="BB26" s="37"/>
      <c r="BC26" s="37"/>
      <c r="BD26" s="56">
        <v>0.6</v>
      </c>
      <c r="BE26" s="37" t="s">
        <v>0</v>
      </c>
      <c r="BF26" s="57">
        <v>283780</v>
      </c>
      <c r="BG26" s="57">
        <v>1771.7</v>
      </c>
      <c r="BH26" s="57">
        <v>1771.7</v>
      </c>
      <c r="BI26" s="57">
        <v>1771.7</v>
      </c>
      <c r="BJ26" s="57">
        <v>1771.7</v>
      </c>
      <c r="BK26" s="57">
        <v>1771.7</v>
      </c>
      <c r="BL26" s="37"/>
      <c r="BM26" s="37"/>
      <c r="BN26" s="37"/>
      <c r="BO26" s="37"/>
      <c r="BY26" s="37"/>
      <c r="BZ26" s="37"/>
      <c r="CA26" s="37"/>
      <c r="CB26" s="37"/>
      <c r="CC26" s="61">
        <v>2</v>
      </c>
      <c r="CD26" s="62">
        <v>1</v>
      </c>
      <c r="CE26" s="62">
        <v>1</v>
      </c>
      <c r="CF26" s="62">
        <v>1</v>
      </c>
      <c r="CG26" s="62">
        <f t="shared" si="9"/>
        <v>0.80210487102782624</v>
      </c>
      <c r="CH26" s="62">
        <f t="shared" si="10"/>
        <v>0.81973813286673813</v>
      </c>
      <c r="CI26" s="62">
        <f t="shared" si="11"/>
        <v>0.83507560535079295</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279580</v>
      </c>
      <c r="AL27" s="57">
        <v>1745.5</v>
      </c>
      <c r="AM27" s="57">
        <v>1745.5</v>
      </c>
      <c r="AN27" s="57">
        <v>1745.5</v>
      </c>
      <c r="AO27" s="57">
        <v>1745.5</v>
      </c>
      <c r="AP27" s="57">
        <v>1745.5</v>
      </c>
      <c r="AQ27" s="37"/>
      <c r="AR27" s="37"/>
      <c r="AS27" s="56"/>
      <c r="AT27" s="37" t="s">
        <v>1</v>
      </c>
      <c r="AU27" s="57">
        <v>272970</v>
      </c>
      <c r="AV27" s="57">
        <v>1704.2</v>
      </c>
      <c r="AW27" s="57">
        <v>1704.2</v>
      </c>
      <c r="AX27" s="57">
        <v>1704.2</v>
      </c>
      <c r="AY27" s="57">
        <v>1704.2</v>
      </c>
      <c r="AZ27" s="57">
        <v>1704.2</v>
      </c>
      <c r="BA27" s="37"/>
      <c r="BB27" s="37"/>
      <c r="BC27" s="37"/>
      <c r="BD27" s="56"/>
      <c r="BE27" s="37" t="s">
        <v>1</v>
      </c>
      <c r="BF27" s="57">
        <v>259950</v>
      </c>
      <c r="BG27" s="57">
        <v>1623</v>
      </c>
      <c r="BH27" s="57">
        <v>1623</v>
      </c>
      <c r="BI27" s="57">
        <v>1623</v>
      </c>
      <c r="BJ27" s="57">
        <v>1623</v>
      </c>
      <c r="BK27" s="57">
        <v>1623</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4202.7</v>
      </c>
      <c r="AL28" s="57">
        <v>26.239000000000001</v>
      </c>
      <c r="AM28" s="57">
        <v>26.239000000000001</v>
      </c>
      <c r="AN28" s="57">
        <v>26.239000000000001</v>
      </c>
      <c r="AO28" s="57">
        <v>26.239000000000001</v>
      </c>
      <c r="AP28" s="57">
        <v>26.239000000000001</v>
      </c>
      <c r="AQ28" s="37"/>
      <c r="AR28" s="37"/>
      <c r="AS28" s="56"/>
      <c r="AT28" s="37" t="s">
        <v>2</v>
      </c>
      <c r="AU28" s="57">
        <v>10807</v>
      </c>
      <c r="AV28" s="57">
        <v>67.472999999999999</v>
      </c>
      <c r="AW28" s="57">
        <v>67.472999999999999</v>
      </c>
      <c r="AX28" s="57">
        <v>67.472999999999999</v>
      </c>
      <c r="AY28" s="57">
        <v>67.472999999999999</v>
      </c>
      <c r="AZ28" s="57">
        <v>67.472999999999999</v>
      </c>
      <c r="BA28" s="37"/>
      <c r="BB28" s="37"/>
      <c r="BC28" s="37"/>
      <c r="BD28" s="56"/>
      <c r="BE28" s="37" t="s">
        <v>2</v>
      </c>
      <c r="BF28" s="57">
        <v>23827</v>
      </c>
      <c r="BG28" s="57">
        <v>148.76</v>
      </c>
      <c r="BH28" s="57">
        <v>148.76</v>
      </c>
      <c r="BI28" s="57">
        <v>148.76</v>
      </c>
      <c r="BJ28" s="57">
        <v>148.76</v>
      </c>
      <c r="BK28" s="57">
        <v>148.76</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279520</v>
      </c>
      <c r="AL29" s="57">
        <v>1734.4</v>
      </c>
      <c r="AM29" s="57">
        <v>1608.5</v>
      </c>
      <c r="AN29" s="57">
        <v>652.79999999999995</v>
      </c>
      <c r="AO29" s="57">
        <v>6.1379999999999999</v>
      </c>
      <c r="AP29" s="57">
        <v>3.2080000000000002</v>
      </c>
      <c r="AQ29" s="37"/>
      <c r="AR29" s="37"/>
      <c r="AS29" s="56"/>
      <c r="AT29" s="37" t="s">
        <v>3</v>
      </c>
      <c r="AU29" s="57">
        <v>272870</v>
      </c>
      <c r="AV29" s="57">
        <v>1690.2</v>
      </c>
      <c r="AW29" s="57">
        <v>1533.4</v>
      </c>
      <c r="AX29" s="57">
        <v>380.02</v>
      </c>
      <c r="AY29" s="57">
        <v>2.0072999999999999</v>
      </c>
      <c r="AZ29" s="57">
        <v>1.2524</v>
      </c>
      <c r="BA29" s="37"/>
      <c r="BB29" s="37"/>
      <c r="BC29" s="37"/>
      <c r="BD29" s="56"/>
      <c r="BE29" s="37" t="s">
        <v>3</v>
      </c>
      <c r="BF29" s="57">
        <v>259790</v>
      </c>
      <c r="BG29" s="57">
        <v>1603.3</v>
      </c>
      <c r="BH29" s="57">
        <v>1384.9</v>
      </c>
      <c r="BI29" s="57">
        <v>147.66</v>
      </c>
      <c r="BJ29" s="57">
        <v>0.84326000000000001</v>
      </c>
      <c r="BK29" s="57">
        <v>0.51778999999999997</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9.4298999999999999</v>
      </c>
      <c r="AL31" s="57">
        <v>10.755000000000001</v>
      </c>
      <c r="AM31" s="57">
        <v>136.65</v>
      </c>
      <c r="AN31" s="57">
        <v>1092.4000000000001</v>
      </c>
      <c r="AO31" s="57">
        <v>1739</v>
      </c>
      <c r="AP31" s="57">
        <v>1742</v>
      </c>
      <c r="AQ31" s="37"/>
      <c r="AR31" s="37"/>
      <c r="AS31" s="56"/>
      <c r="AT31" s="37" t="s">
        <v>5</v>
      </c>
      <c r="AU31" s="57">
        <v>13.122</v>
      </c>
      <c r="AV31" s="57">
        <v>13.532999999999999</v>
      </c>
      <c r="AW31" s="57">
        <v>170.35</v>
      </c>
      <c r="AX31" s="57">
        <v>1323.7</v>
      </c>
      <c r="AY31" s="57">
        <v>1701.7</v>
      </c>
      <c r="AZ31" s="57">
        <v>1702.5</v>
      </c>
      <c r="BA31" s="37"/>
      <c r="BB31" s="37"/>
      <c r="BC31" s="37"/>
      <c r="BD31" s="56"/>
      <c r="BE31" s="37" t="s">
        <v>5</v>
      </c>
      <c r="BF31" s="57">
        <v>16.765000000000001</v>
      </c>
      <c r="BG31" s="57">
        <v>18.748000000000001</v>
      </c>
      <c r="BH31" s="57">
        <v>237.16</v>
      </c>
      <c r="BI31" s="57">
        <v>1474.4</v>
      </c>
      <c r="BJ31" s="57">
        <v>1621.3</v>
      </c>
      <c r="BK31" s="57">
        <v>1621.6</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283780</v>
      </c>
      <c r="AL33" s="57">
        <v>1771.7</v>
      </c>
      <c r="AM33" s="57">
        <v>1771.7</v>
      </c>
      <c r="AN33" s="57">
        <v>1771.7</v>
      </c>
      <c r="AO33" s="57">
        <v>1771.7</v>
      </c>
      <c r="AP33" s="57">
        <v>1771.7</v>
      </c>
      <c r="AQ33" s="37"/>
      <c r="AR33" s="37"/>
      <c r="AS33" s="56">
        <v>0.8</v>
      </c>
      <c r="AT33" s="37" t="s">
        <v>0</v>
      </c>
      <c r="AU33" s="57">
        <v>283780</v>
      </c>
      <c r="AV33" s="57">
        <v>1771.7</v>
      </c>
      <c r="AW33" s="57">
        <v>1771.7</v>
      </c>
      <c r="AX33" s="57">
        <v>1771.7</v>
      </c>
      <c r="AY33" s="57">
        <v>1771.7</v>
      </c>
      <c r="AZ33" s="57">
        <v>1771.7</v>
      </c>
      <c r="BA33" s="37"/>
      <c r="BB33" s="37"/>
      <c r="BC33" s="37"/>
      <c r="BD33" s="56">
        <v>0.8</v>
      </c>
      <c r="BE33" s="37" t="s">
        <v>0</v>
      </c>
      <c r="BF33" s="57">
        <v>283780</v>
      </c>
      <c r="BG33" s="57">
        <v>1771.7</v>
      </c>
      <c r="BH33" s="57">
        <v>1771.7</v>
      </c>
      <c r="BI33" s="57">
        <v>1771.7</v>
      </c>
      <c r="BJ33" s="57">
        <v>1771.7</v>
      </c>
      <c r="BK33" s="57">
        <v>1771.7</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282900</v>
      </c>
      <c r="AL34" s="57">
        <v>1766.3</v>
      </c>
      <c r="AM34" s="57">
        <v>1766.3</v>
      </c>
      <c r="AN34" s="57">
        <v>1766.3</v>
      </c>
      <c r="AO34" s="57">
        <v>1766.3</v>
      </c>
      <c r="AP34" s="57">
        <v>1766.3</v>
      </c>
      <c r="AQ34" s="37"/>
      <c r="AR34" s="37"/>
      <c r="AS34" s="56"/>
      <c r="AT34" s="37" t="s">
        <v>1</v>
      </c>
      <c r="AU34" s="57">
        <v>281360</v>
      </c>
      <c r="AV34" s="57">
        <v>1756.6</v>
      </c>
      <c r="AW34" s="57">
        <v>1756.6</v>
      </c>
      <c r="AX34" s="57">
        <v>1756.6</v>
      </c>
      <c r="AY34" s="57">
        <v>1756.6</v>
      </c>
      <c r="AZ34" s="57">
        <v>1756.6</v>
      </c>
      <c r="BA34" s="37"/>
      <c r="BB34" s="37"/>
      <c r="BC34" s="37"/>
      <c r="BD34" s="56"/>
      <c r="BE34" s="37" t="s">
        <v>1</v>
      </c>
      <c r="BF34" s="57">
        <v>273990</v>
      </c>
      <c r="BG34" s="57">
        <v>1710.6</v>
      </c>
      <c r="BH34" s="57">
        <v>1710.6</v>
      </c>
      <c r="BI34" s="57">
        <v>1710.6</v>
      </c>
      <c r="BJ34" s="57">
        <v>1710.6</v>
      </c>
      <c r="BK34" s="57">
        <v>1710.6</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875.51</v>
      </c>
      <c r="AL35" s="57">
        <v>5.4661</v>
      </c>
      <c r="AM35" s="57">
        <v>5.4661</v>
      </c>
      <c r="AN35" s="57">
        <v>5.4661</v>
      </c>
      <c r="AO35" s="57">
        <v>5.4661</v>
      </c>
      <c r="AP35" s="57">
        <v>5.4661</v>
      </c>
      <c r="AQ35" s="37"/>
      <c r="AR35" s="37"/>
      <c r="AS35" s="56"/>
      <c r="AT35" s="37" t="s">
        <v>2</v>
      </c>
      <c r="AU35" s="57">
        <v>2419.5</v>
      </c>
      <c r="AV35" s="57">
        <v>15.106</v>
      </c>
      <c r="AW35" s="57">
        <v>15.106</v>
      </c>
      <c r="AX35" s="57">
        <v>15.106</v>
      </c>
      <c r="AY35" s="57">
        <v>15.106</v>
      </c>
      <c r="AZ35" s="57">
        <v>15.106</v>
      </c>
      <c r="BA35" s="37"/>
      <c r="BB35" s="37"/>
      <c r="BC35" s="37"/>
      <c r="BD35" s="56"/>
      <c r="BE35" s="37" t="s">
        <v>2</v>
      </c>
      <c r="BF35" s="57">
        <v>9790.7000000000007</v>
      </c>
      <c r="BG35" s="57">
        <v>61.127000000000002</v>
      </c>
      <c r="BH35" s="57">
        <v>61.127000000000002</v>
      </c>
      <c r="BI35" s="57">
        <v>61.127000000000002</v>
      </c>
      <c r="BJ35" s="57">
        <v>61.127000000000002</v>
      </c>
      <c r="BK35" s="57">
        <v>61.127000000000002</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282840</v>
      </c>
      <c r="AL36" s="57">
        <v>1751.9</v>
      </c>
      <c r="AM36" s="57">
        <v>1595.7</v>
      </c>
      <c r="AN36" s="57">
        <v>570.29</v>
      </c>
      <c r="AO36" s="57">
        <v>6.3864999999999998</v>
      </c>
      <c r="AP36" s="57">
        <v>3.581</v>
      </c>
      <c r="AQ36" s="37"/>
      <c r="AR36" s="37"/>
      <c r="AS36" s="56"/>
      <c r="AT36" s="37" t="s">
        <v>3</v>
      </c>
      <c r="AU36" s="57">
        <v>281260</v>
      </c>
      <c r="AV36" s="57">
        <v>1738.2</v>
      </c>
      <c r="AW36" s="57">
        <v>1543.7</v>
      </c>
      <c r="AX36" s="57">
        <v>312.12</v>
      </c>
      <c r="AY36" s="57">
        <v>1.6347</v>
      </c>
      <c r="AZ36" s="57">
        <v>1.2846</v>
      </c>
      <c r="BA36" s="37"/>
      <c r="BB36" s="37"/>
      <c r="BC36" s="37"/>
      <c r="BD36" s="56"/>
      <c r="BE36" s="37" t="s">
        <v>3</v>
      </c>
      <c r="BF36" s="57">
        <v>273830</v>
      </c>
      <c r="BG36" s="57">
        <v>1686</v>
      </c>
      <c r="BH36" s="57">
        <v>1425.8</v>
      </c>
      <c r="BI36" s="57">
        <v>137.33000000000001</v>
      </c>
      <c r="BJ36" s="57">
        <v>0.79491999999999996</v>
      </c>
      <c r="BK36" s="57">
        <v>0.56637000000000004</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9.2989999999999995</v>
      </c>
      <c r="AL38" s="57">
        <v>14.045</v>
      </c>
      <c r="AM38" s="57">
        <v>170.29</v>
      </c>
      <c r="AN38" s="57">
        <v>1195.7</v>
      </c>
      <c r="AO38" s="57">
        <v>1759.6</v>
      </c>
      <c r="AP38" s="57">
        <v>1762.4</v>
      </c>
      <c r="AQ38" s="37"/>
      <c r="AR38" s="37"/>
      <c r="AS38" s="56"/>
      <c r="AT38" s="37" t="s">
        <v>5</v>
      </c>
      <c r="AU38" s="57">
        <v>13.502000000000001</v>
      </c>
      <c r="AV38" s="57">
        <v>17.817</v>
      </c>
      <c r="AW38" s="57">
        <v>212.31</v>
      </c>
      <c r="AX38" s="57">
        <v>1444</v>
      </c>
      <c r="AY38" s="57">
        <v>1754.5</v>
      </c>
      <c r="AZ38" s="57">
        <v>1754.8</v>
      </c>
      <c r="BA38" s="37"/>
      <c r="BB38" s="37"/>
      <c r="BC38" s="37"/>
      <c r="BD38" s="56"/>
      <c r="BE38" s="37" t="s">
        <v>5</v>
      </c>
      <c r="BF38" s="57">
        <v>16.727</v>
      </c>
      <c r="BG38" s="57">
        <v>23.672000000000001</v>
      </c>
      <c r="BH38" s="57">
        <v>283.89999999999998</v>
      </c>
      <c r="BI38" s="57">
        <v>1572.4</v>
      </c>
      <c r="BJ38" s="57">
        <v>1708.9</v>
      </c>
      <c r="BK38" s="57">
        <v>1709.2</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283780</v>
      </c>
      <c r="AL40" s="57">
        <v>1771.7</v>
      </c>
      <c r="AM40" s="57">
        <v>1771.7</v>
      </c>
      <c r="AN40" s="57">
        <v>1771.7</v>
      </c>
      <c r="AO40" s="57">
        <v>1771.7</v>
      </c>
      <c r="AP40" s="57">
        <v>1771.7</v>
      </c>
      <c r="AQ40" s="37"/>
      <c r="AR40" s="37"/>
      <c r="AS40" s="56">
        <v>1</v>
      </c>
      <c r="AT40" s="37" t="s">
        <v>0</v>
      </c>
      <c r="AU40" s="57">
        <v>283780</v>
      </c>
      <c r="AV40" s="57">
        <v>1771.7</v>
      </c>
      <c r="AW40" s="57">
        <v>1771.7</v>
      </c>
      <c r="AX40" s="57">
        <v>1771.7</v>
      </c>
      <c r="AY40" s="57">
        <v>1771.7</v>
      </c>
      <c r="AZ40" s="57">
        <v>1771.7</v>
      </c>
      <c r="BA40" s="37"/>
      <c r="BB40" s="37"/>
      <c r="BC40" s="37"/>
      <c r="BD40" s="56">
        <v>1</v>
      </c>
      <c r="BE40" s="37" t="s">
        <v>0</v>
      </c>
      <c r="BF40" s="57">
        <v>283780</v>
      </c>
      <c r="BG40" s="57">
        <v>1771.7</v>
      </c>
      <c r="BH40" s="57">
        <v>1771.7</v>
      </c>
      <c r="BI40" s="57">
        <v>1771.7</v>
      </c>
      <c r="BJ40" s="57">
        <v>1771.7</v>
      </c>
      <c r="BK40" s="57">
        <v>1771.7</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283710</v>
      </c>
      <c r="AL41" s="57">
        <v>1771.3</v>
      </c>
      <c r="AM41" s="57">
        <v>1771.3</v>
      </c>
      <c r="AN41" s="57">
        <v>1771.3</v>
      </c>
      <c r="AO41" s="57">
        <v>1771.3</v>
      </c>
      <c r="AP41" s="57">
        <v>1771.3</v>
      </c>
      <c r="AQ41" s="37"/>
      <c r="AR41" s="37"/>
      <c r="AS41" s="56"/>
      <c r="AT41" s="37" t="s">
        <v>1</v>
      </c>
      <c r="AU41" s="57">
        <v>283160</v>
      </c>
      <c r="AV41" s="57">
        <v>1767.9</v>
      </c>
      <c r="AW41" s="57">
        <v>1767.9</v>
      </c>
      <c r="AX41" s="57">
        <v>1767.9</v>
      </c>
      <c r="AY41" s="57">
        <v>1767.9</v>
      </c>
      <c r="AZ41" s="57">
        <v>1767.9</v>
      </c>
      <c r="BA41" s="37"/>
      <c r="BB41" s="37"/>
      <c r="BC41" s="37"/>
      <c r="BD41" s="56"/>
      <c r="BE41" s="37" t="s">
        <v>1</v>
      </c>
      <c r="BF41" s="57">
        <v>280350</v>
      </c>
      <c r="BG41" s="57">
        <v>1750.3</v>
      </c>
      <c r="BH41" s="57">
        <v>1750.3</v>
      </c>
      <c r="BI41" s="57">
        <v>1750.3</v>
      </c>
      <c r="BJ41" s="57">
        <v>1750.3</v>
      </c>
      <c r="BK41" s="57">
        <v>1750.3</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72.656000000000006</v>
      </c>
      <c r="AL42" s="57">
        <v>0.45362000000000002</v>
      </c>
      <c r="AM42" s="57">
        <v>0.45362000000000002</v>
      </c>
      <c r="AN42" s="57">
        <v>0.45362000000000002</v>
      </c>
      <c r="AO42" s="57">
        <v>0.45362000000000002</v>
      </c>
      <c r="AP42" s="57">
        <v>0.45362000000000002</v>
      </c>
      <c r="AQ42" s="37"/>
      <c r="AR42" s="37"/>
      <c r="AS42" s="56"/>
      <c r="AT42" s="37" t="s">
        <v>2</v>
      </c>
      <c r="AU42" s="57">
        <v>615.75</v>
      </c>
      <c r="AV42" s="57">
        <v>3.8443999999999998</v>
      </c>
      <c r="AW42" s="57">
        <v>3.8443999999999998</v>
      </c>
      <c r="AX42" s="57">
        <v>3.8443999999999998</v>
      </c>
      <c r="AY42" s="57">
        <v>3.8443999999999998</v>
      </c>
      <c r="AZ42" s="57">
        <v>3.8443999999999998</v>
      </c>
      <c r="BA42" s="37"/>
      <c r="BB42" s="37"/>
      <c r="BC42" s="37"/>
      <c r="BD42" s="56"/>
      <c r="BE42" s="37" t="s">
        <v>2</v>
      </c>
      <c r="BF42" s="57">
        <v>3428.8</v>
      </c>
      <c r="BG42" s="57">
        <v>21.407</v>
      </c>
      <c r="BH42" s="57">
        <v>21.407</v>
      </c>
      <c r="BI42" s="57">
        <v>21.407</v>
      </c>
      <c r="BJ42" s="57">
        <v>21.407</v>
      </c>
      <c r="BK42" s="57">
        <v>21.407</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283640</v>
      </c>
      <c r="AL43" s="57">
        <v>1753.6</v>
      </c>
      <c r="AM43" s="57">
        <v>1569</v>
      </c>
      <c r="AN43" s="57">
        <v>499.92</v>
      </c>
      <c r="AO43" s="57">
        <v>6.2004999999999999</v>
      </c>
      <c r="AP43" s="57">
        <v>3.5442999999999998</v>
      </c>
      <c r="AQ43" s="37"/>
      <c r="AR43" s="37"/>
      <c r="AS43" s="56"/>
      <c r="AT43" s="37" t="s">
        <v>3</v>
      </c>
      <c r="AU43" s="57">
        <v>283070</v>
      </c>
      <c r="AV43" s="57">
        <v>1746.5</v>
      </c>
      <c r="AW43" s="57">
        <v>1526.3</v>
      </c>
      <c r="AX43" s="57">
        <v>287.7</v>
      </c>
      <c r="AY43" s="57">
        <v>1.9896</v>
      </c>
      <c r="AZ43" s="57">
        <v>1.5008999999999999</v>
      </c>
      <c r="BA43" s="37"/>
      <c r="BB43" s="37"/>
      <c r="BC43" s="37"/>
      <c r="BD43" s="56"/>
      <c r="BE43" s="37" t="s">
        <v>3</v>
      </c>
      <c r="BF43" s="57">
        <v>280190</v>
      </c>
      <c r="BG43" s="57">
        <v>1721.1</v>
      </c>
      <c r="BH43" s="57">
        <v>1425.4</v>
      </c>
      <c r="BI43" s="57">
        <v>122.65</v>
      </c>
      <c r="BJ43" s="57">
        <v>0.77861999999999998</v>
      </c>
      <c r="BK43" s="57">
        <v>0.59280999999999995</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9.5330999999999992</v>
      </c>
      <c r="AL45" s="57">
        <v>17.315000000000001</v>
      </c>
      <c r="AM45" s="57">
        <v>201.97</v>
      </c>
      <c r="AN45" s="57">
        <v>1271</v>
      </c>
      <c r="AO45" s="57">
        <v>1764.8</v>
      </c>
      <c r="AP45" s="57">
        <v>1767.4</v>
      </c>
      <c r="AQ45" s="37"/>
      <c r="AR45" s="37"/>
      <c r="AS45" s="56"/>
      <c r="AT45" s="37" t="s">
        <v>5</v>
      </c>
      <c r="AU45" s="57">
        <v>12.827</v>
      </c>
      <c r="AV45" s="57">
        <v>20.881</v>
      </c>
      <c r="AW45" s="57">
        <v>241.04</v>
      </c>
      <c r="AX45" s="57">
        <v>1479.7</v>
      </c>
      <c r="AY45" s="57">
        <v>1765.4</v>
      </c>
      <c r="AZ45" s="57">
        <v>1765.9</v>
      </c>
      <c r="BA45" s="37"/>
      <c r="BB45" s="37"/>
      <c r="BC45" s="37"/>
      <c r="BD45" s="56"/>
      <c r="BE45" s="37" t="s">
        <v>5</v>
      </c>
      <c r="BF45" s="57">
        <v>16.79</v>
      </c>
      <c r="BG45" s="57">
        <v>28.297999999999998</v>
      </c>
      <c r="BH45" s="57">
        <v>323.97000000000003</v>
      </c>
      <c r="BI45" s="57">
        <v>1626.8</v>
      </c>
      <c r="BJ45" s="57">
        <v>1748.7</v>
      </c>
      <c r="BK45" s="57">
        <v>1748.9</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283780</v>
      </c>
      <c r="AL47" s="57">
        <v>1771.7</v>
      </c>
      <c r="AM47" s="57">
        <v>1771.7</v>
      </c>
      <c r="AN47" s="57">
        <v>1771.7</v>
      </c>
      <c r="AO47" s="57">
        <v>1771.7</v>
      </c>
      <c r="AP47" s="57">
        <v>1771.7</v>
      </c>
      <c r="AQ47" s="37"/>
      <c r="AR47" s="37"/>
      <c r="AS47" s="56">
        <v>1.2</v>
      </c>
      <c r="AT47" s="37" t="s">
        <v>0</v>
      </c>
      <c r="AU47" s="57">
        <v>283780</v>
      </c>
      <c r="AV47" s="57">
        <v>1771.7</v>
      </c>
      <c r="AW47" s="57">
        <v>1771.7</v>
      </c>
      <c r="AX47" s="57">
        <v>1771.7</v>
      </c>
      <c r="AY47" s="57">
        <v>1771.7</v>
      </c>
      <c r="AZ47" s="57">
        <v>1771.7</v>
      </c>
      <c r="BA47" s="37"/>
      <c r="BB47" s="37"/>
      <c r="BC47" s="37"/>
      <c r="BD47" s="56">
        <v>1.2</v>
      </c>
      <c r="BE47" s="37" t="s">
        <v>0</v>
      </c>
      <c r="BF47" s="57">
        <v>283780</v>
      </c>
      <c r="BG47" s="57">
        <v>1771.7</v>
      </c>
      <c r="BH47" s="57">
        <v>1771.7</v>
      </c>
      <c r="BI47" s="57">
        <v>1771.7</v>
      </c>
      <c r="BJ47" s="57">
        <v>1771.7</v>
      </c>
      <c r="BK47" s="57">
        <v>1771.7</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283780</v>
      </c>
      <c r="AL48" s="57">
        <v>1771.7</v>
      </c>
      <c r="AM48" s="57">
        <v>1771.7</v>
      </c>
      <c r="AN48" s="57">
        <v>1771.7</v>
      </c>
      <c r="AO48" s="57">
        <v>1771.7</v>
      </c>
      <c r="AP48" s="57">
        <v>1771.7</v>
      </c>
      <c r="AQ48" s="37"/>
      <c r="AR48" s="37"/>
      <c r="AS48" s="56"/>
      <c r="AT48" s="37" t="s">
        <v>1</v>
      </c>
      <c r="AU48" s="57">
        <v>283780</v>
      </c>
      <c r="AV48" s="57">
        <v>1771.7</v>
      </c>
      <c r="AW48" s="57">
        <v>1771.7</v>
      </c>
      <c r="AX48" s="57">
        <v>1771.7</v>
      </c>
      <c r="AY48" s="57">
        <v>1771.7</v>
      </c>
      <c r="AZ48" s="57">
        <v>1771.7</v>
      </c>
      <c r="BA48" s="37"/>
      <c r="BB48" s="37"/>
      <c r="BC48" s="37"/>
      <c r="BD48" s="56"/>
      <c r="BE48" s="37" t="s">
        <v>1</v>
      </c>
      <c r="BF48" s="57">
        <v>283410</v>
      </c>
      <c r="BG48" s="57">
        <v>1769.4</v>
      </c>
      <c r="BH48" s="57">
        <v>1769.4</v>
      </c>
      <c r="BI48" s="57">
        <v>1769.4</v>
      </c>
      <c r="BJ48" s="57">
        <v>1769.4</v>
      </c>
      <c r="BK48" s="57">
        <v>1769.4</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0</v>
      </c>
      <c r="AV49" s="57">
        <v>0</v>
      </c>
      <c r="AW49" s="57">
        <v>0</v>
      </c>
      <c r="AX49" s="57">
        <v>0</v>
      </c>
      <c r="AY49" s="57">
        <v>0</v>
      </c>
      <c r="AZ49" s="57">
        <v>0</v>
      </c>
      <c r="BA49" s="37"/>
      <c r="BB49" s="37"/>
      <c r="BC49" s="37"/>
      <c r="BD49" s="56"/>
      <c r="BE49" s="37" t="s">
        <v>2</v>
      </c>
      <c r="BF49" s="57">
        <v>367.32</v>
      </c>
      <c r="BG49" s="57">
        <v>2.2932999999999999</v>
      </c>
      <c r="BH49" s="57">
        <v>2.2932999999999999</v>
      </c>
      <c r="BI49" s="57">
        <v>2.2932999999999999</v>
      </c>
      <c r="BJ49" s="57">
        <v>2.2932999999999999</v>
      </c>
      <c r="BK49" s="57">
        <v>2.2932999999999999</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283720</v>
      </c>
      <c r="AL50" s="57">
        <v>1750.9</v>
      </c>
      <c r="AM50" s="57">
        <v>1539.6</v>
      </c>
      <c r="AN50" s="57">
        <v>441.93</v>
      </c>
      <c r="AO50" s="57">
        <v>6.1292999999999997</v>
      </c>
      <c r="AP50" s="57">
        <v>3.7444000000000002</v>
      </c>
      <c r="AQ50" s="37"/>
      <c r="AR50" s="37"/>
      <c r="AS50" s="56"/>
      <c r="AT50" s="37" t="s">
        <v>3</v>
      </c>
      <c r="AU50" s="57">
        <v>283680</v>
      </c>
      <c r="AV50" s="57">
        <v>1746.2</v>
      </c>
      <c r="AW50" s="57">
        <v>1495.4</v>
      </c>
      <c r="AX50" s="57">
        <v>251.14</v>
      </c>
      <c r="AY50" s="57">
        <v>1.9036999999999999</v>
      </c>
      <c r="AZ50" s="57">
        <v>1.4862</v>
      </c>
      <c r="BA50" s="37"/>
      <c r="BB50" s="37"/>
      <c r="BC50" s="37"/>
      <c r="BD50" s="56"/>
      <c r="BE50" s="37" t="s">
        <v>3</v>
      </c>
      <c r="BF50" s="57">
        <v>283250</v>
      </c>
      <c r="BG50" s="57">
        <v>1735.6</v>
      </c>
      <c r="BH50" s="57">
        <v>1407.9</v>
      </c>
      <c r="BI50" s="57">
        <v>109.24</v>
      </c>
      <c r="BJ50" s="57">
        <v>0.78029999999999999</v>
      </c>
      <c r="BK50" s="57">
        <v>0.62909999999999999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9.4253</v>
      </c>
      <c r="AL52" s="57">
        <v>20.495999999999999</v>
      </c>
      <c r="AM52" s="57">
        <v>231.78</v>
      </c>
      <c r="AN52" s="57">
        <v>1329.5</v>
      </c>
      <c r="AO52" s="57">
        <v>1765.3</v>
      </c>
      <c r="AP52" s="57">
        <v>1767.7</v>
      </c>
      <c r="AQ52" s="37"/>
      <c r="AR52" s="37"/>
      <c r="AS52" s="56"/>
      <c r="AT52" s="37" t="s">
        <v>5</v>
      </c>
      <c r="AU52" s="57">
        <v>13.117000000000001</v>
      </c>
      <c r="AV52" s="57">
        <v>24.952999999999999</v>
      </c>
      <c r="AW52" s="57">
        <v>275.8</v>
      </c>
      <c r="AX52" s="57">
        <v>1520.1</v>
      </c>
      <c r="AY52" s="57">
        <v>1769.3</v>
      </c>
      <c r="AZ52" s="57">
        <v>1769.7</v>
      </c>
      <c r="BA52" s="37"/>
      <c r="BB52" s="37"/>
      <c r="BC52" s="37"/>
      <c r="BD52" s="56"/>
      <c r="BE52" s="37" t="s">
        <v>5</v>
      </c>
      <c r="BF52" s="57">
        <v>16.760000000000002</v>
      </c>
      <c r="BG52" s="57">
        <v>32.9</v>
      </c>
      <c r="BH52" s="57">
        <v>360.63</v>
      </c>
      <c r="BI52" s="57">
        <v>1659.3</v>
      </c>
      <c r="BJ52" s="57">
        <v>1767.8</v>
      </c>
      <c r="BK52" s="57">
        <v>1767.9</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283780</v>
      </c>
      <c r="AL54" s="57">
        <v>1771.7</v>
      </c>
      <c r="AM54" s="57">
        <v>1771.7</v>
      </c>
      <c r="AN54" s="57">
        <v>1771.7</v>
      </c>
      <c r="AO54" s="57">
        <v>1771.7</v>
      </c>
      <c r="AP54" s="57">
        <v>1771.7</v>
      </c>
      <c r="AQ54" s="37"/>
      <c r="AR54" s="37"/>
      <c r="AS54" s="56">
        <v>1.6</v>
      </c>
      <c r="AT54" s="37" t="s">
        <v>0</v>
      </c>
      <c r="AU54" s="57">
        <v>283780</v>
      </c>
      <c r="AV54" s="57">
        <v>1771.7</v>
      </c>
      <c r="AW54" s="57">
        <v>1771.7</v>
      </c>
      <c r="AX54" s="57">
        <v>1771.7</v>
      </c>
      <c r="AY54" s="57">
        <v>1771.7</v>
      </c>
      <c r="AZ54" s="57">
        <v>1771.7</v>
      </c>
      <c r="BA54" s="37"/>
      <c r="BB54" s="37"/>
      <c r="BC54" s="37"/>
      <c r="BD54" s="56">
        <v>1.6</v>
      </c>
      <c r="BE54" s="37" t="s">
        <v>0</v>
      </c>
      <c r="BF54" s="57">
        <v>283780</v>
      </c>
      <c r="BG54" s="57">
        <v>1771.7</v>
      </c>
      <c r="BH54" s="57">
        <v>1771.7</v>
      </c>
      <c r="BI54" s="57">
        <v>1771.7</v>
      </c>
      <c r="BJ54" s="57">
        <v>1771.7</v>
      </c>
      <c r="BK54" s="57">
        <v>1771.7</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283780</v>
      </c>
      <c r="AL55" s="57">
        <v>1771.7</v>
      </c>
      <c r="AM55" s="57">
        <v>1771.7</v>
      </c>
      <c r="AN55" s="57">
        <v>1771.7</v>
      </c>
      <c r="AO55" s="57">
        <v>1771.7</v>
      </c>
      <c r="AP55" s="57">
        <v>1771.7</v>
      </c>
      <c r="AQ55" s="37"/>
      <c r="AR55" s="37"/>
      <c r="AS55" s="56"/>
      <c r="AT55" s="37" t="s">
        <v>1</v>
      </c>
      <c r="AU55" s="57">
        <v>283780</v>
      </c>
      <c r="AV55" s="57">
        <v>1771.7</v>
      </c>
      <c r="AW55" s="57">
        <v>1771.7</v>
      </c>
      <c r="AX55" s="57">
        <v>1771.7</v>
      </c>
      <c r="AY55" s="57">
        <v>1771.7</v>
      </c>
      <c r="AZ55" s="57">
        <v>1771.7</v>
      </c>
      <c r="BA55" s="37"/>
      <c r="BB55" s="37"/>
      <c r="BC55" s="37"/>
      <c r="BD55" s="56"/>
      <c r="BE55" s="37" t="s">
        <v>1</v>
      </c>
      <c r="BF55" s="57">
        <v>283780</v>
      </c>
      <c r="BG55" s="57">
        <v>1771.7</v>
      </c>
      <c r="BH55" s="57">
        <v>1771.7</v>
      </c>
      <c r="BI55" s="57">
        <v>1771.7</v>
      </c>
      <c r="BJ55" s="57">
        <v>1771.7</v>
      </c>
      <c r="BK55" s="57">
        <v>1771.7</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0</v>
      </c>
      <c r="BG56" s="57">
        <v>0</v>
      </c>
      <c r="BH56" s="57">
        <v>0</v>
      </c>
      <c r="BI56" s="57">
        <v>0</v>
      </c>
      <c r="BJ56" s="57">
        <v>0</v>
      </c>
      <c r="BK56" s="57">
        <v>0</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283720</v>
      </c>
      <c r="AL57" s="57">
        <v>1744.8</v>
      </c>
      <c r="AM57" s="57">
        <v>1485.6</v>
      </c>
      <c r="AN57" s="57">
        <v>360.51</v>
      </c>
      <c r="AO57" s="57">
        <v>5.8888999999999996</v>
      </c>
      <c r="AP57" s="57">
        <v>4.0636999999999999</v>
      </c>
      <c r="AQ57" s="37"/>
      <c r="AR57" s="37"/>
      <c r="AS57" s="56"/>
      <c r="AT57" s="37" t="s">
        <v>3</v>
      </c>
      <c r="AU57" s="57">
        <v>283680</v>
      </c>
      <c r="AV57" s="57">
        <v>1739.3</v>
      </c>
      <c r="AW57" s="57">
        <v>1438.3</v>
      </c>
      <c r="AX57" s="57">
        <v>201.61</v>
      </c>
      <c r="AY57" s="57">
        <v>1.9345000000000001</v>
      </c>
      <c r="AZ57" s="57">
        <v>1.6361000000000001</v>
      </c>
      <c r="BA57" s="37"/>
      <c r="BB57" s="37"/>
      <c r="BC57" s="37"/>
      <c r="BD57" s="56"/>
      <c r="BE57" s="37" t="s">
        <v>3</v>
      </c>
      <c r="BF57" s="57">
        <v>283610</v>
      </c>
      <c r="BG57" s="57">
        <v>1728.1</v>
      </c>
      <c r="BH57" s="57">
        <v>1340.4</v>
      </c>
      <c r="BI57" s="57">
        <v>85.989000000000004</v>
      </c>
      <c r="BJ57" s="57">
        <v>0.73011999999999999</v>
      </c>
      <c r="BK57" s="57">
        <v>0.63332999999999995</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9.2751000000000001</v>
      </c>
      <c r="AL59" s="57">
        <v>26.588000000000001</v>
      </c>
      <c r="AM59" s="57">
        <v>285.79000000000002</v>
      </c>
      <c r="AN59" s="57">
        <v>1410.9</v>
      </c>
      <c r="AO59" s="57">
        <v>1765.5</v>
      </c>
      <c r="AP59" s="57">
        <v>1767.4</v>
      </c>
      <c r="AQ59" s="37"/>
      <c r="AR59" s="37"/>
      <c r="AS59" s="56"/>
      <c r="AT59" s="37" t="s">
        <v>5</v>
      </c>
      <c r="AU59" s="57">
        <v>12.951000000000001</v>
      </c>
      <c r="AV59" s="57">
        <v>31.957000000000001</v>
      </c>
      <c r="AW59" s="57">
        <v>332.91</v>
      </c>
      <c r="AX59" s="57">
        <v>1569.6</v>
      </c>
      <c r="AY59" s="57">
        <v>1769.3</v>
      </c>
      <c r="AZ59" s="57">
        <v>1769.6</v>
      </c>
      <c r="BA59" s="37"/>
      <c r="BB59" s="37"/>
      <c r="BC59" s="37"/>
      <c r="BD59" s="56"/>
      <c r="BE59" s="37" t="s">
        <v>5</v>
      </c>
      <c r="BF59" s="57">
        <v>17.068999999999999</v>
      </c>
      <c r="BG59" s="57">
        <v>42.649000000000001</v>
      </c>
      <c r="BH59" s="57">
        <v>430.33</v>
      </c>
      <c r="BI59" s="57">
        <v>1684.8</v>
      </c>
      <c r="BJ59" s="57">
        <v>1770.1</v>
      </c>
      <c r="BK59" s="57">
        <v>1770.2</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283780</v>
      </c>
      <c r="AL61" s="57">
        <v>1771.7</v>
      </c>
      <c r="AM61" s="57">
        <v>1771.7</v>
      </c>
      <c r="AN61" s="57">
        <v>1771.7</v>
      </c>
      <c r="AO61" s="57">
        <v>1771.7</v>
      </c>
      <c r="AP61" s="57">
        <v>1771.7</v>
      </c>
      <c r="AQ61" s="37"/>
      <c r="AR61" s="37"/>
      <c r="AS61" s="56">
        <v>2</v>
      </c>
      <c r="AT61" s="37" t="s">
        <v>0</v>
      </c>
      <c r="AU61" s="57">
        <v>283780</v>
      </c>
      <c r="AV61" s="57">
        <v>1771.7</v>
      </c>
      <c r="AW61" s="57">
        <v>1771.7</v>
      </c>
      <c r="AX61" s="57">
        <v>1771.7</v>
      </c>
      <c r="AY61" s="57">
        <v>1771.7</v>
      </c>
      <c r="AZ61" s="57">
        <v>1771.7</v>
      </c>
      <c r="BA61" s="37"/>
      <c r="BB61" s="37"/>
      <c r="BC61" s="37"/>
      <c r="BD61" s="56">
        <v>2</v>
      </c>
      <c r="BE61" s="37" t="s">
        <v>0</v>
      </c>
      <c r="BF61" s="57">
        <v>283780</v>
      </c>
      <c r="BG61" s="57">
        <v>1771.7</v>
      </c>
      <c r="BH61" s="57">
        <v>1771.7</v>
      </c>
      <c r="BI61" s="57">
        <v>1771.7</v>
      </c>
      <c r="BJ61" s="57">
        <v>1771.7</v>
      </c>
      <c r="BK61" s="57">
        <v>1771.7</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283780</v>
      </c>
      <c r="AL62" s="57">
        <v>1771.7</v>
      </c>
      <c r="AM62" s="57">
        <v>1771.7</v>
      </c>
      <c r="AN62" s="57">
        <v>1771.7</v>
      </c>
      <c r="AO62" s="57">
        <v>1771.7</v>
      </c>
      <c r="AP62" s="57">
        <v>1771.7</v>
      </c>
      <c r="AQ62" s="37"/>
      <c r="AR62" s="37"/>
      <c r="AS62" s="37"/>
      <c r="AT62" s="37" t="s">
        <v>1</v>
      </c>
      <c r="AU62" s="57">
        <v>283780</v>
      </c>
      <c r="AV62" s="57">
        <v>1771.7</v>
      </c>
      <c r="AW62" s="57">
        <v>1771.7</v>
      </c>
      <c r="AX62" s="57">
        <v>1771.7</v>
      </c>
      <c r="AY62" s="57">
        <v>1771.7</v>
      </c>
      <c r="AZ62" s="57">
        <v>1771.7</v>
      </c>
      <c r="BA62" s="37"/>
      <c r="BB62" s="37"/>
      <c r="BC62" s="37"/>
      <c r="BD62" s="37"/>
      <c r="BE62" s="37" t="s">
        <v>1</v>
      </c>
      <c r="BF62" s="57">
        <v>283780</v>
      </c>
      <c r="BG62" s="57">
        <v>1771.7</v>
      </c>
      <c r="BH62" s="57">
        <v>1771.7</v>
      </c>
      <c r="BI62" s="57">
        <v>1771.7</v>
      </c>
      <c r="BJ62" s="57">
        <v>1771.7</v>
      </c>
      <c r="BK62" s="57">
        <v>1771.7</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283720</v>
      </c>
      <c r="AL64" s="57">
        <v>1738.7</v>
      </c>
      <c r="AM64" s="57">
        <v>1434.7</v>
      </c>
      <c r="AN64" s="57">
        <v>302.08</v>
      </c>
      <c r="AO64" s="57">
        <v>5.4470999999999998</v>
      </c>
      <c r="AP64" s="57">
        <v>4.101</v>
      </c>
      <c r="AQ64" s="37"/>
      <c r="AR64" s="37"/>
      <c r="AS64" s="37"/>
      <c r="AT64" s="37" t="s">
        <v>3</v>
      </c>
      <c r="AU64" s="57">
        <v>283680</v>
      </c>
      <c r="AV64" s="57">
        <v>1731.6</v>
      </c>
      <c r="AW64" s="57">
        <v>1379.3</v>
      </c>
      <c r="AX64" s="57">
        <v>162.08000000000001</v>
      </c>
      <c r="AY64" s="57">
        <v>1.782</v>
      </c>
      <c r="AZ64" s="57">
        <v>1.5846</v>
      </c>
      <c r="BA64" s="37"/>
      <c r="BB64" s="37"/>
      <c r="BC64" s="37"/>
      <c r="BD64" s="37"/>
      <c r="BE64" s="37" t="s">
        <v>3</v>
      </c>
      <c r="BF64" s="57">
        <v>283620</v>
      </c>
      <c r="BG64" s="57">
        <v>1721.4</v>
      </c>
      <c r="BH64" s="57">
        <v>1293.7</v>
      </c>
      <c r="BI64" s="57">
        <v>71.608999999999995</v>
      </c>
      <c r="BJ64" s="57">
        <v>0.80940000000000001</v>
      </c>
      <c r="BK64" s="57">
        <v>0.75004999999999999</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9.3658999999999999</v>
      </c>
      <c r="AL66" s="57">
        <v>32.723999999999997</v>
      </c>
      <c r="AM66" s="57">
        <v>336.72</v>
      </c>
      <c r="AN66" s="57">
        <v>1469.3</v>
      </c>
      <c r="AO66" s="57">
        <v>1766</v>
      </c>
      <c r="AP66" s="57">
        <v>1767.3</v>
      </c>
      <c r="AQ66" s="37"/>
      <c r="AR66" s="37"/>
      <c r="AS66" s="37"/>
      <c r="AT66" s="37" t="s">
        <v>5</v>
      </c>
      <c r="AU66" s="57">
        <v>13.259</v>
      </c>
      <c r="AV66" s="57">
        <v>39.610999999999997</v>
      </c>
      <c r="AW66" s="57">
        <v>391.83</v>
      </c>
      <c r="AX66" s="57">
        <v>1609.1</v>
      </c>
      <c r="AY66" s="57">
        <v>1769.4</v>
      </c>
      <c r="AZ66" s="57">
        <v>1769.6</v>
      </c>
      <c r="BA66" s="37"/>
      <c r="BB66" s="37"/>
      <c r="BC66" s="37"/>
      <c r="BD66" s="37"/>
      <c r="BE66" s="37" t="s">
        <v>5</v>
      </c>
      <c r="BF66" s="57">
        <v>16.527000000000001</v>
      </c>
      <c r="BG66" s="57">
        <v>49.478999999999999</v>
      </c>
      <c r="BH66" s="57">
        <v>477.13</v>
      </c>
      <c r="BI66" s="57">
        <v>1699.3</v>
      </c>
      <c r="BJ66" s="57">
        <v>1770.1</v>
      </c>
      <c r="BK66" s="57">
        <v>1770.1</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sheetPr codeName="Sheet22"/>
  <dimension ref="A1:BP150"/>
  <sheetViews>
    <sheetView topLeftCell="A4" workbookViewId="0">
      <pane xSplit="8" topLeftCell="BK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0.65477502295684109</v>
      </c>
      <c r="E2" t="s">
        <v>119</v>
      </c>
      <c r="G2" s="103">
        <f>C2*12</f>
        <v>7.8573002754820926</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285220</v>
      </c>
      <c r="N4" s="10">
        <v>100</v>
      </c>
      <c r="O4" s="2">
        <f>L5/$L$4</f>
        <v>0.11951476053572681</v>
      </c>
      <c r="P4" s="32">
        <v>2.5106E-3</v>
      </c>
      <c r="Q4" s="9">
        <f t="shared" ref="Q4:Q9" si="0">2/((P4/(N4*0.35))*3600)</f>
        <v>7.7449392354195998</v>
      </c>
      <c r="S4" s="7"/>
      <c r="T4" s="26">
        <v>100</v>
      </c>
      <c r="U4" s="4" t="s">
        <v>0</v>
      </c>
      <c r="V4" s="5">
        <v>285220</v>
      </c>
      <c r="X4" s="24">
        <v>100</v>
      </c>
      <c r="Y4" s="22">
        <f>V5/$V$4</f>
        <v>0.24719865367085056</v>
      </c>
      <c r="Z4" s="33">
        <v>9.8198999999999995E-3</v>
      </c>
      <c r="AA4" s="9">
        <f>2/((Z4/(X4*0.35))*3600)</f>
        <v>1.9801061563197635</v>
      </c>
      <c r="AD4" s="26">
        <v>100</v>
      </c>
      <c r="AE4" s="4" t="s">
        <v>0</v>
      </c>
      <c r="AF4" s="5">
        <v>285220</v>
      </c>
      <c r="AH4" s="10">
        <v>100</v>
      </c>
      <c r="AI4" s="2">
        <f>AF5/$AF$4</f>
        <v>0.69108056938503615</v>
      </c>
      <c r="AJ4" s="32">
        <v>3.3903000000000003E-2</v>
      </c>
      <c r="AK4" s="9">
        <f t="shared" ref="AK4:AK9" si="1">2/((AJ4/(AH4*0.35))*3600)</f>
        <v>0.57353167697385021</v>
      </c>
      <c r="AN4" s="26">
        <v>100</v>
      </c>
      <c r="AO4" s="4" t="s">
        <v>0</v>
      </c>
      <c r="AP4" s="5">
        <v>285220</v>
      </c>
      <c r="AR4" s="10">
        <v>100</v>
      </c>
      <c r="AS4" s="2">
        <f>AP5/AP$4</f>
        <v>0.29960732066475004</v>
      </c>
      <c r="AT4" s="32">
        <v>3.3833000000000001E-3</v>
      </c>
      <c r="AU4" s="9">
        <f t="shared" ref="AU4:AU9" si="2">2/((AT4/(AR4*0.35))*3600)</f>
        <v>5.7471830592748043</v>
      </c>
      <c r="AW4" s="7"/>
      <c r="AX4" s="26">
        <v>100</v>
      </c>
      <c r="AY4" s="4" t="s">
        <v>0</v>
      </c>
      <c r="AZ4" s="5">
        <v>285220</v>
      </c>
      <c r="BB4" s="24">
        <v>100</v>
      </c>
      <c r="BC4" s="2">
        <f>AZ5/AZ$4</f>
        <v>0.49221653460486642</v>
      </c>
      <c r="BD4" s="33">
        <v>1.3620999999999999E-2</v>
      </c>
      <c r="BE4" s="9">
        <f t="shared" ref="BE4:BE9" si="3">2/((BD4/(BB4*0.35))*3600)</f>
        <v>1.4275342812160963</v>
      </c>
      <c r="BH4" s="26">
        <v>100</v>
      </c>
      <c r="BI4" s="4" t="s">
        <v>0</v>
      </c>
      <c r="BJ4" s="5">
        <v>285220</v>
      </c>
      <c r="BL4" s="10">
        <v>100</v>
      </c>
      <c r="BM4" s="2">
        <f>BJ5/BJ$4</f>
        <v>0.8731505504522824</v>
      </c>
      <c r="BN4" s="32">
        <v>4.4840999999999999E-2</v>
      </c>
      <c r="BO4" s="9">
        <f t="shared" ref="BO4:BO7" si="4">2/((BN4/(BL4*0.35))*3600)</f>
        <v>0.43363092804452269</v>
      </c>
      <c r="BP4" s="12"/>
    </row>
    <row r="5" spans="1:68">
      <c r="J5" s="26"/>
      <c r="K5" s="4" t="s">
        <v>1</v>
      </c>
      <c r="L5" s="5">
        <v>34088</v>
      </c>
      <c r="N5" s="10">
        <v>200</v>
      </c>
      <c r="O5" s="2">
        <f>L12/$L$4</f>
        <v>0.21534254259869573</v>
      </c>
      <c r="P5" s="32">
        <v>4.5186000000000002E-3</v>
      </c>
      <c r="Q5" s="9">
        <f t="shared" si="0"/>
        <v>8.6064021796328252</v>
      </c>
      <c r="S5" s="7"/>
      <c r="T5" s="26"/>
      <c r="U5" s="4" t="s">
        <v>1</v>
      </c>
      <c r="V5" s="5">
        <v>70506</v>
      </c>
      <c r="X5" s="24">
        <v>200</v>
      </c>
      <c r="Y5" s="22">
        <f>V12/$V$4</f>
        <v>0.41525839702685646</v>
      </c>
      <c r="Z5" s="33">
        <v>1.6572E-2</v>
      </c>
      <c r="AA5" s="9">
        <f t="shared" ref="AA5:AA9" si="5">2/((Z5/(X5*0.35))*3600)</f>
        <v>2.3466623756268938</v>
      </c>
      <c r="AD5" s="26"/>
      <c r="AE5" s="4" t="s">
        <v>1</v>
      </c>
      <c r="AF5" s="5">
        <v>197110</v>
      </c>
      <c r="AH5" s="10">
        <v>200</v>
      </c>
      <c r="AI5" s="2">
        <f>AF12/$AF$4</f>
        <v>0.83826519879391348</v>
      </c>
      <c r="AJ5" s="32">
        <v>4.2653999999999997E-2</v>
      </c>
      <c r="AK5" s="9">
        <f t="shared" si="1"/>
        <v>0.91172900288106362</v>
      </c>
      <c r="AN5" s="26"/>
      <c r="AO5" s="4" t="s">
        <v>1</v>
      </c>
      <c r="AP5" s="5">
        <v>85454</v>
      </c>
      <c r="AR5" s="10">
        <v>200</v>
      </c>
      <c r="AS5" s="2">
        <f>AP12/AP$4</f>
        <v>0.49568753944323679</v>
      </c>
      <c r="AT5" s="32">
        <v>5.8409999999999998E-3</v>
      </c>
      <c r="AU5" s="9">
        <f t="shared" si="2"/>
        <v>6.6579162624360366</v>
      </c>
      <c r="AW5" s="7"/>
      <c r="AX5" s="26"/>
      <c r="AY5" s="4" t="s">
        <v>1</v>
      </c>
      <c r="AZ5" s="5">
        <v>140390</v>
      </c>
      <c r="BB5" s="24">
        <v>200</v>
      </c>
      <c r="BC5" s="2">
        <f>AZ12/AZ$4</f>
        <v>0.72961222915644064</v>
      </c>
      <c r="BD5" s="33">
        <v>2.1503999999999999E-2</v>
      </c>
      <c r="BE5" s="9">
        <f t="shared" si="3"/>
        <v>1.808449074074074</v>
      </c>
      <c r="BH5" s="26"/>
      <c r="BI5" s="4" t="s">
        <v>1</v>
      </c>
      <c r="BJ5" s="5">
        <v>249040</v>
      </c>
      <c r="BL5" s="10">
        <v>200</v>
      </c>
      <c r="BM5" s="2">
        <f>BJ12/BJ$4</f>
        <v>0.96108267302433215</v>
      </c>
      <c r="BN5" s="32">
        <v>5.1346999999999997E-2</v>
      </c>
      <c r="BO5" s="9">
        <f t="shared" si="4"/>
        <v>0.75737411901160523</v>
      </c>
      <c r="BP5" s="12"/>
    </row>
    <row r="6" spans="1:68">
      <c r="J6" s="26"/>
      <c r="K6" s="4" t="s">
        <v>2</v>
      </c>
      <c r="L6" s="5">
        <v>251130</v>
      </c>
      <c r="N6" s="10">
        <v>400</v>
      </c>
      <c r="O6" s="2">
        <f>L19/L$4</f>
        <v>0.37378164224107707</v>
      </c>
      <c r="P6" s="32">
        <v>7.8989000000000004E-3</v>
      </c>
      <c r="Q6" s="9">
        <f t="shared" si="0"/>
        <v>9.8466593801387265</v>
      </c>
      <c r="S6" s="7"/>
      <c r="T6" s="26"/>
      <c r="U6" s="4" t="s">
        <v>2</v>
      </c>
      <c r="V6" s="5">
        <v>214720</v>
      </c>
      <c r="X6" s="24">
        <v>400</v>
      </c>
      <c r="Y6" s="22">
        <f>V19/$V$4</f>
        <v>0.64122431807026159</v>
      </c>
      <c r="Z6" s="33">
        <v>2.6726E-2</v>
      </c>
      <c r="AA6" s="9">
        <f t="shared" si="5"/>
        <v>2.9101914906000812</v>
      </c>
      <c r="AD6" s="26"/>
      <c r="AE6" s="4" t="s">
        <v>2</v>
      </c>
      <c r="AF6" s="5">
        <v>88114</v>
      </c>
      <c r="AH6" s="10">
        <v>400</v>
      </c>
      <c r="AI6" s="2">
        <f>AF19/$AF$4</f>
        <v>0.93867891452212326</v>
      </c>
      <c r="AJ6" s="32">
        <v>4.956E-2</v>
      </c>
      <c r="AK6" s="9">
        <f t="shared" si="1"/>
        <v>1.5693659761456371</v>
      </c>
      <c r="AN6" s="26"/>
      <c r="AO6" s="4" t="s">
        <v>2</v>
      </c>
      <c r="AP6" s="5">
        <v>199770</v>
      </c>
      <c r="AR6" s="10">
        <v>400</v>
      </c>
      <c r="AS6" s="2">
        <f>AP19/AP$4</f>
        <v>0.7451791599467078</v>
      </c>
      <c r="AT6" s="32">
        <v>9.5913000000000005E-3</v>
      </c>
      <c r="AU6" s="9">
        <f t="shared" si="2"/>
        <v>8.1092008150905279</v>
      </c>
      <c r="AW6" s="7"/>
      <c r="AX6" s="26"/>
      <c r="AY6" s="4" t="s">
        <v>2</v>
      </c>
      <c r="AZ6" s="5">
        <v>144830</v>
      </c>
      <c r="BB6" s="24">
        <v>400</v>
      </c>
      <c r="BC6" s="2">
        <f>AZ19/AZ$4</f>
        <v>0.90961363158263797</v>
      </c>
      <c r="BD6" s="33">
        <v>3.1182000000000001E-2</v>
      </c>
      <c r="BE6" s="9">
        <f t="shared" si="3"/>
        <v>2.4943165216399774</v>
      </c>
      <c r="BH6" s="26"/>
      <c r="BI6" s="4" t="s">
        <v>2</v>
      </c>
      <c r="BJ6" s="5">
        <v>36188</v>
      </c>
      <c r="BL6" s="10">
        <v>400</v>
      </c>
      <c r="BM6" s="2">
        <f>BJ19/BJ$4</f>
        <v>0.9977210574293528</v>
      </c>
      <c r="BN6" s="32">
        <v>5.4726999999999998E-2</v>
      </c>
      <c r="BO6" s="9">
        <f t="shared" si="4"/>
        <v>1.4211957128616182</v>
      </c>
      <c r="BP6" s="12"/>
    </row>
    <row r="7" spans="1:68">
      <c r="J7" s="26"/>
      <c r="K7" s="4" t="s">
        <v>3</v>
      </c>
      <c r="L7" s="5">
        <v>33944</v>
      </c>
      <c r="N7" s="10">
        <v>600</v>
      </c>
      <c r="O7" s="2">
        <f>L26/$L$4</f>
        <v>0.49708996564055818</v>
      </c>
      <c r="P7" s="32">
        <v>1.0754E-2</v>
      </c>
      <c r="Q7" s="9">
        <f t="shared" si="0"/>
        <v>10.848676461471699</v>
      </c>
      <c r="S7" s="7"/>
      <c r="T7" s="26"/>
      <c r="U7" s="4" t="s">
        <v>3</v>
      </c>
      <c r="V7" s="5">
        <v>70445</v>
      </c>
      <c r="X7" s="24">
        <v>600</v>
      </c>
      <c r="Y7" s="22">
        <f>V26/$V$4</f>
        <v>0.77189537900567984</v>
      </c>
      <c r="Z7" s="33">
        <v>3.3459000000000003E-2</v>
      </c>
      <c r="AA7" s="9">
        <f t="shared" si="5"/>
        <v>3.4868545583151516</v>
      </c>
      <c r="AD7" s="26"/>
      <c r="AE7" s="4" t="s">
        <v>3</v>
      </c>
      <c r="AF7" s="5">
        <v>197070</v>
      </c>
      <c r="AH7" s="10">
        <v>600</v>
      </c>
      <c r="AI7" s="2">
        <f>AF26/$AF$4</f>
        <v>0.9760185120258047</v>
      </c>
      <c r="AJ7" s="32">
        <v>5.2442999999999997E-2</v>
      </c>
      <c r="AK7" s="9">
        <f t="shared" si="1"/>
        <v>2.2246375429831757</v>
      </c>
      <c r="AN7" s="26"/>
      <c r="AO7" s="4" t="s">
        <v>3</v>
      </c>
      <c r="AP7" s="5">
        <v>85218</v>
      </c>
      <c r="AR7" s="10">
        <v>600</v>
      </c>
      <c r="AS7" s="2">
        <f>AP26/AP$4</f>
        <v>0.87329079307201463</v>
      </c>
      <c r="AT7" s="32">
        <v>1.2449999999999999E-2</v>
      </c>
      <c r="AU7" s="9">
        <f t="shared" si="2"/>
        <v>9.3708165997322634</v>
      </c>
      <c r="AW7" s="7"/>
      <c r="AX7" s="26"/>
      <c r="AY7" s="4" t="s">
        <v>3</v>
      </c>
      <c r="AZ7" s="5">
        <v>140310</v>
      </c>
      <c r="BB7" s="24">
        <v>600</v>
      </c>
      <c r="BC7" s="2">
        <f>AZ26/AZ$4</f>
        <v>0.97391487272982258</v>
      </c>
      <c r="BD7" s="33">
        <v>3.6879000000000002E-2</v>
      </c>
      <c r="BE7" s="9">
        <f t="shared" si="3"/>
        <v>3.1634986487341488</v>
      </c>
      <c r="BH7" s="26"/>
      <c r="BI7" s="4" t="s">
        <v>3</v>
      </c>
      <c r="BJ7" s="5">
        <v>249000</v>
      </c>
      <c r="BL7" s="10">
        <v>600</v>
      </c>
      <c r="BM7" s="2">
        <f>BJ26/BJ$4</f>
        <v>1</v>
      </c>
      <c r="BN7" s="32">
        <v>5.4919000000000003E-2</v>
      </c>
      <c r="BO7" s="9">
        <f t="shared" si="4"/>
        <v>2.1243406956912301</v>
      </c>
      <c r="BP7" s="12"/>
    </row>
    <row r="8" spans="1:68">
      <c r="J8" s="26"/>
      <c r="K8" s="4" t="s">
        <v>4</v>
      </c>
      <c r="L8" s="5">
        <v>0</v>
      </c>
      <c r="N8" s="10">
        <v>800</v>
      </c>
      <c r="O8" s="2">
        <f>L33/$L$4</f>
        <v>0.59547016338265202</v>
      </c>
      <c r="P8" s="32">
        <v>1.3263E-2</v>
      </c>
      <c r="Q8" s="9">
        <f t="shared" si="0"/>
        <v>11.728534687141337</v>
      </c>
      <c r="S8" s="7"/>
      <c r="T8" s="26"/>
      <c r="U8" s="4" t="s">
        <v>4</v>
      </c>
      <c r="V8" s="5">
        <v>0</v>
      </c>
      <c r="X8" s="24">
        <v>800</v>
      </c>
      <c r="Y8" s="22">
        <f>V33/$V$4</f>
        <v>0.84527732978052028</v>
      </c>
      <c r="Z8" s="33">
        <v>3.8237E-2</v>
      </c>
      <c r="AA8" s="9">
        <f t="shared" si="5"/>
        <v>4.0681945643108914</v>
      </c>
      <c r="AD8" s="26"/>
      <c r="AE8" s="4" t="s">
        <v>4</v>
      </c>
      <c r="AF8" s="5">
        <v>0</v>
      </c>
      <c r="AH8" s="10">
        <v>800</v>
      </c>
      <c r="AI8" s="2">
        <f>AF33/$AF$4</f>
        <v>0.99246195918939761</v>
      </c>
      <c r="AJ8" s="32">
        <v>5.4036000000000001E-2</v>
      </c>
      <c r="AK8" s="9">
        <f t="shared" si="1"/>
        <v>2.8787392766961939</v>
      </c>
      <c r="AN8" s="26"/>
      <c r="AO8" s="4" t="s">
        <v>4</v>
      </c>
      <c r="AP8" s="5">
        <v>0</v>
      </c>
      <c r="AR8" s="10">
        <v>800</v>
      </c>
      <c r="AS8" s="2">
        <f>AP33/AP$4</f>
        <v>0.93787251945866346</v>
      </c>
      <c r="AT8" s="32">
        <v>1.4756E-2</v>
      </c>
      <c r="AU8" s="9">
        <f t="shared" si="2"/>
        <v>10.541851149061776</v>
      </c>
      <c r="AW8" s="7"/>
      <c r="AX8" s="26"/>
      <c r="AY8" s="4" t="s">
        <v>4</v>
      </c>
      <c r="AZ8" s="5">
        <v>0</v>
      </c>
      <c r="BB8" s="24">
        <v>800</v>
      </c>
      <c r="BC8" s="2">
        <f>AZ33/AZ$4</f>
        <v>0.99586284271790193</v>
      </c>
      <c r="BD8" s="33">
        <v>4.0833000000000001E-2</v>
      </c>
      <c r="BE8" s="9">
        <f t="shared" si="3"/>
        <v>3.8095549079312208</v>
      </c>
      <c r="BH8" s="26"/>
      <c r="BI8" s="4" t="s">
        <v>4</v>
      </c>
      <c r="BJ8" s="5">
        <v>0</v>
      </c>
      <c r="BL8" s="10">
        <v>800</v>
      </c>
      <c r="BM8" s="2">
        <f>BJ33/BJ$4</f>
        <v>1</v>
      </c>
      <c r="BN8" s="32">
        <v>5.4906000000000003E-2</v>
      </c>
      <c r="BO8" s="9">
        <f>2/((BN8/(BL8*0.35))*3600)</f>
        <v>2.8331248962873921</v>
      </c>
      <c r="BP8" s="12"/>
    </row>
    <row r="9" spans="1:68">
      <c r="J9" s="26"/>
      <c r="K9" s="4" t="s">
        <v>5</v>
      </c>
      <c r="L9" s="5">
        <v>14.412000000000001</v>
      </c>
      <c r="M9" s="1"/>
      <c r="N9" s="10">
        <v>1000</v>
      </c>
      <c r="O9" s="2">
        <f>L40/$L$4</f>
        <v>0.67463712222144312</v>
      </c>
      <c r="P9" s="32">
        <v>1.5518000000000001E-2</v>
      </c>
      <c r="Q9" s="9">
        <f t="shared" si="0"/>
        <v>12.530251607452279</v>
      </c>
      <c r="S9" s="7"/>
      <c r="T9" s="26"/>
      <c r="U9" s="4" t="s">
        <v>5</v>
      </c>
      <c r="V9" s="5">
        <v>4.6260000000000003</v>
      </c>
      <c r="W9" s="1"/>
      <c r="X9" s="24">
        <v>1000</v>
      </c>
      <c r="Y9" s="22">
        <f>V40/$V$4</f>
        <v>0.89267933524998244</v>
      </c>
      <c r="Z9" s="33">
        <v>4.1442E-2</v>
      </c>
      <c r="AA9" s="9">
        <f t="shared" si="5"/>
        <v>4.6919657459689308</v>
      </c>
      <c r="AD9" s="26"/>
      <c r="AE9" s="4" t="s">
        <v>5</v>
      </c>
      <c r="AF9" s="5">
        <v>5.1506999999999997E-2</v>
      </c>
      <c r="AG9" s="1"/>
      <c r="AH9" s="10">
        <v>1000</v>
      </c>
      <c r="AI9" s="2">
        <f>AF40/$AF$4</f>
        <v>0.99733539022508944</v>
      </c>
      <c r="AJ9" s="32">
        <v>5.4636999999999998E-2</v>
      </c>
      <c r="AK9" s="9">
        <f t="shared" si="1"/>
        <v>3.5588418918396774</v>
      </c>
      <c r="AN9" s="26"/>
      <c r="AO9" s="4" t="s">
        <v>5</v>
      </c>
      <c r="AP9" s="5">
        <v>14.412000000000001</v>
      </c>
      <c r="AQ9" s="1"/>
      <c r="AR9" s="10">
        <v>1000</v>
      </c>
      <c r="AS9" s="2">
        <f>AP40/AP$4</f>
        <v>0.97047892854638529</v>
      </c>
      <c r="AT9" s="32">
        <v>1.6875000000000001E-2</v>
      </c>
      <c r="AU9" s="9">
        <f t="shared" si="2"/>
        <v>11.522633744855968</v>
      </c>
      <c r="AW9" s="7"/>
      <c r="AX9" s="26"/>
      <c r="AY9" s="4" t="s">
        <v>5</v>
      </c>
      <c r="AZ9" s="5">
        <v>4.6260000000000003</v>
      </c>
      <c r="BA9" s="1"/>
      <c r="BB9" s="24">
        <v>1000</v>
      </c>
      <c r="BC9" s="2">
        <f>AZ40/AZ$4</f>
        <v>0.99961433279573664</v>
      </c>
      <c r="BD9" s="33">
        <v>4.3331000000000001E-2</v>
      </c>
      <c r="BE9" s="9">
        <f t="shared" si="3"/>
        <v>4.4874211175473544</v>
      </c>
      <c r="BH9" s="26"/>
      <c r="BI9" s="4" t="s">
        <v>5</v>
      </c>
      <c r="BJ9" s="5">
        <v>5.1506999999999997E-2</v>
      </c>
      <c r="BK9" s="1"/>
      <c r="BL9" s="10">
        <v>1000</v>
      </c>
      <c r="BM9" s="2">
        <f>BJ40/BJ$4</f>
        <v>1</v>
      </c>
      <c r="BN9" s="32">
        <v>5.4894999999999999E-2</v>
      </c>
      <c r="BO9" s="9">
        <f t="shared" ref="BO9" si="6">2/((BN9/(BL9*0.35))*3600)</f>
        <v>3.5421157563429171</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285220</v>
      </c>
      <c r="S11" s="7"/>
      <c r="T11" s="26">
        <v>200</v>
      </c>
      <c r="U11" s="4" t="s">
        <v>0</v>
      </c>
      <c r="V11" s="5">
        <v>285220</v>
      </c>
      <c r="AD11" s="26">
        <v>200</v>
      </c>
      <c r="AE11" s="4" t="s">
        <v>0</v>
      </c>
      <c r="AF11" s="5">
        <v>285220</v>
      </c>
      <c r="AN11" s="26">
        <v>200</v>
      </c>
      <c r="AO11" s="4" t="s">
        <v>0</v>
      </c>
      <c r="AP11" s="5">
        <v>285220</v>
      </c>
      <c r="AW11" s="7"/>
      <c r="AX11" s="26">
        <v>200</v>
      </c>
      <c r="AY11" s="4" t="s">
        <v>0</v>
      </c>
      <c r="AZ11" s="5">
        <v>285220</v>
      </c>
      <c r="BH11" s="26">
        <v>200</v>
      </c>
      <c r="BI11" s="4" t="s">
        <v>0</v>
      </c>
      <c r="BJ11" s="5">
        <v>285220</v>
      </c>
      <c r="BP11" s="12"/>
    </row>
    <row r="12" spans="1:68">
      <c r="J12" s="26"/>
      <c r="K12" s="4" t="s">
        <v>1</v>
      </c>
      <c r="L12" s="5">
        <v>61420</v>
      </c>
      <c r="S12" s="7"/>
      <c r="T12" s="26"/>
      <c r="U12" s="4" t="s">
        <v>1</v>
      </c>
      <c r="V12" s="5">
        <v>118440</v>
      </c>
      <c r="AD12" s="26"/>
      <c r="AE12" s="4" t="s">
        <v>1</v>
      </c>
      <c r="AF12" s="5">
        <v>239090</v>
      </c>
      <c r="AN12" s="26"/>
      <c r="AO12" s="4" t="s">
        <v>1</v>
      </c>
      <c r="AP12" s="5">
        <v>141380</v>
      </c>
      <c r="AW12" s="7"/>
      <c r="AX12" s="26"/>
      <c r="AY12" s="4" t="s">
        <v>1</v>
      </c>
      <c r="AZ12" s="5">
        <v>208100</v>
      </c>
      <c r="BH12" s="26"/>
      <c r="BI12" s="4" t="s">
        <v>1</v>
      </c>
      <c r="BJ12" s="5">
        <v>274120</v>
      </c>
      <c r="BP12" s="12"/>
    </row>
    <row r="13" spans="1:68">
      <c r="J13" s="26"/>
      <c r="K13" s="4" t="s">
        <v>2</v>
      </c>
      <c r="L13" s="5">
        <v>223800</v>
      </c>
      <c r="T13" s="26"/>
      <c r="U13" s="4" t="s">
        <v>2</v>
      </c>
      <c r="V13" s="5">
        <v>166780</v>
      </c>
      <c r="AD13" s="26"/>
      <c r="AE13" s="4" t="s">
        <v>2</v>
      </c>
      <c r="AF13" s="5">
        <v>46133</v>
      </c>
      <c r="AN13" s="26"/>
      <c r="AO13" s="4" t="s">
        <v>2</v>
      </c>
      <c r="AP13" s="5">
        <v>143840</v>
      </c>
      <c r="AX13" s="26"/>
      <c r="AY13" s="4" t="s">
        <v>2</v>
      </c>
      <c r="AZ13" s="5">
        <v>77121</v>
      </c>
      <c r="BH13" s="26"/>
      <c r="BI13" s="4" t="s">
        <v>2</v>
      </c>
      <c r="BJ13" s="5">
        <v>11101</v>
      </c>
    </row>
    <row r="14" spans="1:68">
      <c r="J14" s="26"/>
      <c r="K14" s="4" t="s">
        <v>3</v>
      </c>
      <c r="L14" s="5">
        <v>61176</v>
      </c>
      <c r="T14" s="26"/>
      <c r="U14" s="4" t="s">
        <v>3</v>
      </c>
      <c r="V14" s="5">
        <v>118340</v>
      </c>
      <c r="AD14" s="26"/>
      <c r="AE14" s="4" t="s">
        <v>3</v>
      </c>
      <c r="AF14" s="5">
        <v>239020</v>
      </c>
      <c r="AN14" s="26"/>
      <c r="AO14" s="4" t="s">
        <v>3</v>
      </c>
      <c r="AP14" s="5">
        <v>141000</v>
      </c>
      <c r="AX14" s="26"/>
      <c r="AY14" s="4" t="s">
        <v>3</v>
      </c>
      <c r="AZ14" s="5">
        <v>207980</v>
      </c>
      <c r="BH14" s="26"/>
      <c r="BI14" s="4" t="s">
        <v>3</v>
      </c>
      <c r="BJ14" s="5">
        <v>274050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10.4</v>
      </c>
      <c r="T16" s="26"/>
      <c r="U16" s="4" t="s">
        <v>5</v>
      </c>
      <c r="V16" s="5">
        <v>0.70057999999999998</v>
      </c>
      <c r="AD16" s="26"/>
      <c r="AE16" s="4" t="s">
        <v>5</v>
      </c>
      <c r="AF16" s="5">
        <v>4.9152000000000001E-2</v>
      </c>
      <c r="AN16" s="26"/>
      <c r="AO16" s="4" t="s">
        <v>5</v>
      </c>
      <c r="AP16" s="5">
        <v>10.4</v>
      </c>
      <c r="AX16" s="26"/>
      <c r="AY16" s="4" t="s">
        <v>5</v>
      </c>
      <c r="AZ16" s="5">
        <v>0.70057999999999998</v>
      </c>
      <c r="BH16" s="26"/>
      <c r="BI16" s="4" t="s">
        <v>5</v>
      </c>
      <c r="BJ16" s="5">
        <v>4.9152000000000001E-2</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285220</v>
      </c>
      <c r="T18" s="26">
        <v>400</v>
      </c>
      <c r="U18" s="4" t="s">
        <v>0</v>
      </c>
      <c r="V18" s="5">
        <v>285220</v>
      </c>
      <c r="AD18" s="26">
        <v>400</v>
      </c>
      <c r="AE18" s="4" t="s">
        <v>0</v>
      </c>
      <c r="AF18" s="5">
        <v>285220</v>
      </c>
      <c r="AN18" s="26">
        <v>400</v>
      </c>
      <c r="AO18" s="4" t="s">
        <v>0</v>
      </c>
      <c r="AP18" s="5">
        <v>285220</v>
      </c>
      <c r="AX18" s="26">
        <v>400</v>
      </c>
      <c r="AY18" s="4" t="s">
        <v>0</v>
      </c>
      <c r="AZ18" s="5">
        <v>285220</v>
      </c>
      <c r="BH18" s="26">
        <v>400</v>
      </c>
      <c r="BI18" s="4" t="s">
        <v>0</v>
      </c>
      <c r="BJ18" s="5">
        <v>285220</v>
      </c>
    </row>
    <row r="19" spans="1:62">
      <c r="J19" s="26"/>
      <c r="K19" s="4" t="s">
        <v>1</v>
      </c>
      <c r="L19" s="5">
        <v>106610</v>
      </c>
      <c r="T19" s="26"/>
      <c r="U19" s="4" t="s">
        <v>1</v>
      </c>
      <c r="V19" s="5">
        <v>182890</v>
      </c>
      <c r="AD19" s="26"/>
      <c r="AE19" s="4" t="s">
        <v>1</v>
      </c>
      <c r="AF19" s="5">
        <v>267730</v>
      </c>
      <c r="AN19" s="26"/>
      <c r="AO19" s="4" t="s">
        <v>1</v>
      </c>
      <c r="AP19" s="5">
        <v>212540</v>
      </c>
      <c r="AX19" s="26"/>
      <c r="AY19" s="4" t="s">
        <v>1</v>
      </c>
      <c r="AZ19" s="5">
        <v>259440</v>
      </c>
      <c r="BH19" s="26"/>
      <c r="BI19" s="4" t="s">
        <v>1</v>
      </c>
      <c r="BJ19" s="5">
        <v>284570</v>
      </c>
    </row>
    <row r="20" spans="1:62">
      <c r="J20" s="26"/>
      <c r="K20" s="4" t="s">
        <v>2</v>
      </c>
      <c r="L20" s="5">
        <v>178620</v>
      </c>
      <c r="T20" s="26"/>
      <c r="U20" s="4" t="s">
        <v>2</v>
      </c>
      <c r="V20" s="5">
        <v>102330</v>
      </c>
      <c r="AD20" s="26"/>
      <c r="AE20" s="4" t="s">
        <v>2</v>
      </c>
      <c r="AF20" s="5">
        <v>17491</v>
      </c>
      <c r="AN20" s="26"/>
      <c r="AO20" s="4" t="s">
        <v>2</v>
      </c>
      <c r="AP20" s="5">
        <v>72682</v>
      </c>
      <c r="AX20" s="26"/>
      <c r="AY20" s="4" t="s">
        <v>2</v>
      </c>
      <c r="AZ20" s="5">
        <v>25779</v>
      </c>
      <c r="BH20" s="26"/>
      <c r="BI20" s="4" t="s">
        <v>2</v>
      </c>
      <c r="BJ20" s="5">
        <v>648.29999999999995</v>
      </c>
    </row>
    <row r="21" spans="1:62">
      <c r="J21" s="26"/>
      <c r="K21" s="4" t="s">
        <v>3</v>
      </c>
      <c r="L21" s="5">
        <v>106180</v>
      </c>
      <c r="T21" s="26"/>
      <c r="U21" s="4" t="s">
        <v>3</v>
      </c>
      <c r="V21" s="5">
        <v>182720</v>
      </c>
      <c r="AD21" s="26"/>
      <c r="AE21" s="4" t="s">
        <v>3</v>
      </c>
      <c r="AF21" s="5">
        <v>267610</v>
      </c>
      <c r="AN21" s="26"/>
      <c r="AO21" s="4" t="s">
        <v>3</v>
      </c>
      <c r="AP21" s="5">
        <v>211920</v>
      </c>
      <c r="AX21" s="26"/>
      <c r="AY21" s="4" t="s">
        <v>3</v>
      </c>
      <c r="AZ21" s="5">
        <v>259250</v>
      </c>
      <c r="BH21" s="26"/>
      <c r="BI21" s="4" t="s">
        <v>3</v>
      </c>
      <c r="BJ21" s="5">
        <v>284450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7.3688000000000002</v>
      </c>
      <c r="T23" s="26"/>
      <c r="U23" s="4" t="s">
        <v>5</v>
      </c>
      <c r="V23" s="5">
        <v>0.69699999999999995</v>
      </c>
      <c r="AD23" s="26"/>
      <c r="AE23" s="4" t="s">
        <v>5</v>
      </c>
      <c r="AF23" s="5">
        <v>4.4259E-2</v>
      </c>
      <c r="AN23" s="26"/>
      <c r="AO23" s="4" t="s">
        <v>5</v>
      </c>
      <c r="AP23" s="5">
        <v>7.3688000000000002</v>
      </c>
      <c r="AX23" s="26"/>
      <c r="AY23" s="4" t="s">
        <v>5</v>
      </c>
      <c r="AZ23" s="5">
        <v>0.69699999999999995</v>
      </c>
      <c r="BH23" s="26"/>
      <c r="BI23" s="4" t="s">
        <v>5</v>
      </c>
      <c r="BJ23" s="5">
        <v>4.4259E-2</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285220</v>
      </c>
      <c r="T25" s="26">
        <v>600</v>
      </c>
      <c r="U25" s="4" t="s">
        <v>0</v>
      </c>
      <c r="V25" s="5">
        <v>285220</v>
      </c>
      <c r="AD25" s="26">
        <v>600</v>
      </c>
      <c r="AE25" s="4" t="s">
        <v>0</v>
      </c>
      <c r="AF25" s="5">
        <v>285220</v>
      </c>
      <c r="AN25" s="26">
        <v>600</v>
      </c>
      <c r="AO25" s="4" t="s">
        <v>0</v>
      </c>
      <c r="AP25" s="5">
        <v>285220</v>
      </c>
      <c r="AX25" s="26">
        <v>600</v>
      </c>
      <c r="AY25" s="4" t="s">
        <v>0</v>
      </c>
      <c r="AZ25" s="5">
        <v>285220</v>
      </c>
      <c r="BH25" s="26">
        <v>600</v>
      </c>
      <c r="BI25" s="4" t="s">
        <v>0</v>
      </c>
      <c r="BJ25" s="5">
        <v>285220</v>
      </c>
    </row>
    <row r="26" spans="1:62">
      <c r="J26" s="26"/>
      <c r="K26" s="4" t="s">
        <v>1</v>
      </c>
      <c r="L26" s="5">
        <v>141780</v>
      </c>
      <c r="T26" s="26"/>
      <c r="U26" s="4" t="s">
        <v>1</v>
      </c>
      <c r="V26" s="5">
        <v>220160</v>
      </c>
      <c r="AD26" s="26"/>
      <c r="AE26" s="4" t="s">
        <v>1</v>
      </c>
      <c r="AF26" s="5">
        <v>278380</v>
      </c>
      <c r="AN26" s="26"/>
      <c r="AO26" s="4" t="s">
        <v>1</v>
      </c>
      <c r="AP26" s="5">
        <v>249080</v>
      </c>
      <c r="AX26" s="26"/>
      <c r="AY26" s="4" t="s">
        <v>1</v>
      </c>
      <c r="AZ26" s="5">
        <v>277780</v>
      </c>
      <c r="BH26" s="26"/>
      <c r="BI26" s="4" t="s">
        <v>1</v>
      </c>
      <c r="BJ26" s="5">
        <v>285220</v>
      </c>
    </row>
    <row r="27" spans="1:62">
      <c r="A27" s="120" t="s">
        <v>145</v>
      </c>
      <c r="J27" s="26"/>
      <c r="K27" s="4" t="s">
        <v>2</v>
      </c>
      <c r="L27" s="5">
        <v>143440</v>
      </c>
      <c r="T27" s="26"/>
      <c r="U27" s="4" t="s">
        <v>2</v>
      </c>
      <c r="V27" s="5">
        <v>65061</v>
      </c>
      <c r="AD27" s="26"/>
      <c r="AE27" s="4" t="s">
        <v>2</v>
      </c>
      <c r="AF27" s="5">
        <v>6846.5</v>
      </c>
      <c r="AN27" s="26"/>
      <c r="AO27" s="4" t="s">
        <v>2</v>
      </c>
      <c r="AP27" s="5">
        <v>36148</v>
      </c>
      <c r="AX27" s="26"/>
      <c r="AY27" s="4" t="s">
        <v>2</v>
      </c>
      <c r="AZ27" s="5">
        <v>7441.5</v>
      </c>
      <c r="BH27" s="26"/>
      <c r="BI27" s="4" t="s">
        <v>2</v>
      </c>
      <c r="BJ27" s="5">
        <v>0</v>
      </c>
    </row>
    <row r="28" spans="1:62">
      <c r="A28" s="199" t="str">
        <f>AH3</f>
        <v>Filter Area (ft2)</v>
      </c>
      <c r="B28" s="200" t="s">
        <v>11</v>
      </c>
      <c r="C28" s="200"/>
      <c r="D28" s="200"/>
      <c r="E28" s="200" t="s">
        <v>12</v>
      </c>
      <c r="F28" s="200"/>
      <c r="G28" s="200"/>
      <c r="H28" s="6"/>
      <c r="J28" s="26"/>
      <c r="K28" s="4" t="s">
        <v>3</v>
      </c>
      <c r="L28" s="5">
        <v>141200</v>
      </c>
      <c r="T28" s="26"/>
      <c r="U28" s="4" t="s">
        <v>3</v>
      </c>
      <c r="V28" s="5">
        <v>219920</v>
      </c>
      <c r="AD28" s="26"/>
      <c r="AE28" s="4" t="s">
        <v>3</v>
      </c>
      <c r="AF28" s="5">
        <v>278200</v>
      </c>
      <c r="AN28" s="26"/>
      <c r="AO28" s="4" t="s">
        <v>3</v>
      </c>
      <c r="AP28" s="5">
        <v>248300</v>
      </c>
      <c r="AX28" s="26"/>
      <c r="AY28" s="4" t="s">
        <v>3</v>
      </c>
      <c r="AZ28" s="5">
        <v>277520</v>
      </c>
      <c r="BH28" s="26"/>
      <c r="BI28" s="4" t="s">
        <v>3</v>
      </c>
      <c r="BJ28" s="5">
        <v>285040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0.11951476053572681</v>
      </c>
      <c r="C30" s="2">
        <f t="shared" ref="C30:C35" si="8">Y4</f>
        <v>0.24719865367085056</v>
      </c>
      <c r="D30" s="2">
        <f t="shared" ref="D30:D35" si="9">AI4</f>
        <v>0.69108056938503615</v>
      </c>
      <c r="E30" s="11">
        <f t="shared" ref="E30:E35" si="10">Q4</f>
        <v>7.7449392354195998</v>
      </c>
      <c r="F30" s="11">
        <f t="shared" ref="F30:F35" si="11">AA4</f>
        <v>1.9801061563197635</v>
      </c>
      <c r="G30" s="9">
        <f t="shared" ref="G30:G35" si="12">AK4</f>
        <v>0.57353167697385021</v>
      </c>
      <c r="H30" s="12"/>
      <c r="J30" s="26"/>
      <c r="K30" s="4" t="s">
        <v>5</v>
      </c>
      <c r="L30" s="5">
        <v>5.4355000000000002</v>
      </c>
      <c r="T30" s="26"/>
      <c r="U30" s="4" t="s">
        <v>5</v>
      </c>
      <c r="V30" s="5">
        <v>0.69025000000000003</v>
      </c>
      <c r="AD30" s="26"/>
      <c r="AE30" s="4" t="s">
        <v>5</v>
      </c>
      <c r="AF30" s="5">
        <v>3.9571000000000002E-2</v>
      </c>
      <c r="AN30" s="26"/>
      <c r="AO30" s="4" t="s">
        <v>5</v>
      </c>
      <c r="AP30" s="5">
        <v>5.4355000000000002</v>
      </c>
      <c r="AX30" s="26"/>
      <c r="AY30" s="4" t="s">
        <v>5</v>
      </c>
      <c r="AZ30" s="5">
        <v>0.69025000000000003</v>
      </c>
      <c r="BH30" s="26"/>
      <c r="BI30" s="4" t="s">
        <v>5</v>
      </c>
      <c r="BJ30" s="5">
        <v>3.9571000000000002E-2</v>
      </c>
    </row>
    <row r="31" spans="1:62">
      <c r="A31" s="10">
        <v>200</v>
      </c>
      <c r="B31" s="2">
        <f t="shared" si="7"/>
        <v>0.21534254259869573</v>
      </c>
      <c r="C31" s="2">
        <f t="shared" si="8"/>
        <v>0.41525839702685646</v>
      </c>
      <c r="D31" s="2">
        <f t="shared" si="9"/>
        <v>0.83826519879391348</v>
      </c>
      <c r="E31" s="11">
        <f t="shared" si="10"/>
        <v>8.6064021796328252</v>
      </c>
      <c r="F31" s="11">
        <f t="shared" si="11"/>
        <v>2.3466623756268938</v>
      </c>
      <c r="G31" s="9">
        <f t="shared" si="12"/>
        <v>0.91172900288106362</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0.37378164224107707</v>
      </c>
      <c r="C32" s="2">
        <f t="shared" si="8"/>
        <v>0.64122431807026159</v>
      </c>
      <c r="D32" s="2">
        <f t="shared" si="9"/>
        <v>0.93867891452212326</v>
      </c>
      <c r="E32" s="11">
        <f t="shared" si="10"/>
        <v>9.8466593801387265</v>
      </c>
      <c r="F32" s="11">
        <f t="shared" si="11"/>
        <v>2.9101914906000812</v>
      </c>
      <c r="G32" s="9">
        <f t="shared" si="12"/>
        <v>1.5693659761456371</v>
      </c>
      <c r="H32" s="12"/>
      <c r="J32" s="26">
        <v>800</v>
      </c>
      <c r="K32" s="4" t="s">
        <v>0</v>
      </c>
      <c r="L32" s="5">
        <v>285220</v>
      </c>
      <c r="T32" s="26">
        <v>800</v>
      </c>
      <c r="U32" s="4" t="s">
        <v>0</v>
      </c>
      <c r="V32" s="5">
        <v>285220</v>
      </c>
      <c r="AD32" s="26">
        <v>800</v>
      </c>
      <c r="AE32" s="4" t="s">
        <v>0</v>
      </c>
      <c r="AF32" s="5">
        <v>285220</v>
      </c>
      <c r="AN32" s="26">
        <v>800</v>
      </c>
      <c r="AO32" s="4" t="s">
        <v>0</v>
      </c>
      <c r="AP32" s="5">
        <v>285220</v>
      </c>
      <c r="AX32" s="26">
        <v>800</v>
      </c>
      <c r="AY32" s="4" t="s">
        <v>0</v>
      </c>
      <c r="AZ32" s="5">
        <v>285220</v>
      </c>
      <c r="BH32" s="26">
        <v>800</v>
      </c>
      <c r="BI32" s="4" t="s">
        <v>0</v>
      </c>
      <c r="BJ32" s="5">
        <v>285220</v>
      </c>
    </row>
    <row r="33" spans="1:62">
      <c r="A33" s="10">
        <v>600</v>
      </c>
      <c r="B33" s="2">
        <f t="shared" si="7"/>
        <v>0.49708996564055818</v>
      </c>
      <c r="C33" s="2">
        <f t="shared" si="8"/>
        <v>0.77189537900567984</v>
      </c>
      <c r="D33" s="2">
        <f t="shared" si="9"/>
        <v>0.9760185120258047</v>
      </c>
      <c r="E33" s="11">
        <f t="shared" si="10"/>
        <v>10.848676461471699</v>
      </c>
      <c r="F33" s="11">
        <f t="shared" si="11"/>
        <v>3.4868545583151516</v>
      </c>
      <c r="G33" s="9">
        <f t="shared" si="12"/>
        <v>2.2246375429831757</v>
      </c>
      <c r="H33" s="12"/>
      <c r="J33" s="26"/>
      <c r="K33" s="4" t="s">
        <v>1</v>
      </c>
      <c r="L33" s="5">
        <v>169840</v>
      </c>
      <c r="T33" s="26"/>
      <c r="U33" s="4" t="s">
        <v>1</v>
      </c>
      <c r="V33" s="5">
        <v>241090</v>
      </c>
      <c r="AD33" s="26"/>
      <c r="AE33" s="4" t="s">
        <v>1</v>
      </c>
      <c r="AF33" s="5">
        <v>283070</v>
      </c>
      <c r="AN33" s="26"/>
      <c r="AO33" s="4" t="s">
        <v>1</v>
      </c>
      <c r="AP33" s="5">
        <v>267500</v>
      </c>
      <c r="AX33" s="26"/>
      <c r="AY33" s="4" t="s">
        <v>1</v>
      </c>
      <c r="AZ33" s="5">
        <v>284040</v>
      </c>
      <c r="BH33" s="26"/>
      <c r="BI33" s="4" t="s">
        <v>1</v>
      </c>
      <c r="BJ33" s="5">
        <v>285220</v>
      </c>
    </row>
    <row r="34" spans="1:62">
      <c r="A34" s="10">
        <v>800</v>
      </c>
      <c r="B34" s="2">
        <f t="shared" si="7"/>
        <v>0.59547016338265202</v>
      </c>
      <c r="C34" s="2">
        <f t="shared" si="8"/>
        <v>0.84527732978052028</v>
      </c>
      <c r="D34" s="2">
        <f t="shared" si="9"/>
        <v>0.99246195918939761</v>
      </c>
      <c r="E34" s="11">
        <f t="shared" si="10"/>
        <v>11.728534687141337</v>
      </c>
      <c r="F34" s="11">
        <f t="shared" si="11"/>
        <v>4.0681945643108914</v>
      </c>
      <c r="G34" s="9">
        <f t="shared" si="12"/>
        <v>2.8787392766961939</v>
      </c>
      <c r="H34" s="12"/>
      <c r="J34" s="26"/>
      <c r="K34" s="4" t="s">
        <v>2</v>
      </c>
      <c r="L34" s="5">
        <v>115380</v>
      </c>
      <c r="T34" s="26"/>
      <c r="U34" s="4" t="s">
        <v>2</v>
      </c>
      <c r="V34" s="5">
        <v>44137</v>
      </c>
      <c r="AD34" s="26"/>
      <c r="AE34" s="4" t="s">
        <v>2</v>
      </c>
      <c r="AF34" s="5">
        <v>2147.6999999999998</v>
      </c>
      <c r="AN34" s="26"/>
      <c r="AO34" s="4" t="s">
        <v>2</v>
      </c>
      <c r="AP34" s="5">
        <v>17723</v>
      </c>
      <c r="AX34" s="26"/>
      <c r="AY34" s="4" t="s">
        <v>2</v>
      </c>
      <c r="AZ34" s="5">
        <v>1177.9000000000001</v>
      </c>
      <c r="BH34" s="26"/>
      <c r="BI34" s="4" t="s">
        <v>2</v>
      </c>
      <c r="BJ34" s="5">
        <v>0</v>
      </c>
    </row>
    <row r="35" spans="1:62">
      <c r="A35" s="10">
        <v>1000</v>
      </c>
      <c r="B35" s="2">
        <f t="shared" si="7"/>
        <v>0.67463712222144312</v>
      </c>
      <c r="C35" s="2">
        <f t="shared" si="8"/>
        <v>0.89267933524998244</v>
      </c>
      <c r="D35" s="2">
        <f t="shared" si="9"/>
        <v>0.99733539022508944</v>
      </c>
      <c r="E35" s="11">
        <f t="shared" si="10"/>
        <v>12.530251607452279</v>
      </c>
      <c r="F35" s="11">
        <f t="shared" si="11"/>
        <v>4.6919657459689308</v>
      </c>
      <c r="G35" s="9">
        <f t="shared" si="12"/>
        <v>3.5588418918396774</v>
      </c>
      <c r="H35" s="12"/>
      <c r="J35" s="26"/>
      <c r="K35" s="4" t="s">
        <v>3</v>
      </c>
      <c r="L35" s="5">
        <v>169130</v>
      </c>
      <c r="T35" s="26"/>
      <c r="U35" s="4" t="s">
        <v>3</v>
      </c>
      <c r="V35" s="5">
        <v>240780</v>
      </c>
      <c r="AD35" s="26"/>
      <c r="AE35" s="4" t="s">
        <v>3</v>
      </c>
      <c r="AF35" s="5">
        <v>282840</v>
      </c>
      <c r="AN35" s="26"/>
      <c r="AO35" s="4" t="s">
        <v>3</v>
      </c>
      <c r="AP35" s="5">
        <v>266600</v>
      </c>
      <c r="AX35" s="26"/>
      <c r="AY35" s="4" t="s">
        <v>3</v>
      </c>
      <c r="AZ35" s="5">
        <v>283720</v>
      </c>
      <c r="BH35" s="26"/>
      <c r="BI35" s="4" t="s">
        <v>3</v>
      </c>
      <c r="BJ35" s="5">
        <v>284990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5.3761000000000001</v>
      </c>
      <c r="T37" s="26"/>
      <c r="U37" s="4" t="s">
        <v>5</v>
      </c>
      <c r="V37" s="5">
        <v>0.68389999999999995</v>
      </c>
      <c r="AD37" s="26"/>
      <c r="AE37" s="4" t="s">
        <v>5</v>
      </c>
      <c r="AF37" s="5">
        <v>3.4875999999999997E-2</v>
      </c>
      <c r="AN37" s="26"/>
      <c r="AO37" s="4" t="s">
        <v>5</v>
      </c>
      <c r="AP37" s="5">
        <v>5.3761000000000001</v>
      </c>
      <c r="AX37" s="26"/>
      <c r="AY37" s="4" t="s">
        <v>5</v>
      </c>
      <c r="AZ37" s="5">
        <v>0.68389999999999995</v>
      </c>
      <c r="BH37" s="26"/>
      <c r="BI37" s="4" t="s">
        <v>5</v>
      </c>
      <c r="BJ37" s="5">
        <v>3.4875999999999997E-2</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285220</v>
      </c>
      <c r="T39" s="26">
        <v>1000</v>
      </c>
      <c r="U39" s="4" t="s">
        <v>0</v>
      </c>
      <c r="V39" s="5">
        <v>285220</v>
      </c>
      <c r="AD39" s="26">
        <v>1000</v>
      </c>
      <c r="AE39" s="4" t="s">
        <v>0</v>
      </c>
      <c r="AF39" s="5">
        <v>285220</v>
      </c>
      <c r="AN39" s="26">
        <v>1000</v>
      </c>
      <c r="AO39" s="4" t="s">
        <v>0</v>
      </c>
      <c r="AP39" s="5">
        <v>285220</v>
      </c>
      <c r="AX39" s="26">
        <v>1000</v>
      </c>
      <c r="AY39" s="4" t="s">
        <v>0</v>
      </c>
      <c r="AZ39" s="5">
        <v>285220</v>
      </c>
      <c r="BH39" s="26">
        <v>1000</v>
      </c>
      <c r="BI39" s="4" t="s">
        <v>0</v>
      </c>
      <c r="BJ39" s="5">
        <v>285220</v>
      </c>
    </row>
    <row r="40" spans="1:62">
      <c r="A40" s="199"/>
      <c r="B40" s="15" t="s">
        <v>15</v>
      </c>
      <c r="C40" s="15" t="s">
        <v>14</v>
      </c>
      <c r="D40" s="15" t="s">
        <v>13</v>
      </c>
      <c r="E40" s="15" t="s">
        <v>15</v>
      </c>
      <c r="F40" s="15" t="s">
        <v>14</v>
      </c>
      <c r="G40" s="15" t="s">
        <v>13</v>
      </c>
      <c r="J40" s="26"/>
      <c r="K40" s="4" t="s">
        <v>1</v>
      </c>
      <c r="L40" s="5">
        <v>192420</v>
      </c>
      <c r="T40" s="26"/>
      <c r="U40" s="4" t="s">
        <v>1</v>
      </c>
      <c r="V40" s="5">
        <v>254610</v>
      </c>
      <c r="AD40" s="26"/>
      <c r="AE40" s="4" t="s">
        <v>1</v>
      </c>
      <c r="AF40" s="5">
        <v>284460</v>
      </c>
      <c r="AN40" s="26"/>
      <c r="AO40" s="4" t="s">
        <v>1</v>
      </c>
      <c r="AP40" s="5">
        <v>276800</v>
      </c>
      <c r="AX40" s="26"/>
      <c r="AY40" s="4" t="s">
        <v>1</v>
      </c>
      <c r="AZ40" s="5">
        <v>285110</v>
      </c>
      <c r="BH40" s="26"/>
      <c r="BI40" s="4" t="s">
        <v>1</v>
      </c>
      <c r="BJ40" s="5">
        <v>285220</v>
      </c>
    </row>
    <row r="41" spans="1:62">
      <c r="A41" s="10">
        <v>100</v>
      </c>
      <c r="B41" s="2">
        <f>AS4</f>
        <v>0.29960732066475004</v>
      </c>
      <c r="C41" s="2">
        <f>BC4</f>
        <v>0.49221653460486642</v>
      </c>
      <c r="D41" s="2">
        <f>BM4</f>
        <v>0.8731505504522824</v>
      </c>
      <c r="E41" s="11">
        <f>AU4</f>
        <v>5.7471830592748043</v>
      </c>
      <c r="F41" s="11">
        <f>BE4</f>
        <v>1.4275342812160963</v>
      </c>
      <c r="G41" s="9">
        <f>BO4</f>
        <v>0.43363092804452269</v>
      </c>
      <c r="J41" s="26"/>
      <c r="K41" s="4" t="s">
        <v>2</v>
      </c>
      <c r="L41" s="5">
        <v>92805</v>
      </c>
      <c r="T41" s="26"/>
      <c r="U41" s="4" t="s">
        <v>2</v>
      </c>
      <c r="V41" s="5">
        <v>30614</v>
      </c>
      <c r="AD41" s="26"/>
      <c r="AE41" s="4" t="s">
        <v>2</v>
      </c>
      <c r="AF41" s="5">
        <v>764.81</v>
      </c>
      <c r="AN41" s="26"/>
      <c r="AO41" s="4" t="s">
        <v>2</v>
      </c>
      <c r="AP41" s="5">
        <v>8420.6</v>
      </c>
      <c r="AX41" s="26"/>
      <c r="AY41" s="4" t="s">
        <v>2</v>
      </c>
      <c r="AZ41" s="5">
        <v>109.09</v>
      </c>
      <c r="BH41" s="26"/>
      <c r="BI41" s="4" t="s">
        <v>2</v>
      </c>
      <c r="BJ41" s="5">
        <v>0</v>
      </c>
    </row>
    <row r="42" spans="1:62">
      <c r="A42" s="10">
        <v>200</v>
      </c>
      <c r="B42" s="2">
        <f t="shared" ref="B42:B46" si="13">AS5</f>
        <v>0.49568753944323679</v>
      </c>
      <c r="C42" s="2">
        <f t="shared" ref="C42:C46" si="14">BC5</f>
        <v>0.72961222915644064</v>
      </c>
      <c r="D42" s="2">
        <f t="shared" ref="D42:D46" si="15">BM5</f>
        <v>0.96108267302433215</v>
      </c>
      <c r="E42" s="11">
        <f t="shared" ref="E42:E46" si="16">AU5</f>
        <v>6.6579162624360366</v>
      </c>
      <c r="F42" s="11">
        <f t="shared" ref="F42:F46" si="17">BE5</f>
        <v>1.808449074074074</v>
      </c>
      <c r="G42" s="9">
        <f t="shared" ref="G42:G46" si="18">BO5</f>
        <v>0.75737411901160523</v>
      </c>
      <c r="J42" s="26"/>
      <c r="K42" s="4" t="s">
        <v>3</v>
      </c>
      <c r="L42" s="5">
        <v>191590</v>
      </c>
      <c r="T42" s="26"/>
      <c r="U42" s="4" t="s">
        <v>3</v>
      </c>
      <c r="V42" s="5">
        <v>254240</v>
      </c>
      <c r="AD42" s="26"/>
      <c r="AE42" s="4" t="s">
        <v>3</v>
      </c>
      <c r="AF42" s="5">
        <v>284180</v>
      </c>
      <c r="AN42" s="26"/>
      <c r="AO42" s="4" t="s">
        <v>3</v>
      </c>
      <c r="AP42" s="5">
        <v>275800</v>
      </c>
      <c r="AX42" s="26"/>
      <c r="AY42" s="4" t="s">
        <v>3</v>
      </c>
      <c r="AZ42" s="5">
        <v>284730</v>
      </c>
      <c r="BH42" s="26"/>
      <c r="BI42" s="4" t="s">
        <v>3</v>
      </c>
      <c r="BJ42" s="5">
        <v>284940</v>
      </c>
    </row>
    <row r="43" spans="1:62">
      <c r="A43" s="10">
        <v>400</v>
      </c>
      <c r="B43" s="2">
        <f t="shared" si="13"/>
        <v>0.7451791599467078</v>
      </c>
      <c r="C43" s="2">
        <f t="shared" si="14"/>
        <v>0.90961363158263797</v>
      </c>
      <c r="D43" s="2">
        <f t="shared" si="15"/>
        <v>0.9977210574293528</v>
      </c>
      <c r="E43" s="11">
        <f t="shared" si="16"/>
        <v>8.1092008150905279</v>
      </c>
      <c r="F43" s="11">
        <f t="shared" si="17"/>
        <v>2.4943165216399774</v>
      </c>
      <c r="G43" s="9">
        <f t="shared" si="18"/>
        <v>1.4211957128616182</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0.87329079307201463</v>
      </c>
      <c r="C44" s="2">
        <f t="shared" si="14"/>
        <v>0.97391487272982258</v>
      </c>
      <c r="D44" s="2">
        <f t="shared" si="15"/>
        <v>1</v>
      </c>
      <c r="E44" s="11">
        <f t="shared" si="16"/>
        <v>9.3708165997322634</v>
      </c>
      <c r="F44" s="11">
        <f t="shared" si="17"/>
        <v>3.1634986487341488</v>
      </c>
      <c r="G44" s="9">
        <f t="shared" si="18"/>
        <v>2.1243406956912301</v>
      </c>
      <c r="J44" s="26"/>
      <c r="K44" s="4" t="s">
        <v>5</v>
      </c>
      <c r="L44" s="5">
        <v>5.3551000000000002</v>
      </c>
      <c r="T44" s="26"/>
      <c r="U44" s="4" t="s">
        <v>5</v>
      </c>
      <c r="V44" s="5">
        <v>0.67866000000000004</v>
      </c>
      <c r="AD44" s="26"/>
      <c r="AE44" s="4" t="s">
        <v>5</v>
      </c>
      <c r="AF44" s="5">
        <v>3.0242999999999999E-2</v>
      </c>
      <c r="AN44" s="26"/>
      <c r="AO44" s="4" t="s">
        <v>5</v>
      </c>
      <c r="AP44" s="5">
        <v>5.3551000000000002</v>
      </c>
      <c r="AX44" s="26"/>
      <c r="AY44" s="4" t="s">
        <v>5</v>
      </c>
      <c r="AZ44" s="5">
        <v>0.67866000000000004</v>
      </c>
      <c r="BH44" s="26"/>
      <c r="BI44" s="4" t="s">
        <v>5</v>
      </c>
      <c r="BJ44" s="5">
        <v>3.0242999999999999E-2</v>
      </c>
    </row>
    <row r="45" spans="1:62">
      <c r="A45" s="10">
        <v>800</v>
      </c>
      <c r="B45" s="2">
        <f t="shared" si="13"/>
        <v>0.93787251945866346</v>
      </c>
      <c r="C45" s="2">
        <f t="shared" si="14"/>
        <v>0.99586284271790193</v>
      </c>
      <c r="D45" s="2">
        <f t="shared" si="15"/>
        <v>1</v>
      </c>
      <c r="E45" s="11">
        <f t="shared" si="16"/>
        <v>10.541851149061776</v>
      </c>
      <c r="F45" s="11">
        <f t="shared" si="17"/>
        <v>3.8095549079312208</v>
      </c>
      <c r="G45" s="9">
        <f t="shared" si="18"/>
        <v>2.8331248962873921</v>
      </c>
      <c r="Y45"/>
      <c r="Z45"/>
      <c r="AA45"/>
      <c r="AB45"/>
      <c r="BC45"/>
      <c r="BD45"/>
      <c r="BE45"/>
      <c r="BF45"/>
    </row>
    <row r="46" spans="1:62">
      <c r="A46" s="10">
        <v>1000</v>
      </c>
      <c r="B46" s="2">
        <f t="shared" si="13"/>
        <v>0.97047892854638529</v>
      </c>
      <c r="C46" s="2">
        <f t="shared" si="14"/>
        <v>0.99961433279573664</v>
      </c>
      <c r="D46" s="2">
        <f t="shared" si="15"/>
        <v>1</v>
      </c>
      <c r="E46" s="11">
        <f t="shared" si="16"/>
        <v>11.522633744855968</v>
      </c>
      <c r="F46" s="11">
        <f t="shared" si="17"/>
        <v>4.4874211175473544</v>
      </c>
      <c r="G46" s="9">
        <f t="shared" si="18"/>
        <v>3.5421157563429171</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0.29960732066475004</v>
      </c>
      <c r="C52" s="2">
        <f>C30+(($A$25-1)/3)*(C41-C30)</f>
        <v>0.49221653460486642</v>
      </c>
      <c r="D52" s="2">
        <f>D30+(($A$25-1)/3)*(D41-D30)</f>
        <v>0.8731505504522824</v>
      </c>
      <c r="E52" s="9">
        <f>E30+(($A$25-1)/3)*(E41-E30)</f>
        <v>5.7471830592748043</v>
      </c>
      <c r="F52" s="9">
        <f t="shared" ref="F52:G57" si="19">F30+(($A$25-1)/3)*(F41-F30)</f>
        <v>1.4275342812160963</v>
      </c>
      <c r="G52" s="9">
        <f t="shared" si="19"/>
        <v>0.43363092804452269</v>
      </c>
      <c r="Y52"/>
      <c r="Z52"/>
      <c r="AA52"/>
      <c r="AB52"/>
      <c r="BC52"/>
      <c r="BD52"/>
      <c r="BE52"/>
      <c r="BF52"/>
    </row>
    <row r="53" spans="1:58">
      <c r="A53" s="10">
        <v>200</v>
      </c>
      <c r="B53" s="2">
        <f t="shared" ref="B53:E57" si="20">B31+(($A$25-1)/3)*(B42-B31)</f>
        <v>0.49568753944323679</v>
      </c>
      <c r="C53" s="2">
        <f t="shared" si="20"/>
        <v>0.72961222915644064</v>
      </c>
      <c r="D53" s="2">
        <f t="shared" si="20"/>
        <v>0.96108267302433215</v>
      </c>
      <c r="E53" s="9">
        <f t="shared" si="20"/>
        <v>6.6579162624360366</v>
      </c>
      <c r="F53" s="9">
        <f t="shared" si="19"/>
        <v>1.808449074074074</v>
      </c>
      <c r="G53" s="9">
        <f t="shared" si="19"/>
        <v>0.75737411901160523</v>
      </c>
      <c r="Y53"/>
      <c r="Z53"/>
      <c r="AA53"/>
      <c r="AB53"/>
      <c r="BC53"/>
      <c r="BD53"/>
      <c r="BE53"/>
      <c r="BF53"/>
    </row>
    <row r="54" spans="1:58">
      <c r="A54" s="10">
        <v>400</v>
      </c>
      <c r="B54" s="2">
        <f t="shared" si="20"/>
        <v>0.7451791599467078</v>
      </c>
      <c r="C54" s="2">
        <f t="shared" si="20"/>
        <v>0.90961363158263797</v>
      </c>
      <c r="D54" s="2">
        <f t="shared" si="20"/>
        <v>0.9977210574293528</v>
      </c>
      <c r="E54" s="9">
        <f t="shared" si="20"/>
        <v>8.1092008150905279</v>
      </c>
      <c r="F54" s="9">
        <f t="shared" si="19"/>
        <v>2.4943165216399774</v>
      </c>
      <c r="G54" s="9">
        <f t="shared" si="19"/>
        <v>1.4211957128616182</v>
      </c>
      <c r="Y54"/>
      <c r="Z54"/>
      <c r="AA54"/>
      <c r="AB54"/>
      <c r="BC54"/>
      <c r="BD54"/>
      <c r="BE54"/>
      <c r="BF54"/>
    </row>
    <row r="55" spans="1:58">
      <c r="A55" s="10">
        <v>600</v>
      </c>
      <c r="B55" s="2">
        <f t="shared" si="20"/>
        <v>0.87329079307201463</v>
      </c>
      <c r="C55" s="2">
        <f t="shared" si="20"/>
        <v>0.97391487272982258</v>
      </c>
      <c r="D55" s="2">
        <f t="shared" si="20"/>
        <v>1</v>
      </c>
      <c r="E55" s="9">
        <f t="shared" si="20"/>
        <v>9.3708165997322634</v>
      </c>
      <c r="F55" s="9">
        <f t="shared" si="19"/>
        <v>3.1634986487341488</v>
      </c>
      <c r="G55" s="9">
        <f t="shared" si="19"/>
        <v>2.1243406956912301</v>
      </c>
      <c r="Y55"/>
      <c r="Z55"/>
      <c r="AA55"/>
      <c r="AB55"/>
      <c r="BC55"/>
      <c r="BD55"/>
      <c r="BE55"/>
      <c r="BF55"/>
    </row>
    <row r="56" spans="1:58">
      <c r="A56" s="10">
        <v>800</v>
      </c>
      <c r="B56" s="2">
        <f t="shared" si="20"/>
        <v>0.93787251945866346</v>
      </c>
      <c r="C56" s="2">
        <f t="shared" si="20"/>
        <v>0.99586284271790193</v>
      </c>
      <c r="D56" s="2">
        <f t="shared" si="20"/>
        <v>1</v>
      </c>
      <c r="E56" s="9">
        <f t="shared" si="20"/>
        <v>10.541851149061776</v>
      </c>
      <c r="F56" s="9">
        <f t="shared" si="19"/>
        <v>3.8095549079312208</v>
      </c>
      <c r="G56" s="9">
        <f t="shared" si="19"/>
        <v>2.8331248962873921</v>
      </c>
      <c r="Y56"/>
      <c r="Z56"/>
      <c r="AA56"/>
      <c r="AB56"/>
      <c r="BC56"/>
      <c r="BD56"/>
      <c r="BE56"/>
      <c r="BF56"/>
    </row>
    <row r="57" spans="1:58">
      <c r="A57" s="10">
        <v>1000</v>
      </c>
      <c r="B57" s="2">
        <f t="shared" si="20"/>
        <v>0.97047892854638529</v>
      </c>
      <c r="C57" s="2">
        <f t="shared" si="20"/>
        <v>0.99961433279573664</v>
      </c>
      <c r="D57" s="2">
        <f t="shared" si="20"/>
        <v>1</v>
      </c>
      <c r="E57" s="9">
        <f t="shared" si="20"/>
        <v>11.522633744855968</v>
      </c>
      <c r="F57" s="9">
        <f t="shared" si="19"/>
        <v>4.4874211175473544</v>
      </c>
      <c r="G57" s="9">
        <f t="shared" si="19"/>
        <v>3.5421157563429171</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sheetPr codeName="Sheet34"/>
  <dimension ref="A1:DD96"/>
  <sheetViews>
    <sheetView topLeftCell="V13" zoomScale="80" zoomScaleNormal="80" workbookViewId="0">
      <pane xSplit="9660" topLeftCell="BC1" activePane="topRight"/>
      <selection pane="topRight" activeCell="BF61" sqref="BF61:BK66"/>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241300</v>
      </c>
      <c r="AL5" s="57">
        <v>1506.5</v>
      </c>
      <c r="AM5" s="57">
        <v>1506.5</v>
      </c>
      <c r="AN5" s="57">
        <v>1506.5</v>
      </c>
      <c r="AO5" s="57">
        <v>1506.5</v>
      </c>
      <c r="AP5" s="57">
        <v>1506.5</v>
      </c>
      <c r="AQ5" s="37"/>
      <c r="AR5" s="37"/>
      <c r="AS5" s="56">
        <v>0.1</v>
      </c>
      <c r="AT5" s="37" t="s">
        <v>0</v>
      </c>
      <c r="AU5" s="57">
        <v>241300</v>
      </c>
      <c r="AV5" s="57">
        <v>1506.5</v>
      </c>
      <c r="AW5" s="57">
        <v>1506.5</v>
      </c>
      <c r="AX5" s="57">
        <v>1506.5</v>
      </c>
      <c r="AY5" s="57">
        <v>1506.5</v>
      </c>
      <c r="AZ5" s="57">
        <v>1506.5</v>
      </c>
      <c r="BA5" s="37"/>
      <c r="BB5" s="37"/>
      <c r="BC5" s="37"/>
      <c r="BD5" s="56">
        <v>0.1</v>
      </c>
      <c r="BE5" s="37" t="s">
        <v>0</v>
      </c>
      <c r="BF5" s="57">
        <v>241300</v>
      </c>
      <c r="BG5" s="57">
        <v>1506.5</v>
      </c>
      <c r="BH5" s="57">
        <v>1506.5</v>
      </c>
      <c r="BI5" s="57">
        <v>1506.5</v>
      </c>
      <c r="BJ5" s="57">
        <v>1506.5</v>
      </c>
      <c r="BK5" s="57">
        <v>1506.5</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141440</v>
      </c>
      <c r="AL6" s="57">
        <v>883.07</v>
      </c>
      <c r="AM6" s="57">
        <v>883.07</v>
      </c>
      <c r="AN6" s="57">
        <v>883.07</v>
      </c>
      <c r="AO6" s="57">
        <v>883.07</v>
      </c>
      <c r="AP6" s="57">
        <v>883.07</v>
      </c>
      <c r="AQ6" s="37"/>
      <c r="AR6" s="37"/>
      <c r="AS6" s="56"/>
      <c r="AT6" s="37" t="s">
        <v>1</v>
      </c>
      <c r="AU6" s="57">
        <v>108750</v>
      </c>
      <c r="AV6" s="57">
        <v>678.98</v>
      </c>
      <c r="AW6" s="57">
        <v>678.98</v>
      </c>
      <c r="AX6" s="57">
        <v>678.98</v>
      </c>
      <c r="AY6" s="57">
        <v>678.98</v>
      </c>
      <c r="AZ6" s="57">
        <v>678.98</v>
      </c>
      <c r="BA6" s="37"/>
      <c r="BB6" s="37"/>
      <c r="BC6" s="37"/>
      <c r="BD6" s="56"/>
      <c r="BE6" s="37" t="s">
        <v>1</v>
      </c>
      <c r="BF6" s="57">
        <v>82317</v>
      </c>
      <c r="BG6" s="57">
        <v>513.91999999999996</v>
      </c>
      <c r="BH6" s="57">
        <v>513.91999999999996</v>
      </c>
      <c r="BI6" s="57">
        <v>513.91999999999996</v>
      </c>
      <c r="BJ6" s="57">
        <v>513.91999999999996</v>
      </c>
      <c r="BK6" s="57">
        <v>513.91999999999996</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0.5539485766758494</v>
      </c>
      <c r="D7"/>
      <c r="E7" t="s">
        <v>119</v>
      </c>
      <c r="F7"/>
      <c r="G7" s="103">
        <f>C7*12</f>
        <v>6.6473829201101928</v>
      </c>
      <c r="H7"/>
      <c r="I7"/>
      <c r="J7"/>
      <c r="K7"/>
      <c r="L7"/>
      <c r="M7"/>
      <c r="N7"/>
      <c r="O7"/>
      <c r="P7"/>
      <c r="Q7"/>
      <c r="R7"/>
      <c r="S7"/>
      <c r="T7"/>
      <c r="U7"/>
      <c r="V7"/>
      <c r="W7"/>
      <c r="X7"/>
      <c r="Y7"/>
      <c r="Z7"/>
      <c r="AA7"/>
      <c r="AB7"/>
      <c r="AC7"/>
      <c r="AD7"/>
      <c r="AE7"/>
      <c r="AF7"/>
      <c r="AG7"/>
      <c r="AH7" s="37"/>
      <c r="AI7" s="56"/>
      <c r="AJ7" s="37" t="s">
        <v>2</v>
      </c>
      <c r="AK7" s="57">
        <v>99859</v>
      </c>
      <c r="AL7" s="57">
        <v>623.46</v>
      </c>
      <c r="AM7" s="57">
        <v>623.46</v>
      </c>
      <c r="AN7" s="57">
        <v>623.46</v>
      </c>
      <c r="AO7" s="57">
        <v>623.46</v>
      </c>
      <c r="AP7" s="57">
        <v>623.46</v>
      </c>
      <c r="AQ7" s="37"/>
      <c r="AR7" s="37"/>
      <c r="AS7" s="56"/>
      <c r="AT7" s="37" t="s">
        <v>2</v>
      </c>
      <c r="AU7" s="57">
        <v>132550</v>
      </c>
      <c r="AV7" s="57">
        <v>827.57</v>
      </c>
      <c r="AW7" s="57">
        <v>827.57</v>
      </c>
      <c r="AX7" s="57">
        <v>827.57</v>
      </c>
      <c r="AY7" s="57">
        <v>827.57</v>
      </c>
      <c r="AZ7" s="57">
        <v>827.57</v>
      </c>
      <c r="BA7" s="37"/>
      <c r="BB7" s="37"/>
      <c r="BC7" s="37"/>
      <c r="BD7" s="56"/>
      <c r="BE7" s="37" t="s">
        <v>2</v>
      </c>
      <c r="BF7" s="57">
        <v>158990</v>
      </c>
      <c r="BG7" s="57">
        <v>992.61</v>
      </c>
      <c r="BH7" s="57">
        <v>992.61</v>
      </c>
      <c r="BI7" s="57">
        <v>992.61</v>
      </c>
      <c r="BJ7" s="57">
        <v>992.61</v>
      </c>
      <c r="BK7" s="57">
        <v>992.61</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141190</v>
      </c>
      <c r="AL8" s="57">
        <v>879.76</v>
      </c>
      <c r="AM8" s="57">
        <v>854.3</v>
      </c>
      <c r="AN8" s="57">
        <v>537.08000000000004</v>
      </c>
      <c r="AO8" s="57">
        <v>3.5131999999999999</v>
      </c>
      <c r="AP8" s="57">
        <v>0.73782999999999999</v>
      </c>
      <c r="AQ8" s="37"/>
      <c r="AR8" s="37"/>
      <c r="AS8" s="56"/>
      <c r="AT8" s="37" t="s">
        <v>3</v>
      </c>
      <c r="AU8" s="57">
        <v>108440</v>
      </c>
      <c r="AV8" s="57">
        <v>674.87</v>
      </c>
      <c r="AW8" s="57">
        <v>642.91</v>
      </c>
      <c r="AX8" s="57">
        <v>259.13</v>
      </c>
      <c r="AY8" s="57">
        <v>1.2403</v>
      </c>
      <c r="AZ8" s="57">
        <v>0.42759000000000003</v>
      </c>
      <c r="BA8" s="37"/>
      <c r="BB8" s="37"/>
      <c r="BC8" s="37"/>
      <c r="BD8" s="56"/>
      <c r="BE8" s="37" t="s">
        <v>3</v>
      </c>
      <c r="BF8" s="57">
        <v>81885</v>
      </c>
      <c r="BG8" s="57">
        <v>508.04</v>
      </c>
      <c r="BH8" s="57">
        <v>461.33</v>
      </c>
      <c r="BI8" s="57">
        <v>78.418999999999997</v>
      </c>
      <c r="BJ8" s="57">
        <v>0.44169000000000003</v>
      </c>
      <c r="BK8" s="57">
        <v>0.14743999999999999</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212.09</v>
      </c>
      <c r="AL10" s="57">
        <v>3.0596999999999999</v>
      </c>
      <c r="AM10" s="57">
        <v>28.524000000000001</v>
      </c>
      <c r="AN10" s="57">
        <v>345.74</v>
      </c>
      <c r="AO10" s="57">
        <v>879.31</v>
      </c>
      <c r="AP10" s="57">
        <v>882.08</v>
      </c>
      <c r="AQ10" s="37"/>
      <c r="AR10" s="37"/>
      <c r="AS10" s="56"/>
      <c r="AT10" s="37" t="s">
        <v>5</v>
      </c>
      <c r="AU10" s="57">
        <v>274.72000000000003</v>
      </c>
      <c r="AV10" s="57">
        <v>3.8626</v>
      </c>
      <c r="AW10" s="57">
        <v>35.814999999999998</v>
      </c>
      <c r="AX10" s="57">
        <v>419.59</v>
      </c>
      <c r="AY10" s="57">
        <v>677.48</v>
      </c>
      <c r="AZ10" s="57">
        <v>678.3</v>
      </c>
      <c r="BA10" s="37"/>
      <c r="BB10" s="37"/>
      <c r="BC10" s="37"/>
      <c r="BD10" s="56"/>
      <c r="BE10" s="37" t="s">
        <v>5</v>
      </c>
      <c r="BF10" s="57">
        <v>318.95999999999998</v>
      </c>
      <c r="BG10" s="57">
        <v>5.1848999999999998</v>
      </c>
      <c r="BH10" s="57">
        <v>51.898000000000003</v>
      </c>
      <c r="BI10" s="57">
        <v>434.81</v>
      </c>
      <c r="BJ10" s="57">
        <v>512.79</v>
      </c>
      <c r="BK10" s="57">
        <v>513.08000000000004</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0.58615830915872358</v>
      </c>
      <c r="C11" s="75">
        <f t="shared" ref="C11:C19" si="0">(($C$4*D11)+($D$4*E11)+($E$4*F11)+($F$4*G11)+($G$4*I11))</f>
        <v>0.41767612678393629</v>
      </c>
      <c r="D11" s="75">
        <f>AL10/$AL$5</f>
        <v>2.0309990043146367E-3</v>
      </c>
      <c r="E11" s="75">
        <f>AM$10/AM$5</f>
        <v>1.8933952870892799E-2</v>
      </c>
      <c r="F11" s="75">
        <f>AN$10/AN$5</f>
        <v>0.22949883836707602</v>
      </c>
      <c r="G11" s="75">
        <f>AO$10/AO$5</f>
        <v>0.58367739794225026</v>
      </c>
      <c r="H11" s="76">
        <f t="shared" ref="H11:H19" si="1">($D$4*E11+$E$4*F11+$F$4*G11)/(SUM($D$4:$F$4))</f>
        <v>0.27737006306007306</v>
      </c>
      <c r="I11" s="75">
        <f>AP10/$AP$5</f>
        <v>0.58551609691337536</v>
      </c>
      <c r="J11" s="75">
        <f>(($C$5*D11)+($D$5*E11)+($E$5*F11)+($F$5*G11)+($G$5*I11))</f>
        <v>0.27107651510122804</v>
      </c>
      <c r="K11"/>
      <c r="L11" s="68">
        <v>0.1</v>
      </c>
      <c r="M11" s="69">
        <f>AU6/$AK$5</f>
        <v>0.45068379610443432</v>
      </c>
      <c r="N11" s="69">
        <f t="shared" ref="N11:N19" si="2">(($C$4*O11)+($D$4*P11)+($E$4*Q11)+($F$4*R11)+($G$4*T11))</f>
        <v>0.33805235977431125</v>
      </c>
      <c r="O11" s="69">
        <f>AV10/$AL$5</f>
        <v>2.5639561898440095E-3</v>
      </c>
      <c r="P11" s="69">
        <f>AW$10/AW$5</f>
        <v>2.3773647527381345E-2</v>
      </c>
      <c r="Q11" s="69">
        <f>AX$10/AX$5</f>
        <v>0.27851974775970789</v>
      </c>
      <c r="R11" s="69">
        <f>AY$10/AY$5</f>
        <v>0.44970461334218387</v>
      </c>
      <c r="S11" s="70">
        <f t="shared" ref="S11:S19" si="3">($D$4*P11+$E$4*Q11+$F$4*R11)/(SUM($D$4:$F$4))</f>
        <v>0.25066600287642438</v>
      </c>
      <c r="T11" s="69">
        <f>AZ10/$AP$5</f>
        <v>0.45024892134085626</v>
      </c>
      <c r="U11" s="69">
        <f>(($C$5*O11)+($D$5*P11)+($E$5*Q11)+($F$5*R11)+($G$5*T11))</f>
        <v>0.25138483903086623</v>
      </c>
      <c r="V11"/>
      <c r="W11" s="84">
        <v>0.1</v>
      </c>
      <c r="X11" s="85">
        <f>BF6/$AK$5</f>
        <v>0.34113966017405717</v>
      </c>
      <c r="Y11" s="85">
        <f t="shared" ref="Y11:Y19" si="4">(($C$4*Z11)+($D$4*AA11)+($E$4*AB11)+($F$4*AC11)+($G$4*AE11))</f>
        <v>0.26997938599402593</v>
      </c>
      <c r="Z11" s="85">
        <f>BG10/$AL$5</f>
        <v>3.4416860272153999E-3</v>
      </c>
      <c r="AA11" s="85">
        <f>BH$10/BH$5</f>
        <v>3.4449385994025888E-2</v>
      </c>
      <c r="AB11" s="85">
        <f>BI$10/BI$5</f>
        <v>0.28862263524726189</v>
      </c>
      <c r="AC11" s="85">
        <f>BJ$10/BJ$5</f>
        <v>0.34038499834052438</v>
      </c>
      <c r="AD11" s="86">
        <f t="shared" ref="AD11:AD19" si="5">($D$4*AA11+$E$4*AB11+$F$4*AC11)/(SUM($D$4:$F$4))</f>
        <v>0.22115233986060409</v>
      </c>
      <c r="AE11" s="85">
        <f>BK10/$AP$5</f>
        <v>0.34057749751078664</v>
      </c>
      <c r="AF11" s="85">
        <f>(($C$5*Z11)+($D$5*AA11)+($E$5*AB11)+($F$5*AC11)+($G$5*AE11))</f>
        <v>0.22481784931961502</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0.82262743472855371</v>
      </c>
      <c r="C12" s="75">
        <f t="shared" si="0"/>
        <v>0.59601594092266841</v>
      </c>
      <c r="D12" s="75">
        <f>AL17/$AL$5</f>
        <v>2.6062396282774641E-3</v>
      </c>
      <c r="E12" s="75">
        <f>AM17/AM$5</f>
        <v>3.3798871556588117E-2</v>
      </c>
      <c r="F12" s="75">
        <f>AN17/AN$5</f>
        <v>0.38005974112180546</v>
      </c>
      <c r="G12" s="75">
        <f>AO17/AO$5</f>
        <v>0.81991370726850321</v>
      </c>
      <c r="H12" s="76">
        <f t="shared" si="1"/>
        <v>0.41125743998229897</v>
      </c>
      <c r="I12" s="75">
        <f>AP17/$AP$5</f>
        <v>0.82163956189844001</v>
      </c>
      <c r="J12" s="75">
        <f t="shared" ref="J12:J18" si="6">(($C$5*D12)+($D$5*E12)+($E$5*F12)+($F$5*G12)+($G$5*I12))</f>
        <v>0.40519099236641226</v>
      </c>
      <c r="K12"/>
      <c r="L12" s="68">
        <v>0.2</v>
      </c>
      <c r="M12" s="69">
        <f>AU13/$AK$5</f>
        <v>0.69680895151263988</v>
      </c>
      <c r="N12" s="69">
        <f t="shared" si="2"/>
        <v>0.5302619880517756</v>
      </c>
      <c r="O12" s="69">
        <f>AV17/$AL$5</f>
        <v>4.5374709591769003E-3</v>
      </c>
      <c r="P12" s="69">
        <f>AW17/AW$5</f>
        <v>4.6436110189180223E-2</v>
      </c>
      <c r="Q12" s="69">
        <f>AX17/AX$5</f>
        <v>0.47051443743776972</v>
      </c>
      <c r="R12" s="69">
        <f>AY17/AY$5</f>
        <v>0.69578493196150015</v>
      </c>
      <c r="S12" s="70">
        <f t="shared" si="3"/>
        <v>0.40424515986281673</v>
      </c>
      <c r="T12" s="69">
        <f>AZ17/$AP$5</f>
        <v>0.69624958513109858</v>
      </c>
      <c r="U12" s="69">
        <f t="shared" ref="U12:U18" si="7">(($C$5*O12)+($D$5*P12)+($E$5*Q12)+($F$5*R12)+($G$5*T12))</f>
        <v>0.40672868901427156</v>
      </c>
      <c r="V12"/>
      <c r="W12" s="84">
        <v>0.2</v>
      </c>
      <c r="X12" s="85">
        <f>BF13/$AK$5</f>
        <v>0.57745544964774143</v>
      </c>
      <c r="Y12" s="85">
        <f t="shared" si="4"/>
        <v>0.45980207766345838</v>
      </c>
      <c r="Z12" s="85">
        <f>BG17/$AL$5</f>
        <v>6.4703617656820447E-3</v>
      </c>
      <c r="AA12" s="85">
        <f>BH17/BH$5</f>
        <v>6.3055426485230659E-2</v>
      </c>
      <c r="AB12" s="85">
        <f>BI17/BI$5</f>
        <v>0.50042482575506142</v>
      </c>
      <c r="AC12" s="85">
        <f>BJ17/BJ$5</f>
        <v>0.57668768669100567</v>
      </c>
      <c r="AD12" s="86">
        <f t="shared" si="5"/>
        <v>0.38005597964376592</v>
      </c>
      <c r="AE12" s="85">
        <f>BK17/$AP$5</f>
        <v>0.57690673747095922</v>
      </c>
      <c r="AF12" s="85">
        <f t="shared" ref="AF12:AF18" si="8">(($C$5*Z12)+($D$5*AA12)+($E$5*AB12)+($F$5*AC12)+($G$5*AE12))</f>
        <v>0.38645626286093593</v>
      </c>
      <c r="AG12"/>
      <c r="AH12" s="37"/>
      <c r="AI12" s="56">
        <v>0.2</v>
      </c>
      <c r="AJ12" s="37" t="s">
        <v>0</v>
      </c>
      <c r="AK12" s="57">
        <v>241300</v>
      </c>
      <c r="AL12" s="57">
        <v>1506.5</v>
      </c>
      <c r="AM12" s="57">
        <v>1506.5</v>
      </c>
      <c r="AN12" s="57">
        <v>1506.5</v>
      </c>
      <c r="AO12" s="57">
        <v>1506.5</v>
      </c>
      <c r="AP12" s="57">
        <v>1506.5</v>
      </c>
      <c r="AQ12" s="37"/>
      <c r="AR12" s="37"/>
      <c r="AS12" s="56">
        <v>0.2</v>
      </c>
      <c r="AT12" s="37" t="s">
        <v>0</v>
      </c>
      <c r="AU12" s="57">
        <v>241300</v>
      </c>
      <c r="AV12" s="57">
        <v>1506.5</v>
      </c>
      <c r="AW12" s="57">
        <v>1506.5</v>
      </c>
      <c r="AX12" s="57">
        <v>1506.5</v>
      </c>
      <c r="AY12" s="57">
        <v>1506.5</v>
      </c>
      <c r="AZ12" s="57">
        <v>1506.5</v>
      </c>
      <c r="BA12" s="37"/>
      <c r="BB12" s="37"/>
      <c r="BC12" s="37"/>
      <c r="BD12" s="56">
        <v>0.2</v>
      </c>
      <c r="BE12" s="37" t="s">
        <v>0</v>
      </c>
      <c r="BF12" s="57">
        <v>241300</v>
      </c>
      <c r="BG12" s="57">
        <v>1506.5</v>
      </c>
      <c r="BH12" s="57">
        <v>1506.5</v>
      </c>
      <c r="BI12" s="57">
        <v>1506.5</v>
      </c>
      <c r="BJ12" s="57">
        <v>1506.5</v>
      </c>
      <c r="BK12" s="57">
        <v>1506.5</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0.95901367592208864</v>
      </c>
      <c r="C13" s="75">
        <f t="shared" si="0"/>
        <v>0.71210023564553604</v>
      </c>
      <c r="D13" s="75">
        <f>AL24/$AL$5</f>
        <v>4.308065051443744E-3</v>
      </c>
      <c r="E13" s="75">
        <f>AM24/AM$5</f>
        <v>5.8247593760371724E-2</v>
      </c>
      <c r="F13" s="75">
        <f>AN24/AN$5</f>
        <v>0.53792233654165289</v>
      </c>
      <c r="G13" s="75">
        <f>AO24/AO$5</f>
        <v>0.95645536010620646</v>
      </c>
      <c r="H13" s="76">
        <f t="shared" si="1"/>
        <v>0.51754176346941039</v>
      </c>
      <c r="I13" s="75">
        <f>AP24/$AP$5</f>
        <v>0.95798207766345833</v>
      </c>
      <c r="J13" s="75">
        <f t="shared" si="6"/>
        <v>0.51433853966146703</v>
      </c>
      <c r="K13"/>
      <c r="L13" s="68">
        <v>0.4</v>
      </c>
      <c r="M13" s="69">
        <f>AU20/$AK$5</f>
        <v>0.90111893907998342</v>
      </c>
      <c r="N13" s="69">
        <f t="shared" si="2"/>
        <v>0.69545627613674077</v>
      </c>
      <c r="O13" s="69">
        <f>AV24/$AL$5</f>
        <v>6.0521739130434777E-3</v>
      </c>
      <c r="P13" s="69">
        <f>AW24/AW$5</f>
        <v>7.2114171921672757E-2</v>
      </c>
      <c r="Q13" s="69">
        <f>AX24/AX$5</f>
        <v>0.66055094590109531</v>
      </c>
      <c r="R13" s="69">
        <f>AY24/AY$5</f>
        <v>0.9000331895121142</v>
      </c>
      <c r="S13" s="70">
        <f t="shared" si="3"/>
        <v>0.54423276911162743</v>
      </c>
      <c r="T13" s="69">
        <f>AZ24/$AP$5</f>
        <v>0.90049784268171251</v>
      </c>
      <c r="U13" s="69">
        <f t="shared" si="7"/>
        <v>0.54930485230667114</v>
      </c>
      <c r="V13"/>
      <c r="W13" s="84">
        <v>0.4</v>
      </c>
      <c r="X13" s="85">
        <f>BF20/$AK$5</f>
        <v>0.80294239535847489</v>
      </c>
      <c r="Y13" s="85">
        <f t="shared" si="4"/>
        <v>0.64573942914039173</v>
      </c>
      <c r="Z13" s="85">
        <f>BG24/$AL$5</f>
        <v>9.3322270162628611E-3</v>
      </c>
      <c r="AA13" s="85">
        <f>BH24/BH$5</f>
        <v>0.10248257550614005</v>
      </c>
      <c r="AB13" s="85">
        <f>BI24/BI$5</f>
        <v>0.72280119482243621</v>
      </c>
      <c r="AC13" s="85">
        <f>BJ24/BJ$5</f>
        <v>0.80212412877530703</v>
      </c>
      <c r="AD13" s="86">
        <f t="shared" si="5"/>
        <v>0.54246929970129443</v>
      </c>
      <c r="AE13" s="85">
        <f>BK24/$AP$5</f>
        <v>0.80232326584799207</v>
      </c>
      <c r="AF13" s="85">
        <f t="shared" si="8"/>
        <v>0.55120736807168935</v>
      </c>
      <c r="AG13"/>
      <c r="AH13" s="37"/>
      <c r="AI13" s="56"/>
      <c r="AJ13" s="37" t="s">
        <v>1</v>
      </c>
      <c r="AK13" s="57">
        <v>198500</v>
      </c>
      <c r="AL13" s="57">
        <v>1239.3</v>
      </c>
      <c r="AM13" s="57">
        <v>1239.3</v>
      </c>
      <c r="AN13" s="57">
        <v>1239.3</v>
      </c>
      <c r="AO13" s="57">
        <v>1239.3</v>
      </c>
      <c r="AP13" s="57">
        <v>1239.3</v>
      </c>
      <c r="AQ13" s="37"/>
      <c r="AR13" s="37"/>
      <c r="AS13" s="56"/>
      <c r="AT13" s="37" t="s">
        <v>1</v>
      </c>
      <c r="AU13" s="57">
        <v>168140</v>
      </c>
      <c r="AV13" s="57">
        <v>1049.8</v>
      </c>
      <c r="AW13" s="57">
        <v>1049.8</v>
      </c>
      <c r="AX13" s="57">
        <v>1049.8</v>
      </c>
      <c r="AY13" s="57">
        <v>1049.8</v>
      </c>
      <c r="AZ13" s="57">
        <v>1049.8</v>
      </c>
      <c r="BA13" s="37"/>
      <c r="BB13" s="37"/>
      <c r="BC13" s="37"/>
      <c r="BD13" s="56"/>
      <c r="BE13" s="37" t="s">
        <v>1</v>
      </c>
      <c r="BF13" s="57">
        <v>139340</v>
      </c>
      <c r="BG13" s="57">
        <v>869.97</v>
      </c>
      <c r="BH13" s="57">
        <v>869.97</v>
      </c>
      <c r="BI13" s="57">
        <v>869.97</v>
      </c>
      <c r="BJ13" s="57">
        <v>869.97</v>
      </c>
      <c r="BK13" s="57">
        <v>869.97</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0.99357646083713225</v>
      </c>
      <c r="C14" s="75">
        <f t="shared" si="0"/>
        <v>0.75284604712910719</v>
      </c>
      <c r="D14" s="75">
        <f>AL31/$AL$5</f>
        <v>6.2538333886491869E-3</v>
      </c>
      <c r="E14" s="75">
        <f>AM31/AM$5</f>
        <v>8.0809824095585792E-2</v>
      </c>
      <c r="F14" s="75">
        <f>AN31/AN$5</f>
        <v>0.63721871888483239</v>
      </c>
      <c r="G14" s="75">
        <f>AO31/AO$5</f>
        <v>0.99097245270494527</v>
      </c>
      <c r="H14" s="76">
        <f t="shared" si="1"/>
        <v>0.56966699856178782</v>
      </c>
      <c r="I14" s="75">
        <f>AP31/$AP$5</f>
        <v>0.99236641221374045</v>
      </c>
      <c r="J14" s="75">
        <f t="shared" si="6"/>
        <v>0.56910596747427822</v>
      </c>
      <c r="K14"/>
      <c r="L14" s="68">
        <v>0.6</v>
      </c>
      <c r="M14" s="69">
        <f>AU27/$AK$5</f>
        <v>0.97169498549523414</v>
      </c>
      <c r="N14" s="69">
        <f t="shared" si="2"/>
        <v>0.76115403252572189</v>
      </c>
      <c r="O14" s="69">
        <f>AV31/$AL$5</f>
        <v>8.1918353800199128E-3</v>
      </c>
      <c r="P14" s="69">
        <f>AW31/AW$5</f>
        <v>9.8845004978426812E-2</v>
      </c>
      <c r="Q14" s="69">
        <f>AX31/AX$5</f>
        <v>0.76548290740126124</v>
      </c>
      <c r="R14" s="69">
        <f>AY31/AY$5</f>
        <v>0.97066047129107202</v>
      </c>
      <c r="S14" s="70">
        <f t="shared" si="3"/>
        <v>0.61166279455692008</v>
      </c>
      <c r="T14" s="69">
        <f>AZ31/$AP$5</f>
        <v>0.97099236641221376</v>
      </c>
      <c r="U14" s="69">
        <f t="shared" si="7"/>
        <v>0.61801267839362772</v>
      </c>
      <c r="V14"/>
      <c r="W14" s="84">
        <v>0.6</v>
      </c>
      <c r="X14" s="85">
        <f>BF27/$AK$5</f>
        <v>0.92142561127227518</v>
      </c>
      <c r="Y14" s="85">
        <f t="shared" si="4"/>
        <v>0.74626963159641557</v>
      </c>
      <c r="Z14" s="85">
        <f>BG31/$AL$5</f>
        <v>1.2076999668104878E-2</v>
      </c>
      <c r="AA14" s="85">
        <f>BH31/BH$5</f>
        <v>0.1351941586458679</v>
      </c>
      <c r="AB14" s="85">
        <f>BI31/BI$5</f>
        <v>0.84593428476601396</v>
      </c>
      <c r="AC14" s="85">
        <f>BJ31/BJ$5</f>
        <v>0.92061068702290083</v>
      </c>
      <c r="AD14" s="86">
        <f t="shared" si="5"/>
        <v>0.63391304347826094</v>
      </c>
      <c r="AE14" s="85">
        <f>BK31/$AP$5</f>
        <v>0.92080982409558587</v>
      </c>
      <c r="AF14" s="85">
        <f t="shared" si="8"/>
        <v>0.64282336541652829</v>
      </c>
      <c r="AG14"/>
      <c r="AH14" s="37"/>
      <c r="AI14" s="56"/>
      <c r="AJ14" s="37" t="s">
        <v>2</v>
      </c>
      <c r="AK14" s="57">
        <v>42809</v>
      </c>
      <c r="AL14" s="57">
        <v>267.27</v>
      </c>
      <c r="AM14" s="57">
        <v>267.27</v>
      </c>
      <c r="AN14" s="57">
        <v>267.27</v>
      </c>
      <c r="AO14" s="57">
        <v>267.27</v>
      </c>
      <c r="AP14" s="57">
        <v>267.27</v>
      </c>
      <c r="AQ14" s="37"/>
      <c r="AR14" s="37"/>
      <c r="AS14" s="56"/>
      <c r="AT14" s="37" t="s">
        <v>2</v>
      </c>
      <c r="AU14" s="57">
        <v>73160</v>
      </c>
      <c r="AV14" s="57">
        <v>456.76</v>
      </c>
      <c r="AW14" s="57">
        <v>456.76</v>
      </c>
      <c r="AX14" s="57">
        <v>456.76</v>
      </c>
      <c r="AY14" s="57">
        <v>456.76</v>
      </c>
      <c r="AZ14" s="57">
        <v>456.76</v>
      </c>
      <c r="BA14" s="37"/>
      <c r="BB14" s="37"/>
      <c r="BC14" s="37"/>
      <c r="BD14" s="56"/>
      <c r="BE14" s="37" t="s">
        <v>2</v>
      </c>
      <c r="BF14" s="57">
        <v>101960</v>
      </c>
      <c r="BG14" s="57">
        <v>636.57000000000005</v>
      </c>
      <c r="BH14" s="57">
        <v>636.57000000000005</v>
      </c>
      <c r="BI14" s="57">
        <v>636.57000000000005</v>
      </c>
      <c r="BJ14" s="57">
        <v>636.57000000000005</v>
      </c>
      <c r="BK14" s="57">
        <v>636.57000000000005</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1</v>
      </c>
      <c r="C15" s="75">
        <f t="shared" si="0"/>
        <v>0.76897188848323927</v>
      </c>
      <c r="D15" s="75">
        <f>AL38/$AL$5</f>
        <v>8.1666113508131431E-3</v>
      </c>
      <c r="E15" s="75">
        <f>AM38/AM$5</f>
        <v>0.10105542648523068</v>
      </c>
      <c r="F15" s="75">
        <f>AN38/AN$5</f>
        <v>0.69638234317955516</v>
      </c>
      <c r="G15" s="75">
        <f>AO38/AO$5</f>
        <v>0.99741121805509458</v>
      </c>
      <c r="H15" s="76">
        <f t="shared" si="1"/>
        <v>0.59828299590662681</v>
      </c>
      <c r="I15" s="75">
        <f>AP38/$AP$5</f>
        <v>0.99867241951543317</v>
      </c>
      <c r="J15" s="75">
        <f t="shared" si="6"/>
        <v>0.59893016926651177</v>
      </c>
      <c r="K15"/>
      <c r="L15" s="68">
        <v>0.8</v>
      </c>
      <c r="M15" s="69">
        <f>AU34/$AK$5</f>
        <v>0.99386655615416497</v>
      </c>
      <c r="N15" s="69">
        <f t="shared" si="2"/>
        <v>0.7896244274809161</v>
      </c>
      <c r="O15" s="69">
        <f>AV38/$AL$5</f>
        <v>1.0470627281778958E-2</v>
      </c>
      <c r="P15" s="69">
        <f>AW38/AW$5</f>
        <v>0.12337869233322271</v>
      </c>
      <c r="Q15" s="69">
        <f>AX38/AX$5</f>
        <v>0.83372054430799869</v>
      </c>
      <c r="R15" s="69">
        <f>AY38/AY$5</f>
        <v>0.99303020245602391</v>
      </c>
      <c r="S15" s="70">
        <f t="shared" si="3"/>
        <v>0.65004314636574845</v>
      </c>
      <c r="T15" s="69">
        <f>AZ38/$AP$5</f>
        <v>0.99316296050448061</v>
      </c>
      <c r="U15" s="69">
        <f t="shared" si="7"/>
        <v>0.65713335545967477</v>
      </c>
      <c r="V15"/>
      <c r="W15" s="84">
        <v>0.8</v>
      </c>
      <c r="X15" s="85">
        <f>BF34/$AK$5</f>
        <v>0.97057604641525075</v>
      </c>
      <c r="Y15" s="85">
        <f t="shared" si="4"/>
        <v>0.79117102555592433</v>
      </c>
      <c r="Z15" s="85">
        <f>BG38/$AL$5</f>
        <v>1.4671755725190841E-2</v>
      </c>
      <c r="AA15" s="85">
        <f>BH38/BH$5</f>
        <v>0.16200464653169599</v>
      </c>
      <c r="AB15" s="85">
        <f>BI38/BI$5</f>
        <v>0.90461334218386991</v>
      </c>
      <c r="AC15" s="85">
        <f>BJ38/BJ$5</f>
        <v>0.96986392300033186</v>
      </c>
      <c r="AD15" s="86">
        <f t="shared" si="5"/>
        <v>0.67882730390529922</v>
      </c>
      <c r="AE15" s="85">
        <f>BK38/$AP$5</f>
        <v>0.96993030202456032</v>
      </c>
      <c r="AF15" s="85">
        <f t="shared" si="8"/>
        <v>0.68667925655492867</v>
      </c>
      <c r="AG15"/>
      <c r="AH15" s="37"/>
      <c r="AI15" s="56"/>
      <c r="AJ15" s="37" t="s">
        <v>3</v>
      </c>
      <c r="AK15" s="57">
        <v>198370</v>
      </c>
      <c r="AL15" s="57">
        <v>1235.0999999999999</v>
      </c>
      <c r="AM15" s="57">
        <v>1188.2</v>
      </c>
      <c r="AN15" s="57">
        <v>666.51</v>
      </c>
      <c r="AO15" s="57">
        <v>3.8782000000000001</v>
      </c>
      <c r="AP15" s="57">
        <v>1.2605</v>
      </c>
      <c r="AQ15" s="37"/>
      <c r="AR15" s="37"/>
      <c r="AS15" s="56"/>
      <c r="AT15" s="37" t="s">
        <v>3</v>
      </c>
      <c r="AU15" s="57">
        <v>167710</v>
      </c>
      <c r="AV15" s="57">
        <v>1042.5</v>
      </c>
      <c r="AW15" s="57">
        <v>979.32</v>
      </c>
      <c r="AX15" s="57">
        <v>340.46</v>
      </c>
      <c r="AY15" s="57">
        <v>1.0991</v>
      </c>
      <c r="AZ15" s="57">
        <v>0.36375000000000002</v>
      </c>
      <c r="BA15" s="37"/>
      <c r="BB15" s="37"/>
      <c r="BC15" s="37"/>
      <c r="BD15" s="56"/>
      <c r="BE15" s="37" t="s">
        <v>3</v>
      </c>
      <c r="BF15" s="57">
        <v>138660</v>
      </c>
      <c r="BG15" s="57">
        <v>859.57</v>
      </c>
      <c r="BH15" s="57">
        <v>774.32</v>
      </c>
      <c r="BI15" s="57">
        <v>115.43</v>
      </c>
      <c r="BJ15" s="57">
        <v>0.53354000000000001</v>
      </c>
      <c r="BK15" s="57">
        <v>0.20549000000000001</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1</v>
      </c>
      <c r="C16" s="75">
        <f t="shared" si="0"/>
        <v>0.77827238632592111</v>
      </c>
      <c r="D16" s="75">
        <f>AL45/$AL$5</f>
        <v>1.0074344507135746E-2</v>
      </c>
      <c r="E16" s="75">
        <f>AM45/AM$5</f>
        <v>0.11994025887819448</v>
      </c>
      <c r="F16" s="75">
        <f>AN45/AN$5</f>
        <v>0.73879853966146702</v>
      </c>
      <c r="G16" s="75">
        <f>AO45/AO$5</f>
        <v>0.99747759707932293</v>
      </c>
      <c r="H16" s="76">
        <f t="shared" si="1"/>
        <v>0.61873879853966152</v>
      </c>
      <c r="I16" s="75">
        <f>AP45/$AP$5</f>
        <v>0.99867241951543317</v>
      </c>
      <c r="J16" s="75">
        <f t="shared" si="6"/>
        <v>0.61987766345834716</v>
      </c>
      <c r="K16"/>
      <c r="L16" s="68">
        <v>1</v>
      </c>
      <c r="M16" s="69">
        <f>AU41/$AK$5</f>
        <v>1</v>
      </c>
      <c r="N16" s="69">
        <f t="shared" si="2"/>
        <v>0.79904892134085626</v>
      </c>
      <c r="O16" s="69">
        <f>AV45/$AL$5</f>
        <v>1.2176568204447395E-2</v>
      </c>
      <c r="P16" s="69">
        <f>AW45/AW$5</f>
        <v>0.14059077331563227</v>
      </c>
      <c r="Q16" s="69">
        <f>AX45/AX$5</f>
        <v>0.85237305011616327</v>
      </c>
      <c r="R16" s="69">
        <f>AY45/AY$5</f>
        <v>0.99907069366080314</v>
      </c>
      <c r="S16" s="70">
        <f t="shared" si="3"/>
        <v>0.66401150569753298</v>
      </c>
      <c r="T16" s="69">
        <f>AZ45/$AP$5</f>
        <v>0.9992698307334883</v>
      </c>
      <c r="U16" s="69">
        <f t="shared" si="7"/>
        <v>0.67002615333554594</v>
      </c>
      <c r="V16"/>
      <c r="W16" s="84">
        <v>1</v>
      </c>
      <c r="X16" s="85">
        <f>BF41/$AK$5</f>
        <v>0.98727724823870699</v>
      </c>
      <c r="Y16" s="85">
        <f t="shared" si="4"/>
        <v>0.8091973116495188</v>
      </c>
      <c r="Z16" s="85">
        <f>BG45/$AL$5</f>
        <v>1.7129107202124128E-2</v>
      </c>
      <c r="AA16" s="85">
        <f>BH45/BH$5</f>
        <v>0.18477928974444077</v>
      </c>
      <c r="AB16" s="85">
        <f>BI45/BI$5</f>
        <v>0.92877530700298705</v>
      </c>
      <c r="AC16" s="85">
        <f>BJ45/BJ$5</f>
        <v>0.98652505808164626</v>
      </c>
      <c r="AD16" s="86">
        <f t="shared" si="5"/>
        <v>0.70002655160969129</v>
      </c>
      <c r="AE16" s="85">
        <f>BK45/$AP$5</f>
        <v>0.98665781613010295</v>
      </c>
      <c r="AF16" s="85">
        <f t="shared" si="8"/>
        <v>0.70614968469963502</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0.78592349817457685</v>
      </c>
      <c r="D17" s="75">
        <f>AL52/$AL$5</f>
        <v>1.193826750746764E-2</v>
      </c>
      <c r="E17" s="75">
        <f>AM52/AM$5</f>
        <v>0.13782276800531032</v>
      </c>
      <c r="F17" s="75">
        <f>AN52/AN$5</f>
        <v>0.77145701958181223</v>
      </c>
      <c r="G17" s="75">
        <f>AO52/AO$5</f>
        <v>0.99754397610355128</v>
      </c>
      <c r="H17" s="76">
        <f t="shared" si="1"/>
        <v>0.63560792123022469</v>
      </c>
      <c r="I17" s="75">
        <f>AP52/$AP$5</f>
        <v>0.99860604049120483</v>
      </c>
      <c r="J17" s="75">
        <f t="shared" si="6"/>
        <v>0.63671058745436449</v>
      </c>
      <c r="K17"/>
      <c r="L17" s="68">
        <v>1.2</v>
      </c>
      <c r="M17" s="69">
        <f>AU48/$AK$5</f>
        <v>1</v>
      </c>
      <c r="N17" s="69">
        <f t="shared" si="2"/>
        <v>0.80539425821440425</v>
      </c>
      <c r="O17" s="69">
        <f>AV52/$AL$5</f>
        <v>1.4503153003650847E-2</v>
      </c>
      <c r="P17" s="69">
        <f>AW52/AW$5</f>
        <v>0.16114171921672751</v>
      </c>
      <c r="Q17" s="69">
        <f>AX52/AX$5</f>
        <v>0.87334882177231998</v>
      </c>
      <c r="R17" s="69">
        <f>AY52/AY$5</f>
        <v>0.99907069366080314</v>
      </c>
      <c r="S17" s="70">
        <f t="shared" si="3"/>
        <v>0.67785374488328365</v>
      </c>
      <c r="T17" s="69">
        <f>AZ52/$AP$5</f>
        <v>0.9992698307334883</v>
      </c>
      <c r="U17" s="69">
        <f t="shared" si="7"/>
        <v>0.68275930965814802</v>
      </c>
      <c r="V17"/>
      <c r="W17" s="84">
        <v>1.2</v>
      </c>
      <c r="X17" s="85">
        <f>BF48/$AK$5</f>
        <v>0.99320348114380441</v>
      </c>
      <c r="Y17" s="85">
        <f t="shared" si="4"/>
        <v>0.81826883504812487</v>
      </c>
      <c r="Z17" s="85">
        <f>BG52/$AL$5</f>
        <v>1.9581812147361433E-2</v>
      </c>
      <c r="AA17" s="85">
        <f>BH52/BH$5</f>
        <v>0.20582807832724859</v>
      </c>
      <c r="AB17" s="85">
        <f>BI52/BI$5</f>
        <v>0.94171921672751413</v>
      </c>
      <c r="AC17" s="85">
        <f>BJ52/BJ$5</f>
        <v>0.99249917026219714</v>
      </c>
      <c r="AD17" s="86">
        <f t="shared" si="5"/>
        <v>0.71334882177231995</v>
      </c>
      <c r="AE17" s="85">
        <f>BK52/$AP$5</f>
        <v>0.99256554928642549</v>
      </c>
      <c r="AF17" s="85">
        <f t="shared" si="8"/>
        <v>0.71756787255227361</v>
      </c>
      <c r="AG17"/>
      <c r="AH17" s="37"/>
      <c r="AI17" s="56"/>
      <c r="AJ17" s="37" t="s">
        <v>5</v>
      </c>
      <c r="AK17" s="57">
        <v>91.376000000000005</v>
      </c>
      <c r="AL17" s="57">
        <v>3.9262999999999999</v>
      </c>
      <c r="AM17" s="57">
        <v>50.917999999999999</v>
      </c>
      <c r="AN17" s="57">
        <v>572.55999999999995</v>
      </c>
      <c r="AO17" s="57">
        <v>1235.2</v>
      </c>
      <c r="AP17" s="57">
        <v>1237.8</v>
      </c>
      <c r="AQ17" s="37"/>
      <c r="AR17" s="37"/>
      <c r="AS17" s="56"/>
      <c r="AT17" s="37" t="s">
        <v>5</v>
      </c>
      <c r="AU17" s="57">
        <v>355.98</v>
      </c>
      <c r="AV17" s="57">
        <v>6.8357000000000001</v>
      </c>
      <c r="AW17" s="57">
        <v>69.956000000000003</v>
      </c>
      <c r="AX17" s="57">
        <v>708.83</v>
      </c>
      <c r="AY17" s="57">
        <v>1048.2</v>
      </c>
      <c r="AZ17" s="57">
        <v>1048.9000000000001</v>
      </c>
      <c r="BA17" s="37"/>
      <c r="BB17" s="37"/>
      <c r="BC17" s="37"/>
      <c r="BD17" s="56"/>
      <c r="BE17" s="37" t="s">
        <v>5</v>
      </c>
      <c r="BF17" s="57">
        <v>577.11</v>
      </c>
      <c r="BG17" s="57">
        <v>9.7476000000000003</v>
      </c>
      <c r="BH17" s="57">
        <v>94.992999999999995</v>
      </c>
      <c r="BI17" s="57">
        <v>753.89</v>
      </c>
      <c r="BJ17" s="57">
        <v>868.78</v>
      </c>
      <c r="BK17" s="57">
        <v>869.11</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0.79774430799867235</v>
      </c>
      <c r="D18" s="75">
        <f>AL59/$AL$5</f>
        <v>1.5516760703617658E-2</v>
      </c>
      <c r="E18" s="75">
        <f>AM59/AM$5</f>
        <v>0.1702090939263193</v>
      </c>
      <c r="F18" s="75">
        <f>AN59/AN$5</f>
        <v>0.81699303020245595</v>
      </c>
      <c r="G18" s="75">
        <f>AO59/AO$5</f>
        <v>0.99767673415200797</v>
      </c>
      <c r="H18" s="76">
        <f t="shared" si="1"/>
        <v>0.66162628609359442</v>
      </c>
      <c r="I18" s="75">
        <f>AP59/$AP$5</f>
        <v>0.99847328244274813</v>
      </c>
      <c r="J18" s="75">
        <f t="shared" si="6"/>
        <v>0.66177338201128444</v>
      </c>
      <c r="K18"/>
      <c r="L18" s="68">
        <v>1.6</v>
      </c>
      <c r="M18" s="69">
        <f>AU55/$AK$5</f>
        <v>1</v>
      </c>
      <c r="N18" s="69">
        <f t="shared" si="2"/>
        <v>0.81468785263856613</v>
      </c>
      <c r="O18" s="69">
        <f>AV59/$AL$5</f>
        <v>1.8549618320610688E-2</v>
      </c>
      <c r="P18" s="69">
        <f>AW59/AW$5</f>
        <v>0.19528708927978758</v>
      </c>
      <c r="Q18" s="69">
        <f>AX59/AX$5</f>
        <v>0.9000331895121142</v>
      </c>
      <c r="R18" s="69">
        <f>AY59/AY$5</f>
        <v>0.99907069366080314</v>
      </c>
      <c r="S18" s="70">
        <f t="shared" si="3"/>
        <v>0.69813032415090182</v>
      </c>
      <c r="T18" s="69">
        <f>AZ59/$AP$5</f>
        <v>0.99920345170925984</v>
      </c>
      <c r="U18" s="69">
        <f t="shared" si="7"/>
        <v>0.70066013939595095</v>
      </c>
      <c r="V18"/>
      <c r="W18" s="84">
        <v>1.6</v>
      </c>
      <c r="X18" s="85">
        <f>BF55/$AK$5</f>
        <v>1</v>
      </c>
      <c r="Y18" s="85">
        <f t="shared" si="4"/>
        <v>0.83172675074676405</v>
      </c>
      <c r="Z18" s="85">
        <f>BG59/$AL$5</f>
        <v>2.4983073348821772E-2</v>
      </c>
      <c r="AA18" s="85">
        <f>BH59/BH$5</f>
        <v>0.24621971457019581</v>
      </c>
      <c r="AB18" s="85">
        <f>BI59/BI$5</f>
        <v>0.95990706936608028</v>
      </c>
      <c r="AC18" s="85">
        <f>BJ59/BJ$5</f>
        <v>0.9992698307334883</v>
      </c>
      <c r="AD18" s="86">
        <f t="shared" si="5"/>
        <v>0.73513220488992159</v>
      </c>
      <c r="AE18" s="85">
        <f>BK59/$AP$5</f>
        <v>0.99933620975771653</v>
      </c>
      <c r="AF18" s="85">
        <f t="shared" si="8"/>
        <v>0.73549266511782274</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0.41767612678393629</v>
      </c>
      <c r="CH18" s="62">
        <f t="shared" ref="CH18:CH26" si="10">N11</f>
        <v>0.33805235977431125</v>
      </c>
      <c r="CI18" s="62">
        <f t="shared" ref="CI18:CI26" si="11">Y11</f>
        <v>0.26997938599402593</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0.80730033189512118</v>
      </c>
      <c r="D19" s="75">
        <f>AL66/$AL$5</f>
        <v>1.9129770992366412E-2</v>
      </c>
      <c r="E19" s="75">
        <f>AM66/AM$5</f>
        <v>0.20058413541320944</v>
      </c>
      <c r="F19" s="75">
        <f>AN66/AN$5</f>
        <v>0.84892134085628945</v>
      </c>
      <c r="G19" s="75">
        <f>AO66/AO$5</f>
        <v>0.99787587122469301</v>
      </c>
      <c r="H19" s="76">
        <f t="shared" si="1"/>
        <v>0.6824604491647307</v>
      </c>
      <c r="I19" s="75">
        <f>AP66/$AP$5</f>
        <v>0.99847328244274813</v>
      </c>
      <c r="J19" s="75">
        <f>(($C$5*D19)+($D$5*E19)+($E$5*F19)+($F$5*G19)+($G$5*I19))</f>
        <v>0.68102084301360777</v>
      </c>
      <c r="K19"/>
      <c r="L19" s="68">
        <v>2</v>
      </c>
      <c r="M19" s="69">
        <f>AU62/$AK$5</f>
        <v>1</v>
      </c>
      <c r="N19" s="69">
        <f t="shared" si="2"/>
        <v>0.82333879853966152</v>
      </c>
      <c r="O19" s="69">
        <f>AV66/$AL$5</f>
        <v>2.2992366412213739E-2</v>
      </c>
      <c r="P19" s="69">
        <f>AW66/AW$5</f>
        <v>0.22981745768337208</v>
      </c>
      <c r="Q19" s="69">
        <f>AX66/AX$5</f>
        <v>0.92140723531364088</v>
      </c>
      <c r="R19" s="69">
        <f>AY66/AY$5</f>
        <v>0.9991370726850316</v>
      </c>
      <c r="S19" s="70">
        <f t="shared" si="3"/>
        <v>0.71678725522734821</v>
      </c>
      <c r="T19" s="69">
        <f>AZ66/$AP$5</f>
        <v>0.9992698307334883</v>
      </c>
      <c r="U19" s="69">
        <f>(($C$5*O19)+($D$5*P19)+($E$5*Q19)+($F$5*R19)+($G$5*T19))</f>
        <v>0.71658001991370734</v>
      </c>
      <c r="V19"/>
      <c r="W19" s="84">
        <v>2</v>
      </c>
      <c r="X19" s="85">
        <f>BF62/$AK$5</f>
        <v>1</v>
      </c>
      <c r="Y19" s="85">
        <f t="shared" si="4"/>
        <v>0.83711496846996347</v>
      </c>
      <c r="Z19" s="85">
        <f>BG66/$AL$5</f>
        <v>2.877796216395619E-2</v>
      </c>
      <c r="AA19" s="85">
        <f>BH66/BH$5</f>
        <v>0.27417192167275145</v>
      </c>
      <c r="AB19" s="85">
        <f>BI66/BI$5</f>
        <v>0.96661135081314309</v>
      </c>
      <c r="AC19" s="85">
        <f>BJ66/BJ$5</f>
        <v>0.9992698307334883</v>
      </c>
      <c r="AD19" s="86">
        <f t="shared" si="5"/>
        <v>0.7466843677397943</v>
      </c>
      <c r="AE19" s="85">
        <f>BK66/$AP$5</f>
        <v>0.99933620975771653</v>
      </c>
      <c r="AF19" s="85">
        <f>(($C$5*Z19)+($D$5*AA19)+($E$5*AB19)+($F$5*AC19)+($G$5*AE19))</f>
        <v>0.74414430799867248</v>
      </c>
      <c r="AG19"/>
      <c r="AH19" s="37"/>
      <c r="AI19" s="56">
        <v>0.4</v>
      </c>
      <c r="AJ19" s="37" t="s">
        <v>0</v>
      </c>
      <c r="AK19" s="57">
        <v>241300</v>
      </c>
      <c r="AL19" s="57">
        <v>1506.5</v>
      </c>
      <c r="AM19" s="57">
        <v>1506.5</v>
      </c>
      <c r="AN19" s="57">
        <v>1506.5</v>
      </c>
      <c r="AO19" s="57">
        <v>1506.5</v>
      </c>
      <c r="AP19" s="57">
        <v>1506.5</v>
      </c>
      <c r="AQ19" s="37"/>
      <c r="AR19" s="37"/>
      <c r="AS19" s="56">
        <v>0.4</v>
      </c>
      <c r="AT19" s="37" t="s">
        <v>0</v>
      </c>
      <c r="AU19" s="57">
        <v>241300</v>
      </c>
      <c r="AV19" s="57">
        <v>1506.5</v>
      </c>
      <c r="AW19" s="57">
        <v>1506.5</v>
      </c>
      <c r="AX19" s="57">
        <v>1506.5</v>
      </c>
      <c r="AY19" s="57">
        <v>1506.5</v>
      </c>
      <c r="AZ19" s="57">
        <v>1506.5</v>
      </c>
      <c r="BA19" s="37"/>
      <c r="BB19" s="37"/>
      <c r="BC19" s="37"/>
      <c r="BD19" s="56">
        <v>0.4</v>
      </c>
      <c r="BE19" s="37" t="s">
        <v>0</v>
      </c>
      <c r="BF19" s="57">
        <v>241300</v>
      </c>
      <c r="BG19" s="57">
        <v>1506.5</v>
      </c>
      <c r="BH19" s="57">
        <v>1506.5</v>
      </c>
      <c r="BI19" s="57">
        <v>1506.5</v>
      </c>
      <c r="BJ19" s="57">
        <v>1506.5</v>
      </c>
      <c r="BK19" s="57">
        <v>1506.5</v>
      </c>
      <c r="BL19" s="37"/>
      <c r="BM19" s="37"/>
      <c r="BN19" s="37"/>
      <c r="BO19" s="37"/>
      <c r="BY19" s="37"/>
      <c r="BZ19" s="37"/>
      <c r="CA19" s="37"/>
      <c r="CB19" s="37"/>
      <c r="CC19" s="61">
        <v>0.2</v>
      </c>
      <c r="CD19" s="62">
        <v>0.77280172734718189</v>
      </c>
      <c r="CE19" s="62">
        <v>0.62134241679696223</v>
      </c>
      <c r="CF19" s="62">
        <v>0.48760330578512395</v>
      </c>
      <c r="CG19" s="62">
        <f t="shared" si="9"/>
        <v>0.59601594092266841</v>
      </c>
      <c r="CH19" s="62">
        <f t="shared" si="10"/>
        <v>0.5302619880517756</v>
      </c>
      <c r="CI19" s="62">
        <f t="shared" si="11"/>
        <v>0.45980207766345838</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231410</v>
      </c>
      <c r="AL20" s="57">
        <v>1444.8</v>
      </c>
      <c r="AM20" s="57">
        <v>1444.8</v>
      </c>
      <c r="AN20" s="57">
        <v>1444.8</v>
      </c>
      <c r="AO20" s="57">
        <v>1444.8</v>
      </c>
      <c r="AP20" s="57">
        <v>1444.8</v>
      </c>
      <c r="AQ20" s="37"/>
      <c r="AR20" s="37"/>
      <c r="AS20" s="56"/>
      <c r="AT20" s="37" t="s">
        <v>1</v>
      </c>
      <c r="AU20" s="57">
        <v>217440</v>
      </c>
      <c r="AV20" s="57">
        <v>1357.5</v>
      </c>
      <c r="AW20" s="57">
        <v>1357.5</v>
      </c>
      <c r="AX20" s="57">
        <v>1357.5</v>
      </c>
      <c r="AY20" s="57">
        <v>1357.5</v>
      </c>
      <c r="AZ20" s="57">
        <v>1357.5</v>
      </c>
      <c r="BA20" s="37"/>
      <c r="BB20" s="37"/>
      <c r="BC20" s="37"/>
      <c r="BD20" s="56"/>
      <c r="BE20" s="37" t="s">
        <v>1</v>
      </c>
      <c r="BF20" s="57">
        <v>193750</v>
      </c>
      <c r="BG20" s="57">
        <v>1209.5999999999999</v>
      </c>
      <c r="BH20" s="57">
        <v>1209.5999999999999</v>
      </c>
      <c r="BI20" s="57">
        <v>1209.5999999999999</v>
      </c>
      <c r="BJ20" s="57">
        <v>1209.5999999999999</v>
      </c>
      <c r="BK20" s="57">
        <v>1209.5999999999999</v>
      </c>
      <c r="BL20" s="37"/>
      <c r="BM20" s="37"/>
      <c r="BN20" s="37"/>
      <c r="BO20" s="37"/>
      <c r="BY20" s="37"/>
      <c r="BZ20" s="37"/>
      <c r="CA20" s="37"/>
      <c r="CB20" s="37"/>
      <c r="CC20" s="61">
        <v>0.4</v>
      </c>
      <c r="CD20" s="62">
        <v>0.93740227831136924</v>
      </c>
      <c r="CE20" s="62">
        <v>0.83551113096567642</v>
      </c>
      <c r="CF20" s="62">
        <v>0.7119350755714392</v>
      </c>
      <c r="CG20" s="62">
        <f t="shared" si="9"/>
        <v>0.71210023564553604</v>
      </c>
      <c r="CH20" s="62">
        <f t="shared" si="10"/>
        <v>0.69545627613674077</v>
      </c>
      <c r="CI20" s="62">
        <f t="shared" si="11"/>
        <v>0.64573942914039173</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9893.2000000000007</v>
      </c>
      <c r="AL21" s="57">
        <v>61.767000000000003</v>
      </c>
      <c r="AM21" s="57">
        <v>61.767000000000003</v>
      </c>
      <c r="AN21" s="57">
        <v>61.767000000000003</v>
      </c>
      <c r="AO21" s="57">
        <v>61.767000000000003</v>
      </c>
      <c r="AP21" s="57">
        <v>61.767000000000003</v>
      </c>
      <c r="AQ21" s="57"/>
      <c r="AR21" s="37"/>
      <c r="AS21" s="56"/>
      <c r="AT21" s="37" t="s">
        <v>2</v>
      </c>
      <c r="AU21" s="57">
        <v>23864</v>
      </c>
      <c r="AV21" s="57">
        <v>148.99</v>
      </c>
      <c r="AW21" s="57">
        <v>148.99</v>
      </c>
      <c r="AX21" s="57">
        <v>148.99</v>
      </c>
      <c r="AY21" s="57">
        <v>148.99</v>
      </c>
      <c r="AZ21" s="57">
        <v>148.99</v>
      </c>
      <c r="BA21" s="57"/>
      <c r="BB21" s="37"/>
      <c r="BC21" s="37"/>
      <c r="BD21" s="56"/>
      <c r="BE21" s="37" t="s">
        <v>2</v>
      </c>
      <c r="BF21" s="57">
        <v>47554</v>
      </c>
      <c r="BG21" s="57">
        <v>296.89999999999998</v>
      </c>
      <c r="BH21" s="57">
        <v>296.89999999999998</v>
      </c>
      <c r="BI21" s="57">
        <v>296.89999999999998</v>
      </c>
      <c r="BJ21" s="57">
        <v>296.89999999999998</v>
      </c>
      <c r="BK21" s="57">
        <v>296.89999999999998</v>
      </c>
      <c r="BL21" s="57"/>
      <c r="BM21" s="57"/>
      <c r="BN21" s="57"/>
      <c r="BO21" s="37"/>
      <c r="BY21" s="37"/>
      <c r="BZ21" s="37"/>
      <c r="CA21" s="37"/>
      <c r="CB21" s="37"/>
      <c r="CC21" s="61">
        <v>0.6</v>
      </c>
      <c r="CD21" s="62">
        <v>0.98157248157248156</v>
      </c>
      <c r="CE21" s="62">
        <v>0.93494527585436671</v>
      </c>
      <c r="CF21" s="62">
        <v>0.84556250465341376</v>
      </c>
      <c r="CG21" s="62">
        <f t="shared" si="9"/>
        <v>0.75284604712910719</v>
      </c>
      <c r="CH21" s="62">
        <f t="shared" si="10"/>
        <v>0.76115403252572189</v>
      </c>
      <c r="CI21" s="62">
        <f t="shared" si="11"/>
        <v>0.74626963159641557</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231350</v>
      </c>
      <c r="AL22" s="57">
        <v>1438.1</v>
      </c>
      <c r="AM22" s="57">
        <v>1356.8</v>
      </c>
      <c r="AN22" s="57">
        <v>634.16</v>
      </c>
      <c r="AO22" s="57">
        <v>3.6375999999999999</v>
      </c>
      <c r="AP22" s="57">
        <v>1.3931</v>
      </c>
      <c r="AQ22" s="37"/>
      <c r="AR22" s="37"/>
      <c r="AS22" s="56"/>
      <c r="AT22" s="37" t="s">
        <v>3</v>
      </c>
      <c r="AU22" s="57">
        <v>217160</v>
      </c>
      <c r="AV22" s="57">
        <v>1348.1</v>
      </c>
      <c r="AW22" s="57">
        <v>1248.5999999999999</v>
      </c>
      <c r="AX22" s="57">
        <v>362.09</v>
      </c>
      <c r="AY22" s="57">
        <v>1.3029999999999999</v>
      </c>
      <c r="AZ22" s="57">
        <v>0.61399000000000004</v>
      </c>
      <c r="BA22" s="37"/>
      <c r="BB22" s="37"/>
      <c r="BC22" s="37"/>
      <c r="BD22" s="56"/>
      <c r="BE22" s="37" t="s">
        <v>3</v>
      </c>
      <c r="BF22" s="57">
        <v>193150</v>
      </c>
      <c r="BG22" s="57">
        <v>1194.9000000000001</v>
      </c>
      <c r="BH22" s="57">
        <v>1054.5</v>
      </c>
      <c r="BI22" s="57">
        <v>120.03</v>
      </c>
      <c r="BJ22" s="57">
        <v>0.54944000000000004</v>
      </c>
      <c r="BK22" s="57">
        <v>0.24531</v>
      </c>
      <c r="BL22" s="37"/>
      <c r="BM22" s="37"/>
      <c r="BN22" s="37"/>
      <c r="BO22" s="37"/>
      <c r="BY22" s="37"/>
      <c r="BZ22" s="37"/>
      <c r="CA22" s="37"/>
      <c r="CB22" s="37"/>
      <c r="CC22" s="61">
        <v>0.8</v>
      </c>
      <c r="CD22" s="62">
        <v>0.99348522075794798</v>
      </c>
      <c r="CE22" s="62">
        <v>0.97371751917206462</v>
      </c>
      <c r="CF22" s="62">
        <v>0.92195294468021738</v>
      </c>
      <c r="CG22" s="62">
        <f t="shared" si="9"/>
        <v>0.76897188848323927</v>
      </c>
      <c r="CH22" s="62">
        <f t="shared" si="10"/>
        <v>0.7896244274809161</v>
      </c>
      <c r="CI22" s="62">
        <f t="shared" si="11"/>
        <v>0.79117102555592433</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0.77827238632592111</v>
      </c>
      <c r="CH23" s="62">
        <f t="shared" si="10"/>
        <v>0.79904892134085626</v>
      </c>
      <c r="CI23" s="62">
        <f t="shared" si="11"/>
        <v>0.8091973116495188</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23.321999999999999</v>
      </c>
      <c r="AL24" s="57">
        <v>6.4901</v>
      </c>
      <c r="AM24" s="57">
        <v>87.75</v>
      </c>
      <c r="AN24" s="57">
        <v>810.38</v>
      </c>
      <c r="AO24" s="57">
        <v>1440.9</v>
      </c>
      <c r="AP24" s="57">
        <v>1443.2</v>
      </c>
      <c r="AQ24" s="37"/>
      <c r="AR24" s="37"/>
      <c r="AS24" s="56"/>
      <c r="AT24" s="37" t="s">
        <v>5</v>
      </c>
      <c r="AU24" s="57">
        <v>228.28</v>
      </c>
      <c r="AV24" s="57">
        <v>9.1175999999999995</v>
      </c>
      <c r="AW24" s="57">
        <v>108.64</v>
      </c>
      <c r="AX24" s="57">
        <v>995.12</v>
      </c>
      <c r="AY24" s="57">
        <v>1355.9</v>
      </c>
      <c r="AZ24" s="57">
        <v>1356.6</v>
      </c>
      <c r="BA24" s="37"/>
      <c r="BB24" s="37"/>
      <c r="BC24" s="37"/>
      <c r="BD24" s="56"/>
      <c r="BE24" s="37" t="s">
        <v>5</v>
      </c>
      <c r="BF24" s="57">
        <v>492.27</v>
      </c>
      <c r="BG24" s="57">
        <v>14.058999999999999</v>
      </c>
      <c r="BH24" s="57">
        <v>154.38999999999999</v>
      </c>
      <c r="BI24" s="57">
        <v>1088.9000000000001</v>
      </c>
      <c r="BJ24" s="57">
        <v>1208.4000000000001</v>
      </c>
      <c r="BK24" s="57">
        <v>1208.7</v>
      </c>
      <c r="BL24" s="37"/>
      <c r="BM24" s="37"/>
      <c r="BN24" s="37"/>
      <c r="BO24" s="37"/>
      <c r="BY24" s="37"/>
      <c r="BZ24" s="37"/>
      <c r="CA24" s="37"/>
      <c r="CB24" s="37"/>
      <c r="CC24" s="61">
        <v>1.2</v>
      </c>
      <c r="CD24" s="62">
        <v>0.9987156578065669</v>
      </c>
      <c r="CE24" s="62">
        <v>0.99434144888690346</v>
      </c>
      <c r="CF24" s="62">
        <v>0.97799865981684164</v>
      </c>
      <c r="CG24" s="62">
        <f t="shared" si="9"/>
        <v>0.78592349817457685</v>
      </c>
      <c r="CH24" s="62">
        <f t="shared" si="10"/>
        <v>0.80539425821440425</v>
      </c>
      <c r="CI24" s="62">
        <f t="shared" si="11"/>
        <v>0.81826883504812487</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0.79774430799867235</v>
      </c>
      <c r="CH25" s="62">
        <f t="shared" si="10"/>
        <v>0.81468785263856613</v>
      </c>
      <c r="CI25" s="62">
        <f t="shared" si="11"/>
        <v>0.83172675074676405</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241300</v>
      </c>
      <c r="AL26" s="57">
        <v>1506.5</v>
      </c>
      <c r="AM26" s="57">
        <v>1506.5</v>
      </c>
      <c r="AN26" s="57">
        <v>1506.5</v>
      </c>
      <c r="AO26" s="57">
        <v>1506.5</v>
      </c>
      <c r="AP26" s="57">
        <v>1506.5</v>
      </c>
      <c r="AQ26" s="37"/>
      <c r="AR26" s="37"/>
      <c r="AS26" s="56">
        <v>0.6</v>
      </c>
      <c r="AT26" s="37" t="s">
        <v>0</v>
      </c>
      <c r="AU26" s="57">
        <v>241300</v>
      </c>
      <c r="AV26" s="57">
        <v>1506.5</v>
      </c>
      <c r="AW26" s="57">
        <v>1506.5</v>
      </c>
      <c r="AX26" s="57">
        <v>1506.5</v>
      </c>
      <c r="AY26" s="57">
        <v>1506.5</v>
      </c>
      <c r="AZ26" s="57">
        <v>1506.5</v>
      </c>
      <c r="BA26" s="37"/>
      <c r="BB26" s="37"/>
      <c r="BC26" s="37"/>
      <c r="BD26" s="56">
        <v>0.6</v>
      </c>
      <c r="BE26" s="37" t="s">
        <v>0</v>
      </c>
      <c r="BF26" s="57">
        <v>241300</v>
      </c>
      <c r="BG26" s="57">
        <v>1506.5</v>
      </c>
      <c r="BH26" s="57">
        <v>1506.5</v>
      </c>
      <c r="BI26" s="57">
        <v>1506.5</v>
      </c>
      <c r="BJ26" s="57">
        <v>1506.5</v>
      </c>
      <c r="BK26" s="57">
        <v>1506.5</v>
      </c>
      <c r="BL26" s="37"/>
      <c r="BM26" s="37"/>
      <c r="BN26" s="37"/>
      <c r="BO26" s="37"/>
      <c r="BY26" s="37"/>
      <c r="BZ26" s="37"/>
      <c r="CA26" s="37"/>
      <c r="CB26" s="37"/>
      <c r="CC26" s="61">
        <v>2</v>
      </c>
      <c r="CD26" s="62">
        <v>1</v>
      </c>
      <c r="CE26" s="62">
        <v>1</v>
      </c>
      <c r="CF26" s="62">
        <v>1</v>
      </c>
      <c r="CG26" s="62">
        <f t="shared" si="9"/>
        <v>0.80730033189512118</v>
      </c>
      <c r="CH26" s="62">
        <f t="shared" si="10"/>
        <v>0.82333879853966152</v>
      </c>
      <c r="CI26" s="62">
        <f t="shared" si="11"/>
        <v>0.83711496846996347</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239750</v>
      </c>
      <c r="AL27" s="57">
        <v>1496.9</v>
      </c>
      <c r="AM27" s="57">
        <v>1496.9</v>
      </c>
      <c r="AN27" s="57">
        <v>1496.9</v>
      </c>
      <c r="AO27" s="57">
        <v>1496.9</v>
      </c>
      <c r="AP27" s="57">
        <v>1496.9</v>
      </c>
      <c r="AQ27" s="37"/>
      <c r="AR27" s="37"/>
      <c r="AS27" s="56"/>
      <c r="AT27" s="37" t="s">
        <v>1</v>
      </c>
      <c r="AU27" s="57">
        <v>234470</v>
      </c>
      <c r="AV27" s="57">
        <v>1463.9</v>
      </c>
      <c r="AW27" s="57">
        <v>1463.9</v>
      </c>
      <c r="AX27" s="57">
        <v>1463.9</v>
      </c>
      <c r="AY27" s="57">
        <v>1463.9</v>
      </c>
      <c r="AZ27" s="57">
        <v>1463.9</v>
      </c>
      <c r="BA27" s="37"/>
      <c r="BB27" s="37"/>
      <c r="BC27" s="37"/>
      <c r="BD27" s="56"/>
      <c r="BE27" s="37" t="s">
        <v>1</v>
      </c>
      <c r="BF27" s="57">
        <v>222340</v>
      </c>
      <c r="BG27" s="57">
        <v>1388.1</v>
      </c>
      <c r="BH27" s="57">
        <v>1388.1</v>
      </c>
      <c r="BI27" s="57">
        <v>1388.1</v>
      </c>
      <c r="BJ27" s="57">
        <v>1388.1</v>
      </c>
      <c r="BK27" s="57">
        <v>1388.1</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1550.2</v>
      </c>
      <c r="AL28" s="57">
        <v>9.6784999999999997</v>
      </c>
      <c r="AM28" s="57">
        <v>9.6784999999999997</v>
      </c>
      <c r="AN28" s="57">
        <v>9.6784999999999997</v>
      </c>
      <c r="AO28" s="57">
        <v>9.6784999999999997</v>
      </c>
      <c r="AP28" s="57">
        <v>9.6784999999999997</v>
      </c>
      <c r="AQ28" s="37"/>
      <c r="AR28" s="37"/>
      <c r="AS28" s="56"/>
      <c r="AT28" s="37" t="s">
        <v>2</v>
      </c>
      <c r="AU28" s="57">
        <v>6836.5</v>
      </c>
      <c r="AV28" s="57">
        <v>42.683</v>
      </c>
      <c r="AW28" s="57">
        <v>42.683</v>
      </c>
      <c r="AX28" s="57">
        <v>42.683</v>
      </c>
      <c r="AY28" s="57">
        <v>42.683</v>
      </c>
      <c r="AZ28" s="57">
        <v>42.683</v>
      </c>
      <c r="BA28" s="37"/>
      <c r="BB28" s="37"/>
      <c r="BC28" s="37"/>
      <c r="BD28" s="56"/>
      <c r="BE28" s="37" t="s">
        <v>2</v>
      </c>
      <c r="BF28" s="57">
        <v>18966</v>
      </c>
      <c r="BG28" s="57">
        <v>118.41</v>
      </c>
      <c r="BH28" s="57">
        <v>118.41</v>
      </c>
      <c r="BI28" s="57">
        <v>118.41</v>
      </c>
      <c r="BJ28" s="57">
        <v>118.41</v>
      </c>
      <c r="BK28" s="57">
        <v>118.41</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239700</v>
      </c>
      <c r="AL29" s="57">
        <v>1487.2</v>
      </c>
      <c r="AM29" s="57">
        <v>1374.9</v>
      </c>
      <c r="AN29" s="57">
        <v>536.66999999999996</v>
      </c>
      <c r="AO29" s="57">
        <v>3.7538999999999998</v>
      </c>
      <c r="AP29" s="57">
        <v>1.639</v>
      </c>
      <c r="AQ29" s="37"/>
      <c r="AR29" s="37"/>
      <c r="AS29" s="56"/>
      <c r="AT29" s="37" t="s">
        <v>3</v>
      </c>
      <c r="AU29" s="57">
        <v>234260</v>
      </c>
      <c r="AV29" s="57">
        <v>1451.1</v>
      </c>
      <c r="AW29" s="57">
        <v>1314.6</v>
      </c>
      <c r="AX29" s="57">
        <v>310.29000000000002</v>
      </c>
      <c r="AY29" s="57">
        <v>1.2176</v>
      </c>
      <c r="AZ29" s="57">
        <v>0.64892000000000005</v>
      </c>
      <c r="BA29" s="37"/>
      <c r="BB29" s="37"/>
      <c r="BC29" s="37"/>
      <c r="BD29" s="56"/>
      <c r="BE29" s="37" t="s">
        <v>3</v>
      </c>
      <c r="BF29" s="57">
        <v>221800</v>
      </c>
      <c r="BG29" s="57">
        <v>1369.2</v>
      </c>
      <c r="BH29" s="57">
        <v>1183.8</v>
      </c>
      <c r="BI29" s="57">
        <v>113.01</v>
      </c>
      <c r="BJ29" s="57">
        <v>0.52983999999999998</v>
      </c>
      <c r="BK29" s="57">
        <v>0.28242</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15.583</v>
      </c>
      <c r="AL31" s="57">
        <v>9.4214000000000002</v>
      </c>
      <c r="AM31" s="57">
        <v>121.74</v>
      </c>
      <c r="AN31" s="57">
        <v>959.97</v>
      </c>
      <c r="AO31" s="57">
        <v>1492.9</v>
      </c>
      <c r="AP31" s="57">
        <v>1495</v>
      </c>
      <c r="AQ31" s="37"/>
      <c r="AR31" s="37"/>
      <c r="AS31" s="56"/>
      <c r="AT31" s="37" t="s">
        <v>5</v>
      </c>
      <c r="AU31" s="57">
        <v>145.88</v>
      </c>
      <c r="AV31" s="57">
        <v>12.340999999999999</v>
      </c>
      <c r="AW31" s="57">
        <v>148.91</v>
      </c>
      <c r="AX31" s="57">
        <v>1153.2</v>
      </c>
      <c r="AY31" s="57">
        <v>1462.3</v>
      </c>
      <c r="AZ31" s="57">
        <v>1462.8</v>
      </c>
      <c r="BA31" s="37"/>
      <c r="BB31" s="37"/>
      <c r="BC31" s="37"/>
      <c r="BD31" s="56"/>
      <c r="BE31" s="37" t="s">
        <v>5</v>
      </c>
      <c r="BF31" s="57">
        <v>422.76</v>
      </c>
      <c r="BG31" s="57">
        <v>18.193999999999999</v>
      </c>
      <c r="BH31" s="57">
        <v>203.67</v>
      </c>
      <c r="BI31" s="57">
        <v>1274.4000000000001</v>
      </c>
      <c r="BJ31" s="57">
        <v>1386.9</v>
      </c>
      <c r="BK31" s="57">
        <v>1387.2</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241300</v>
      </c>
      <c r="AL33" s="57">
        <v>1506.5</v>
      </c>
      <c r="AM33" s="57">
        <v>1506.5</v>
      </c>
      <c r="AN33" s="57">
        <v>1506.5</v>
      </c>
      <c r="AO33" s="57">
        <v>1506.5</v>
      </c>
      <c r="AP33" s="57">
        <v>1506.5</v>
      </c>
      <c r="AQ33" s="37"/>
      <c r="AR33" s="37"/>
      <c r="AS33" s="56">
        <v>0.8</v>
      </c>
      <c r="AT33" s="37" t="s">
        <v>0</v>
      </c>
      <c r="AU33" s="57">
        <v>241300</v>
      </c>
      <c r="AV33" s="57">
        <v>1506.5</v>
      </c>
      <c r="AW33" s="57">
        <v>1506.5</v>
      </c>
      <c r="AX33" s="57">
        <v>1506.5</v>
      </c>
      <c r="AY33" s="57">
        <v>1506.5</v>
      </c>
      <c r="AZ33" s="57">
        <v>1506.5</v>
      </c>
      <c r="BA33" s="37"/>
      <c r="BB33" s="37"/>
      <c r="BC33" s="37"/>
      <c r="BD33" s="56">
        <v>0.8</v>
      </c>
      <c r="BE33" s="37" t="s">
        <v>0</v>
      </c>
      <c r="BF33" s="57">
        <v>241300</v>
      </c>
      <c r="BG33" s="57">
        <v>1506.5</v>
      </c>
      <c r="BH33" s="57">
        <v>1506.5</v>
      </c>
      <c r="BI33" s="57">
        <v>1506.5</v>
      </c>
      <c r="BJ33" s="57">
        <v>1506.5</v>
      </c>
      <c r="BK33" s="57">
        <v>1506.5</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241300</v>
      </c>
      <c r="AL34" s="57">
        <v>1506.5</v>
      </c>
      <c r="AM34" s="57">
        <v>1506.5</v>
      </c>
      <c r="AN34" s="57">
        <v>1506.5</v>
      </c>
      <c r="AO34" s="57">
        <v>1506.5</v>
      </c>
      <c r="AP34" s="57">
        <v>1506.5</v>
      </c>
      <c r="AQ34" s="37"/>
      <c r="AR34" s="37"/>
      <c r="AS34" s="56"/>
      <c r="AT34" s="37" t="s">
        <v>1</v>
      </c>
      <c r="AU34" s="57">
        <v>239820</v>
      </c>
      <c r="AV34" s="57">
        <v>1497.3</v>
      </c>
      <c r="AW34" s="57">
        <v>1497.3</v>
      </c>
      <c r="AX34" s="57">
        <v>1497.3</v>
      </c>
      <c r="AY34" s="57">
        <v>1497.3</v>
      </c>
      <c r="AZ34" s="57">
        <v>1497.3</v>
      </c>
      <c r="BA34" s="37"/>
      <c r="BB34" s="37"/>
      <c r="BC34" s="37"/>
      <c r="BD34" s="56"/>
      <c r="BE34" s="37" t="s">
        <v>1</v>
      </c>
      <c r="BF34" s="57">
        <v>234200</v>
      </c>
      <c r="BG34" s="57">
        <v>1462.2</v>
      </c>
      <c r="BH34" s="57">
        <v>1462.2</v>
      </c>
      <c r="BI34" s="57">
        <v>1462.2</v>
      </c>
      <c r="BJ34" s="57">
        <v>1462.2</v>
      </c>
      <c r="BK34" s="57">
        <v>1462.2</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0</v>
      </c>
      <c r="AL35" s="57">
        <v>0</v>
      </c>
      <c r="AM35" s="57">
        <v>0</v>
      </c>
      <c r="AN35" s="57">
        <v>0</v>
      </c>
      <c r="AO35" s="57">
        <v>0</v>
      </c>
      <c r="AP35" s="57">
        <v>0</v>
      </c>
      <c r="AQ35" s="37"/>
      <c r="AR35" s="37"/>
      <c r="AS35" s="56"/>
      <c r="AT35" s="37" t="s">
        <v>2</v>
      </c>
      <c r="AU35" s="57">
        <v>1479.1</v>
      </c>
      <c r="AV35" s="57">
        <v>9.2347000000000001</v>
      </c>
      <c r="AW35" s="57">
        <v>9.2347000000000001</v>
      </c>
      <c r="AX35" s="57">
        <v>9.2347000000000001</v>
      </c>
      <c r="AY35" s="57">
        <v>9.2347000000000001</v>
      </c>
      <c r="AZ35" s="57">
        <v>9.2347000000000001</v>
      </c>
      <c r="BA35" s="37"/>
      <c r="BB35" s="37"/>
      <c r="BC35" s="37"/>
      <c r="BD35" s="56"/>
      <c r="BE35" s="37" t="s">
        <v>2</v>
      </c>
      <c r="BF35" s="57">
        <v>7100.3</v>
      </c>
      <c r="BG35" s="57">
        <v>44.329000000000001</v>
      </c>
      <c r="BH35" s="57">
        <v>44.329000000000001</v>
      </c>
      <c r="BI35" s="57">
        <v>44.329000000000001</v>
      </c>
      <c r="BJ35" s="57">
        <v>44.329000000000001</v>
      </c>
      <c r="BK35" s="57">
        <v>44.329000000000001</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241250</v>
      </c>
      <c r="AL36" s="57">
        <v>1494</v>
      </c>
      <c r="AM36" s="57">
        <v>1354.1</v>
      </c>
      <c r="AN36" s="57">
        <v>457.18</v>
      </c>
      <c r="AO36" s="57">
        <v>3.766</v>
      </c>
      <c r="AP36" s="57">
        <v>1.8106</v>
      </c>
      <c r="AQ36" s="37"/>
      <c r="AR36" s="37"/>
      <c r="AS36" s="56"/>
      <c r="AT36" s="37" t="s">
        <v>3</v>
      </c>
      <c r="AU36" s="57">
        <v>239650</v>
      </c>
      <c r="AV36" s="57">
        <v>1481.1</v>
      </c>
      <c r="AW36" s="57">
        <v>1311</v>
      </c>
      <c r="AX36" s="57">
        <v>240.93</v>
      </c>
      <c r="AY36" s="57">
        <v>0.91510999999999998</v>
      </c>
      <c r="AZ36" s="57">
        <v>0.65793000000000001</v>
      </c>
      <c r="BA36" s="37"/>
      <c r="BB36" s="37"/>
      <c r="BC36" s="37"/>
      <c r="BD36" s="56"/>
      <c r="BE36" s="37" t="s">
        <v>3</v>
      </c>
      <c r="BF36" s="57">
        <v>233720</v>
      </c>
      <c r="BG36" s="57">
        <v>1439.4</v>
      </c>
      <c r="BH36" s="57">
        <v>1217.4000000000001</v>
      </c>
      <c r="BI36" s="57">
        <v>98.762</v>
      </c>
      <c r="BJ36" s="57">
        <v>0.45862999999999998</v>
      </c>
      <c r="BK36" s="57">
        <v>0.30123</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13.747999999999999</v>
      </c>
      <c r="AL38" s="57">
        <v>12.303000000000001</v>
      </c>
      <c r="AM38" s="57">
        <v>152.24</v>
      </c>
      <c r="AN38" s="57">
        <v>1049.0999999999999</v>
      </c>
      <c r="AO38" s="57">
        <v>1502.6</v>
      </c>
      <c r="AP38" s="57">
        <v>1504.5</v>
      </c>
      <c r="AQ38" s="37"/>
      <c r="AR38" s="37"/>
      <c r="AS38" s="56"/>
      <c r="AT38" s="37" t="s">
        <v>5</v>
      </c>
      <c r="AU38" s="57">
        <v>105.43</v>
      </c>
      <c r="AV38" s="57">
        <v>15.773999999999999</v>
      </c>
      <c r="AW38" s="57">
        <v>185.87</v>
      </c>
      <c r="AX38" s="57">
        <v>1256</v>
      </c>
      <c r="AY38" s="57">
        <v>1496</v>
      </c>
      <c r="AZ38" s="57">
        <v>1496.2</v>
      </c>
      <c r="BA38" s="37"/>
      <c r="BB38" s="37"/>
      <c r="BC38" s="37"/>
      <c r="BD38" s="56"/>
      <c r="BE38" s="37" t="s">
        <v>5</v>
      </c>
      <c r="BF38" s="57">
        <v>372.84</v>
      </c>
      <c r="BG38" s="57">
        <v>22.103000000000002</v>
      </c>
      <c r="BH38" s="57">
        <v>244.06</v>
      </c>
      <c r="BI38" s="57">
        <v>1362.8</v>
      </c>
      <c r="BJ38" s="57">
        <v>1461.1</v>
      </c>
      <c r="BK38" s="57">
        <v>1461.2</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241300</v>
      </c>
      <c r="AL40" s="57">
        <v>1506.5</v>
      </c>
      <c r="AM40" s="57">
        <v>1506.5</v>
      </c>
      <c r="AN40" s="57">
        <v>1506.5</v>
      </c>
      <c r="AO40" s="57">
        <v>1506.5</v>
      </c>
      <c r="AP40" s="57">
        <v>1506.5</v>
      </c>
      <c r="AQ40" s="37"/>
      <c r="AR40" s="37"/>
      <c r="AS40" s="56">
        <v>1</v>
      </c>
      <c r="AT40" s="37" t="s">
        <v>0</v>
      </c>
      <c r="AU40" s="57">
        <v>241300</v>
      </c>
      <c r="AV40" s="57">
        <v>1506.5</v>
      </c>
      <c r="AW40" s="57">
        <v>1506.5</v>
      </c>
      <c r="AX40" s="57">
        <v>1506.5</v>
      </c>
      <c r="AY40" s="57">
        <v>1506.5</v>
      </c>
      <c r="AZ40" s="57">
        <v>1506.5</v>
      </c>
      <c r="BA40" s="37"/>
      <c r="BB40" s="37"/>
      <c r="BC40" s="37"/>
      <c r="BD40" s="56">
        <v>1</v>
      </c>
      <c r="BE40" s="37" t="s">
        <v>0</v>
      </c>
      <c r="BF40" s="57">
        <v>241300</v>
      </c>
      <c r="BG40" s="57">
        <v>1506.5</v>
      </c>
      <c r="BH40" s="57">
        <v>1506.5</v>
      </c>
      <c r="BI40" s="57">
        <v>1506.5</v>
      </c>
      <c r="BJ40" s="57">
        <v>1506.5</v>
      </c>
      <c r="BK40" s="57">
        <v>1506.5</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241300</v>
      </c>
      <c r="AL41" s="57">
        <v>1506.5</v>
      </c>
      <c r="AM41" s="57">
        <v>1506.5</v>
      </c>
      <c r="AN41" s="57">
        <v>1506.5</v>
      </c>
      <c r="AO41" s="57">
        <v>1506.5</v>
      </c>
      <c r="AP41" s="57">
        <v>1506.5</v>
      </c>
      <c r="AQ41" s="37"/>
      <c r="AR41" s="37"/>
      <c r="AS41" s="56"/>
      <c r="AT41" s="37" t="s">
        <v>1</v>
      </c>
      <c r="AU41" s="57">
        <v>241300</v>
      </c>
      <c r="AV41" s="57">
        <v>1506.5</v>
      </c>
      <c r="AW41" s="57">
        <v>1506.5</v>
      </c>
      <c r="AX41" s="57">
        <v>1506.5</v>
      </c>
      <c r="AY41" s="57">
        <v>1506.5</v>
      </c>
      <c r="AZ41" s="57">
        <v>1506.5</v>
      </c>
      <c r="BA41" s="37"/>
      <c r="BB41" s="37"/>
      <c r="BC41" s="37"/>
      <c r="BD41" s="56"/>
      <c r="BE41" s="37" t="s">
        <v>1</v>
      </c>
      <c r="BF41" s="57">
        <v>238230</v>
      </c>
      <c r="BG41" s="57">
        <v>1487.4</v>
      </c>
      <c r="BH41" s="57">
        <v>1487.4</v>
      </c>
      <c r="BI41" s="57">
        <v>1487.4</v>
      </c>
      <c r="BJ41" s="57">
        <v>1487.4</v>
      </c>
      <c r="BK41" s="57">
        <v>1487.4</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0</v>
      </c>
      <c r="AL42" s="57">
        <v>0</v>
      </c>
      <c r="AM42" s="57">
        <v>0</v>
      </c>
      <c r="AN42" s="57">
        <v>0</v>
      </c>
      <c r="AO42" s="57">
        <v>0</v>
      </c>
      <c r="AP42" s="57">
        <v>0</v>
      </c>
      <c r="AQ42" s="37"/>
      <c r="AR42" s="37"/>
      <c r="AS42" s="56"/>
      <c r="AT42" s="37" t="s">
        <v>2</v>
      </c>
      <c r="AU42" s="57">
        <v>0</v>
      </c>
      <c r="AV42" s="57">
        <v>0</v>
      </c>
      <c r="AW42" s="57">
        <v>0</v>
      </c>
      <c r="AX42" s="57">
        <v>0</v>
      </c>
      <c r="AY42" s="57">
        <v>0</v>
      </c>
      <c r="AZ42" s="57">
        <v>0</v>
      </c>
      <c r="BA42" s="37"/>
      <c r="BB42" s="37"/>
      <c r="BC42" s="37"/>
      <c r="BD42" s="56"/>
      <c r="BE42" s="37" t="s">
        <v>2</v>
      </c>
      <c r="BF42" s="57">
        <v>3070.1</v>
      </c>
      <c r="BG42" s="57">
        <v>19.167999999999999</v>
      </c>
      <c r="BH42" s="57">
        <v>19.167999999999999</v>
      </c>
      <c r="BI42" s="57">
        <v>19.167999999999999</v>
      </c>
      <c r="BJ42" s="57">
        <v>19.167999999999999</v>
      </c>
      <c r="BK42" s="57">
        <v>19.167999999999999</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241250</v>
      </c>
      <c r="AL43" s="57">
        <v>1491.1</v>
      </c>
      <c r="AM43" s="57">
        <v>1325.6</v>
      </c>
      <c r="AN43" s="57">
        <v>393.3</v>
      </c>
      <c r="AO43" s="57">
        <v>3.6095999999999999</v>
      </c>
      <c r="AP43" s="57">
        <v>1.8041</v>
      </c>
      <c r="AQ43" s="37"/>
      <c r="AR43" s="37"/>
      <c r="AS43" s="56"/>
      <c r="AT43" s="37" t="s">
        <v>3</v>
      </c>
      <c r="AU43" s="57">
        <v>241160</v>
      </c>
      <c r="AV43" s="57">
        <v>1487.8</v>
      </c>
      <c r="AW43" s="57">
        <v>1294.4000000000001</v>
      </c>
      <c r="AX43" s="57">
        <v>222.12</v>
      </c>
      <c r="AY43" s="57">
        <v>1.0707</v>
      </c>
      <c r="AZ43" s="57">
        <v>0.75390999999999997</v>
      </c>
      <c r="BA43" s="37"/>
      <c r="BB43" s="37"/>
      <c r="BC43" s="37"/>
      <c r="BD43" s="56"/>
      <c r="BE43" s="37" t="s">
        <v>3</v>
      </c>
      <c r="BF43" s="57">
        <v>237790</v>
      </c>
      <c r="BG43" s="57">
        <v>1460.9</v>
      </c>
      <c r="BH43" s="57">
        <v>1208.3</v>
      </c>
      <c r="BI43" s="57">
        <v>87.516999999999996</v>
      </c>
      <c r="BJ43" s="57">
        <v>0.43752000000000002</v>
      </c>
      <c r="BK43" s="57">
        <v>0.31273000000000001</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15.635999999999999</v>
      </c>
      <c r="AL45" s="57">
        <v>15.177</v>
      </c>
      <c r="AM45" s="57">
        <v>180.69</v>
      </c>
      <c r="AN45" s="57">
        <v>1113</v>
      </c>
      <c r="AO45" s="57">
        <v>1502.7</v>
      </c>
      <c r="AP45" s="57">
        <v>1504.5</v>
      </c>
      <c r="AQ45" s="37"/>
      <c r="AR45" s="37"/>
      <c r="AS45" s="56"/>
      <c r="AT45" s="37" t="s">
        <v>5</v>
      </c>
      <c r="AU45" s="57">
        <v>80.162000000000006</v>
      </c>
      <c r="AV45" s="57">
        <v>18.344000000000001</v>
      </c>
      <c r="AW45" s="57">
        <v>211.8</v>
      </c>
      <c r="AX45" s="57">
        <v>1284.0999999999999</v>
      </c>
      <c r="AY45" s="57">
        <v>1505.1</v>
      </c>
      <c r="AZ45" s="57">
        <v>1505.4</v>
      </c>
      <c r="BA45" s="37"/>
      <c r="BB45" s="37"/>
      <c r="BC45" s="37"/>
      <c r="BD45" s="56"/>
      <c r="BE45" s="37" t="s">
        <v>5</v>
      </c>
      <c r="BF45" s="57">
        <v>333.63</v>
      </c>
      <c r="BG45" s="57">
        <v>25.805</v>
      </c>
      <c r="BH45" s="57">
        <v>278.37</v>
      </c>
      <c r="BI45" s="57">
        <v>1399.2</v>
      </c>
      <c r="BJ45" s="57">
        <v>1486.2</v>
      </c>
      <c r="BK45" s="57">
        <v>1486.4</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241300</v>
      </c>
      <c r="AL47" s="57">
        <v>1506.5</v>
      </c>
      <c r="AM47" s="57">
        <v>1506.5</v>
      </c>
      <c r="AN47" s="57">
        <v>1506.5</v>
      </c>
      <c r="AO47" s="57">
        <v>1506.5</v>
      </c>
      <c r="AP47" s="57">
        <v>1506.5</v>
      </c>
      <c r="AQ47" s="37"/>
      <c r="AR47" s="37"/>
      <c r="AS47" s="56">
        <v>1.2</v>
      </c>
      <c r="AT47" s="37" t="s">
        <v>0</v>
      </c>
      <c r="AU47" s="57">
        <v>241300</v>
      </c>
      <c r="AV47" s="57">
        <v>1506.5</v>
      </c>
      <c r="AW47" s="57">
        <v>1506.5</v>
      </c>
      <c r="AX47" s="57">
        <v>1506.5</v>
      </c>
      <c r="AY47" s="57">
        <v>1506.5</v>
      </c>
      <c r="AZ47" s="57">
        <v>1506.5</v>
      </c>
      <c r="BA47" s="37"/>
      <c r="BB47" s="37"/>
      <c r="BC47" s="37"/>
      <c r="BD47" s="56">
        <v>1.2</v>
      </c>
      <c r="BE47" s="37" t="s">
        <v>0</v>
      </c>
      <c r="BF47" s="57">
        <v>241300</v>
      </c>
      <c r="BG47" s="57">
        <v>1506.5</v>
      </c>
      <c r="BH47" s="57">
        <v>1506.5</v>
      </c>
      <c r="BI47" s="57">
        <v>1506.5</v>
      </c>
      <c r="BJ47" s="57">
        <v>1506.5</v>
      </c>
      <c r="BK47" s="57">
        <v>1506.5</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241300</v>
      </c>
      <c r="AL48" s="57">
        <v>1506.5</v>
      </c>
      <c r="AM48" s="57">
        <v>1506.5</v>
      </c>
      <c r="AN48" s="57">
        <v>1506.5</v>
      </c>
      <c r="AO48" s="57">
        <v>1506.5</v>
      </c>
      <c r="AP48" s="57">
        <v>1506.5</v>
      </c>
      <c r="AQ48" s="37"/>
      <c r="AR48" s="37"/>
      <c r="AS48" s="56"/>
      <c r="AT48" s="37" t="s">
        <v>1</v>
      </c>
      <c r="AU48" s="57">
        <v>241300</v>
      </c>
      <c r="AV48" s="57">
        <v>1506.5</v>
      </c>
      <c r="AW48" s="57">
        <v>1506.5</v>
      </c>
      <c r="AX48" s="57">
        <v>1506.5</v>
      </c>
      <c r="AY48" s="57">
        <v>1506.5</v>
      </c>
      <c r="AZ48" s="57">
        <v>1506.5</v>
      </c>
      <c r="BA48" s="37"/>
      <c r="BB48" s="37"/>
      <c r="BC48" s="37"/>
      <c r="BD48" s="56"/>
      <c r="BE48" s="37" t="s">
        <v>1</v>
      </c>
      <c r="BF48" s="57">
        <v>239660</v>
      </c>
      <c r="BG48" s="57">
        <v>1496.3</v>
      </c>
      <c r="BH48" s="57">
        <v>1496.3</v>
      </c>
      <c r="BI48" s="57">
        <v>1496.3</v>
      </c>
      <c r="BJ48" s="57">
        <v>1496.3</v>
      </c>
      <c r="BK48" s="57">
        <v>1496.3</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0</v>
      </c>
      <c r="AV49" s="57">
        <v>0</v>
      </c>
      <c r="AW49" s="57">
        <v>0</v>
      </c>
      <c r="AX49" s="57">
        <v>0</v>
      </c>
      <c r="AY49" s="57">
        <v>0</v>
      </c>
      <c r="AZ49" s="57">
        <v>0</v>
      </c>
      <c r="BA49" s="37"/>
      <c r="BB49" s="37"/>
      <c r="BC49" s="37"/>
      <c r="BD49" s="56"/>
      <c r="BE49" s="37" t="s">
        <v>2</v>
      </c>
      <c r="BF49" s="57">
        <v>1643</v>
      </c>
      <c r="BG49" s="57">
        <v>10.257999999999999</v>
      </c>
      <c r="BH49" s="57">
        <v>10.257999999999999</v>
      </c>
      <c r="BI49" s="57">
        <v>10.257999999999999</v>
      </c>
      <c r="BJ49" s="57">
        <v>10.257999999999999</v>
      </c>
      <c r="BK49" s="57">
        <v>10.257999999999999</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241250</v>
      </c>
      <c r="AL50" s="57">
        <v>1488.3</v>
      </c>
      <c r="AM50" s="57">
        <v>1298.7</v>
      </c>
      <c r="AN50" s="57">
        <v>344.13</v>
      </c>
      <c r="AO50" s="57">
        <v>3.5411999999999999</v>
      </c>
      <c r="AP50" s="57">
        <v>1.9179999999999999</v>
      </c>
      <c r="AQ50" s="37"/>
      <c r="AR50" s="37"/>
      <c r="AS50" s="56"/>
      <c r="AT50" s="37" t="s">
        <v>3</v>
      </c>
      <c r="AU50" s="57">
        <v>241160</v>
      </c>
      <c r="AV50" s="57">
        <v>1484.3</v>
      </c>
      <c r="AW50" s="57">
        <v>1263.4000000000001</v>
      </c>
      <c r="AX50" s="57">
        <v>190.43</v>
      </c>
      <c r="AY50" s="57">
        <v>1.0371999999999999</v>
      </c>
      <c r="AZ50" s="57">
        <v>0.75585999999999998</v>
      </c>
      <c r="BA50" s="37"/>
      <c r="BB50" s="37"/>
      <c r="BC50" s="37"/>
      <c r="BD50" s="56"/>
      <c r="BE50" s="37" t="s">
        <v>3</v>
      </c>
      <c r="BF50" s="57">
        <v>239250</v>
      </c>
      <c r="BG50" s="57">
        <v>1466.1</v>
      </c>
      <c r="BH50" s="57">
        <v>1185.5</v>
      </c>
      <c r="BI50" s="57">
        <v>76.837999999999994</v>
      </c>
      <c r="BJ50" s="57">
        <v>0.43689</v>
      </c>
      <c r="BK50" s="57">
        <v>0.32884999999999998</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14.708</v>
      </c>
      <c r="AL52" s="57">
        <v>17.984999999999999</v>
      </c>
      <c r="AM52" s="57">
        <v>207.63</v>
      </c>
      <c r="AN52" s="57">
        <v>1162.2</v>
      </c>
      <c r="AO52" s="57">
        <v>1502.8</v>
      </c>
      <c r="AP52" s="57">
        <v>1504.4</v>
      </c>
      <c r="AQ52" s="37"/>
      <c r="AR52" s="37"/>
      <c r="AS52" s="56"/>
      <c r="AT52" s="37" t="s">
        <v>5</v>
      </c>
      <c r="AU52" s="57">
        <v>77.760999999999996</v>
      </c>
      <c r="AV52" s="57">
        <v>21.849</v>
      </c>
      <c r="AW52" s="57">
        <v>242.76</v>
      </c>
      <c r="AX52" s="57">
        <v>1315.7</v>
      </c>
      <c r="AY52" s="57">
        <v>1505.1</v>
      </c>
      <c r="AZ52" s="57">
        <v>1505.4</v>
      </c>
      <c r="BA52" s="37"/>
      <c r="BB52" s="37"/>
      <c r="BC52" s="37"/>
      <c r="BD52" s="56"/>
      <c r="BE52" s="37" t="s">
        <v>5</v>
      </c>
      <c r="BF52" s="57">
        <v>294.61</v>
      </c>
      <c r="BG52" s="57">
        <v>29.5</v>
      </c>
      <c r="BH52" s="57">
        <v>310.08</v>
      </c>
      <c r="BI52" s="57">
        <v>1418.7</v>
      </c>
      <c r="BJ52" s="57">
        <v>1495.2</v>
      </c>
      <c r="BK52" s="57">
        <v>1495.3</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241300</v>
      </c>
      <c r="AL54" s="57">
        <v>1506.5</v>
      </c>
      <c r="AM54" s="57">
        <v>1506.5</v>
      </c>
      <c r="AN54" s="57">
        <v>1506.5</v>
      </c>
      <c r="AO54" s="57">
        <v>1506.5</v>
      </c>
      <c r="AP54" s="57">
        <v>1506.5</v>
      </c>
      <c r="AQ54" s="37"/>
      <c r="AR54" s="37"/>
      <c r="AS54" s="56">
        <v>1.6</v>
      </c>
      <c r="AT54" s="37" t="s">
        <v>0</v>
      </c>
      <c r="AU54" s="57">
        <v>241300</v>
      </c>
      <c r="AV54" s="57">
        <v>1506.5</v>
      </c>
      <c r="AW54" s="57">
        <v>1506.5</v>
      </c>
      <c r="AX54" s="57">
        <v>1506.5</v>
      </c>
      <c r="AY54" s="57">
        <v>1506.5</v>
      </c>
      <c r="AZ54" s="57">
        <v>1506.5</v>
      </c>
      <c r="BA54" s="37"/>
      <c r="BB54" s="37"/>
      <c r="BC54" s="37"/>
      <c r="BD54" s="56">
        <v>1.6</v>
      </c>
      <c r="BE54" s="37" t="s">
        <v>0</v>
      </c>
      <c r="BF54" s="57">
        <v>241300</v>
      </c>
      <c r="BG54" s="57">
        <v>1506.5</v>
      </c>
      <c r="BH54" s="57">
        <v>1506.5</v>
      </c>
      <c r="BI54" s="57">
        <v>1506.5</v>
      </c>
      <c r="BJ54" s="57">
        <v>1506.5</v>
      </c>
      <c r="BK54" s="57">
        <v>1506.5</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241300</v>
      </c>
      <c r="AL55" s="57">
        <v>1506.5</v>
      </c>
      <c r="AM55" s="57">
        <v>1506.5</v>
      </c>
      <c r="AN55" s="57">
        <v>1506.5</v>
      </c>
      <c r="AO55" s="57">
        <v>1506.5</v>
      </c>
      <c r="AP55" s="57">
        <v>1506.5</v>
      </c>
      <c r="AQ55" s="37"/>
      <c r="AR55" s="37"/>
      <c r="AS55" s="56"/>
      <c r="AT55" s="37" t="s">
        <v>1</v>
      </c>
      <c r="AU55" s="57">
        <v>241300</v>
      </c>
      <c r="AV55" s="57">
        <v>1506.5</v>
      </c>
      <c r="AW55" s="57">
        <v>1506.5</v>
      </c>
      <c r="AX55" s="57">
        <v>1506.5</v>
      </c>
      <c r="AY55" s="57">
        <v>1506.5</v>
      </c>
      <c r="AZ55" s="57">
        <v>1506.5</v>
      </c>
      <c r="BA55" s="37"/>
      <c r="BB55" s="37"/>
      <c r="BC55" s="37"/>
      <c r="BD55" s="56"/>
      <c r="BE55" s="37" t="s">
        <v>1</v>
      </c>
      <c r="BF55" s="57">
        <v>241300</v>
      </c>
      <c r="BG55" s="57">
        <v>1506.5</v>
      </c>
      <c r="BH55" s="57">
        <v>1506.5</v>
      </c>
      <c r="BI55" s="57">
        <v>1506.5</v>
      </c>
      <c r="BJ55" s="57">
        <v>1506.5</v>
      </c>
      <c r="BK55" s="57">
        <v>1506.5</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0</v>
      </c>
      <c r="BG56" s="57">
        <v>0</v>
      </c>
      <c r="BH56" s="57">
        <v>0</v>
      </c>
      <c r="BI56" s="57">
        <v>0</v>
      </c>
      <c r="BJ56" s="57">
        <v>0</v>
      </c>
      <c r="BK56" s="57">
        <v>0</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241250</v>
      </c>
      <c r="AL57" s="57">
        <v>1482.9</v>
      </c>
      <c r="AM57" s="57">
        <v>1249.9000000000001</v>
      </c>
      <c r="AN57" s="57">
        <v>275.5</v>
      </c>
      <c r="AO57" s="57">
        <v>3.3245</v>
      </c>
      <c r="AP57" s="57">
        <v>2.1029</v>
      </c>
      <c r="AQ57" s="37"/>
      <c r="AR57" s="37"/>
      <c r="AS57" s="56"/>
      <c r="AT57" s="37" t="s">
        <v>3</v>
      </c>
      <c r="AU57" s="57">
        <v>241170</v>
      </c>
      <c r="AV57" s="57">
        <v>1478.2</v>
      </c>
      <c r="AW57" s="57">
        <v>1212</v>
      </c>
      <c r="AX57" s="57">
        <v>150.30000000000001</v>
      </c>
      <c r="AY57" s="57">
        <v>1.0321</v>
      </c>
      <c r="AZ57" s="57">
        <v>0.82974999999999999</v>
      </c>
      <c r="BA57" s="37"/>
      <c r="BB57" s="37"/>
      <c r="BC57" s="37"/>
      <c r="BD57" s="56"/>
      <c r="BE57" s="37" t="s">
        <v>3</v>
      </c>
      <c r="BF57" s="57">
        <v>240930</v>
      </c>
      <c r="BG57" s="57">
        <v>1468.2</v>
      </c>
      <c r="BH57" s="57">
        <v>1134.9000000000001</v>
      </c>
      <c r="BI57" s="57">
        <v>59.749000000000002</v>
      </c>
      <c r="BJ57" s="57">
        <v>0.40731000000000001</v>
      </c>
      <c r="BK57" s="57">
        <v>0.32957999999999998</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13.484999999999999</v>
      </c>
      <c r="AL59" s="57">
        <v>23.376000000000001</v>
      </c>
      <c r="AM59" s="57">
        <v>256.42</v>
      </c>
      <c r="AN59" s="57">
        <v>1230.8</v>
      </c>
      <c r="AO59" s="57">
        <v>1503</v>
      </c>
      <c r="AP59" s="57">
        <v>1504.2</v>
      </c>
      <c r="AQ59" s="37"/>
      <c r="AR59" s="37"/>
      <c r="AS59" s="56"/>
      <c r="AT59" s="37" t="s">
        <v>5</v>
      </c>
      <c r="AU59" s="57">
        <v>71.561999999999998</v>
      </c>
      <c r="AV59" s="57">
        <v>27.945</v>
      </c>
      <c r="AW59" s="57">
        <v>294.2</v>
      </c>
      <c r="AX59" s="57">
        <v>1355.9</v>
      </c>
      <c r="AY59" s="57">
        <v>1505.1</v>
      </c>
      <c r="AZ59" s="57">
        <v>1505.3</v>
      </c>
      <c r="BA59" s="37"/>
      <c r="BB59" s="37"/>
      <c r="BC59" s="37"/>
      <c r="BD59" s="56"/>
      <c r="BE59" s="37" t="s">
        <v>5</v>
      </c>
      <c r="BF59" s="57">
        <v>257.35000000000002</v>
      </c>
      <c r="BG59" s="57">
        <v>37.637</v>
      </c>
      <c r="BH59" s="57">
        <v>370.93</v>
      </c>
      <c r="BI59" s="57">
        <v>1446.1</v>
      </c>
      <c r="BJ59" s="57">
        <v>1505.4</v>
      </c>
      <c r="BK59" s="57">
        <v>1505.5</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241300</v>
      </c>
      <c r="AL61" s="57">
        <v>1506.5</v>
      </c>
      <c r="AM61" s="57">
        <v>1506.5</v>
      </c>
      <c r="AN61" s="57">
        <v>1506.5</v>
      </c>
      <c r="AO61" s="57">
        <v>1506.5</v>
      </c>
      <c r="AP61" s="57">
        <v>1506.5</v>
      </c>
      <c r="AQ61" s="37"/>
      <c r="AR61" s="37"/>
      <c r="AS61" s="56">
        <v>2</v>
      </c>
      <c r="AT61" s="37" t="s">
        <v>0</v>
      </c>
      <c r="AU61" s="57">
        <v>241300</v>
      </c>
      <c r="AV61" s="57">
        <v>1506.5</v>
      </c>
      <c r="AW61" s="57">
        <v>1506.5</v>
      </c>
      <c r="AX61" s="57">
        <v>1506.5</v>
      </c>
      <c r="AY61" s="57">
        <v>1506.5</v>
      </c>
      <c r="AZ61" s="57">
        <v>1506.5</v>
      </c>
      <c r="BA61" s="37"/>
      <c r="BB61" s="37"/>
      <c r="BC61" s="37"/>
      <c r="BD61" s="56">
        <v>2</v>
      </c>
      <c r="BE61" s="37" t="s">
        <v>0</v>
      </c>
      <c r="BF61" s="57">
        <v>241300</v>
      </c>
      <c r="BG61" s="57">
        <v>1506.5</v>
      </c>
      <c r="BH61" s="57">
        <v>1506.5</v>
      </c>
      <c r="BI61" s="57">
        <v>1506.5</v>
      </c>
      <c r="BJ61" s="57">
        <v>1506.5</v>
      </c>
      <c r="BK61" s="57">
        <v>1506.5</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241300</v>
      </c>
      <c r="AL62" s="57">
        <v>1506.5</v>
      </c>
      <c r="AM62" s="57">
        <v>1506.5</v>
      </c>
      <c r="AN62" s="57">
        <v>1506.5</v>
      </c>
      <c r="AO62" s="57">
        <v>1506.5</v>
      </c>
      <c r="AP62" s="57">
        <v>1506.5</v>
      </c>
      <c r="AQ62" s="37"/>
      <c r="AR62" s="37"/>
      <c r="AS62" s="37"/>
      <c r="AT62" s="37" t="s">
        <v>1</v>
      </c>
      <c r="AU62" s="57">
        <v>241300</v>
      </c>
      <c r="AV62" s="57">
        <v>1506.5</v>
      </c>
      <c r="AW62" s="57">
        <v>1506.5</v>
      </c>
      <c r="AX62" s="57">
        <v>1506.5</v>
      </c>
      <c r="AY62" s="57">
        <v>1506.5</v>
      </c>
      <c r="AZ62" s="57">
        <v>1506.5</v>
      </c>
      <c r="BA62" s="37"/>
      <c r="BB62" s="37"/>
      <c r="BC62" s="37"/>
      <c r="BD62" s="37"/>
      <c r="BE62" s="37" t="s">
        <v>1</v>
      </c>
      <c r="BF62" s="57">
        <v>241300</v>
      </c>
      <c r="BG62" s="57">
        <v>1506.5</v>
      </c>
      <c r="BH62" s="57">
        <v>1506.5</v>
      </c>
      <c r="BI62" s="57">
        <v>1506.5</v>
      </c>
      <c r="BJ62" s="57">
        <v>1506.5</v>
      </c>
      <c r="BK62" s="57">
        <v>1506.5</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241250</v>
      </c>
      <c r="AL64" s="57">
        <v>1477.5</v>
      </c>
      <c r="AM64" s="57">
        <v>1204.0999999999999</v>
      </c>
      <c r="AN64" s="57">
        <v>227.47</v>
      </c>
      <c r="AO64" s="57">
        <v>2.9866000000000001</v>
      </c>
      <c r="AP64" s="57">
        <v>2.0910000000000002</v>
      </c>
      <c r="AQ64" s="37"/>
      <c r="AR64" s="37"/>
      <c r="AS64" s="37"/>
      <c r="AT64" s="37" t="s">
        <v>3</v>
      </c>
      <c r="AU64" s="57">
        <v>241160</v>
      </c>
      <c r="AV64" s="57">
        <v>1471.5</v>
      </c>
      <c r="AW64" s="57">
        <v>1159.9000000000001</v>
      </c>
      <c r="AX64" s="57">
        <v>118.01</v>
      </c>
      <c r="AY64" s="57">
        <v>0.93784999999999996</v>
      </c>
      <c r="AZ64" s="57">
        <v>0.80206999999999995</v>
      </c>
      <c r="BA64" s="37"/>
      <c r="BB64" s="37"/>
      <c r="BC64" s="37"/>
      <c r="BD64" s="37"/>
      <c r="BE64" s="37" t="s">
        <v>3</v>
      </c>
      <c r="BF64" s="57">
        <v>240980</v>
      </c>
      <c r="BG64" s="57">
        <v>1462.5</v>
      </c>
      <c r="BH64" s="57">
        <v>1092.8</v>
      </c>
      <c r="BI64" s="57">
        <v>49.709000000000003</v>
      </c>
      <c r="BJ64" s="57">
        <v>0.43520999999999999</v>
      </c>
      <c r="BK64" s="57">
        <v>0.38151000000000002</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14.215</v>
      </c>
      <c r="AL66" s="57">
        <v>28.818999999999999</v>
      </c>
      <c r="AM66" s="57">
        <v>302.18</v>
      </c>
      <c r="AN66" s="57">
        <v>1278.9000000000001</v>
      </c>
      <c r="AO66" s="57">
        <v>1503.3</v>
      </c>
      <c r="AP66" s="57">
        <v>1504.2</v>
      </c>
      <c r="AQ66" s="37"/>
      <c r="AR66" s="37"/>
      <c r="AS66" s="37"/>
      <c r="AT66" s="37" t="s">
        <v>5</v>
      </c>
      <c r="AU66" s="57">
        <v>79.762</v>
      </c>
      <c r="AV66" s="57">
        <v>34.637999999999998</v>
      </c>
      <c r="AW66" s="57">
        <v>346.22</v>
      </c>
      <c r="AX66" s="57">
        <v>1388.1</v>
      </c>
      <c r="AY66" s="57">
        <v>1505.2</v>
      </c>
      <c r="AZ66" s="57">
        <v>1505.4</v>
      </c>
      <c r="BA66" s="37"/>
      <c r="BB66" s="37"/>
      <c r="BC66" s="37"/>
      <c r="BD66" s="37"/>
      <c r="BE66" s="37" t="s">
        <v>5</v>
      </c>
      <c r="BF66" s="57">
        <v>212.38</v>
      </c>
      <c r="BG66" s="57">
        <v>43.353999999999999</v>
      </c>
      <c r="BH66" s="57">
        <v>413.04</v>
      </c>
      <c r="BI66" s="57">
        <v>1456.2</v>
      </c>
      <c r="BJ66" s="57">
        <v>1505.4</v>
      </c>
      <c r="BK66" s="57">
        <v>1505.5</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sheetPr codeName="Sheet23"/>
  <dimension ref="A1:BP150"/>
  <sheetViews>
    <sheetView workbookViewId="0">
      <pane xSplit="8" topLeftCell="BK1" activePane="topRight" state="frozen"/>
      <selection pane="topRight" activeCell="BN9" sqref="BN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0.55516528925619835</v>
      </c>
      <c r="E2" t="s">
        <v>119</v>
      </c>
      <c r="G2" s="103">
        <f>C2*12</f>
        <v>6.6619834710743806</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241830</v>
      </c>
      <c r="N4" s="10">
        <v>100</v>
      </c>
      <c r="O4" s="2">
        <f>L5/$L$4</f>
        <v>0.1205350866311045</v>
      </c>
      <c r="P4" s="32">
        <v>2.6373999999999998E-3</v>
      </c>
      <c r="Q4" s="9">
        <f t="shared" ref="Q4:Q9" si="0">2/((P4/(N4*0.35))*3600)</f>
        <v>7.3725807402913652</v>
      </c>
      <c r="S4" s="7"/>
      <c r="T4" s="26">
        <v>100</v>
      </c>
      <c r="U4" s="4" t="s">
        <v>0</v>
      </c>
      <c r="V4" s="5">
        <v>241830</v>
      </c>
      <c r="X4" s="24">
        <v>100</v>
      </c>
      <c r="Y4" s="22">
        <f>V5/$V$4</f>
        <v>0.25594425836331308</v>
      </c>
      <c r="Z4" s="33">
        <v>1.0633999999999999E-2</v>
      </c>
      <c r="AA4" s="9">
        <f t="shared" ref="AA4:AA9" si="1">2/((Z4/(X4*0.35))*3600)</f>
        <v>1.8285164984431488</v>
      </c>
      <c r="AD4" s="26">
        <v>100</v>
      </c>
      <c r="AE4" s="4" t="s">
        <v>0</v>
      </c>
      <c r="AF4" s="5">
        <v>241830</v>
      </c>
      <c r="AH4" s="10">
        <v>100</v>
      </c>
      <c r="AI4" s="2">
        <f>AF5/$AF$4</f>
        <v>0.73121614357193065</v>
      </c>
      <c r="AJ4" s="32">
        <v>3.4847000000000003E-2</v>
      </c>
      <c r="AK4" s="9">
        <f t="shared" ref="AK4:AK9" si="2">2/((AJ4/(AH4*0.35))*3600)</f>
        <v>0.55799478992293294</v>
      </c>
      <c r="AN4" s="26">
        <v>100</v>
      </c>
      <c r="AO4" s="4" t="s">
        <v>0</v>
      </c>
      <c r="AP4" s="5">
        <v>241830</v>
      </c>
      <c r="AR4" s="10">
        <v>100</v>
      </c>
      <c r="AS4" s="2">
        <f>AP5/AP$4</f>
        <v>0.29543894471322829</v>
      </c>
      <c r="AT4" s="32">
        <v>3.5266999999999998E-3</v>
      </c>
      <c r="AU4" s="9">
        <f t="shared" ref="AU4:AU9" si="3">2/((AT4/(AR4*0.35))*3600)</f>
        <v>5.5134954616055936</v>
      </c>
      <c r="AW4" s="7"/>
      <c r="AX4" s="26">
        <v>100</v>
      </c>
      <c r="AY4" s="4" t="s">
        <v>0</v>
      </c>
      <c r="AZ4" s="5">
        <v>241830</v>
      </c>
      <c r="BB4" s="24">
        <v>100</v>
      </c>
      <c r="BC4" s="2">
        <f>AZ5/AZ$4</f>
        <v>0.49853202663027746</v>
      </c>
      <c r="BD4" s="33">
        <v>1.4883E-2</v>
      </c>
      <c r="BE4" s="9">
        <f t="shared" ref="BE4:BE9" si="4">2/((BD4/(BB4*0.35))*3600)</f>
        <v>1.3064868940700425</v>
      </c>
      <c r="BH4" s="26">
        <v>100</v>
      </c>
      <c r="BI4" s="4" t="s">
        <v>0</v>
      </c>
      <c r="BJ4" s="5">
        <v>241830</v>
      </c>
      <c r="BL4" s="10">
        <v>100</v>
      </c>
      <c r="BM4" s="2">
        <f>BJ5/BJ$4</f>
        <v>0.90245213579787453</v>
      </c>
      <c r="BN4" s="32">
        <v>4.4754000000000002E-2</v>
      </c>
      <c r="BO4" s="9">
        <f t="shared" ref="BO4:BO7" si="5">2/((BN4/(BL4*0.35))*3600)</f>
        <v>0.43447388936060333</v>
      </c>
      <c r="BP4" s="12"/>
    </row>
    <row r="5" spans="1:68">
      <c r="J5" s="26"/>
      <c r="K5" s="4" t="s">
        <v>1</v>
      </c>
      <c r="L5" s="5">
        <v>29149</v>
      </c>
      <c r="N5" s="10">
        <v>200</v>
      </c>
      <c r="O5" s="2">
        <f>L12/$L$4</f>
        <v>0.21437373361452261</v>
      </c>
      <c r="P5" s="32">
        <v>4.7897E-3</v>
      </c>
      <c r="Q5" s="9">
        <f t="shared" si="0"/>
        <v>8.1192744616341077</v>
      </c>
      <c r="S5" s="7"/>
      <c r="T5" s="26"/>
      <c r="U5" s="4" t="s">
        <v>1</v>
      </c>
      <c r="V5" s="5">
        <v>61895</v>
      </c>
      <c r="X5" s="24">
        <v>200</v>
      </c>
      <c r="Y5" s="22">
        <f>V12/$V$4</f>
        <v>0.43009552164743831</v>
      </c>
      <c r="Z5" s="33">
        <v>1.7965999999999999E-2</v>
      </c>
      <c r="AA5" s="9">
        <f t="shared" si="1"/>
        <v>2.1645824829616438</v>
      </c>
      <c r="AD5" s="26"/>
      <c r="AE5" s="4" t="s">
        <v>1</v>
      </c>
      <c r="AF5" s="5">
        <v>176830</v>
      </c>
      <c r="AH5" s="10">
        <v>200</v>
      </c>
      <c r="AI5" s="2">
        <f>AF12/$AF$4</f>
        <v>0.86858536988793777</v>
      </c>
      <c r="AJ5" s="32">
        <v>4.2462E-2</v>
      </c>
      <c r="AK5" s="9">
        <f t="shared" si="2"/>
        <v>0.91585155877935309</v>
      </c>
      <c r="AN5" s="26"/>
      <c r="AO5" s="4" t="s">
        <v>1</v>
      </c>
      <c r="AP5" s="5">
        <v>71446</v>
      </c>
      <c r="AR5" s="10">
        <v>200</v>
      </c>
      <c r="AS5" s="2">
        <f>AP12/AP$4</f>
        <v>0.48757391556051771</v>
      </c>
      <c r="AT5" s="32">
        <v>6.1498999999999998E-3</v>
      </c>
      <c r="AU5" s="9">
        <f t="shared" si="3"/>
        <v>6.3234993884272734</v>
      </c>
      <c r="AW5" s="7"/>
      <c r="AX5" s="26"/>
      <c r="AY5" s="4" t="s">
        <v>1</v>
      </c>
      <c r="AZ5" s="5">
        <v>120560</v>
      </c>
      <c r="BB5" s="24">
        <v>200</v>
      </c>
      <c r="BC5" s="2">
        <f>AZ12/AZ$4</f>
        <v>0.73853533473927968</v>
      </c>
      <c r="BD5" s="33">
        <v>2.3379E-2</v>
      </c>
      <c r="BE5" s="9">
        <f t="shared" si="4"/>
        <v>1.6634111334483461</v>
      </c>
      <c r="BH5" s="26"/>
      <c r="BI5" s="4" t="s">
        <v>1</v>
      </c>
      <c r="BJ5" s="5">
        <v>218240</v>
      </c>
      <c r="BL5" s="10">
        <v>200</v>
      </c>
      <c r="BM5" s="2">
        <f>BJ12/BJ$4</f>
        <v>0.97423810114543274</v>
      </c>
      <c r="BN5" s="32">
        <v>5.0528999999999998E-2</v>
      </c>
      <c r="BO5" s="9">
        <f t="shared" si="5"/>
        <v>0.76963503906447561</v>
      </c>
      <c r="BP5" s="12"/>
    </row>
    <row r="6" spans="1:68">
      <c r="J6" s="26"/>
      <c r="K6" s="4" t="s">
        <v>2</v>
      </c>
      <c r="L6" s="5">
        <v>212680</v>
      </c>
      <c r="N6" s="10">
        <v>400</v>
      </c>
      <c r="O6" s="2">
        <f>L19/L$4</f>
        <v>0.36926353223338709</v>
      </c>
      <c r="P6" s="32">
        <v>8.4369000000000006E-3</v>
      </c>
      <c r="Q6" s="9">
        <f t="shared" si="0"/>
        <v>9.2187625523329384</v>
      </c>
      <c r="S6" s="7"/>
      <c r="T6" s="26"/>
      <c r="U6" s="4" t="s">
        <v>2</v>
      </c>
      <c r="V6" s="5">
        <v>179940</v>
      </c>
      <c r="X6" s="24">
        <v>400</v>
      </c>
      <c r="Y6" s="22">
        <f>V19/$V$4</f>
        <v>0.6608774759128313</v>
      </c>
      <c r="Z6" s="33">
        <v>2.8209999999999999E-2</v>
      </c>
      <c r="AA6" s="9">
        <f t="shared" si="1"/>
        <v>2.7570995312930799</v>
      </c>
      <c r="AD6" s="26"/>
      <c r="AE6" s="4" t="s">
        <v>2</v>
      </c>
      <c r="AF6" s="5">
        <v>65003</v>
      </c>
      <c r="AH6" s="10">
        <v>400</v>
      </c>
      <c r="AI6" s="2">
        <f>AF19/$AF$4</f>
        <v>0.95571269073315968</v>
      </c>
      <c r="AJ6" s="32">
        <v>4.8836999999999998E-2</v>
      </c>
      <c r="AK6" s="9">
        <f t="shared" si="2"/>
        <v>1.5925994180186698</v>
      </c>
      <c r="AN6" s="26"/>
      <c r="AO6" s="4" t="s">
        <v>2</v>
      </c>
      <c r="AP6" s="5">
        <v>170380</v>
      </c>
      <c r="AR6" s="10">
        <v>400</v>
      </c>
      <c r="AS6" s="2">
        <f>AP19/AP$4</f>
        <v>0.72195343836579418</v>
      </c>
      <c r="AT6" s="32">
        <v>1.0069E-2</v>
      </c>
      <c r="AU6" s="9">
        <f t="shared" si="3"/>
        <v>7.7244788735502814</v>
      </c>
      <c r="AW6" s="7"/>
      <c r="AX6" s="26"/>
      <c r="AY6" s="4" t="s">
        <v>2</v>
      </c>
      <c r="AZ6" s="5">
        <v>121270</v>
      </c>
      <c r="BB6" s="24">
        <v>400</v>
      </c>
      <c r="BC6" s="2">
        <f>AZ19/AZ$4</f>
        <v>0.92821403465244179</v>
      </c>
      <c r="BD6" s="33">
        <v>3.3217999999999998E-2</v>
      </c>
      <c r="BE6" s="9">
        <f t="shared" si="4"/>
        <v>2.3414346973862901</v>
      </c>
      <c r="BH6" s="26"/>
      <c r="BI6" s="4" t="s">
        <v>2</v>
      </c>
      <c r="BJ6" s="5">
        <v>23585</v>
      </c>
      <c r="BL6" s="10">
        <v>400</v>
      </c>
      <c r="BM6" s="2">
        <f>BJ19/BJ$4</f>
        <v>0.99958648637472602</v>
      </c>
      <c r="BN6" s="32">
        <v>5.3788999999999997E-2</v>
      </c>
      <c r="BO6" s="9">
        <f t="shared" si="5"/>
        <v>1.4459792481321048</v>
      </c>
      <c r="BP6" s="12"/>
    </row>
    <row r="7" spans="1:68">
      <c r="J7" s="26"/>
      <c r="K7" s="4" t="s">
        <v>3</v>
      </c>
      <c r="L7" s="5">
        <v>28947</v>
      </c>
      <c r="N7" s="10">
        <v>600</v>
      </c>
      <c r="O7" s="2">
        <f>L26/$L$4</f>
        <v>0.49294959268907912</v>
      </c>
      <c r="P7" s="32">
        <v>1.1561E-2</v>
      </c>
      <c r="Q7" s="9">
        <f t="shared" si="0"/>
        <v>10.091399244586684</v>
      </c>
      <c r="S7" s="7"/>
      <c r="T7" s="26"/>
      <c r="U7" s="4" t="s">
        <v>3</v>
      </c>
      <c r="V7" s="5">
        <v>61782</v>
      </c>
      <c r="X7" s="24">
        <v>600</v>
      </c>
      <c r="Y7" s="22">
        <f>V26/$V$4</f>
        <v>0.79175453831203735</v>
      </c>
      <c r="Z7" s="33">
        <v>3.4863999999999999E-2</v>
      </c>
      <c r="AA7" s="9">
        <f t="shared" si="1"/>
        <v>3.3463362398653818</v>
      </c>
      <c r="AD7" s="26"/>
      <c r="AE7" s="4" t="s">
        <v>3</v>
      </c>
      <c r="AF7" s="5">
        <v>176790</v>
      </c>
      <c r="AH7" s="10">
        <v>600</v>
      </c>
      <c r="AI7" s="2">
        <f>AF26/$AF$4</f>
        <v>0.98296323863871315</v>
      </c>
      <c r="AJ7" s="32">
        <v>5.1483000000000001E-2</v>
      </c>
      <c r="AK7" s="9">
        <f t="shared" si="2"/>
        <v>2.2661202079650886</v>
      </c>
      <c r="AN7" s="26"/>
      <c r="AO7" s="4" t="s">
        <v>3</v>
      </c>
      <c r="AP7" s="5">
        <v>70883</v>
      </c>
      <c r="AR7" s="10">
        <v>600</v>
      </c>
      <c r="AS7" s="2">
        <f>AP26/AP$4</f>
        <v>0.8555183393292809</v>
      </c>
      <c r="AT7" s="32">
        <v>1.3153E-2</v>
      </c>
      <c r="AU7" s="9">
        <f t="shared" si="3"/>
        <v>8.8699662941280835</v>
      </c>
      <c r="AW7" s="7"/>
      <c r="AX7" s="26"/>
      <c r="AY7" s="4" t="s">
        <v>3</v>
      </c>
      <c r="AZ7" s="5">
        <v>120180</v>
      </c>
      <c r="BB7" s="24">
        <v>600</v>
      </c>
      <c r="BC7" s="2">
        <f>AZ26/AZ$4</f>
        <v>0.98217756275069268</v>
      </c>
      <c r="BD7" s="33">
        <v>3.8575999999999999E-2</v>
      </c>
      <c r="BE7" s="9">
        <f t="shared" si="4"/>
        <v>3.0243329185676755</v>
      </c>
      <c r="BH7" s="26"/>
      <c r="BI7" s="4" t="s">
        <v>3</v>
      </c>
      <c r="BJ7" s="5">
        <v>218210</v>
      </c>
      <c r="BL7" s="10">
        <v>600</v>
      </c>
      <c r="BM7" s="2">
        <f>BJ26/BJ$4</f>
        <v>1</v>
      </c>
      <c r="BN7" s="32">
        <v>5.3837000000000003E-2</v>
      </c>
      <c r="BO7" s="9">
        <f t="shared" si="5"/>
        <v>2.1670350626273129</v>
      </c>
      <c r="BP7" s="12"/>
    </row>
    <row r="8" spans="1:68">
      <c r="J8" s="26"/>
      <c r="K8" s="4" t="s">
        <v>4</v>
      </c>
      <c r="L8" s="5">
        <v>0</v>
      </c>
      <c r="N8" s="10">
        <v>800</v>
      </c>
      <c r="O8" s="2">
        <f>L33/$L$4</f>
        <v>0.5931439440929579</v>
      </c>
      <c r="P8" s="32">
        <v>1.4350999999999999E-2</v>
      </c>
      <c r="Q8" s="9">
        <f t="shared" si="0"/>
        <v>10.839353045471087</v>
      </c>
      <c r="S8" s="7"/>
      <c r="T8" s="26"/>
      <c r="U8" s="4" t="s">
        <v>4</v>
      </c>
      <c r="V8" s="5">
        <v>0</v>
      </c>
      <c r="X8" s="24">
        <v>800</v>
      </c>
      <c r="Y8" s="22">
        <f>V33/$V$4</f>
        <v>0.87090104618947195</v>
      </c>
      <c r="Z8" s="33">
        <v>3.9091000000000001E-2</v>
      </c>
      <c r="AA8" s="9">
        <f t="shared" si="1"/>
        <v>3.979318911144651</v>
      </c>
      <c r="AD8" s="26"/>
      <c r="AE8" s="4" t="s">
        <v>4</v>
      </c>
      <c r="AF8" s="5">
        <v>0</v>
      </c>
      <c r="AH8" s="10">
        <v>800</v>
      </c>
      <c r="AI8" s="2">
        <f>AF33/$AF$4</f>
        <v>0.99354918744572629</v>
      </c>
      <c r="AJ8" s="32">
        <v>5.2740000000000002E-2</v>
      </c>
      <c r="AK8" s="9">
        <f t="shared" si="2"/>
        <v>2.9494796275228583</v>
      </c>
      <c r="AN8" s="26"/>
      <c r="AO8" s="4" t="s">
        <v>4</v>
      </c>
      <c r="AP8" s="5">
        <v>0</v>
      </c>
      <c r="AR8" s="10">
        <v>800</v>
      </c>
      <c r="AS8" s="2">
        <f>AP33/AP$4</f>
        <v>0.93375511723111282</v>
      </c>
      <c r="AT8" s="32">
        <v>1.5744000000000001E-2</v>
      </c>
      <c r="AU8" s="9">
        <f t="shared" si="3"/>
        <v>9.8803071364046975</v>
      </c>
      <c r="AW8" s="7"/>
      <c r="AX8" s="26"/>
      <c r="AY8" s="4" t="s">
        <v>4</v>
      </c>
      <c r="AZ8" s="5">
        <v>0</v>
      </c>
      <c r="BB8" s="24">
        <v>800</v>
      </c>
      <c r="BC8" s="2">
        <f>AZ33/AZ$4</f>
        <v>0.99842864822395894</v>
      </c>
      <c r="BD8" s="33">
        <v>4.1716999999999997E-2</v>
      </c>
      <c r="BE8" s="9">
        <f t="shared" si="4"/>
        <v>3.7288289080124546</v>
      </c>
      <c r="BH8" s="26"/>
      <c r="BI8" s="4" t="s">
        <v>4</v>
      </c>
      <c r="BJ8" s="5">
        <v>0</v>
      </c>
      <c r="BL8" s="10">
        <v>800</v>
      </c>
      <c r="BM8" s="2">
        <f>BJ33/BJ$4</f>
        <v>1</v>
      </c>
      <c r="BN8" s="32">
        <v>5.3825999999999999E-2</v>
      </c>
      <c r="BO8" s="9">
        <f>2/((BN8/(BL8*0.35))*3600)</f>
        <v>2.8899705635855453</v>
      </c>
      <c r="BP8" s="12"/>
    </row>
    <row r="9" spans="1:68">
      <c r="J9" s="26"/>
      <c r="K9" s="4" t="s">
        <v>5</v>
      </c>
      <c r="L9" s="5">
        <v>95.447999999999993</v>
      </c>
      <c r="M9" s="1"/>
      <c r="N9" s="10">
        <v>1000</v>
      </c>
      <c r="O9" s="2">
        <f>L40/$L$4</f>
        <v>0.67104991109457057</v>
      </c>
      <c r="P9" s="32">
        <v>1.6766E-2</v>
      </c>
      <c r="Q9" s="9">
        <f t="shared" si="0"/>
        <v>11.597545296698344</v>
      </c>
      <c r="S9" s="7"/>
      <c r="T9" s="26"/>
      <c r="U9" s="4" t="s">
        <v>5</v>
      </c>
      <c r="V9" s="5">
        <v>65.165000000000006</v>
      </c>
      <c r="W9" s="1"/>
      <c r="X9" s="24">
        <v>1000</v>
      </c>
      <c r="Y9" s="22">
        <f>V40/$V$4</f>
        <v>0.91663565314477113</v>
      </c>
      <c r="Z9" s="33">
        <v>4.1964000000000001E-2</v>
      </c>
      <c r="AA9" s="9">
        <f t="shared" si="1"/>
        <v>4.633601287876381</v>
      </c>
      <c r="AD9" s="26"/>
      <c r="AE9" s="4" t="s">
        <v>5</v>
      </c>
      <c r="AF9" s="5">
        <v>0</v>
      </c>
      <c r="AG9" s="1"/>
      <c r="AH9" s="10">
        <v>1000</v>
      </c>
      <c r="AI9" s="2">
        <f>AF40/$AF$4</f>
        <v>0.99896621593681512</v>
      </c>
      <c r="AJ9" s="32">
        <v>5.3624999999999999E-2</v>
      </c>
      <c r="AK9" s="9">
        <f t="shared" si="2"/>
        <v>3.6260036260036257</v>
      </c>
      <c r="AN9" s="26"/>
      <c r="AO9" s="4" t="s">
        <v>5</v>
      </c>
      <c r="AP9" s="5">
        <v>388.75</v>
      </c>
      <c r="AQ9" s="1"/>
      <c r="AR9" s="10">
        <v>1000</v>
      </c>
      <c r="AS9" s="2">
        <f>AP40/AP$4</f>
        <v>0.96431377413885788</v>
      </c>
      <c r="AT9" s="32">
        <v>1.7926999999999998E-2</v>
      </c>
      <c r="AU9" s="9">
        <f t="shared" si="3"/>
        <v>10.846457546965162</v>
      </c>
      <c r="AW9" s="7"/>
      <c r="AX9" s="26"/>
      <c r="AY9" s="4" t="s">
        <v>5</v>
      </c>
      <c r="AZ9" s="5">
        <v>319.67</v>
      </c>
      <c r="BA9" s="1"/>
      <c r="BB9" s="24">
        <v>1000</v>
      </c>
      <c r="BC9" s="2">
        <f>AZ40/AZ$4</f>
        <v>1</v>
      </c>
      <c r="BD9" s="33">
        <v>4.3733000000000001E-2</v>
      </c>
      <c r="BE9" s="9">
        <f t="shared" si="4"/>
        <v>4.4461720998889724</v>
      </c>
      <c r="BH9" s="26"/>
      <c r="BI9" s="4" t="s">
        <v>5</v>
      </c>
      <c r="BJ9" s="5">
        <v>0</v>
      </c>
      <c r="BK9" s="1"/>
      <c r="BL9" s="10">
        <v>1000</v>
      </c>
      <c r="BM9" s="2">
        <f>BJ40/BJ$4</f>
        <v>1</v>
      </c>
      <c r="BN9" s="32">
        <v>5.3815000000000002E-2</v>
      </c>
      <c r="BO9" s="9">
        <f t="shared" ref="BO9" si="6">2/((BN9/(BL9*0.35))*3600)</f>
        <v>3.6132016063262</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241830</v>
      </c>
      <c r="S11" s="7"/>
      <c r="T11" s="26">
        <v>200</v>
      </c>
      <c r="U11" s="4" t="s">
        <v>0</v>
      </c>
      <c r="V11" s="5">
        <v>241830</v>
      </c>
      <c r="AD11" s="26">
        <v>200</v>
      </c>
      <c r="AE11" s="4" t="s">
        <v>0</v>
      </c>
      <c r="AF11" s="5">
        <v>241830</v>
      </c>
      <c r="AN11" s="26">
        <v>200</v>
      </c>
      <c r="AO11" s="4" t="s">
        <v>0</v>
      </c>
      <c r="AP11" s="5">
        <v>241830</v>
      </c>
      <c r="AW11" s="7"/>
      <c r="AX11" s="26">
        <v>200</v>
      </c>
      <c r="AY11" s="4" t="s">
        <v>0</v>
      </c>
      <c r="AZ11" s="5">
        <v>241830</v>
      </c>
      <c r="BH11" s="26">
        <v>200</v>
      </c>
      <c r="BI11" s="4" t="s">
        <v>0</v>
      </c>
      <c r="BJ11" s="5">
        <v>241830</v>
      </c>
      <c r="BP11" s="12"/>
    </row>
    <row r="12" spans="1:68">
      <c r="J12" s="26"/>
      <c r="K12" s="4" t="s">
        <v>1</v>
      </c>
      <c r="L12" s="5">
        <v>51842</v>
      </c>
      <c r="S12" s="7"/>
      <c r="T12" s="26"/>
      <c r="U12" s="4" t="s">
        <v>1</v>
      </c>
      <c r="V12" s="5">
        <v>104010</v>
      </c>
      <c r="AD12" s="26"/>
      <c r="AE12" s="4" t="s">
        <v>1</v>
      </c>
      <c r="AF12" s="5">
        <v>210050</v>
      </c>
      <c r="AN12" s="26"/>
      <c r="AO12" s="4" t="s">
        <v>1</v>
      </c>
      <c r="AP12" s="5">
        <v>117910</v>
      </c>
      <c r="AW12" s="7"/>
      <c r="AX12" s="26"/>
      <c r="AY12" s="4" t="s">
        <v>1</v>
      </c>
      <c r="AZ12" s="5">
        <v>178600</v>
      </c>
      <c r="BH12" s="26"/>
      <c r="BI12" s="4" t="s">
        <v>1</v>
      </c>
      <c r="BJ12" s="5">
        <v>235600</v>
      </c>
      <c r="BP12" s="12"/>
    </row>
    <row r="13" spans="1:68">
      <c r="J13" s="26"/>
      <c r="K13" s="4" t="s">
        <v>2</v>
      </c>
      <c r="L13" s="5">
        <v>189990</v>
      </c>
      <c r="T13" s="26"/>
      <c r="U13" s="4" t="s">
        <v>2</v>
      </c>
      <c r="V13" s="5">
        <v>137820</v>
      </c>
      <c r="AD13" s="26"/>
      <c r="AE13" s="4" t="s">
        <v>2</v>
      </c>
      <c r="AF13" s="5">
        <v>31783</v>
      </c>
      <c r="AN13" s="26"/>
      <c r="AO13" s="4" t="s">
        <v>2</v>
      </c>
      <c r="AP13" s="5">
        <v>123920</v>
      </c>
      <c r="AX13" s="26"/>
      <c r="AY13" s="4" t="s">
        <v>2</v>
      </c>
      <c r="AZ13" s="5">
        <v>63227</v>
      </c>
      <c r="BH13" s="26"/>
      <c r="BI13" s="4" t="s">
        <v>2</v>
      </c>
      <c r="BJ13" s="5">
        <v>6225.7</v>
      </c>
    </row>
    <row r="14" spans="1:68">
      <c r="J14" s="26"/>
      <c r="K14" s="4" t="s">
        <v>3</v>
      </c>
      <c r="L14" s="5">
        <v>51464</v>
      </c>
      <c r="T14" s="26"/>
      <c r="U14" s="4" t="s">
        <v>3</v>
      </c>
      <c r="V14" s="5">
        <v>103810</v>
      </c>
      <c r="AD14" s="26"/>
      <c r="AE14" s="4" t="s">
        <v>3</v>
      </c>
      <c r="AF14" s="5">
        <v>209990</v>
      </c>
      <c r="AN14" s="26"/>
      <c r="AO14" s="4" t="s">
        <v>3</v>
      </c>
      <c r="AP14" s="5">
        <v>116880</v>
      </c>
      <c r="AX14" s="26"/>
      <c r="AY14" s="4" t="s">
        <v>3</v>
      </c>
      <c r="AZ14" s="5">
        <v>178170</v>
      </c>
      <c r="BH14" s="26"/>
      <c r="BI14" s="4" t="s">
        <v>3</v>
      </c>
      <c r="BJ14" s="5">
        <v>235550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188.74</v>
      </c>
      <c r="T16" s="26"/>
      <c r="U16" s="4" t="s">
        <v>5</v>
      </c>
      <c r="V16" s="5">
        <v>119.65</v>
      </c>
      <c r="AD16" s="26"/>
      <c r="AE16" s="4" t="s">
        <v>5</v>
      </c>
      <c r="AF16" s="5">
        <v>0</v>
      </c>
      <c r="AN16" s="26"/>
      <c r="AO16" s="4" t="s">
        <v>5</v>
      </c>
      <c r="AP16" s="5">
        <v>741.75</v>
      </c>
      <c r="AX16" s="26"/>
      <c r="AY16" s="4" t="s">
        <v>5</v>
      </c>
      <c r="AZ16" s="5">
        <v>335.16</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241830</v>
      </c>
      <c r="T18" s="26">
        <v>400</v>
      </c>
      <c r="U18" s="4" t="s">
        <v>0</v>
      </c>
      <c r="V18" s="5">
        <v>241830</v>
      </c>
      <c r="AD18" s="26">
        <v>400</v>
      </c>
      <c r="AE18" s="4" t="s">
        <v>0</v>
      </c>
      <c r="AF18" s="5">
        <v>241830</v>
      </c>
      <c r="AN18" s="26">
        <v>400</v>
      </c>
      <c r="AO18" s="4" t="s">
        <v>0</v>
      </c>
      <c r="AP18" s="5">
        <v>241830</v>
      </c>
      <c r="AX18" s="26">
        <v>400</v>
      </c>
      <c r="AY18" s="4" t="s">
        <v>0</v>
      </c>
      <c r="AZ18" s="5">
        <v>241830</v>
      </c>
      <c r="BH18" s="26">
        <v>400</v>
      </c>
      <c r="BI18" s="4" t="s">
        <v>0</v>
      </c>
      <c r="BJ18" s="5">
        <v>241830</v>
      </c>
    </row>
    <row r="19" spans="1:62">
      <c r="J19" s="26"/>
      <c r="K19" s="4" t="s">
        <v>1</v>
      </c>
      <c r="L19" s="5">
        <v>89299</v>
      </c>
      <c r="T19" s="26"/>
      <c r="U19" s="4" t="s">
        <v>1</v>
      </c>
      <c r="V19" s="5">
        <v>159820</v>
      </c>
      <c r="AD19" s="26"/>
      <c r="AE19" s="4" t="s">
        <v>1</v>
      </c>
      <c r="AF19" s="5">
        <v>231120</v>
      </c>
      <c r="AN19" s="26"/>
      <c r="AO19" s="4" t="s">
        <v>1</v>
      </c>
      <c r="AP19" s="5">
        <v>174590</v>
      </c>
      <c r="AX19" s="26"/>
      <c r="AY19" s="4" t="s">
        <v>1</v>
      </c>
      <c r="AZ19" s="5">
        <v>224470</v>
      </c>
      <c r="BH19" s="26"/>
      <c r="BI19" s="4" t="s">
        <v>1</v>
      </c>
      <c r="BJ19" s="5">
        <v>241730</v>
      </c>
    </row>
    <row r="20" spans="1:62">
      <c r="J20" s="26"/>
      <c r="K20" s="4" t="s">
        <v>2</v>
      </c>
      <c r="L20" s="5">
        <v>152530</v>
      </c>
      <c r="T20" s="26"/>
      <c r="U20" s="4" t="s">
        <v>2</v>
      </c>
      <c r="V20" s="5">
        <v>82011</v>
      </c>
      <c r="AD20" s="26"/>
      <c r="AE20" s="4" t="s">
        <v>2</v>
      </c>
      <c r="AF20" s="5">
        <v>10706</v>
      </c>
      <c r="AN20" s="26"/>
      <c r="AO20" s="4" t="s">
        <v>2</v>
      </c>
      <c r="AP20" s="5">
        <v>67234</v>
      </c>
      <c r="AX20" s="26"/>
      <c r="AY20" s="4" t="s">
        <v>2</v>
      </c>
      <c r="AZ20" s="5">
        <v>17363</v>
      </c>
      <c r="BH20" s="26"/>
      <c r="BI20" s="4" t="s">
        <v>2</v>
      </c>
      <c r="BJ20" s="5">
        <v>97.683999999999997</v>
      </c>
    </row>
    <row r="21" spans="1:62">
      <c r="J21" s="26"/>
      <c r="K21" s="4" t="s">
        <v>3</v>
      </c>
      <c r="L21" s="5">
        <v>88598</v>
      </c>
      <c r="T21" s="26"/>
      <c r="U21" s="4" t="s">
        <v>3</v>
      </c>
      <c r="V21" s="5">
        <v>159540</v>
      </c>
      <c r="AD21" s="26"/>
      <c r="AE21" s="4" t="s">
        <v>3</v>
      </c>
      <c r="AF21" s="5">
        <v>231020</v>
      </c>
      <c r="AN21" s="26"/>
      <c r="AO21" s="4" t="s">
        <v>3</v>
      </c>
      <c r="AP21" s="5">
        <v>173450</v>
      </c>
      <c r="AX21" s="26"/>
      <c r="AY21" s="4" t="s">
        <v>3</v>
      </c>
      <c r="AZ21" s="5">
        <v>224180</v>
      </c>
      <c r="BH21" s="26"/>
      <c r="BI21" s="4" t="s">
        <v>3</v>
      </c>
      <c r="BJ21" s="5">
        <v>241630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372.49</v>
      </c>
      <c r="T23" s="26"/>
      <c r="U23" s="4" t="s">
        <v>5</v>
      </c>
      <c r="V23" s="5">
        <v>128.68</v>
      </c>
      <c r="AD23" s="26"/>
      <c r="AE23" s="4" t="s">
        <v>5</v>
      </c>
      <c r="AF23" s="5">
        <v>0</v>
      </c>
      <c r="AN23" s="26"/>
      <c r="AO23" s="4" t="s">
        <v>5</v>
      </c>
      <c r="AP23" s="5">
        <v>670.95</v>
      </c>
      <c r="AX23" s="26"/>
      <c r="AY23" s="4" t="s">
        <v>5</v>
      </c>
      <c r="AZ23" s="5">
        <v>128.68</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241830</v>
      </c>
      <c r="T25" s="26">
        <v>600</v>
      </c>
      <c r="U25" s="4" t="s">
        <v>0</v>
      </c>
      <c r="V25" s="5">
        <v>241830</v>
      </c>
      <c r="AD25" s="26">
        <v>600</v>
      </c>
      <c r="AE25" s="4" t="s">
        <v>0</v>
      </c>
      <c r="AF25" s="5">
        <v>241830</v>
      </c>
      <c r="AN25" s="26">
        <v>600</v>
      </c>
      <c r="AO25" s="4" t="s">
        <v>0</v>
      </c>
      <c r="AP25" s="5">
        <v>241830</v>
      </c>
      <c r="AX25" s="26">
        <v>600</v>
      </c>
      <c r="AY25" s="4" t="s">
        <v>0</v>
      </c>
      <c r="AZ25" s="5">
        <v>241830</v>
      </c>
      <c r="BH25" s="26">
        <v>600</v>
      </c>
      <c r="BI25" s="4" t="s">
        <v>0</v>
      </c>
      <c r="BJ25" s="5">
        <v>241830</v>
      </c>
    </row>
    <row r="26" spans="1:62">
      <c r="J26" s="26"/>
      <c r="K26" s="4" t="s">
        <v>1</v>
      </c>
      <c r="L26" s="5">
        <v>119210</v>
      </c>
      <c r="T26" s="26"/>
      <c r="U26" s="4" t="s">
        <v>1</v>
      </c>
      <c r="V26" s="5">
        <v>191470</v>
      </c>
      <c r="AD26" s="26"/>
      <c r="AE26" s="4" t="s">
        <v>1</v>
      </c>
      <c r="AF26" s="5">
        <v>237710</v>
      </c>
      <c r="AN26" s="26"/>
      <c r="AO26" s="4" t="s">
        <v>1</v>
      </c>
      <c r="AP26" s="5">
        <v>206890</v>
      </c>
      <c r="AX26" s="26"/>
      <c r="AY26" s="4" t="s">
        <v>1</v>
      </c>
      <c r="AZ26" s="5">
        <v>237520</v>
      </c>
      <c r="BH26" s="26"/>
      <c r="BI26" s="4" t="s">
        <v>1</v>
      </c>
      <c r="BJ26" s="5">
        <v>241830</v>
      </c>
    </row>
    <row r="27" spans="1:62">
      <c r="A27" s="120" t="s">
        <v>145</v>
      </c>
      <c r="J27" s="26"/>
      <c r="K27" s="4" t="s">
        <v>2</v>
      </c>
      <c r="L27" s="5">
        <v>122620</v>
      </c>
      <c r="T27" s="26"/>
      <c r="U27" s="4" t="s">
        <v>2</v>
      </c>
      <c r="V27" s="5">
        <v>50356</v>
      </c>
      <c r="AD27" s="26"/>
      <c r="AE27" s="4" t="s">
        <v>2</v>
      </c>
      <c r="AF27" s="5">
        <v>4122.8</v>
      </c>
      <c r="AN27" s="26"/>
      <c r="AO27" s="4" t="s">
        <v>2</v>
      </c>
      <c r="AP27" s="5">
        <v>34941</v>
      </c>
      <c r="AX27" s="26"/>
      <c r="AY27" s="4" t="s">
        <v>2</v>
      </c>
      <c r="AZ27" s="5">
        <v>4313.6000000000004</v>
      </c>
      <c r="BH27" s="26"/>
      <c r="BI27" s="4" t="s">
        <v>2</v>
      </c>
      <c r="BJ27" s="5">
        <v>0</v>
      </c>
    </row>
    <row r="28" spans="1:62">
      <c r="A28" s="199" t="str">
        <f>AH3</f>
        <v>Filter Area (ft2)</v>
      </c>
      <c r="B28" s="200" t="s">
        <v>11</v>
      </c>
      <c r="C28" s="200"/>
      <c r="D28" s="200"/>
      <c r="E28" s="200" t="s">
        <v>12</v>
      </c>
      <c r="F28" s="200"/>
      <c r="G28" s="200"/>
      <c r="H28" s="6"/>
      <c r="J28" s="26"/>
      <c r="K28" s="4" t="s">
        <v>3</v>
      </c>
      <c r="L28" s="5">
        <v>118210</v>
      </c>
      <c r="T28" s="26"/>
      <c r="U28" s="4" t="s">
        <v>3</v>
      </c>
      <c r="V28" s="5">
        <v>191270</v>
      </c>
      <c r="AD28" s="26"/>
      <c r="AE28" s="4" t="s">
        <v>3</v>
      </c>
      <c r="AF28" s="5">
        <v>237550</v>
      </c>
      <c r="AN28" s="26"/>
      <c r="AO28" s="4" t="s">
        <v>3</v>
      </c>
      <c r="AP28" s="5">
        <v>205670</v>
      </c>
      <c r="AX28" s="26"/>
      <c r="AY28" s="4" t="s">
        <v>3</v>
      </c>
      <c r="AZ28" s="5">
        <v>237300</v>
      </c>
      <c r="BH28" s="26"/>
      <c r="BI28" s="4" t="s">
        <v>3</v>
      </c>
      <c r="BJ28" s="5">
        <v>241680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0.1205350866311045</v>
      </c>
      <c r="C30" s="2">
        <f t="shared" ref="C30:C35" si="8">Y4</f>
        <v>0.25594425836331308</v>
      </c>
      <c r="D30" s="2">
        <f t="shared" ref="D30:D35" si="9">AI4</f>
        <v>0.73121614357193065</v>
      </c>
      <c r="E30" s="11">
        <f t="shared" ref="E30:E35" si="10">Q4</f>
        <v>7.3725807402913652</v>
      </c>
      <c r="F30" s="11">
        <f t="shared" ref="F30:F35" si="11">AA4</f>
        <v>1.8285164984431488</v>
      </c>
      <c r="G30" s="9">
        <f t="shared" ref="G30:G35" si="12">AK4</f>
        <v>0.55799478992293294</v>
      </c>
      <c r="H30" s="12"/>
      <c r="J30" s="26"/>
      <c r="K30" s="4" t="s">
        <v>5</v>
      </c>
      <c r="L30" s="5">
        <v>554.08000000000004</v>
      </c>
      <c r="T30" s="26"/>
      <c r="U30" s="4" t="s">
        <v>5</v>
      </c>
      <c r="V30" s="5">
        <v>0</v>
      </c>
      <c r="AD30" s="26"/>
      <c r="AE30" s="4" t="s">
        <v>5</v>
      </c>
      <c r="AF30" s="5">
        <v>0</v>
      </c>
      <c r="AN30" s="26"/>
      <c r="AO30" s="4" t="s">
        <v>5</v>
      </c>
      <c r="AP30" s="5">
        <v>615.61</v>
      </c>
      <c r="AX30" s="26"/>
      <c r="AY30" s="4" t="s">
        <v>5</v>
      </c>
      <c r="AZ30" s="5">
        <v>0</v>
      </c>
      <c r="BH30" s="26"/>
      <c r="BI30" s="4" t="s">
        <v>5</v>
      </c>
      <c r="BJ30" s="5">
        <v>0</v>
      </c>
    </row>
    <row r="31" spans="1:62">
      <c r="A31" s="10">
        <v>200</v>
      </c>
      <c r="B31" s="2">
        <f t="shared" si="7"/>
        <v>0.21437373361452261</v>
      </c>
      <c r="C31" s="2">
        <f t="shared" si="8"/>
        <v>0.43009552164743831</v>
      </c>
      <c r="D31" s="2">
        <f t="shared" si="9"/>
        <v>0.86858536988793777</v>
      </c>
      <c r="E31" s="11">
        <f t="shared" si="10"/>
        <v>8.1192744616341077</v>
      </c>
      <c r="F31" s="11">
        <f t="shared" si="11"/>
        <v>2.1645824829616438</v>
      </c>
      <c r="G31" s="9">
        <f t="shared" si="12"/>
        <v>0.91585155877935309</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0.36926353223338709</v>
      </c>
      <c r="C32" s="2">
        <f t="shared" si="8"/>
        <v>0.6608774759128313</v>
      </c>
      <c r="D32" s="2">
        <f t="shared" si="9"/>
        <v>0.95571269073315968</v>
      </c>
      <c r="E32" s="11">
        <f t="shared" si="10"/>
        <v>9.2187625523329384</v>
      </c>
      <c r="F32" s="11">
        <f t="shared" si="11"/>
        <v>2.7570995312930799</v>
      </c>
      <c r="G32" s="9">
        <f t="shared" si="12"/>
        <v>1.5925994180186698</v>
      </c>
      <c r="H32" s="12"/>
      <c r="J32" s="26">
        <v>800</v>
      </c>
      <c r="K32" s="4" t="s">
        <v>0</v>
      </c>
      <c r="L32" s="5">
        <v>241830</v>
      </c>
      <c r="T32" s="26">
        <v>800</v>
      </c>
      <c r="U32" s="4" t="s">
        <v>0</v>
      </c>
      <c r="V32" s="5">
        <v>241830</v>
      </c>
      <c r="AD32" s="26">
        <v>800</v>
      </c>
      <c r="AE32" s="4" t="s">
        <v>0</v>
      </c>
      <c r="AF32" s="5">
        <v>241830</v>
      </c>
      <c r="AN32" s="26">
        <v>800</v>
      </c>
      <c r="AO32" s="4" t="s">
        <v>0</v>
      </c>
      <c r="AP32" s="5">
        <v>241830</v>
      </c>
      <c r="AX32" s="26">
        <v>800</v>
      </c>
      <c r="AY32" s="4" t="s">
        <v>0</v>
      </c>
      <c r="AZ32" s="5">
        <v>241830</v>
      </c>
      <c r="BH32" s="26">
        <v>800</v>
      </c>
      <c r="BI32" s="4" t="s">
        <v>0</v>
      </c>
      <c r="BJ32" s="5">
        <v>241830</v>
      </c>
    </row>
    <row r="33" spans="1:62">
      <c r="A33" s="10">
        <v>600</v>
      </c>
      <c r="B33" s="2">
        <f t="shared" si="7"/>
        <v>0.49294959268907912</v>
      </c>
      <c r="C33" s="2">
        <f t="shared" si="8"/>
        <v>0.79175453831203735</v>
      </c>
      <c r="D33" s="2">
        <f t="shared" si="9"/>
        <v>0.98296323863871315</v>
      </c>
      <c r="E33" s="11">
        <f t="shared" si="10"/>
        <v>10.091399244586684</v>
      </c>
      <c r="F33" s="11">
        <f t="shared" si="11"/>
        <v>3.3463362398653818</v>
      </c>
      <c r="G33" s="9">
        <f t="shared" si="12"/>
        <v>2.2661202079650886</v>
      </c>
      <c r="H33" s="12"/>
      <c r="J33" s="26"/>
      <c r="K33" s="4" t="s">
        <v>1</v>
      </c>
      <c r="L33" s="5">
        <v>143440</v>
      </c>
      <c r="T33" s="26"/>
      <c r="U33" s="4" t="s">
        <v>1</v>
      </c>
      <c r="V33" s="5">
        <v>210610</v>
      </c>
      <c r="AD33" s="26"/>
      <c r="AE33" s="4" t="s">
        <v>1</v>
      </c>
      <c r="AF33" s="5">
        <v>240270</v>
      </c>
      <c r="AN33" s="26"/>
      <c r="AO33" s="4" t="s">
        <v>1</v>
      </c>
      <c r="AP33" s="5">
        <v>225810</v>
      </c>
      <c r="AX33" s="26"/>
      <c r="AY33" s="4" t="s">
        <v>1</v>
      </c>
      <c r="AZ33" s="5">
        <v>241450</v>
      </c>
      <c r="BH33" s="26"/>
      <c r="BI33" s="4" t="s">
        <v>1</v>
      </c>
      <c r="BJ33" s="5">
        <v>241830</v>
      </c>
    </row>
    <row r="34" spans="1:62">
      <c r="A34" s="10">
        <v>800</v>
      </c>
      <c r="B34" s="2">
        <f t="shared" si="7"/>
        <v>0.5931439440929579</v>
      </c>
      <c r="C34" s="2">
        <f t="shared" si="8"/>
        <v>0.87090104618947195</v>
      </c>
      <c r="D34" s="2">
        <f t="shared" si="9"/>
        <v>0.99354918744572629</v>
      </c>
      <c r="E34" s="11">
        <f t="shared" si="10"/>
        <v>10.839353045471087</v>
      </c>
      <c r="F34" s="11">
        <f t="shared" si="11"/>
        <v>3.979318911144651</v>
      </c>
      <c r="G34" s="9">
        <f t="shared" si="12"/>
        <v>2.9494796275228583</v>
      </c>
      <c r="H34" s="12"/>
      <c r="J34" s="26"/>
      <c r="K34" s="4" t="s">
        <v>2</v>
      </c>
      <c r="L34" s="5">
        <v>98393</v>
      </c>
      <c r="T34" s="26"/>
      <c r="U34" s="4" t="s">
        <v>2</v>
      </c>
      <c r="V34" s="5">
        <v>31218</v>
      </c>
      <c r="AD34" s="26"/>
      <c r="AE34" s="4" t="s">
        <v>2</v>
      </c>
      <c r="AF34" s="5">
        <v>1560.5</v>
      </c>
      <c r="AN34" s="26"/>
      <c r="AO34" s="4" t="s">
        <v>2</v>
      </c>
      <c r="AP34" s="5">
        <v>16014</v>
      </c>
      <c r="AX34" s="26"/>
      <c r="AY34" s="4" t="s">
        <v>2</v>
      </c>
      <c r="AZ34" s="5">
        <v>376.97</v>
      </c>
      <c r="BH34" s="26"/>
      <c r="BI34" s="4" t="s">
        <v>2</v>
      </c>
      <c r="BJ34" s="5">
        <v>0</v>
      </c>
    </row>
    <row r="35" spans="1:62">
      <c r="A35" s="10">
        <v>1000</v>
      </c>
      <c r="B35" s="2">
        <f t="shared" si="7"/>
        <v>0.67104991109457057</v>
      </c>
      <c r="C35" s="2">
        <f t="shared" si="8"/>
        <v>0.91663565314477113</v>
      </c>
      <c r="D35" s="2">
        <f t="shared" si="9"/>
        <v>0.99896621593681512</v>
      </c>
      <c r="E35" s="11">
        <f t="shared" si="10"/>
        <v>11.597545296698344</v>
      </c>
      <c r="F35" s="11">
        <f t="shared" si="11"/>
        <v>4.633601287876381</v>
      </c>
      <c r="G35" s="9">
        <f t="shared" si="12"/>
        <v>3.6260036260036257</v>
      </c>
      <c r="H35" s="12"/>
      <c r="J35" s="26"/>
      <c r="K35" s="4" t="s">
        <v>3</v>
      </c>
      <c r="L35" s="5">
        <v>142320</v>
      </c>
      <c r="T35" s="26"/>
      <c r="U35" s="4" t="s">
        <v>3</v>
      </c>
      <c r="V35" s="5">
        <v>210350</v>
      </c>
      <c r="AD35" s="26"/>
      <c r="AE35" s="4" t="s">
        <v>3</v>
      </c>
      <c r="AF35" s="5">
        <v>240070</v>
      </c>
      <c r="AN35" s="26"/>
      <c r="AO35" s="4" t="s">
        <v>3</v>
      </c>
      <c r="AP35" s="5">
        <v>224540</v>
      </c>
      <c r="AX35" s="26"/>
      <c r="AY35" s="4" t="s">
        <v>3</v>
      </c>
      <c r="AZ35" s="5">
        <v>241180</v>
      </c>
      <c r="BH35" s="26"/>
      <c r="BI35" s="4" t="s">
        <v>3</v>
      </c>
      <c r="BJ35" s="5">
        <v>241630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560.6</v>
      </c>
      <c r="T37" s="26"/>
      <c r="U37" s="4" t="s">
        <v>5</v>
      </c>
      <c r="V37" s="5">
        <v>0</v>
      </c>
      <c r="AD37" s="26"/>
      <c r="AE37" s="4" t="s">
        <v>5</v>
      </c>
      <c r="AF37" s="5">
        <v>0</v>
      </c>
      <c r="AN37" s="26"/>
      <c r="AO37" s="4" t="s">
        <v>5</v>
      </c>
      <c r="AP37" s="5">
        <v>560.6</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241830</v>
      </c>
      <c r="T39" s="26">
        <v>1000</v>
      </c>
      <c r="U39" s="4" t="s">
        <v>0</v>
      </c>
      <c r="V39" s="5">
        <v>241830</v>
      </c>
      <c r="AD39" s="26">
        <v>1000</v>
      </c>
      <c r="AE39" s="4" t="s">
        <v>0</v>
      </c>
      <c r="AF39" s="5">
        <v>241830</v>
      </c>
      <c r="AN39" s="26">
        <v>1000</v>
      </c>
      <c r="AO39" s="4" t="s">
        <v>0</v>
      </c>
      <c r="AP39" s="5">
        <v>241830</v>
      </c>
      <c r="AX39" s="26">
        <v>1000</v>
      </c>
      <c r="AY39" s="4" t="s">
        <v>0</v>
      </c>
      <c r="AZ39" s="5">
        <v>241830</v>
      </c>
      <c r="BH39" s="26">
        <v>1000</v>
      </c>
      <c r="BI39" s="4" t="s">
        <v>0</v>
      </c>
      <c r="BJ39" s="5">
        <v>241830</v>
      </c>
    </row>
    <row r="40" spans="1:62">
      <c r="A40" s="199"/>
      <c r="B40" s="15" t="s">
        <v>15</v>
      </c>
      <c r="C40" s="15" t="s">
        <v>14</v>
      </c>
      <c r="D40" s="15" t="s">
        <v>13</v>
      </c>
      <c r="E40" s="15" t="s">
        <v>15</v>
      </c>
      <c r="F40" s="15" t="s">
        <v>14</v>
      </c>
      <c r="G40" s="15" t="s">
        <v>13</v>
      </c>
      <c r="J40" s="26"/>
      <c r="K40" s="4" t="s">
        <v>1</v>
      </c>
      <c r="L40" s="5">
        <v>162280</v>
      </c>
      <c r="T40" s="26"/>
      <c r="U40" s="4" t="s">
        <v>1</v>
      </c>
      <c r="V40" s="5">
        <v>221670</v>
      </c>
      <c r="AD40" s="26"/>
      <c r="AE40" s="4" t="s">
        <v>1</v>
      </c>
      <c r="AF40" s="5">
        <v>241580</v>
      </c>
      <c r="AN40" s="26"/>
      <c r="AO40" s="4" t="s">
        <v>1</v>
      </c>
      <c r="AP40" s="5">
        <v>233200</v>
      </c>
      <c r="AX40" s="26"/>
      <c r="AY40" s="4" t="s">
        <v>1</v>
      </c>
      <c r="AZ40" s="5">
        <v>241830</v>
      </c>
      <c r="BH40" s="26"/>
      <c r="BI40" s="4" t="s">
        <v>1</v>
      </c>
      <c r="BJ40" s="5">
        <v>241830</v>
      </c>
    </row>
    <row r="41" spans="1:62">
      <c r="A41" s="10">
        <v>100</v>
      </c>
      <c r="B41" s="2">
        <f>AS4</f>
        <v>0.29543894471322829</v>
      </c>
      <c r="C41" s="2">
        <f>BC4</f>
        <v>0.49853202663027746</v>
      </c>
      <c r="D41" s="2">
        <f>BM4</f>
        <v>0.90245213579787453</v>
      </c>
      <c r="E41" s="11">
        <f>AU4</f>
        <v>5.5134954616055936</v>
      </c>
      <c r="F41" s="11">
        <f>BE4</f>
        <v>1.3064868940700425</v>
      </c>
      <c r="G41" s="9">
        <f>BO4</f>
        <v>0.43447388936060333</v>
      </c>
      <c r="J41" s="26"/>
      <c r="K41" s="4" t="s">
        <v>2</v>
      </c>
      <c r="L41" s="5">
        <v>79554</v>
      </c>
      <c r="T41" s="26"/>
      <c r="U41" s="4" t="s">
        <v>2</v>
      </c>
      <c r="V41" s="5">
        <v>20156</v>
      </c>
      <c r="AD41" s="26"/>
      <c r="AE41" s="4" t="s">
        <v>2</v>
      </c>
      <c r="AF41" s="5">
        <v>247.66</v>
      </c>
      <c r="AN41" s="26"/>
      <c r="AO41" s="4" t="s">
        <v>2</v>
      </c>
      <c r="AP41" s="5">
        <v>8633.2000000000007</v>
      </c>
      <c r="AX41" s="26"/>
      <c r="AY41" s="4" t="s">
        <v>2</v>
      </c>
      <c r="AZ41" s="5">
        <v>0</v>
      </c>
      <c r="BH41" s="26"/>
      <c r="BI41" s="4" t="s">
        <v>2</v>
      </c>
      <c r="BJ41" s="5">
        <v>0</v>
      </c>
    </row>
    <row r="42" spans="1:62">
      <c r="A42" s="10">
        <v>200</v>
      </c>
      <c r="B42" s="2">
        <f t="shared" ref="B42:B46" si="13">AS5</f>
        <v>0.48757391556051771</v>
      </c>
      <c r="C42" s="2">
        <f t="shared" ref="C42:C46" si="14">BC5</f>
        <v>0.73853533473927968</v>
      </c>
      <c r="D42" s="2">
        <f t="shared" ref="D42:D46" si="15">BM5</f>
        <v>0.97423810114543274</v>
      </c>
      <c r="E42" s="11">
        <f t="shared" ref="E42:E46" si="16">AU5</f>
        <v>6.3234993884272734</v>
      </c>
      <c r="F42" s="11">
        <f t="shared" ref="F42:F46" si="17">BE5</f>
        <v>1.6634111334483461</v>
      </c>
      <c r="G42" s="9">
        <f t="shared" ref="G42:G46" si="18">BO5</f>
        <v>0.76963503906447561</v>
      </c>
      <c r="J42" s="26"/>
      <c r="K42" s="4" t="s">
        <v>3</v>
      </c>
      <c r="L42" s="5">
        <v>161110</v>
      </c>
      <c r="T42" s="26"/>
      <c r="U42" s="4" t="s">
        <v>3</v>
      </c>
      <c r="V42" s="5">
        <v>221360</v>
      </c>
      <c r="AD42" s="26"/>
      <c r="AE42" s="4" t="s">
        <v>3</v>
      </c>
      <c r="AF42" s="5">
        <v>241340</v>
      </c>
      <c r="AN42" s="26"/>
      <c r="AO42" s="4" t="s">
        <v>3</v>
      </c>
      <c r="AP42" s="5">
        <v>231900</v>
      </c>
      <c r="AX42" s="26"/>
      <c r="AY42" s="4" t="s">
        <v>3</v>
      </c>
      <c r="AZ42" s="5">
        <v>241500</v>
      </c>
      <c r="BH42" s="26"/>
      <c r="BI42" s="4" t="s">
        <v>3</v>
      </c>
      <c r="BJ42" s="5">
        <v>241590</v>
      </c>
    </row>
    <row r="43" spans="1:62">
      <c r="A43" s="10">
        <v>400</v>
      </c>
      <c r="B43" s="2">
        <f t="shared" si="13"/>
        <v>0.72195343836579418</v>
      </c>
      <c r="C43" s="2">
        <f t="shared" si="14"/>
        <v>0.92821403465244179</v>
      </c>
      <c r="D43" s="2">
        <f t="shared" si="15"/>
        <v>0.99958648637472602</v>
      </c>
      <c r="E43" s="11">
        <f t="shared" si="16"/>
        <v>7.7244788735502814</v>
      </c>
      <c r="F43" s="11">
        <f t="shared" si="17"/>
        <v>2.3414346973862901</v>
      </c>
      <c r="G43" s="9">
        <f t="shared" si="18"/>
        <v>1.4459792481321048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0.8555183393292809</v>
      </c>
      <c r="C44" s="2">
        <f t="shared" si="14"/>
        <v>0.98217756275069268</v>
      </c>
      <c r="D44" s="2">
        <f t="shared" si="15"/>
        <v>1</v>
      </c>
      <c r="E44" s="11">
        <f t="shared" si="16"/>
        <v>8.8699662941280835</v>
      </c>
      <c r="F44" s="11">
        <f t="shared" si="17"/>
        <v>3.0243329185676755</v>
      </c>
      <c r="G44" s="9">
        <f t="shared" si="18"/>
        <v>2.1670350626273129</v>
      </c>
      <c r="J44" s="26"/>
      <c r="K44" s="4" t="s">
        <v>5</v>
      </c>
      <c r="L44" s="5">
        <v>507.01</v>
      </c>
      <c r="T44" s="26"/>
      <c r="U44" s="4" t="s">
        <v>5</v>
      </c>
      <c r="V44" s="5">
        <v>0</v>
      </c>
      <c r="AD44" s="26"/>
      <c r="AE44" s="4" t="s">
        <v>5</v>
      </c>
      <c r="AF44" s="5">
        <v>0</v>
      </c>
      <c r="AN44" s="26"/>
      <c r="AO44" s="4" t="s">
        <v>5</v>
      </c>
      <c r="AP44" s="5">
        <v>507.01</v>
      </c>
      <c r="AX44" s="26"/>
      <c r="AY44" s="4" t="s">
        <v>5</v>
      </c>
      <c r="AZ44" s="5">
        <v>0</v>
      </c>
      <c r="BH44" s="26"/>
      <c r="BI44" s="4" t="s">
        <v>5</v>
      </c>
      <c r="BJ44" s="5">
        <v>0</v>
      </c>
    </row>
    <row r="45" spans="1:62">
      <c r="A45" s="10">
        <v>800</v>
      </c>
      <c r="B45" s="2">
        <f t="shared" si="13"/>
        <v>0.93375511723111282</v>
      </c>
      <c r="C45" s="2">
        <f t="shared" si="14"/>
        <v>0.99842864822395894</v>
      </c>
      <c r="D45" s="2">
        <f t="shared" si="15"/>
        <v>1</v>
      </c>
      <c r="E45" s="11">
        <f t="shared" si="16"/>
        <v>9.8803071364046975</v>
      </c>
      <c r="F45" s="11">
        <f t="shared" si="17"/>
        <v>3.7288289080124546</v>
      </c>
      <c r="G45" s="9">
        <f t="shared" si="18"/>
        <v>2.8899705635855453</v>
      </c>
      <c r="Y45"/>
      <c r="Z45"/>
      <c r="AA45"/>
      <c r="AB45"/>
      <c r="BC45"/>
      <c r="BD45"/>
      <c r="BE45"/>
      <c r="BF45"/>
    </row>
    <row r="46" spans="1:62">
      <c r="A46" s="10">
        <v>1000</v>
      </c>
      <c r="B46" s="2">
        <f t="shared" si="13"/>
        <v>0.96431377413885788</v>
      </c>
      <c r="C46" s="2">
        <f t="shared" si="14"/>
        <v>1</v>
      </c>
      <c r="D46" s="2">
        <f t="shared" si="15"/>
        <v>1</v>
      </c>
      <c r="E46" s="11">
        <f t="shared" si="16"/>
        <v>10.846457546965162</v>
      </c>
      <c r="F46" s="11">
        <f t="shared" si="17"/>
        <v>4.4461720998889724</v>
      </c>
      <c r="G46" s="9">
        <f t="shared" si="18"/>
        <v>3.6132016063262</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0.29543894471322829</v>
      </c>
      <c r="C52" s="2">
        <f>C30+(($A$25-1)/3)*(C41-C30)</f>
        <v>0.49853202663027746</v>
      </c>
      <c r="D52" s="2">
        <f>D30+(($A$25-1)/3)*(D41-D30)</f>
        <v>0.90245213579787453</v>
      </c>
      <c r="E52" s="9">
        <f>E30+(($A$25-1)/3)*(E41-E30)</f>
        <v>5.5134954616055936</v>
      </c>
      <c r="F52" s="9">
        <f t="shared" ref="F52:G57" si="19">F30+(($A$25-1)/3)*(F41-F30)</f>
        <v>1.3064868940700425</v>
      </c>
      <c r="G52" s="9">
        <f t="shared" si="19"/>
        <v>0.43447388936060333</v>
      </c>
      <c r="Y52"/>
      <c r="Z52"/>
      <c r="AA52"/>
      <c r="AB52"/>
      <c r="BC52"/>
      <c r="BD52"/>
      <c r="BE52"/>
      <c r="BF52"/>
    </row>
    <row r="53" spans="1:58">
      <c r="A53" s="10">
        <v>200</v>
      </c>
      <c r="B53" s="2">
        <f t="shared" ref="B53:E57" si="20">B31+(($A$25-1)/3)*(B42-B31)</f>
        <v>0.48757391556051771</v>
      </c>
      <c r="C53" s="2">
        <f t="shared" si="20"/>
        <v>0.73853533473927968</v>
      </c>
      <c r="D53" s="2">
        <f t="shared" si="20"/>
        <v>0.97423810114543274</v>
      </c>
      <c r="E53" s="9">
        <f t="shared" si="20"/>
        <v>6.3234993884272734</v>
      </c>
      <c r="F53" s="9">
        <f t="shared" si="19"/>
        <v>1.6634111334483461</v>
      </c>
      <c r="G53" s="9">
        <f t="shared" si="19"/>
        <v>0.76963503906447561</v>
      </c>
      <c r="Y53"/>
      <c r="Z53"/>
      <c r="AA53"/>
      <c r="AB53"/>
      <c r="BC53"/>
      <c r="BD53"/>
      <c r="BE53"/>
      <c r="BF53"/>
    </row>
    <row r="54" spans="1:58">
      <c r="A54" s="10">
        <v>400</v>
      </c>
      <c r="B54" s="2">
        <f t="shared" si="20"/>
        <v>0.72195343836579418</v>
      </c>
      <c r="C54" s="2">
        <f t="shared" si="20"/>
        <v>0.92821403465244179</v>
      </c>
      <c r="D54" s="2">
        <f t="shared" si="20"/>
        <v>0.99958648637472602</v>
      </c>
      <c r="E54" s="9">
        <f t="shared" si="20"/>
        <v>7.7244788735502814</v>
      </c>
      <c r="F54" s="9">
        <f t="shared" si="19"/>
        <v>2.3414346973862901</v>
      </c>
      <c r="G54" s="9">
        <f t="shared" si="19"/>
        <v>1.4459792481321048</v>
      </c>
      <c r="Y54"/>
      <c r="Z54"/>
      <c r="AA54"/>
      <c r="AB54"/>
      <c r="BC54"/>
      <c r="BD54"/>
      <c r="BE54"/>
      <c r="BF54"/>
    </row>
    <row r="55" spans="1:58">
      <c r="A55" s="10">
        <v>600</v>
      </c>
      <c r="B55" s="2">
        <f t="shared" si="20"/>
        <v>0.8555183393292809</v>
      </c>
      <c r="C55" s="2">
        <f t="shared" si="20"/>
        <v>0.98217756275069268</v>
      </c>
      <c r="D55" s="2">
        <f t="shared" si="20"/>
        <v>1</v>
      </c>
      <c r="E55" s="9">
        <f t="shared" si="20"/>
        <v>8.8699662941280835</v>
      </c>
      <c r="F55" s="9">
        <f t="shared" si="19"/>
        <v>3.0243329185676755</v>
      </c>
      <c r="G55" s="9">
        <f t="shared" si="19"/>
        <v>2.1670350626273129</v>
      </c>
      <c r="Y55"/>
      <c r="Z55"/>
      <c r="AA55"/>
      <c r="AB55"/>
      <c r="BC55"/>
      <c r="BD55"/>
      <c r="BE55"/>
      <c r="BF55"/>
    </row>
    <row r="56" spans="1:58">
      <c r="A56" s="10">
        <v>800</v>
      </c>
      <c r="B56" s="2">
        <f t="shared" si="20"/>
        <v>0.93375511723111282</v>
      </c>
      <c r="C56" s="2">
        <f t="shared" si="20"/>
        <v>0.99842864822395894</v>
      </c>
      <c r="D56" s="2">
        <f t="shared" si="20"/>
        <v>1</v>
      </c>
      <c r="E56" s="9">
        <f t="shared" si="20"/>
        <v>9.8803071364046975</v>
      </c>
      <c r="F56" s="9">
        <f t="shared" si="19"/>
        <v>3.7288289080124546</v>
      </c>
      <c r="G56" s="9">
        <f t="shared" si="19"/>
        <v>2.8899705635855453</v>
      </c>
      <c r="Y56"/>
      <c r="Z56"/>
      <c r="AA56"/>
      <c r="AB56"/>
      <c r="BC56"/>
      <c r="BD56"/>
      <c r="BE56"/>
      <c r="BF56"/>
    </row>
    <row r="57" spans="1:58">
      <c r="A57" s="10">
        <v>1000</v>
      </c>
      <c r="B57" s="2">
        <f t="shared" si="20"/>
        <v>0.96431377413885788</v>
      </c>
      <c r="C57" s="2">
        <f t="shared" si="20"/>
        <v>1</v>
      </c>
      <c r="D57" s="2">
        <f t="shared" si="20"/>
        <v>1</v>
      </c>
      <c r="E57" s="9">
        <f t="shared" si="20"/>
        <v>10.846457546965162</v>
      </c>
      <c r="F57" s="9">
        <f t="shared" si="19"/>
        <v>4.4461720998889724</v>
      </c>
      <c r="G57" s="9">
        <f t="shared" si="19"/>
        <v>3.6132016063262</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sheetPr codeName="Sheet24"/>
  <dimension ref="A1:DD96"/>
  <sheetViews>
    <sheetView topLeftCell="V1" zoomScale="80" zoomScaleNormal="80" workbookViewId="0">
      <selection activeCell="AK5" sqref="AK5"/>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338240</v>
      </c>
      <c r="AL5" s="57">
        <v>2111.8000000000002</v>
      </c>
      <c r="AM5" s="57">
        <v>2111.8000000000002</v>
      </c>
      <c r="AN5" s="57">
        <v>2111.8000000000002</v>
      </c>
      <c r="AO5" s="57">
        <v>2111.8000000000002</v>
      </c>
      <c r="AP5" s="57">
        <v>2111.8000000000002</v>
      </c>
      <c r="AQ5" s="37"/>
      <c r="AR5" s="37"/>
      <c r="AS5" s="56">
        <v>0.1</v>
      </c>
      <c r="AT5" s="37" t="s">
        <v>0</v>
      </c>
      <c r="AU5" s="57">
        <v>338240</v>
      </c>
      <c r="AV5" s="57">
        <v>2111.8000000000002</v>
      </c>
      <c r="AW5" s="57">
        <v>2111.8000000000002</v>
      </c>
      <c r="AX5" s="57">
        <v>2111.8000000000002</v>
      </c>
      <c r="AY5" s="57">
        <v>2111.8000000000002</v>
      </c>
      <c r="AZ5" s="57">
        <v>2111.8000000000002</v>
      </c>
      <c r="BA5" s="37"/>
      <c r="BB5" s="37"/>
      <c r="BC5" s="37"/>
      <c r="BD5" s="56">
        <v>0.1</v>
      </c>
      <c r="BE5" s="37" t="s">
        <v>0</v>
      </c>
      <c r="BF5" s="57">
        <v>338240</v>
      </c>
      <c r="BG5" s="57">
        <v>2111.8000000000002</v>
      </c>
      <c r="BH5" s="57">
        <v>2111.8000000000002</v>
      </c>
      <c r="BI5" s="57">
        <v>2111.8000000000002</v>
      </c>
      <c r="BJ5" s="57">
        <v>2111.8000000000002</v>
      </c>
      <c r="BK5" s="57">
        <v>2111.8000000000002</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201980</v>
      </c>
      <c r="AL6" s="57">
        <v>1261</v>
      </c>
      <c r="AM6" s="57">
        <v>1261</v>
      </c>
      <c r="AN6" s="57">
        <v>1261</v>
      </c>
      <c r="AO6" s="57">
        <v>1261</v>
      </c>
      <c r="AP6" s="57">
        <v>1261</v>
      </c>
      <c r="AQ6" s="37"/>
      <c r="AR6" s="37"/>
      <c r="AS6" s="56"/>
      <c r="AT6" s="37" t="s">
        <v>1</v>
      </c>
      <c r="AU6" s="57">
        <v>155340</v>
      </c>
      <c r="AV6" s="57">
        <v>969.9</v>
      </c>
      <c r="AW6" s="57">
        <v>969.9</v>
      </c>
      <c r="AX6" s="57">
        <v>969.9</v>
      </c>
      <c r="AY6" s="57">
        <v>969.9</v>
      </c>
      <c r="AZ6" s="57">
        <v>969.9</v>
      </c>
      <c r="BA6" s="37"/>
      <c r="BB6" s="37"/>
      <c r="BC6" s="37"/>
      <c r="BD6" s="56"/>
      <c r="BE6" s="37" t="s">
        <v>1</v>
      </c>
      <c r="BF6" s="57">
        <v>115960</v>
      </c>
      <c r="BG6" s="57">
        <v>723.95</v>
      </c>
      <c r="BH6" s="57">
        <v>723.95</v>
      </c>
      <c r="BI6" s="57">
        <v>723.95</v>
      </c>
      <c r="BJ6" s="57">
        <v>723.95</v>
      </c>
      <c r="BK6" s="57">
        <v>723.95</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0.77649219467401287</v>
      </c>
      <c r="D7"/>
      <c r="E7" t="s">
        <v>119</v>
      </c>
      <c r="F7"/>
      <c r="G7" s="103">
        <f>C7*12</f>
        <v>9.3179063360881536</v>
      </c>
      <c r="H7"/>
      <c r="I7"/>
      <c r="J7"/>
      <c r="K7"/>
      <c r="L7"/>
      <c r="M7"/>
      <c r="N7"/>
      <c r="O7"/>
      <c r="P7"/>
      <c r="Q7"/>
      <c r="R7"/>
      <c r="S7"/>
      <c r="T7"/>
      <c r="U7"/>
      <c r="V7"/>
      <c r="W7"/>
      <c r="X7"/>
      <c r="Y7"/>
      <c r="Z7"/>
      <c r="AA7"/>
      <c r="AB7"/>
      <c r="AC7"/>
      <c r="AD7"/>
      <c r="AE7"/>
      <c r="AF7"/>
      <c r="AG7"/>
      <c r="AH7" s="37"/>
      <c r="AI7" s="56"/>
      <c r="AJ7" s="37" t="s">
        <v>2</v>
      </c>
      <c r="AK7" s="57">
        <v>136270</v>
      </c>
      <c r="AL7" s="57">
        <v>850.78</v>
      </c>
      <c r="AM7" s="57">
        <v>850.78</v>
      </c>
      <c r="AN7" s="57">
        <v>850.78</v>
      </c>
      <c r="AO7" s="57">
        <v>850.78</v>
      </c>
      <c r="AP7" s="57">
        <v>850.78</v>
      </c>
      <c r="AQ7" s="37"/>
      <c r="AR7" s="37"/>
      <c r="AS7" s="56"/>
      <c r="AT7" s="37" t="s">
        <v>2</v>
      </c>
      <c r="AU7" s="57">
        <v>182900</v>
      </c>
      <c r="AV7" s="57">
        <v>1141.9000000000001</v>
      </c>
      <c r="AW7" s="57">
        <v>1141.9000000000001</v>
      </c>
      <c r="AX7" s="57">
        <v>1141.9000000000001</v>
      </c>
      <c r="AY7" s="57">
        <v>1141.9000000000001</v>
      </c>
      <c r="AZ7" s="57">
        <v>1141.9000000000001</v>
      </c>
      <c r="BA7" s="37"/>
      <c r="BB7" s="37"/>
      <c r="BC7" s="37"/>
      <c r="BD7" s="56"/>
      <c r="BE7" s="37" t="s">
        <v>2</v>
      </c>
      <c r="BF7" s="57">
        <v>222290</v>
      </c>
      <c r="BG7" s="57">
        <v>1387.8</v>
      </c>
      <c r="BH7" s="57">
        <v>1387.8</v>
      </c>
      <c r="BI7" s="57">
        <v>1387.8</v>
      </c>
      <c r="BJ7" s="57">
        <v>1387.8</v>
      </c>
      <c r="BK7" s="57">
        <v>1387.8</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201890</v>
      </c>
      <c r="AL8" s="57">
        <v>1257.8</v>
      </c>
      <c r="AM8" s="57">
        <v>1219.0999999999999</v>
      </c>
      <c r="AN8" s="57">
        <v>766.73</v>
      </c>
      <c r="AO8" s="57">
        <v>4.4032</v>
      </c>
      <c r="AP8" s="57">
        <v>0.82457999999999998</v>
      </c>
      <c r="AQ8" s="37"/>
      <c r="AR8" s="37"/>
      <c r="AS8" s="56"/>
      <c r="AT8" s="37" t="s">
        <v>3</v>
      </c>
      <c r="AU8" s="57">
        <v>155270</v>
      </c>
      <c r="AV8" s="57">
        <v>966.17</v>
      </c>
      <c r="AW8" s="57">
        <v>919.09</v>
      </c>
      <c r="AX8" s="57">
        <v>368.78</v>
      </c>
      <c r="AY8" s="57">
        <v>1.6326000000000001</v>
      </c>
      <c r="AZ8" s="57">
        <v>0.53961999999999999</v>
      </c>
      <c r="BA8" s="37"/>
      <c r="BB8" s="37"/>
      <c r="BC8" s="37"/>
      <c r="BD8" s="56"/>
      <c r="BE8" s="37" t="s">
        <v>3</v>
      </c>
      <c r="BF8" s="57">
        <v>115770</v>
      </c>
      <c r="BG8" s="57">
        <v>717.96</v>
      </c>
      <c r="BH8" s="57">
        <v>651.49</v>
      </c>
      <c r="BI8" s="57">
        <v>105.32</v>
      </c>
      <c r="BJ8" s="57">
        <v>0.58653999999999995</v>
      </c>
      <c r="BK8" s="57">
        <v>0.16608999999999999</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2.7353000000000001</v>
      </c>
      <c r="AM10" s="57">
        <v>41.359000000000002</v>
      </c>
      <c r="AN10" s="57">
        <v>493.78</v>
      </c>
      <c r="AO10" s="57">
        <v>1256.0999999999999</v>
      </c>
      <c r="AP10" s="57">
        <v>1259.7</v>
      </c>
      <c r="AQ10" s="37"/>
      <c r="AR10" s="37"/>
      <c r="AS10" s="56"/>
      <c r="AT10" s="37" t="s">
        <v>5</v>
      </c>
      <c r="AU10" s="57">
        <v>0</v>
      </c>
      <c r="AV10" s="57">
        <v>3.2563</v>
      </c>
      <c r="AW10" s="57">
        <v>50.311</v>
      </c>
      <c r="AX10" s="57">
        <v>600.62</v>
      </c>
      <c r="AY10" s="57">
        <v>967.77</v>
      </c>
      <c r="AZ10" s="57">
        <v>968.86</v>
      </c>
      <c r="BA10" s="37"/>
      <c r="BB10" s="37"/>
      <c r="BC10" s="37"/>
      <c r="BD10" s="56"/>
      <c r="BE10" s="37" t="s">
        <v>5</v>
      </c>
      <c r="BF10" s="57">
        <v>4.2473000000000001</v>
      </c>
      <c r="BG10" s="57">
        <v>4.7967000000000004</v>
      </c>
      <c r="BH10" s="57">
        <v>71.256</v>
      </c>
      <c r="BI10" s="57">
        <v>617.41999999999996</v>
      </c>
      <c r="BJ10" s="57">
        <v>722.16</v>
      </c>
      <c r="BK10" s="57">
        <v>722.58</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0.59714995269631033</v>
      </c>
      <c r="C11" s="75">
        <f t="shared" ref="C11:C19" si="0">(($C$4*D11)+($D$4*E11)+($E$4*F11)+($F$4*G11)+($G$4*I11))</f>
        <v>0.42554816507244997</v>
      </c>
      <c r="D11" s="75">
        <f>AL10/$AL$5</f>
        <v>1.2952457619092716E-3</v>
      </c>
      <c r="E11" s="75">
        <f>AM$10/AM$5</f>
        <v>1.958471446159674E-2</v>
      </c>
      <c r="F11" s="75">
        <f>AN$10/AN$5</f>
        <v>0.23381949048205319</v>
      </c>
      <c r="G11" s="75">
        <f>AO$10/AO$5</f>
        <v>0.59480064400037869</v>
      </c>
      <c r="H11" s="76">
        <f t="shared" ref="H11:H19" si="1">($D$4*E11+$E$4*F11+$F$4*G11)/(SUM($D$4:$F$4))</f>
        <v>0.28273494964800955</v>
      </c>
      <c r="I11" s="75">
        <f>AP10/$AP$5</f>
        <v>0.5965053508855005</v>
      </c>
      <c r="J11" s="75">
        <f>(($C$5*D11)+($D$5*E11)+($E$5*F11)+($F$5*G11)+($G$5*I11))</f>
        <v>0.27618492754995733</v>
      </c>
      <c r="K11"/>
      <c r="L11" s="68">
        <v>0.1</v>
      </c>
      <c r="M11" s="69">
        <f>AU6/$AK$5</f>
        <v>0.45925969725638599</v>
      </c>
      <c r="N11" s="69">
        <f t="shared" ref="N11:N19" si="2">(($C$4*O11)+($D$4*P11)+($E$4*Q11)+($F$4*R11)+($G$4*T11))</f>
        <v>0.34444453309972534</v>
      </c>
      <c r="O11" s="69">
        <f>AV10/$AL$5</f>
        <v>1.5419547305616061E-3</v>
      </c>
      <c r="P11" s="69">
        <f>AW$10/AW$5</f>
        <v>2.3823752249266028E-2</v>
      </c>
      <c r="Q11" s="69">
        <f>AX$10/AX$5</f>
        <v>0.28441140259494269</v>
      </c>
      <c r="R11" s="69">
        <f>AY$10/AY$5</f>
        <v>0.45826782839284019</v>
      </c>
      <c r="S11" s="70">
        <f t="shared" ref="S11:S19" si="3">($D$4*P11+$E$4*Q11+$F$4*R11)/(SUM($D$4:$F$4))</f>
        <v>0.25550099441234964</v>
      </c>
      <c r="T11" s="69">
        <f>AZ10/$AP$5</f>
        <v>0.45878397575527985</v>
      </c>
      <c r="U11" s="69">
        <f>(($C$5*O11)+($D$5*P11)+($E$5*Q11)+($F$5*R11)+($G$5*T11))</f>
        <v>0.25621547021498248</v>
      </c>
      <c r="V11"/>
      <c r="W11" s="84">
        <v>0.1</v>
      </c>
      <c r="X11" s="85">
        <f>BF6/$AK$5</f>
        <v>0.34283349101229899</v>
      </c>
      <c r="Y11" s="85">
        <f t="shared" ref="Y11:Y19" si="4">(($C$4*Z11)+($D$4*AA11)+($E$4*AB11)+($F$4*AC11)+($G$4*AE11))</f>
        <v>0.27140602093001231</v>
      </c>
      <c r="Z11" s="85">
        <f>BG10/$AL$5</f>
        <v>2.2713798655175678E-3</v>
      </c>
      <c r="AA11" s="85">
        <f>BH$10/BH$5</f>
        <v>3.3741831612842124E-2</v>
      </c>
      <c r="AB11" s="85">
        <f>BI$10/BI$5</f>
        <v>0.29236670139217724</v>
      </c>
      <c r="AC11" s="85">
        <f>BJ$10/BJ$5</f>
        <v>0.34196420115541237</v>
      </c>
      <c r="AD11" s="86">
        <f t="shared" ref="AD11:AD19" si="5">($D$4*AA11+$E$4*AB11+$F$4*AC11)/(SUM($D$4:$F$4))</f>
        <v>0.22269091138681057</v>
      </c>
      <c r="AE11" s="85">
        <f>BK10/$AP$5</f>
        <v>0.34216308362534331</v>
      </c>
      <c r="AF11" s="85">
        <f>(($C$5*Z11)+($D$5*AA11)+($E$5*AB11)+($F$5*AC11)+($G$5*AE11))</f>
        <v>0.22653133345960791</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0.81770340586565748</v>
      </c>
      <c r="C12" s="75">
        <f t="shared" si="0"/>
        <v>0.59338520930012306</v>
      </c>
      <c r="D12" s="75">
        <f>AL17/$AL$5</f>
        <v>2.4835211667771566E-3</v>
      </c>
      <c r="E12" s="75">
        <f>AM17/AM$5</f>
        <v>3.5661994507055594E-2</v>
      </c>
      <c r="F12" s="75">
        <f>AN17/AN$5</f>
        <v>0.38222369542570311</v>
      </c>
      <c r="G12" s="75">
        <f>AO17/AO$5</f>
        <v>0.81470783218107767</v>
      </c>
      <c r="H12" s="76">
        <f t="shared" si="1"/>
        <v>0.41086450737127878</v>
      </c>
      <c r="I12" s="75">
        <f>AP17/$AP$5</f>
        <v>0.81674400984941742</v>
      </c>
      <c r="J12" s="75">
        <f t="shared" ref="J12:J18" si="6">(($C$5*D12)+($D$5*E12)+($E$5*F12)+($F$5*G12)+($G$5*I12))</f>
        <v>0.4048861966095274</v>
      </c>
      <c r="K12"/>
      <c r="L12" s="68">
        <v>0.2</v>
      </c>
      <c r="M12" s="69">
        <f>AU13/$AK$5</f>
        <v>0.69225993377483441</v>
      </c>
      <c r="N12" s="69">
        <f t="shared" si="2"/>
        <v>0.52748961786153981</v>
      </c>
      <c r="O12" s="69">
        <f>AV17/$AL$5</f>
        <v>3.4233828961075857E-3</v>
      </c>
      <c r="P12" s="69">
        <f>AW17/AW$5</f>
        <v>4.6938157022445304E-2</v>
      </c>
      <c r="Q12" s="69">
        <f>AX17/AX$5</f>
        <v>0.47218013069419446</v>
      </c>
      <c r="R12" s="69">
        <f>AY17/AY$5</f>
        <v>0.69087981816459887</v>
      </c>
      <c r="S12" s="70">
        <f t="shared" si="3"/>
        <v>0.40333270196041288</v>
      </c>
      <c r="T12" s="69">
        <f>AZ17/$AP$5</f>
        <v>0.69163746566909734</v>
      </c>
      <c r="U12" s="69">
        <f t="shared" ref="U12:U18" si="7">(($C$5*O12)+($D$5*P12)+($E$5*Q12)+($F$5*R12)+($G$5*T12))</f>
        <v>0.40594173217160712</v>
      </c>
      <c r="V12"/>
      <c r="W12" s="84">
        <v>0.2</v>
      </c>
      <c r="X12" s="85">
        <f>BF13/$AK$5</f>
        <v>0.57329115421002841</v>
      </c>
      <c r="Y12" s="85">
        <f t="shared" si="4"/>
        <v>0.45703597641822136</v>
      </c>
      <c r="Z12" s="85">
        <f>BG17/$AL$5</f>
        <v>4.3571834454020257E-3</v>
      </c>
      <c r="AA12" s="85">
        <f>BH17/BH$5</f>
        <v>6.1080594753291029E-2</v>
      </c>
      <c r="AB12" s="85">
        <f>BI17/BI$5</f>
        <v>0.50331470783218113</v>
      </c>
      <c r="AC12" s="85">
        <f>BJ17/BJ$5</f>
        <v>0.57226063074154743</v>
      </c>
      <c r="AD12" s="86">
        <f t="shared" si="5"/>
        <v>0.37888531110900653</v>
      </c>
      <c r="AE12" s="85">
        <f>BK17/$AP$5</f>
        <v>0.57263945449379672</v>
      </c>
      <c r="AF12" s="85">
        <f t="shared" ref="AF12:AF18" si="8">(($C$5*Z12)+($D$5*AA12)+($E$5*AB12)+($F$5*AC12)+($G$5*AE12))</f>
        <v>0.3856937920257601</v>
      </c>
      <c r="AG12"/>
      <c r="AH12" s="37"/>
      <c r="AI12" s="56">
        <v>0.2</v>
      </c>
      <c r="AJ12" s="37" t="s">
        <v>0</v>
      </c>
      <c r="AK12" s="57">
        <v>338240</v>
      </c>
      <c r="AL12" s="57">
        <v>2111.8000000000002</v>
      </c>
      <c r="AM12" s="57">
        <v>2111.8000000000002</v>
      </c>
      <c r="AN12" s="57">
        <v>2111.8000000000002</v>
      </c>
      <c r="AO12" s="57">
        <v>2111.8000000000002</v>
      </c>
      <c r="AP12" s="57">
        <v>2111.8000000000002</v>
      </c>
      <c r="AQ12" s="37"/>
      <c r="AR12" s="37"/>
      <c r="AS12" s="56">
        <v>0.2</v>
      </c>
      <c r="AT12" s="37" t="s">
        <v>0</v>
      </c>
      <c r="AU12" s="57">
        <v>338240</v>
      </c>
      <c r="AV12" s="57">
        <v>2111.8000000000002</v>
      </c>
      <c r="AW12" s="57">
        <v>2111.8000000000002</v>
      </c>
      <c r="AX12" s="57">
        <v>2111.8000000000002</v>
      </c>
      <c r="AY12" s="57">
        <v>2111.8000000000002</v>
      </c>
      <c r="AZ12" s="57">
        <v>2111.8000000000002</v>
      </c>
      <c r="BA12" s="37"/>
      <c r="BB12" s="37"/>
      <c r="BC12" s="37"/>
      <c r="BD12" s="56">
        <v>0.2</v>
      </c>
      <c r="BE12" s="37" t="s">
        <v>0</v>
      </c>
      <c r="BF12" s="57">
        <v>338240</v>
      </c>
      <c r="BG12" s="57">
        <v>2111.8000000000002</v>
      </c>
      <c r="BH12" s="57">
        <v>2111.8000000000002</v>
      </c>
      <c r="BI12" s="57">
        <v>2111.8000000000002</v>
      </c>
      <c r="BJ12" s="57">
        <v>2111.8000000000002</v>
      </c>
      <c r="BK12" s="57">
        <v>2111.8000000000002</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0.94962157048249762</v>
      </c>
      <c r="C13" s="75">
        <f t="shared" si="0"/>
        <v>0.7058997963822331</v>
      </c>
      <c r="D13" s="75">
        <f>AL24/$AL$5</f>
        <v>4.7323610190358936E-3</v>
      </c>
      <c r="E13" s="75">
        <f>AM24/AM$5</f>
        <v>6.1525712662183915E-2</v>
      </c>
      <c r="F13" s="75">
        <f>AN24/AN$5</f>
        <v>0.53584619755658669</v>
      </c>
      <c r="G13" s="75">
        <f>AO24/AO$5</f>
        <v>0.94544937967610554</v>
      </c>
      <c r="H13" s="76">
        <f t="shared" si="1"/>
        <v>0.51427376329829211</v>
      </c>
      <c r="I13" s="75">
        <f>AP24/$AP$5</f>
        <v>0.94847996969409976</v>
      </c>
      <c r="J13" s="75">
        <f t="shared" si="6"/>
        <v>0.51105473056160622</v>
      </c>
      <c r="K13"/>
      <c r="L13" s="68">
        <v>0.4</v>
      </c>
      <c r="M13" s="69">
        <f>AU20/$AK$5</f>
        <v>0.88747634815515608</v>
      </c>
      <c r="N13" s="69">
        <f t="shared" si="2"/>
        <v>0.68546770527512069</v>
      </c>
      <c r="O13" s="69">
        <f>AV24/$AL$5</f>
        <v>5.6511033241784248E-3</v>
      </c>
      <c r="P13" s="69">
        <f>AW24/AW$5</f>
        <v>7.3709631593900926E-2</v>
      </c>
      <c r="Q13" s="69">
        <f>AX24/AX$5</f>
        <v>0.6527133251254853</v>
      </c>
      <c r="R13" s="69">
        <f>AY24/AY$5</f>
        <v>0.88554787385169043</v>
      </c>
      <c r="S13" s="70">
        <f t="shared" si="3"/>
        <v>0.5373236101903589</v>
      </c>
      <c r="T13" s="69">
        <f>AZ24/$AP$5</f>
        <v>0.88677905104650057</v>
      </c>
      <c r="U13" s="69">
        <f t="shared" si="7"/>
        <v>0.5421798465763803</v>
      </c>
      <c r="V13"/>
      <c r="W13" s="84">
        <v>0.4</v>
      </c>
      <c r="X13" s="85">
        <f>BF20/$AK$5</f>
        <v>0.79629848628193001</v>
      </c>
      <c r="Y13" s="85">
        <f t="shared" si="4"/>
        <v>0.64039189317170175</v>
      </c>
      <c r="Z13" s="85">
        <f>BG24/$AL$5</f>
        <v>7.8047163557155028E-3</v>
      </c>
      <c r="AA13" s="85">
        <f>BH24/BH$5</f>
        <v>0.10075291220759541</v>
      </c>
      <c r="AB13" s="85">
        <f>BI24/BI$5</f>
        <v>0.71919689364523143</v>
      </c>
      <c r="AC13" s="85">
        <f>BJ24/BJ$5</f>
        <v>0.79496164409508463</v>
      </c>
      <c r="AD13" s="86">
        <f t="shared" si="5"/>
        <v>0.53830381664930393</v>
      </c>
      <c r="AE13" s="85">
        <f>BK24/$AP$5</f>
        <v>0.79552987972345857</v>
      </c>
      <c r="AF13" s="85">
        <f t="shared" si="8"/>
        <v>0.547155128326546</v>
      </c>
      <c r="AG13"/>
      <c r="AH13" s="37"/>
      <c r="AI13" s="56"/>
      <c r="AJ13" s="37" t="s">
        <v>1</v>
      </c>
      <c r="AK13" s="57">
        <v>276580</v>
      </c>
      <c r="AL13" s="57">
        <v>1726.8</v>
      </c>
      <c r="AM13" s="57">
        <v>1726.8</v>
      </c>
      <c r="AN13" s="57">
        <v>1726.8</v>
      </c>
      <c r="AO13" s="57">
        <v>1726.8</v>
      </c>
      <c r="AP13" s="57">
        <v>1726.8</v>
      </c>
      <c r="AQ13" s="37"/>
      <c r="AR13" s="37"/>
      <c r="AS13" s="56"/>
      <c r="AT13" s="37" t="s">
        <v>1</v>
      </c>
      <c r="AU13" s="57">
        <v>234150</v>
      </c>
      <c r="AV13" s="57">
        <v>1461.9</v>
      </c>
      <c r="AW13" s="57">
        <v>1461.9</v>
      </c>
      <c r="AX13" s="57">
        <v>1461.9</v>
      </c>
      <c r="AY13" s="57">
        <v>1461.9</v>
      </c>
      <c r="AZ13" s="57">
        <v>1461.9</v>
      </c>
      <c r="BA13" s="37"/>
      <c r="BB13" s="37"/>
      <c r="BC13" s="37"/>
      <c r="BD13" s="56"/>
      <c r="BE13" s="37" t="s">
        <v>1</v>
      </c>
      <c r="BF13" s="57">
        <v>193910</v>
      </c>
      <c r="BG13" s="57">
        <v>1210.7</v>
      </c>
      <c r="BH13" s="57">
        <v>1210.7</v>
      </c>
      <c r="BI13" s="57">
        <v>1210.7</v>
      </c>
      <c r="BJ13" s="57">
        <v>1210.7</v>
      </c>
      <c r="BK13" s="57">
        <v>1210.7</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0.98273415326395464</v>
      </c>
      <c r="C14" s="75">
        <f t="shared" si="0"/>
        <v>0.74586885595226815</v>
      </c>
      <c r="D14" s="75">
        <f>AL31/$AL$5</f>
        <v>6.9310540770906332E-3</v>
      </c>
      <c r="E14" s="75">
        <f>AM31/AM$5</f>
        <v>8.4837579316223113E-2</v>
      </c>
      <c r="F14" s="75">
        <f>AN31/AN$5</f>
        <v>0.63595037408845534</v>
      </c>
      <c r="G14" s="75">
        <f>AO31/AO$5</f>
        <v>0.97821763424566721</v>
      </c>
      <c r="H14" s="76">
        <f t="shared" si="1"/>
        <v>0.56633519588344861</v>
      </c>
      <c r="I14" s="75">
        <f>AP31/$AP$5</f>
        <v>0.98134293020172358</v>
      </c>
      <c r="J14" s="75">
        <f t="shared" si="6"/>
        <v>0.56581859077564167</v>
      </c>
      <c r="K14"/>
      <c r="L14" s="68">
        <v>0.6</v>
      </c>
      <c r="M14" s="69">
        <f>AU27/$AK$5</f>
        <v>0.96265964995269626</v>
      </c>
      <c r="N14" s="69">
        <f t="shared" si="2"/>
        <v>0.75377784354579025</v>
      </c>
      <c r="O14" s="69">
        <f>AV31/$AL$5</f>
        <v>8.4198314234302483E-3</v>
      </c>
      <c r="P14" s="69">
        <f>AW31/AW$5</f>
        <v>0.10122170660100387</v>
      </c>
      <c r="Q14" s="69">
        <f>AX31/AX$5</f>
        <v>0.75438014963538202</v>
      </c>
      <c r="R14" s="69">
        <f>AY31/AY$5</f>
        <v>0.96050762382801402</v>
      </c>
      <c r="S14" s="70">
        <f t="shared" si="3"/>
        <v>0.60536982668813333</v>
      </c>
      <c r="T14" s="69">
        <f>AZ31/$AP$5</f>
        <v>0.96188085992991745</v>
      </c>
      <c r="U14" s="69">
        <f t="shared" si="7"/>
        <v>0.61112799507529125</v>
      </c>
      <c r="V14"/>
      <c r="W14" s="84">
        <v>0.6</v>
      </c>
      <c r="X14" s="85">
        <f>BF27/$AK$5</f>
        <v>0.90902909176915803</v>
      </c>
      <c r="Y14" s="85">
        <f t="shared" si="4"/>
        <v>0.73592906525239132</v>
      </c>
      <c r="Z14" s="85">
        <f>BG31/$AL$5</f>
        <v>1.104744767496922E-2</v>
      </c>
      <c r="AA14" s="85">
        <f>BH31/BH$5</f>
        <v>0.13357799033999429</v>
      </c>
      <c r="AB14" s="85">
        <f>BI31/BI$5</f>
        <v>0.83388578463869678</v>
      </c>
      <c r="AC14" s="85">
        <f>BJ31/BJ$5</f>
        <v>0.90761435742021024</v>
      </c>
      <c r="AD14" s="86">
        <f t="shared" si="5"/>
        <v>0.62502604413296714</v>
      </c>
      <c r="AE14" s="85">
        <f>BK31/$AP$5</f>
        <v>0.9082299460176152</v>
      </c>
      <c r="AF14" s="85">
        <f t="shared" si="8"/>
        <v>0.63372052277677815</v>
      </c>
      <c r="AG14"/>
      <c r="AH14" s="37"/>
      <c r="AI14" s="56"/>
      <c r="AJ14" s="37" t="s">
        <v>2</v>
      </c>
      <c r="AK14" s="57">
        <v>61665</v>
      </c>
      <c r="AL14" s="57">
        <v>385</v>
      </c>
      <c r="AM14" s="57">
        <v>385</v>
      </c>
      <c r="AN14" s="57">
        <v>385</v>
      </c>
      <c r="AO14" s="57">
        <v>385</v>
      </c>
      <c r="AP14" s="57">
        <v>385</v>
      </c>
      <c r="AQ14" s="37"/>
      <c r="AR14" s="37"/>
      <c r="AS14" s="56"/>
      <c r="AT14" s="37" t="s">
        <v>2</v>
      </c>
      <c r="AU14" s="57">
        <v>104090</v>
      </c>
      <c r="AV14" s="57">
        <v>649.89</v>
      </c>
      <c r="AW14" s="57">
        <v>649.89</v>
      </c>
      <c r="AX14" s="57">
        <v>649.89</v>
      </c>
      <c r="AY14" s="57">
        <v>649.89</v>
      </c>
      <c r="AZ14" s="57">
        <v>649.89</v>
      </c>
      <c r="BA14" s="37"/>
      <c r="BB14" s="37"/>
      <c r="BC14" s="37"/>
      <c r="BD14" s="56"/>
      <c r="BE14" s="37" t="s">
        <v>2</v>
      </c>
      <c r="BF14" s="57">
        <v>144330</v>
      </c>
      <c r="BG14" s="57">
        <v>901.11</v>
      </c>
      <c r="BH14" s="57">
        <v>901.11</v>
      </c>
      <c r="BI14" s="57">
        <v>901.11</v>
      </c>
      <c r="BJ14" s="57">
        <v>901.11</v>
      </c>
      <c r="BK14" s="57">
        <v>901.11</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0.99544701986754969</v>
      </c>
      <c r="C15" s="75">
        <f t="shared" si="0"/>
        <v>0.76644570982100579</v>
      </c>
      <c r="D15" s="75">
        <f>AL38/$AL$5</f>
        <v>9.063831802253999E-3</v>
      </c>
      <c r="E15" s="75">
        <f>AM38/AM$5</f>
        <v>0.10570129747135144</v>
      </c>
      <c r="F15" s="75">
        <f>AN38/AN$5</f>
        <v>0.69736717492186762</v>
      </c>
      <c r="G15" s="75">
        <f>AO38/AO$5</f>
        <v>0.99057675916279941</v>
      </c>
      <c r="H15" s="76">
        <f t="shared" si="1"/>
        <v>0.59788174385200621</v>
      </c>
      <c r="I15" s="75">
        <f>AP38/$AP$5</f>
        <v>0.99389146699498054</v>
      </c>
      <c r="J15" s="75">
        <f t="shared" si="6"/>
        <v>0.59849801117530066</v>
      </c>
      <c r="K15"/>
      <c r="L15" s="68">
        <v>0.8</v>
      </c>
      <c r="M15" s="69">
        <f>AU34/$AK$5</f>
        <v>0.98746452223273418</v>
      </c>
      <c r="N15" s="69">
        <f t="shared" si="2"/>
        <v>0.78395965527038536</v>
      </c>
      <c r="O15" s="69">
        <f>AV38/$AL$5</f>
        <v>1.1113741831612841E-2</v>
      </c>
      <c r="P15" s="69">
        <f>AW38/AW$5</f>
        <v>0.12621933895255233</v>
      </c>
      <c r="Q15" s="69">
        <f>AX38/AX$5</f>
        <v>0.82237901316412532</v>
      </c>
      <c r="R15" s="69">
        <f>AY38/AY$5</f>
        <v>0.98527322663130956</v>
      </c>
      <c r="S15" s="70">
        <f t="shared" si="3"/>
        <v>0.64462385958266233</v>
      </c>
      <c r="T15" s="69">
        <f>AZ38/$AP$5</f>
        <v>0.98664646273321321</v>
      </c>
      <c r="U15" s="69">
        <f t="shared" si="7"/>
        <v>0.65102613883890514</v>
      </c>
      <c r="V15"/>
      <c r="W15" s="84">
        <v>0.8</v>
      </c>
      <c r="X15" s="85">
        <f>BF34/$AK$5</f>
        <v>0.965734389782403</v>
      </c>
      <c r="Y15" s="85">
        <f t="shared" si="4"/>
        <v>0.78604136281844861</v>
      </c>
      <c r="Z15" s="85">
        <f>BG38/$AL$5</f>
        <v>1.4046311203712471E-2</v>
      </c>
      <c r="AA15" s="85">
        <f>BH38/BH$5</f>
        <v>0.16102850648735675</v>
      </c>
      <c r="AB15" s="85">
        <f>BI38/BI$5</f>
        <v>0.89383464343214303</v>
      </c>
      <c r="AC15" s="85">
        <f>BJ38/BJ$5</f>
        <v>0.96420115541244433</v>
      </c>
      <c r="AD15" s="86">
        <f t="shared" si="5"/>
        <v>0.67302143511064816</v>
      </c>
      <c r="AE15" s="85">
        <f>BK38/$AP$5</f>
        <v>0.9649588029169428</v>
      </c>
      <c r="AF15" s="85">
        <f t="shared" si="8"/>
        <v>0.68048030116488312</v>
      </c>
      <c r="AG15"/>
      <c r="AH15" s="37"/>
      <c r="AI15" s="56"/>
      <c r="AJ15" s="37" t="s">
        <v>3</v>
      </c>
      <c r="AK15" s="57">
        <v>276520</v>
      </c>
      <c r="AL15" s="57">
        <v>1721.2</v>
      </c>
      <c r="AM15" s="57">
        <v>1651.1</v>
      </c>
      <c r="AN15" s="57">
        <v>919.24</v>
      </c>
      <c r="AO15" s="57">
        <v>5.9036</v>
      </c>
      <c r="AP15" s="57">
        <v>1.5924</v>
      </c>
      <c r="AQ15" s="37"/>
      <c r="AR15" s="37"/>
      <c r="AS15" s="56"/>
      <c r="AT15" s="37" t="s">
        <v>3</v>
      </c>
      <c r="AU15" s="57">
        <v>234010</v>
      </c>
      <c r="AV15" s="57">
        <v>1453.8</v>
      </c>
      <c r="AW15" s="57">
        <v>1361.9</v>
      </c>
      <c r="AX15" s="57">
        <v>463.88</v>
      </c>
      <c r="AY15" s="57">
        <v>2.0390999999999999</v>
      </c>
      <c r="AZ15" s="57">
        <v>0.44724000000000003</v>
      </c>
      <c r="BA15" s="37"/>
      <c r="BB15" s="37"/>
      <c r="BC15" s="37"/>
      <c r="BD15" s="56"/>
      <c r="BE15" s="37" t="s">
        <v>3</v>
      </c>
      <c r="BF15" s="57">
        <v>193730</v>
      </c>
      <c r="BG15" s="57">
        <v>1200.4000000000001</v>
      </c>
      <c r="BH15" s="57">
        <v>1080.5999999999999</v>
      </c>
      <c r="BI15" s="57">
        <v>146.65</v>
      </c>
      <c r="BJ15" s="57">
        <v>1.0402</v>
      </c>
      <c r="BK15" s="57">
        <v>0.25497999999999998</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1</v>
      </c>
      <c r="C16" s="75">
        <f t="shared" si="0"/>
        <v>0.77904285443697319</v>
      </c>
      <c r="D16" s="75">
        <f>AL45/$AL$5</f>
        <v>1.1172459513211478E-2</v>
      </c>
      <c r="E16" s="75">
        <f>AM45/AM$5</f>
        <v>0.12506866180509518</v>
      </c>
      <c r="F16" s="75">
        <f>AN45/AN$5</f>
        <v>0.74164220096600053</v>
      </c>
      <c r="G16" s="75">
        <f>AO45/AO$5</f>
        <v>0.99521735012785284</v>
      </c>
      <c r="H16" s="76">
        <f t="shared" si="1"/>
        <v>0.62064273763298283</v>
      </c>
      <c r="I16" s="75">
        <f>AP45/$AP$5</f>
        <v>0.99838999905294057</v>
      </c>
      <c r="J16" s="75">
        <f t="shared" si="6"/>
        <v>0.62167032862960503</v>
      </c>
      <c r="K16"/>
      <c r="L16" s="68">
        <v>1</v>
      </c>
      <c r="M16" s="69">
        <f>AU41/$AK$5</f>
        <v>0.99807828760643336</v>
      </c>
      <c r="N16" s="69">
        <f t="shared" si="2"/>
        <v>0.79687110521829707</v>
      </c>
      <c r="O16" s="69">
        <f>AV45/$AL$5</f>
        <v>1.3092148877734633E-2</v>
      </c>
      <c r="P16" s="69">
        <f>AW45/AW$5</f>
        <v>0.14395302585472108</v>
      </c>
      <c r="Q16" s="69">
        <f>AX45/AX$5</f>
        <v>0.84444549673264502</v>
      </c>
      <c r="R16" s="69">
        <f>AY45/AY$5</f>
        <v>0.9956908798181644</v>
      </c>
      <c r="S16" s="70">
        <f t="shared" si="3"/>
        <v>0.66136313413517689</v>
      </c>
      <c r="T16" s="69">
        <f>AZ45/$AP$5</f>
        <v>0.99720617482716167</v>
      </c>
      <c r="U16" s="69">
        <f t="shared" si="7"/>
        <v>0.66673681219812486</v>
      </c>
      <c r="V16"/>
      <c r="W16" s="84">
        <v>1</v>
      </c>
      <c r="X16" s="85">
        <f>BF41/$AK$5</f>
        <v>0.98991840113528851</v>
      </c>
      <c r="Y16" s="85">
        <f t="shared" si="4"/>
        <v>0.81004058149445957</v>
      </c>
      <c r="Z16" s="85">
        <f>BG45/$AL$5</f>
        <v>1.684060990624112E-2</v>
      </c>
      <c r="AA16" s="85">
        <f>BH45/BH$5</f>
        <v>0.18442560848565204</v>
      </c>
      <c r="AB16" s="85">
        <f>BI45/BI$5</f>
        <v>0.92485083814755176</v>
      </c>
      <c r="AC16" s="85">
        <f>BJ45/BJ$5</f>
        <v>0.98835116961833491</v>
      </c>
      <c r="AD16" s="86">
        <f t="shared" si="5"/>
        <v>0.69920920541717957</v>
      </c>
      <c r="AE16" s="85">
        <f>BK45/$AP$5</f>
        <v>0.98910881712283361</v>
      </c>
      <c r="AF16" s="85">
        <f t="shared" si="8"/>
        <v>0.7050906335827255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0.78692942039965896</v>
      </c>
      <c r="D17" s="75">
        <f>AL52/$AL$5</f>
        <v>1.3216687186286579E-2</v>
      </c>
      <c r="E17" s="75">
        <f>AM52/AM$5</f>
        <v>0.1433279666635098</v>
      </c>
      <c r="F17" s="75">
        <f>AN52/AN$5</f>
        <v>0.77507339710199818</v>
      </c>
      <c r="G17" s="75">
        <f>AO52/AO$5</f>
        <v>0.99573823278719575</v>
      </c>
      <c r="H17" s="76">
        <f t="shared" si="1"/>
        <v>0.63804653218423457</v>
      </c>
      <c r="I17" s="75">
        <f>AP52/$AP$5</f>
        <v>0.99829529311487808</v>
      </c>
      <c r="J17" s="75">
        <f t="shared" si="6"/>
        <v>0.63899379676105694</v>
      </c>
      <c r="K17"/>
      <c r="L17" s="68">
        <v>1.2</v>
      </c>
      <c r="M17" s="69">
        <f>AU48/$AK$5</f>
        <v>1</v>
      </c>
      <c r="N17" s="69">
        <f t="shared" si="2"/>
        <v>0.80483689269817216</v>
      </c>
      <c r="O17" s="69">
        <f>AV52/$AL$5</f>
        <v>1.5626953309972533E-2</v>
      </c>
      <c r="P17" s="69">
        <f>AW52/AW$5</f>
        <v>0.16470783218107773</v>
      </c>
      <c r="Q17" s="69">
        <f>AX52/AX$5</f>
        <v>0.86741168671275681</v>
      </c>
      <c r="R17" s="69">
        <f>AY52/AY$5</f>
        <v>0.99791646936262901</v>
      </c>
      <c r="S17" s="70">
        <f t="shared" si="3"/>
        <v>0.6766786627521546</v>
      </c>
      <c r="T17" s="69">
        <f>AZ52/$AP$5</f>
        <v>0.99910029358840791</v>
      </c>
      <c r="U17" s="69">
        <f t="shared" si="7"/>
        <v>0.68096225968368218</v>
      </c>
      <c r="V17"/>
      <c r="W17" s="84">
        <v>1.2</v>
      </c>
      <c r="X17" s="85">
        <f>BF48/$AK$5</f>
        <v>0.9961565752128666</v>
      </c>
      <c r="Y17" s="85">
        <f t="shared" si="4"/>
        <v>0.81966713230419541</v>
      </c>
      <c r="Z17" s="85">
        <f>BG52/$AL$5</f>
        <v>1.9614073302396059E-2</v>
      </c>
      <c r="AA17" s="85">
        <f>BH52/BH$5</f>
        <v>0.205928591722701</v>
      </c>
      <c r="AB17" s="85">
        <f>BI52/BI$5</f>
        <v>0.93953025854721084</v>
      </c>
      <c r="AC17" s="85">
        <f>BJ52/BJ$5</f>
        <v>0.99474382043754128</v>
      </c>
      <c r="AD17" s="86">
        <f t="shared" si="5"/>
        <v>0.71340089023581776</v>
      </c>
      <c r="AE17" s="85">
        <f>BK52/$AP$5</f>
        <v>0.99531205606591533</v>
      </c>
      <c r="AF17" s="85">
        <f t="shared" si="8"/>
        <v>0.71743919878776397</v>
      </c>
      <c r="AG17"/>
      <c r="AH17" s="37"/>
      <c r="AI17" s="56"/>
      <c r="AJ17" s="37" t="s">
        <v>5</v>
      </c>
      <c r="AK17" s="57">
        <v>0</v>
      </c>
      <c r="AL17" s="57">
        <v>5.2446999999999999</v>
      </c>
      <c r="AM17" s="57">
        <v>75.311000000000007</v>
      </c>
      <c r="AN17" s="57">
        <v>807.18</v>
      </c>
      <c r="AO17" s="57">
        <v>1720.5</v>
      </c>
      <c r="AP17" s="57">
        <v>1724.8</v>
      </c>
      <c r="AQ17" s="37"/>
      <c r="AR17" s="37"/>
      <c r="AS17" s="56"/>
      <c r="AT17" s="37" t="s">
        <v>5</v>
      </c>
      <c r="AU17" s="57">
        <v>1.3906E-2</v>
      </c>
      <c r="AV17" s="57">
        <v>7.2294999999999998</v>
      </c>
      <c r="AW17" s="57">
        <v>99.123999999999995</v>
      </c>
      <c r="AX17" s="57">
        <v>997.15</v>
      </c>
      <c r="AY17" s="57">
        <v>1459</v>
      </c>
      <c r="AZ17" s="57">
        <v>1460.6</v>
      </c>
      <c r="BA17" s="37"/>
      <c r="BB17" s="37"/>
      <c r="BC17" s="37"/>
      <c r="BD17" s="56"/>
      <c r="BE17" s="37" t="s">
        <v>5</v>
      </c>
      <c r="BF17" s="57">
        <v>1.6549</v>
      </c>
      <c r="BG17" s="57">
        <v>9.2014999999999993</v>
      </c>
      <c r="BH17" s="57">
        <v>128.99</v>
      </c>
      <c r="BI17" s="57">
        <v>1062.9000000000001</v>
      </c>
      <c r="BJ17" s="57">
        <v>1208.5</v>
      </c>
      <c r="BK17" s="57">
        <v>1209.3</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0.79907342077848276</v>
      </c>
      <c r="D18" s="75">
        <f>AL59/$AL$5</f>
        <v>1.712520125011838E-2</v>
      </c>
      <c r="E18" s="75">
        <f>AM59/AM$5</f>
        <v>0.1763424566720333</v>
      </c>
      <c r="F18" s="75">
        <f>AN59/AN$5</f>
        <v>0.82152665972156447</v>
      </c>
      <c r="G18" s="75">
        <f>AO59/AO$5</f>
        <v>0.99640117435363185</v>
      </c>
      <c r="H18" s="76">
        <f t="shared" si="1"/>
        <v>0.66475676358240987</v>
      </c>
      <c r="I18" s="75">
        <f>AP59/$AP$5</f>
        <v>0.99815323420778479</v>
      </c>
      <c r="J18" s="75">
        <f t="shared" si="6"/>
        <v>0.66468723363954918</v>
      </c>
      <c r="K18"/>
      <c r="L18" s="68">
        <v>1.6</v>
      </c>
      <c r="M18" s="69">
        <f>AU55/$AK$5</f>
        <v>1</v>
      </c>
      <c r="N18" s="69">
        <f t="shared" si="2"/>
        <v>0.81451548442087318</v>
      </c>
      <c r="O18" s="69">
        <f>AV59/$AL$5</f>
        <v>2.0023676484515578E-2</v>
      </c>
      <c r="P18" s="69">
        <f>AW59/AW$5</f>
        <v>0.19927549957382326</v>
      </c>
      <c r="Q18" s="69">
        <f>AX59/AX$5</f>
        <v>0.89572876219338937</v>
      </c>
      <c r="R18" s="69">
        <f>AY59/AY$5</f>
        <v>0.99824794014584706</v>
      </c>
      <c r="S18" s="70">
        <f t="shared" si="3"/>
        <v>0.69775073397102005</v>
      </c>
      <c r="T18" s="69">
        <f>AZ59/$AP$5</f>
        <v>0.99905294061937688</v>
      </c>
      <c r="U18" s="69">
        <f t="shared" si="7"/>
        <v>0.69970385453167916</v>
      </c>
      <c r="V18"/>
      <c r="W18" s="84">
        <v>1.6</v>
      </c>
      <c r="X18" s="85">
        <f>BF55/$AK$5</f>
        <v>1</v>
      </c>
      <c r="Y18" s="85">
        <f t="shared" si="4"/>
        <v>0.83084970167629502</v>
      </c>
      <c r="Z18" s="85">
        <f>BG59/$AL$5</f>
        <v>2.5380244341320198E-2</v>
      </c>
      <c r="AA18" s="85">
        <f>BH59/BH$5</f>
        <v>0.24675158632446254</v>
      </c>
      <c r="AB18" s="85">
        <f>BI59/BI$5</f>
        <v>0.95473056160621261</v>
      </c>
      <c r="AC18" s="85">
        <f>BJ59/BJ$5</f>
        <v>0.99872146983615862</v>
      </c>
      <c r="AD18" s="86">
        <f t="shared" si="5"/>
        <v>0.73340120592227798</v>
      </c>
      <c r="AE18" s="85">
        <f>BK59/$AP$5</f>
        <v>0.99910029358840791</v>
      </c>
      <c r="AF18" s="85">
        <f t="shared" si="8"/>
        <v>0.73343488966758219</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0.42554816507244997</v>
      </c>
      <c r="CH18" s="62">
        <f t="shared" ref="CH18:CH26" si="10">N11</f>
        <v>0.34444453309972534</v>
      </c>
      <c r="CI18" s="62">
        <f t="shared" ref="CI18:CI26" si="11">Y11</f>
        <v>0.27140602093001231</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0.80872191968936447</v>
      </c>
      <c r="D19" s="75">
        <f>AL66/$AL$5</f>
        <v>2.1028980017047068E-2</v>
      </c>
      <c r="E19" s="75">
        <f>AM66/AM$5</f>
        <v>0.20716450421441424</v>
      </c>
      <c r="F19" s="75">
        <f>AN66/AN$5</f>
        <v>0.85391609053887674</v>
      </c>
      <c r="G19" s="75">
        <f>AO66/AO$5</f>
        <v>0.99668529216781887</v>
      </c>
      <c r="H19" s="76">
        <f t="shared" si="1"/>
        <v>0.6859219623070365</v>
      </c>
      <c r="I19" s="75">
        <f>AP66/$AP$5</f>
        <v>0.99801117530069128</v>
      </c>
      <c r="J19" s="75">
        <f>(($C$5*D19)+($D$5*E19)+($E$5*F19)+($F$5*G19)+($G$5*I19))</f>
        <v>0.6842404110237712</v>
      </c>
      <c r="K19"/>
      <c r="L19" s="68">
        <v>2</v>
      </c>
      <c r="M19" s="69">
        <f>AU62/$AK$5</f>
        <v>1</v>
      </c>
      <c r="N19" s="69">
        <f t="shared" si="2"/>
        <v>0.82304697414527883</v>
      </c>
      <c r="O19" s="69">
        <f>AV66/$AL$5</f>
        <v>2.4695520409129652E-2</v>
      </c>
      <c r="P19" s="69">
        <f>AW66/AW$5</f>
        <v>0.23379107870063454</v>
      </c>
      <c r="Q19" s="69">
        <f>AX66/AX$5</f>
        <v>0.91675348044322369</v>
      </c>
      <c r="R19" s="69">
        <f>AY66/AY$5</f>
        <v>0.99834264608390944</v>
      </c>
      <c r="S19" s="70">
        <f t="shared" si="3"/>
        <v>0.71629573507592259</v>
      </c>
      <c r="T19" s="69">
        <f>AZ66/$AP$5</f>
        <v>0.99895823468131439</v>
      </c>
      <c r="U19" s="69">
        <f>(($C$5*O19)+($D$5*P19)+($E$5*Q19)+($F$5*R19)+($G$5*T19))</f>
        <v>0.71549351264324268</v>
      </c>
      <c r="V19"/>
      <c r="W19" s="84">
        <v>2</v>
      </c>
      <c r="X19" s="85">
        <f>BF62/$AK$5</f>
        <v>1</v>
      </c>
      <c r="Y19" s="85">
        <f t="shared" si="4"/>
        <v>0.83642759731035121</v>
      </c>
      <c r="Z19" s="85">
        <f>BG66/$AL$5</f>
        <v>2.9636329197840702E-2</v>
      </c>
      <c r="AA19" s="85">
        <f>BH66/BH$5</f>
        <v>0.27540013258831325</v>
      </c>
      <c r="AB19" s="85">
        <f>BI66/BI$5</f>
        <v>0.96159674211573054</v>
      </c>
      <c r="AC19" s="85">
        <f>BJ66/BJ$5</f>
        <v>0.99881617577422099</v>
      </c>
      <c r="AD19" s="86">
        <f t="shared" si="5"/>
        <v>0.74527101682608821</v>
      </c>
      <c r="AE19" s="85">
        <f>BK66/$AP$5</f>
        <v>0.99914764655743904</v>
      </c>
      <c r="AF19" s="85">
        <f>(($C$5*Z19)+($D$5*AA19)+($E$5*AB19)+($F$5*AC19)+($G$5*AE19))</f>
        <v>0.74236035609432705</v>
      </c>
      <c r="AG19"/>
      <c r="AH19" s="37"/>
      <c r="AI19" s="56">
        <v>0.4</v>
      </c>
      <c r="AJ19" s="37" t="s">
        <v>0</v>
      </c>
      <c r="AK19" s="57">
        <v>338240</v>
      </c>
      <c r="AL19" s="57">
        <v>2111.8000000000002</v>
      </c>
      <c r="AM19" s="57">
        <v>2111.8000000000002</v>
      </c>
      <c r="AN19" s="57">
        <v>2111.8000000000002</v>
      </c>
      <c r="AO19" s="57">
        <v>2111.8000000000002</v>
      </c>
      <c r="AP19" s="57">
        <v>2111.8000000000002</v>
      </c>
      <c r="AQ19" s="37"/>
      <c r="AR19" s="37"/>
      <c r="AS19" s="56">
        <v>0.4</v>
      </c>
      <c r="AT19" s="37" t="s">
        <v>0</v>
      </c>
      <c r="AU19" s="57">
        <v>338240</v>
      </c>
      <c r="AV19" s="57">
        <v>2111.8000000000002</v>
      </c>
      <c r="AW19" s="57">
        <v>2111.8000000000002</v>
      </c>
      <c r="AX19" s="57">
        <v>2111.8000000000002</v>
      </c>
      <c r="AY19" s="57">
        <v>2111.8000000000002</v>
      </c>
      <c r="AZ19" s="57">
        <v>2111.8000000000002</v>
      </c>
      <c r="BA19" s="37"/>
      <c r="BB19" s="37"/>
      <c r="BC19" s="37"/>
      <c r="BD19" s="56">
        <v>0.4</v>
      </c>
      <c r="BE19" s="37" t="s">
        <v>0</v>
      </c>
      <c r="BF19" s="57">
        <v>338240</v>
      </c>
      <c r="BG19" s="57">
        <v>2111.8000000000002</v>
      </c>
      <c r="BH19" s="57">
        <v>2111.8000000000002</v>
      </c>
      <c r="BI19" s="57">
        <v>2111.8000000000002</v>
      </c>
      <c r="BJ19" s="57">
        <v>2111.8000000000002</v>
      </c>
      <c r="BK19" s="57">
        <v>2111.8000000000002</v>
      </c>
      <c r="BL19" s="37"/>
      <c r="BM19" s="37"/>
      <c r="BN19" s="37"/>
      <c r="BO19" s="37"/>
      <c r="BY19" s="37"/>
      <c r="BZ19" s="37"/>
      <c r="CA19" s="37"/>
      <c r="CB19" s="37"/>
      <c r="CC19" s="61">
        <v>0.2</v>
      </c>
      <c r="CD19" s="62">
        <v>0.77280172734718189</v>
      </c>
      <c r="CE19" s="62">
        <v>0.62134241679696223</v>
      </c>
      <c r="CF19" s="62">
        <v>0.48760330578512395</v>
      </c>
      <c r="CG19" s="62">
        <f t="shared" si="9"/>
        <v>0.59338520930012306</v>
      </c>
      <c r="CH19" s="62">
        <f t="shared" si="10"/>
        <v>0.52748961786153981</v>
      </c>
      <c r="CI19" s="62">
        <f t="shared" si="11"/>
        <v>0.45703597641822136</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321200</v>
      </c>
      <c r="AL20" s="57">
        <v>2005.4</v>
      </c>
      <c r="AM20" s="57">
        <v>2005.4</v>
      </c>
      <c r="AN20" s="57">
        <v>2005.4</v>
      </c>
      <c r="AO20" s="57">
        <v>2005.4</v>
      </c>
      <c r="AP20" s="57">
        <v>2005.4</v>
      </c>
      <c r="AQ20" s="37"/>
      <c r="AR20" s="37"/>
      <c r="AS20" s="56"/>
      <c r="AT20" s="37" t="s">
        <v>1</v>
      </c>
      <c r="AU20" s="57">
        <v>300180</v>
      </c>
      <c r="AV20" s="57">
        <v>1874.1</v>
      </c>
      <c r="AW20" s="57">
        <v>1874.1</v>
      </c>
      <c r="AX20" s="57">
        <v>1874.1</v>
      </c>
      <c r="AY20" s="57">
        <v>1874.1</v>
      </c>
      <c r="AZ20" s="57">
        <v>1874.1</v>
      </c>
      <c r="BA20" s="37"/>
      <c r="BB20" s="37"/>
      <c r="BC20" s="37"/>
      <c r="BD20" s="56"/>
      <c r="BE20" s="37" t="s">
        <v>1</v>
      </c>
      <c r="BF20" s="57">
        <v>269340</v>
      </c>
      <c r="BG20" s="57">
        <v>1681.5</v>
      </c>
      <c r="BH20" s="57">
        <v>1681.5</v>
      </c>
      <c r="BI20" s="57">
        <v>1681.5</v>
      </c>
      <c r="BJ20" s="57">
        <v>1681.5</v>
      </c>
      <c r="BK20" s="57">
        <v>1681.5</v>
      </c>
      <c r="BL20" s="37"/>
      <c r="BM20" s="37"/>
      <c r="BN20" s="37"/>
      <c r="BO20" s="37"/>
      <c r="BY20" s="37"/>
      <c r="BZ20" s="37"/>
      <c r="CA20" s="37"/>
      <c r="CB20" s="37"/>
      <c r="CC20" s="61">
        <v>0.4</v>
      </c>
      <c r="CD20" s="62">
        <v>0.93740227831136924</v>
      </c>
      <c r="CE20" s="62">
        <v>0.83551113096567642</v>
      </c>
      <c r="CF20" s="62">
        <v>0.7119350755714392</v>
      </c>
      <c r="CG20" s="62">
        <f t="shared" si="9"/>
        <v>0.7058997963822331</v>
      </c>
      <c r="CH20" s="62">
        <f t="shared" si="10"/>
        <v>0.68546770527512069</v>
      </c>
      <c r="CI20" s="62">
        <f t="shared" si="11"/>
        <v>0.64039189317170175</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17041</v>
      </c>
      <c r="AL21" s="57">
        <v>106.39</v>
      </c>
      <c r="AM21" s="57">
        <v>106.39</v>
      </c>
      <c r="AN21" s="57">
        <v>106.39</v>
      </c>
      <c r="AO21" s="57">
        <v>106.39</v>
      </c>
      <c r="AP21" s="57">
        <v>106.39</v>
      </c>
      <c r="AQ21" s="57"/>
      <c r="AR21" s="37"/>
      <c r="AS21" s="56"/>
      <c r="AT21" s="37" t="s">
        <v>2</v>
      </c>
      <c r="AU21" s="57">
        <v>38068</v>
      </c>
      <c r="AV21" s="57">
        <v>237.67</v>
      </c>
      <c r="AW21" s="57">
        <v>237.67</v>
      </c>
      <c r="AX21" s="57">
        <v>237.67</v>
      </c>
      <c r="AY21" s="57">
        <v>237.67</v>
      </c>
      <c r="AZ21" s="57">
        <v>237.67</v>
      </c>
      <c r="BA21" s="57"/>
      <c r="BB21" s="37"/>
      <c r="BC21" s="37"/>
      <c r="BD21" s="56"/>
      <c r="BE21" s="37" t="s">
        <v>2</v>
      </c>
      <c r="BF21" s="57">
        <v>68912</v>
      </c>
      <c r="BG21" s="57">
        <v>430.24</v>
      </c>
      <c r="BH21" s="57">
        <v>430.24</v>
      </c>
      <c r="BI21" s="57">
        <v>430.24</v>
      </c>
      <c r="BJ21" s="57">
        <v>430.24</v>
      </c>
      <c r="BK21" s="57">
        <v>430.24</v>
      </c>
      <c r="BL21" s="57"/>
      <c r="BM21" s="57"/>
      <c r="BN21" s="57"/>
      <c r="BO21" s="37"/>
      <c r="BY21" s="37"/>
      <c r="BZ21" s="37"/>
      <c r="CA21" s="37"/>
      <c r="CB21" s="37"/>
      <c r="CC21" s="61">
        <v>0.6</v>
      </c>
      <c r="CD21" s="62">
        <v>0.98157248157248156</v>
      </c>
      <c r="CE21" s="62">
        <v>0.93494527585436671</v>
      </c>
      <c r="CF21" s="62">
        <v>0.84556250465341376</v>
      </c>
      <c r="CG21" s="62">
        <f t="shared" si="9"/>
        <v>0.74586885595226815</v>
      </c>
      <c r="CH21" s="62">
        <f t="shared" si="10"/>
        <v>0.75377784354579025</v>
      </c>
      <c r="CI21" s="62">
        <f t="shared" si="11"/>
        <v>0.73592906525239132</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321140</v>
      </c>
      <c r="AL22" s="57">
        <v>1995</v>
      </c>
      <c r="AM22" s="57">
        <v>1875</v>
      </c>
      <c r="AN22" s="57">
        <v>873.34</v>
      </c>
      <c r="AO22" s="57">
        <v>8.3339999999999996</v>
      </c>
      <c r="AP22" s="57">
        <v>1.9579</v>
      </c>
      <c r="AQ22" s="37"/>
      <c r="AR22" s="37"/>
      <c r="AS22" s="56"/>
      <c r="AT22" s="37" t="s">
        <v>3</v>
      </c>
      <c r="AU22" s="57">
        <v>300080</v>
      </c>
      <c r="AV22" s="57">
        <v>1861.6</v>
      </c>
      <c r="AW22" s="57">
        <v>1717.8</v>
      </c>
      <c r="AX22" s="57">
        <v>495.13</v>
      </c>
      <c r="AY22" s="57">
        <v>3.4201000000000001</v>
      </c>
      <c r="AZ22" s="57">
        <v>0.83333000000000002</v>
      </c>
      <c r="BA22" s="37"/>
      <c r="BB22" s="37"/>
      <c r="BC22" s="37"/>
      <c r="BD22" s="56"/>
      <c r="BE22" s="37" t="s">
        <v>3</v>
      </c>
      <c r="BF22" s="57">
        <v>269140</v>
      </c>
      <c r="BG22" s="57">
        <v>1663.9</v>
      </c>
      <c r="BH22" s="57">
        <v>1467.6</v>
      </c>
      <c r="BI22" s="57">
        <v>161.54</v>
      </c>
      <c r="BJ22" s="57">
        <v>1.5523</v>
      </c>
      <c r="BK22" s="57">
        <v>0.35352</v>
      </c>
      <c r="BL22" s="37"/>
      <c r="BM22" s="37"/>
      <c r="BN22" s="37"/>
      <c r="BO22" s="37"/>
      <c r="BY22" s="37"/>
      <c r="BZ22" s="37"/>
      <c r="CA22" s="37"/>
      <c r="CB22" s="37"/>
      <c r="CC22" s="61">
        <v>0.8</v>
      </c>
      <c r="CD22" s="62">
        <v>0.99348522075794798</v>
      </c>
      <c r="CE22" s="62">
        <v>0.97371751917206462</v>
      </c>
      <c r="CF22" s="62">
        <v>0.92195294468021738</v>
      </c>
      <c r="CG22" s="62">
        <f t="shared" si="9"/>
        <v>0.76644570982100579</v>
      </c>
      <c r="CH22" s="62">
        <f t="shared" si="10"/>
        <v>0.78395965527038536</v>
      </c>
      <c r="CI22" s="62">
        <f t="shared" si="11"/>
        <v>0.78604136281844861</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0.77904285443697319</v>
      </c>
      <c r="CH23" s="62">
        <f t="shared" si="10"/>
        <v>0.79687110521829707</v>
      </c>
      <c r="CI23" s="62">
        <f t="shared" si="11"/>
        <v>0.81004058149445957</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9.9938000000000002</v>
      </c>
      <c r="AM24" s="57">
        <v>129.93</v>
      </c>
      <c r="AN24" s="57">
        <v>1131.5999999999999</v>
      </c>
      <c r="AO24" s="57">
        <v>1996.6</v>
      </c>
      <c r="AP24" s="57">
        <v>2003</v>
      </c>
      <c r="AQ24" s="37"/>
      <c r="AR24" s="37"/>
      <c r="AS24" s="56"/>
      <c r="AT24" s="37" t="s">
        <v>5</v>
      </c>
      <c r="AU24" s="57">
        <v>0</v>
      </c>
      <c r="AV24" s="57">
        <v>11.933999999999999</v>
      </c>
      <c r="AW24" s="57">
        <v>155.66</v>
      </c>
      <c r="AX24" s="57">
        <v>1378.4</v>
      </c>
      <c r="AY24" s="57">
        <v>1870.1</v>
      </c>
      <c r="AZ24" s="57">
        <v>1872.7</v>
      </c>
      <c r="BA24" s="37"/>
      <c r="BB24" s="37"/>
      <c r="BC24" s="37"/>
      <c r="BD24" s="56"/>
      <c r="BE24" s="37" t="s">
        <v>5</v>
      </c>
      <c r="BF24" s="57">
        <v>1.5443</v>
      </c>
      <c r="BG24" s="57">
        <v>16.481999999999999</v>
      </c>
      <c r="BH24" s="57">
        <v>212.77</v>
      </c>
      <c r="BI24" s="57">
        <v>1518.8</v>
      </c>
      <c r="BJ24" s="57">
        <v>1678.8</v>
      </c>
      <c r="BK24" s="57">
        <v>1680</v>
      </c>
      <c r="BL24" s="37"/>
      <c r="BM24" s="37"/>
      <c r="BN24" s="37"/>
      <c r="BO24" s="37"/>
      <c r="BY24" s="37"/>
      <c r="BZ24" s="37"/>
      <c r="CA24" s="37"/>
      <c r="CB24" s="37"/>
      <c r="CC24" s="61">
        <v>1.2</v>
      </c>
      <c r="CD24" s="62">
        <v>0.9987156578065669</v>
      </c>
      <c r="CE24" s="62">
        <v>0.99434144888690346</v>
      </c>
      <c r="CF24" s="62">
        <v>0.97799865981684164</v>
      </c>
      <c r="CG24" s="62">
        <f t="shared" si="9"/>
        <v>0.78692942039965896</v>
      </c>
      <c r="CH24" s="62">
        <f t="shared" si="10"/>
        <v>0.80483689269817216</v>
      </c>
      <c r="CI24" s="62">
        <f t="shared" si="11"/>
        <v>0.81966713230419541</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0.79907342077848276</v>
      </c>
      <c r="CH25" s="62">
        <f t="shared" si="10"/>
        <v>0.81451548442087318</v>
      </c>
      <c r="CI25" s="62">
        <f t="shared" si="11"/>
        <v>0.83084970167629502</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338240</v>
      </c>
      <c r="AL26" s="57">
        <v>2111.8000000000002</v>
      </c>
      <c r="AM26" s="57">
        <v>2111.8000000000002</v>
      </c>
      <c r="AN26" s="57">
        <v>2111.8000000000002</v>
      </c>
      <c r="AO26" s="57">
        <v>2111.8000000000002</v>
      </c>
      <c r="AP26" s="57">
        <v>2111.8000000000002</v>
      </c>
      <c r="AQ26" s="37"/>
      <c r="AR26" s="37"/>
      <c r="AS26" s="56">
        <v>0.6</v>
      </c>
      <c r="AT26" s="37" t="s">
        <v>0</v>
      </c>
      <c r="AU26" s="57">
        <v>338240</v>
      </c>
      <c r="AV26" s="57">
        <v>2111.8000000000002</v>
      </c>
      <c r="AW26" s="57">
        <v>2111.8000000000002</v>
      </c>
      <c r="AX26" s="57">
        <v>2111.8000000000002</v>
      </c>
      <c r="AY26" s="57">
        <v>2111.8000000000002</v>
      </c>
      <c r="AZ26" s="57">
        <v>2111.8000000000002</v>
      </c>
      <c r="BA26" s="37"/>
      <c r="BB26" s="37"/>
      <c r="BC26" s="37"/>
      <c r="BD26" s="56">
        <v>0.6</v>
      </c>
      <c r="BE26" s="37" t="s">
        <v>0</v>
      </c>
      <c r="BF26" s="57">
        <v>338240</v>
      </c>
      <c r="BG26" s="57">
        <v>2111.8000000000002</v>
      </c>
      <c r="BH26" s="57">
        <v>2111.8000000000002</v>
      </c>
      <c r="BI26" s="57">
        <v>2111.8000000000002</v>
      </c>
      <c r="BJ26" s="57">
        <v>2111.8000000000002</v>
      </c>
      <c r="BK26" s="57">
        <v>2111.8000000000002</v>
      </c>
      <c r="BL26" s="37"/>
      <c r="BM26" s="37"/>
      <c r="BN26" s="37"/>
      <c r="BO26" s="37"/>
      <c r="BY26" s="37"/>
      <c r="BZ26" s="37"/>
      <c r="CA26" s="37"/>
      <c r="CB26" s="37"/>
      <c r="CC26" s="61">
        <v>2</v>
      </c>
      <c r="CD26" s="62">
        <v>1</v>
      </c>
      <c r="CE26" s="62">
        <v>1</v>
      </c>
      <c r="CF26" s="62">
        <v>1</v>
      </c>
      <c r="CG26" s="62">
        <f t="shared" si="9"/>
        <v>0.80872191968936447</v>
      </c>
      <c r="CH26" s="62">
        <f t="shared" si="10"/>
        <v>0.82304697414527883</v>
      </c>
      <c r="CI26" s="62">
        <f t="shared" si="11"/>
        <v>0.83642759731035121</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332400</v>
      </c>
      <c r="AL27" s="57">
        <v>2075.3000000000002</v>
      </c>
      <c r="AM27" s="57">
        <v>2075.3000000000002</v>
      </c>
      <c r="AN27" s="57">
        <v>2075.3000000000002</v>
      </c>
      <c r="AO27" s="57">
        <v>2075.3000000000002</v>
      </c>
      <c r="AP27" s="57">
        <v>2075.3000000000002</v>
      </c>
      <c r="AQ27" s="37"/>
      <c r="AR27" s="37"/>
      <c r="AS27" s="56"/>
      <c r="AT27" s="37" t="s">
        <v>1</v>
      </c>
      <c r="AU27" s="57">
        <v>325610</v>
      </c>
      <c r="AV27" s="57">
        <v>2032.9</v>
      </c>
      <c r="AW27" s="57">
        <v>2032.9</v>
      </c>
      <c r="AX27" s="57">
        <v>2032.9</v>
      </c>
      <c r="AY27" s="57">
        <v>2032.9</v>
      </c>
      <c r="AZ27" s="57">
        <v>2032.9</v>
      </c>
      <c r="BA27" s="37"/>
      <c r="BB27" s="37"/>
      <c r="BC27" s="37"/>
      <c r="BD27" s="56"/>
      <c r="BE27" s="37" t="s">
        <v>1</v>
      </c>
      <c r="BF27" s="57">
        <v>307470</v>
      </c>
      <c r="BG27" s="57">
        <v>1919.6</v>
      </c>
      <c r="BH27" s="57">
        <v>1919.6</v>
      </c>
      <c r="BI27" s="57">
        <v>1919.6</v>
      </c>
      <c r="BJ27" s="57">
        <v>1919.6</v>
      </c>
      <c r="BK27" s="57">
        <v>1919.6</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5847</v>
      </c>
      <c r="AL28" s="57">
        <v>36.505000000000003</v>
      </c>
      <c r="AM28" s="57">
        <v>36.505000000000003</v>
      </c>
      <c r="AN28" s="57">
        <v>36.505000000000003</v>
      </c>
      <c r="AO28" s="57">
        <v>36.505000000000003</v>
      </c>
      <c r="AP28" s="57">
        <v>36.505000000000003</v>
      </c>
      <c r="AQ28" s="37"/>
      <c r="AR28" s="37"/>
      <c r="AS28" s="56"/>
      <c r="AT28" s="37" t="s">
        <v>2</v>
      </c>
      <c r="AU28" s="57">
        <v>12630</v>
      </c>
      <c r="AV28" s="57">
        <v>78.855999999999995</v>
      </c>
      <c r="AW28" s="57">
        <v>78.855999999999995</v>
      </c>
      <c r="AX28" s="57">
        <v>78.855999999999995</v>
      </c>
      <c r="AY28" s="57">
        <v>78.855999999999995</v>
      </c>
      <c r="AZ28" s="57">
        <v>78.855999999999995</v>
      </c>
      <c r="BA28" s="37"/>
      <c r="BB28" s="37"/>
      <c r="BC28" s="37"/>
      <c r="BD28" s="56"/>
      <c r="BE28" s="37" t="s">
        <v>2</v>
      </c>
      <c r="BF28" s="57">
        <v>30775</v>
      </c>
      <c r="BG28" s="57">
        <v>192.14</v>
      </c>
      <c r="BH28" s="57">
        <v>192.14</v>
      </c>
      <c r="BI28" s="57">
        <v>192.14</v>
      </c>
      <c r="BJ28" s="57">
        <v>192.14</v>
      </c>
      <c r="BK28" s="57">
        <v>192.14</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332330</v>
      </c>
      <c r="AL29" s="57">
        <v>2060.1999999999998</v>
      </c>
      <c r="AM29" s="57">
        <v>1895.7</v>
      </c>
      <c r="AN29" s="57">
        <v>731.81</v>
      </c>
      <c r="AO29" s="57">
        <v>9.0823999999999998</v>
      </c>
      <c r="AP29" s="57">
        <v>2.4698000000000002</v>
      </c>
      <c r="AQ29" s="37"/>
      <c r="AR29" s="37"/>
      <c r="AS29" s="56"/>
      <c r="AT29" s="37" t="s">
        <v>3</v>
      </c>
      <c r="AU29" s="57">
        <v>325500</v>
      </c>
      <c r="AV29" s="57">
        <v>2014.5</v>
      </c>
      <c r="AW29" s="57">
        <v>1818.5</v>
      </c>
      <c r="AX29" s="57">
        <v>439.2</v>
      </c>
      <c r="AY29" s="57">
        <v>3.8172000000000001</v>
      </c>
      <c r="AZ29" s="57">
        <v>0.94915000000000005</v>
      </c>
      <c r="BA29" s="37"/>
      <c r="BB29" s="37"/>
      <c r="BC29" s="37"/>
      <c r="BD29" s="56"/>
      <c r="BE29" s="37" t="s">
        <v>3</v>
      </c>
      <c r="BF29" s="57">
        <v>307280</v>
      </c>
      <c r="BG29" s="57">
        <v>1895.1</v>
      </c>
      <c r="BH29" s="57">
        <v>1636.3</v>
      </c>
      <c r="BI29" s="57">
        <v>157.44999999999999</v>
      </c>
      <c r="BJ29" s="57">
        <v>1.8085</v>
      </c>
      <c r="BK29" s="57">
        <v>0.43718000000000001</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14.637</v>
      </c>
      <c r="AM31" s="57">
        <v>179.16</v>
      </c>
      <c r="AN31" s="57">
        <v>1343</v>
      </c>
      <c r="AO31" s="57">
        <v>2065.8000000000002</v>
      </c>
      <c r="AP31" s="57">
        <v>2072.4</v>
      </c>
      <c r="AQ31" s="37"/>
      <c r="AR31" s="37"/>
      <c r="AS31" s="56"/>
      <c r="AT31" s="37" t="s">
        <v>5</v>
      </c>
      <c r="AU31" s="57">
        <v>0</v>
      </c>
      <c r="AV31" s="57">
        <v>17.780999999999999</v>
      </c>
      <c r="AW31" s="57">
        <v>213.76</v>
      </c>
      <c r="AX31" s="57">
        <v>1593.1</v>
      </c>
      <c r="AY31" s="57">
        <v>2028.4</v>
      </c>
      <c r="AZ31" s="57">
        <v>2031.3</v>
      </c>
      <c r="BA31" s="37"/>
      <c r="BB31" s="37"/>
      <c r="BC31" s="37"/>
      <c r="BD31" s="56"/>
      <c r="BE31" s="37" t="s">
        <v>5</v>
      </c>
      <c r="BF31" s="57">
        <v>0.41854000000000002</v>
      </c>
      <c r="BG31" s="57">
        <v>23.33</v>
      </c>
      <c r="BH31" s="57">
        <v>282.08999999999997</v>
      </c>
      <c r="BI31" s="57">
        <v>1761</v>
      </c>
      <c r="BJ31" s="57">
        <v>1916.7</v>
      </c>
      <c r="BK31" s="57">
        <v>1918</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338240</v>
      </c>
      <c r="AL33" s="57">
        <v>2111.8000000000002</v>
      </c>
      <c r="AM33" s="57">
        <v>2111.8000000000002</v>
      </c>
      <c r="AN33" s="57">
        <v>2111.8000000000002</v>
      </c>
      <c r="AO33" s="57">
        <v>2111.8000000000002</v>
      </c>
      <c r="AP33" s="57">
        <v>2111.8000000000002</v>
      </c>
      <c r="AQ33" s="37"/>
      <c r="AR33" s="37"/>
      <c r="AS33" s="56">
        <v>0.8</v>
      </c>
      <c r="AT33" s="37" t="s">
        <v>0</v>
      </c>
      <c r="AU33" s="57">
        <v>338240</v>
      </c>
      <c r="AV33" s="57">
        <v>2111.8000000000002</v>
      </c>
      <c r="AW33" s="57">
        <v>2111.8000000000002</v>
      </c>
      <c r="AX33" s="57">
        <v>2111.8000000000002</v>
      </c>
      <c r="AY33" s="57">
        <v>2111.8000000000002</v>
      </c>
      <c r="AZ33" s="57">
        <v>2111.8000000000002</v>
      </c>
      <c r="BA33" s="37"/>
      <c r="BB33" s="37"/>
      <c r="BC33" s="37"/>
      <c r="BD33" s="56">
        <v>0.8</v>
      </c>
      <c r="BE33" s="37" t="s">
        <v>0</v>
      </c>
      <c r="BF33" s="57">
        <v>338240</v>
      </c>
      <c r="BG33" s="57">
        <v>2111.8000000000002</v>
      </c>
      <c r="BH33" s="57">
        <v>2111.8000000000002</v>
      </c>
      <c r="BI33" s="57">
        <v>2111.8000000000002</v>
      </c>
      <c r="BJ33" s="57">
        <v>2111.8000000000002</v>
      </c>
      <c r="BK33" s="57">
        <v>2111.8000000000002</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336700</v>
      </c>
      <c r="AL34" s="57">
        <v>2102.1</v>
      </c>
      <c r="AM34" s="57">
        <v>2102.1</v>
      </c>
      <c r="AN34" s="57">
        <v>2102.1</v>
      </c>
      <c r="AO34" s="57">
        <v>2102.1</v>
      </c>
      <c r="AP34" s="57">
        <v>2102.1</v>
      </c>
      <c r="AQ34" s="37"/>
      <c r="AR34" s="37"/>
      <c r="AS34" s="56"/>
      <c r="AT34" s="37" t="s">
        <v>1</v>
      </c>
      <c r="AU34" s="57">
        <v>334000</v>
      </c>
      <c r="AV34" s="57">
        <v>2085.3000000000002</v>
      </c>
      <c r="AW34" s="57">
        <v>2085.3000000000002</v>
      </c>
      <c r="AX34" s="57">
        <v>2085.3000000000002</v>
      </c>
      <c r="AY34" s="57">
        <v>2085.3000000000002</v>
      </c>
      <c r="AZ34" s="57">
        <v>2085.3000000000002</v>
      </c>
      <c r="BA34" s="37"/>
      <c r="BB34" s="37"/>
      <c r="BC34" s="37"/>
      <c r="BD34" s="56"/>
      <c r="BE34" s="37" t="s">
        <v>1</v>
      </c>
      <c r="BF34" s="57">
        <v>326650</v>
      </c>
      <c r="BG34" s="57">
        <v>2039.4</v>
      </c>
      <c r="BH34" s="57">
        <v>2039.4</v>
      </c>
      <c r="BI34" s="57">
        <v>2039.4</v>
      </c>
      <c r="BJ34" s="57">
        <v>2039.4</v>
      </c>
      <c r="BK34" s="57">
        <v>2039.4</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1544.8</v>
      </c>
      <c r="AL35" s="57">
        <v>9.6449999999999996</v>
      </c>
      <c r="AM35" s="57">
        <v>9.6449999999999996</v>
      </c>
      <c r="AN35" s="57">
        <v>9.6449999999999996</v>
      </c>
      <c r="AO35" s="57">
        <v>9.6449999999999996</v>
      </c>
      <c r="AP35" s="57">
        <v>9.6449999999999996</v>
      </c>
      <c r="AQ35" s="37"/>
      <c r="AR35" s="37"/>
      <c r="AS35" s="56"/>
      <c r="AT35" s="37" t="s">
        <v>2</v>
      </c>
      <c r="AU35" s="57">
        <v>4242.5</v>
      </c>
      <c r="AV35" s="57">
        <v>26.488</v>
      </c>
      <c r="AW35" s="57">
        <v>26.488</v>
      </c>
      <c r="AX35" s="57">
        <v>26.488</v>
      </c>
      <c r="AY35" s="57">
        <v>26.488</v>
      </c>
      <c r="AZ35" s="57">
        <v>26.488</v>
      </c>
      <c r="BA35" s="37"/>
      <c r="BB35" s="37"/>
      <c r="BC35" s="37"/>
      <c r="BD35" s="56"/>
      <c r="BE35" s="37" t="s">
        <v>2</v>
      </c>
      <c r="BF35" s="57">
        <v>11593</v>
      </c>
      <c r="BG35" s="57">
        <v>72.38</v>
      </c>
      <c r="BH35" s="57">
        <v>72.38</v>
      </c>
      <c r="BI35" s="57">
        <v>72.38</v>
      </c>
      <c r="BJ35" s="57">
        <v>72.38</v>
      </c>
      <c r="BK35" s="57">
        <v>72.38</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336630</v>
      </c>
      <c r="AL36" s="57">
        <v>2082.6</v>
      </c>
      <c r="AM36" s="57">
        <v>1878.5</v>
      </c>
      <c r="AN36" s="57">
        <v>629.07000000000005</v>
      </c>
      <c r="AO36" s="57">
        <v>9.8816000000000006</v>
      </c>
      <c r="AP36" s="57">
        <v>2.8599000000000001</v>
      </c>
      <c r="AQ36" s="37"/>
      <c r="AR36" s="37"/>
      <c r="AS36" s="56"/>
      <c r="AT36" s="37" t="s">
        <v>3</v>
      </c>
      <c r="AU36" s="57">
        <v>333890</v>
      </c>
      <c r="AV36" s="57">
        <v>2061.1</v>
      </c>
      <c r="AW36" s="57">
        <v>1818</v>
      </c>
      <c r="AX36" s="57">
        <v>347.84</v>
      </c>
      <c r="AY36" s="57">
        <v>3.9195000000000002</v>
      </c>
      <c r="AZ36" s="57">
        <v>1.0326</v>
      </c>
      <c r="BA36" s="37"/>
      <c r="BB36" s="37"/>
      <c r="BC36" s="37"/>
      <c r="BD36" s="56"/>
      <c r="BE36" s="37" t="s">
        <v>3</v>
      </c>
      <c r="BF36" s="57">
        <v>326460</v>
      </c>
      <c r="BG36" s="57">
        <v>2008.6</v>
      </c>
      <c r="BH36" s="57">
        <v>1698.1</v>
      </c>
      <c r="BI36" s="57">
        <v>150.66</v>
      </c>
      <c r="BJ36" s="57">
        <v>2.0112000000000001</v>
      </c>
      <c r="BK36" s="57">
        <v>0.49117</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19.140999999999998</v>
      </c>
      <c r="AM38" s="57">
        <v>223.22</v>
      </c>
      <c r="AN38" s="57">
        <v>1472.7</v>
      </c>
      <c r="AO38" s="57">
        <v>2091.9</v>
      </c>
      <c r="AP38" s="57">
        <v>2098.9</v>
      </c>
      <c r="AQ38" s="37"/>
      <c r="AR38" s="37"/>
      <c r="AS38" s="56"/>
      <c r="AT38" s="37" t="s">
        <v>5</v>
      </c>
      <c r="AU38" s="57">
        <v>1.4718999999999999E-3</v>
      </c>
      <c r="AV38" s="57">
        <v>23.47</v>
      </c>
      <c r="AW38" s="57">
        <v>266.55</v>
      </c>
      <c r="AX38" s="57">
        <v>1736.7</v>
      </c>
      <c r="AY38" s="57">
        <v>2080.6999999999998</v>
      </c>
      <c r="AZ38" s="57">
        <v>2083.6</v>
      </c>
      <c r="BA38" s="37"/>
      <c r="BB38" s="37"/>
      <c r="BC38" s="37"/>
      <c r="BD38" s="56"/>
      <c r="BE38" s="37" t="s">
        <v>5</v>
      </c>
      <c r="BF38" s="57">
        <v>0.30470999999999998</v>
      </c>
      <c r="BG38" s="57">
        <v>29.663</v>
      </c>
      <c r="BH38" s="57">
        <v>340.06</v>
      </c>
      <c r="BI38" s="57">
        <v>1887.6</v>
      </c>
      <c r="BJ38" s="57">
        <v>2036.2</v>
      </c>
      <c r="BK38" s="57">
        <v>2037.8</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338240</v>
      </c>
      <c r="AL40" s="57">
        <v>2111.8000000000002</v>
      </c>
      <c r="AM40" s="57">
        <v>2111.8000000000002</v>
      </c>
      <c r="AN40" s="57">
        <v>2111.8000000000002</v>
      </c>
      <c r="AO40" s="57">
        <v>2111.8000000000002</v>
      </c>
      <c r="AP40" s="57">
        <v>2111.8000000000002</v>
      </c>
      <c r="AQ40" s="37"/>
      <c r="AR40" s="37"/>
      <c r="AS40" s="56">
        <v>1</v>
      </c>
      <c r="AT40" s="37" t="s">
        <v>0</v>
      </c>
      <c r="AU40" s="57">
        <v>338240</v>
      </c>
      <c r="AV40" s="57">
        <v>2111.8000000000002</v>
      </c>
      <c r="AW40" s="57">
        <v>2111.8000000000002</v>
      </c>
      <c r="AX40" s="57">
        <v>2111.8000000000002</v>
      </c>
      <c r="AY40" s="57">
        <v>2111.8000000000002</v>
      </c>
      <c r="AZ40" s="57">
        <v>2111.8000000000002</v>
      </c>
      <c r="BA40" s="37"/>
      <c r="BB40" s="37"/>
      <c r="BC40" s="37"/>
      <c r="BD40" s="56">
        <v>1</v>
      </c>
      <c r="BE40" s="37" t="s">
        <v>0</v>
      </c>
      <c r="BF40" s="57">
        <v>338240</v>
      </c>
      <c r="BG40" s="57">
        <v>2111.8000000000002</v>
      </c>
      <c r="BH40" s="57">
        <v>2111.8000000000002</v>
      </c>
      <c r="BI40" s="57">
        <v>2111.8000000000002</v>
      </c>
      <c r="BJ40" s="57">
        <v>2111.8000000000002</v>
      </c>
      <c r="BK40" s="57">
        <v>2111.8000000000002</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338240</v>
      </c>
      <c r="AL41" s="57">
        <v>2111.8000000000002</v>
      </c>
      <c r="AM41" s="57">
        <v>2111.8000000000002</v>
      </c>
      <c r="AN41" s="57">
        <v>2111.8000000000002</v>
      </c>
      <c r="AO41" s="57">
        <v>2111.8000000000002</v>
      </c>
      <c r="AP41" s="57">
        <v>2111.8000000000002</v>
      </c>
      <c r="AQ41" s="37"/>
      <c r="AR41" s="37"/>
      <c r="AS41" s="56"/>
      <c r="AT41" s="37" t="s">
        <v>1</v>
      </c>
      <c r="AU41" s="57">
        <v>337590</v>
      </c>
      <c r="AV41" s="57">
        <v>2107.6999999999998</v>
      </c>
      <c r="AW41" s="57">
        <v>2107.6999999999998</v>
      </c>
      <c r="AX41" s="57">
        <v>2107.6999999999998</v>
      </c>
      <c r="AY41" s="57">
        <v>2107.6999999999998</v>
      </c>
      <c r="AZ41" s="57">
        <v>2107.6999999999998</v>
      </c>
      <c r="BA41" s="37"/>
      <c r="BB41" s="37"/>
      <c r="BC41" s="37"/>
      <c r="BD41" s="56"/>
      <c r="BE41" s="37" t="s">
        <v>1</v>
      </c>
      <c r="BF41" s="57">
        <v>334830</v>
      </c>
      <c r="BG41" s="57">
        <v>2090.4</v>
      </c>
      <c r="BH41" s="57">
        <v>2090.4</v>
      </c>
      <c r="BI41" s="57">
        <v>2090.4</v>
      </c>
      <c r="BJ41" s="57">
        <v>2090.4</v>
      </c>
      <c r="BK41" s="57">
        <v>2090.4</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0</v>
      </c>
      <c r="AL42" s="57">
        <v>0</v>
      </c>
      <c r="AM42" s="57">
        <v>0</v>
      </c>
      <c r="AN42" s="57">
        <v>0</v>
      </c>
      <c r="AO42" s="57">
        <v>0</v>
      </c>
      <c r="AP42" s="57">
        <v>0</v>
      </c>
      <c r="AQ42" s="37"/>
      <c r="AR42" s="37"/>
      <c r="AS42" s="56"/>
      <c r="AT42" s="37" t="s">
        <v>2</v>
      </c>
      <c r="AU42" s="57">
        <v>654.30999999999995</v>
      </c>
      <c r="AV42" s="57">
        <v>4.0850999999999997</v>
      </c>
      <c r="AW42" s="57">
        <v>4.0850999999999997</v>
      </c>
      <c r="AX42" s="57">
        <v>4.0850999999999997</v>
      </c>
      <c r="AY42" s="57">
        <v>4.0850999999999997</v>
      </c>
      <c r="AZ42" s="57">
        <v>4.0850999999999997</v>
      </c>
      <c r="BA42" s="37"/>
      <c r="BB42" s="37"/>
      <c r="BC42" s="37"/>
      <c r="BD42" s="56"/>
      <c r="BE42" s="37" t="s">
        <v>2</v>
      </c>
      <c r="BF42" s="57">
        <v>3416.5</v>
      </c>
      <c r="BG42" s="57">
        <v>21.33</v>
      </c>
      <c r="BH42" s="57">
        <v>21.33</v>
      </c>
      <c r="BI42" s="57">
        <v>21.33</v>
      </c>
      <c r="BJ42" s="57">
        <v>21.33</v>
      </c>
      <c r="BK42" s="57">
        <v>21.33</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338170</v>
      </c>
      <c r="AL43" s="57">
        <v>2087.8000000000002</v>
      </c>
      <c r="AM43" s="57">
        <v>1847.2</v>
      </c>
      <c r="AN43" s="57">
        <v>545.12</v>
      </c>
      <c r="AO43" s="57">
        <v>9.6842000000000006</v>
      </c>
      <c r="AP43" s="57">
        <v>2.927</v>
      </c>
      <c r="AQ43" s="37"/>
      <c r="AR43" s="37"/>
      <c r="AS43" s="56"/>
      <c r="AT43" s="37" t="s">
        <v>3</v>
      </c>
      <c r="AU43" s="57">
        <v>337490</v>
      </c>
      <c r="AV43" s="57">
        <v>2079.4</v>
      </c>
      <c r="AW43" s="57">
        <v>1803</v>
      </c>
      <c r="AX43" s="57">
        <v>323.74</v>
      </c>
      <c r="AY43" s="57">
        <v>4.3569000000000004</v>
      </c>
      <c r="AZ43" s="57">
        <v>1.1828000000000001</v>
      </c>
      <c r="BA43" s="37"/>
      <c r="BB43" s="37"/>
      <c r="BC43" s="37"/>
      <c r="BD43" s="56"/>
      <c r="BE43" s="37" t="s">
        <v>3</v>
      </c>
      <c r="BF43" s="57">
        <v>334640</v>
      </c>
      <c r="BG43" s="57">
        <v>2053.6999999999998</v>
      </c>
      <c r="BH43" s="57">
        <v>1699.7</v>
      </c>
      <c r="BI43" s="57">
        <v>136.16</v>
      </c>
      <c r="BJ43" s="57">
        <v>2.1257000000000001</v>
      </c>
      <c r="BK43" s="57">
        <v>0.52761999999999998</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23.594000000000001</v>
      </c>
      <c r="AM45" s="57">
        <v>264.12</v>
      </c>
      <c r="AN45" s="57">
        <v>1566.2</v>
      </c>
      <c r="AO45" s="57">
        <v>2101.6999999999998</v>
      </c>
      <c r="AP45" s="57">
        <v>2108.4</v>
      </c>
      <c r="AQ45" s="37"/>
      <c r="AR45" s="37"/>
      <c r="AS45" s="56"/>
      <c r="AT45" s="37" t="s">
        <v>5</v>
      </c>
      <c r="AU45" s="57">
        <v>0</v>
      </c>
      <c r="AV45" s="57">
        <v>27.648</v>
      </c>
      <c r="AW45" s="57">
        <v>304</v>
      </c>
      <c r="AX45" s="57">
        <v>1783.3</v>
      </c>
      <c r="AY45" s="57">
        <v>2102.6999999999998</v>
      </c>
      <c r="AZ45" s="57">
        <v>2105.9</v>
      </c>
      <c r="BA45" s="37"/>
      <c r="BB45" s="37"/>
      <c r="BC45" s="37"/>
      <c r="BD45" s="56"/>
      <c r="BE45" s="37" t="s">
        <v>5</v>
      </c>
      <c r="BF45" s="57">
        <v>0.30279</v>
      </c>
      <c r="BG45" s="57">
        <v>35.564</v>
      </c>
      <c r="BH45" s="57">
        <v>389.47</v>
      </c>
      <c r="BI45" s="57">
        <v>1953.1</v>
      </c>
      <c r="BJ45" s="57">
        <v>2087.1999999999998</v>
      </c>
      <c r="BK45" s="57">
        <v>2088.8000000000002</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338240</v>
      </c>
      <c r="AL47" s="57">
        <v>2111.8000000000002</v>
      </c>
      <c r="AM47" s="57">
        <v>2111.8000000000002</v>
      </c>
      <c r="AN47" s="57">
        <v>2111.8000000000002</v>
      </c>
      <c r="AO47" s="57">
        <v>2111.8000000000002</v>
      </c>
      <c r="AP47" s="57">
        <v>2111.8000000000002</v>
      </c>
      <c r="AQ47" s="37"/>
      <c r="AR47" s="37"/>
      <c r="AS47" s="56">
        <v>1.2</v>
      </c>
      <c r="AT47" s="37" t="s">
        <v>0</v>
      </c>
      <c r="AU47" s="57">
        <v>338240</v>
      </c>
      <c r="AV47" s="57">
        <v>2111.8000000000002</v>
      </c>
      <c r="AW47" s="57">
        <v>2111.8000000000002</v>
      </c>
      <c r="AX47" s="57">
        <v>2111.8000000000002</v>
      </c>
      <c r="AY47" s="57">
        <v>2111.8000000000002</v>
      </c>
      <c r="AZ47" s="57">
        <v>2111.8000000000002</v>
      </c>
      <c r="BA47" s="37"/>
      <c r="BB47" s="37"/>
      <c r="BC47" s="37"/>
      <c r="BD47" s="56">
        <v>1.2</v>
      </c>
      <c r="BE47" s="37" t="s">
        <v>0</v>
      </c>
      <c r="BF47" s="57">
        <v>338240</v>
      </c>
      <c r="BG47" s="57">
        <v>2111.8000000000002</v>
      </c>
      <c r="BH47" s="57">
        <v>2111.8000000000002</v>
      </c>
      <c r="BI47" s="57">
        <v>2111.8000000000002</v>
      </c>
      <c r="BJ47" s="57">
        <v>2111.8000000000002</v>
      </c>
      <c r="BK47" s="57">
        <v>2111.8000000000002</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338240</v>
      </c>
      <c r="AL48" s="57">
        <v>2111.8000000000002</v>
      </c>
      <c r="AM48" s="57">
        <v>2111.8000000000002</v>
      </c>
      <c r="AN48" s="57">
        <v>2111.8000000000002</v>
      </c>
      <c r="AO48" s="57">
        <v>2111.8000000000002</v>
      </c>
      <c r="AP48" s="57">
        <v>2111.8000000000002</v>
      </c>
      <c r="AQ48" s="37"/>
      <c r="AR48" s="37"/>
      <c r="AS48" s="56"/>
      <c r="AT48" s="37" t="s">
        <v>1</v>
      </c>
      <c r="AU48" s="57">
        <v>338240</v>
      </c>
      <c r="AV48" s="57">
        <v>2111.8000000000002</v>
      </c>
      <c r="AW48" s="57">
        <v>2111.8000000000002</v>
      </c>
      <c r="AX48" s="57">
        <v>2111.8000000000002</v>
      </c>
      <c r="AY48" s="57">
        <v>2111.8000000000002</v>
      </c>
      <c r="AZ48" s="57">
        <v>2111.8000000000002</v>
      </c>
      <c r="BA48" s="37"/>
      <c r="BB48" s="37"/>
      <c r="BC48" s="37"/>
      <c r="BD48" s="56"/>
      <c r="BE48" s="37" t="s">
        <v>1</v>
      </c>
      <c r="BF48" s="57">
        <v>336940</v>
      </c>
      <c r="BG48" s="57">
        <v>2103.6</v>
      </c>
      <c r="BH48" s="57">
        <v>2103.6</v>
      </c>
      <c r="BI48" s="57">
        <v>2103.6</v>
      </c>
      <c r="BJ48" s="57">
        <v>2103.6</v>
      </c>
      <c r="BK48" s="57">
        <v>2103.6</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0</v>
      </c>
      <c r="AV49" s="57">
        <v>0</v>
      </c>
      <c r="AW49" s="57">
        <v>0</v>
      </c>
      <c r="AX49" s="57">
        <v>0</v>
      </c>
      <c r="AY49" s="57">
        <v>0</v>
      </c>
      <c r="AZ49" s="57">
        <v>0</v>
      </c>
      <c r="BA49" s="37"/>
      <c r="BB49" s="37"/>
      <c r="BC49" s="37"/>
      <c r="BD49" s="56"/>
      <c r="BE49" s="37" t="s">
        <v>2</v>
      </c>
      <c r="BF49" s="57">
        <v>1305.3</v>
      </c>
      <c r="BG49" s="57">
        <v>8.1495999999999995</v>
      </c>
      <c r="BH49" s="57">
        <v>8.1495999999999995</v>
      </c>
      <c r="BI49" s="57">
        <v>8.1495999999999995</v>
      </c>
      <c r="BJ49" s="57">
        <v>8.1495999999999995</v>
      </c>
      <c r="BK49" s="57">
        <v>8.1495999999999995</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338180</v>
      </c>
      <c r="AL50" s="57">
        <v>2083.4</v>
      </c>
      <c r="AM50" s="57">
        <v>1808.7</v>
      </c>
      <c r="AN50" s="57">
        <v>474.52</v>
      </c>
      <c r="AO50" s="57">
        <v>8.5380000000000003</v>
      </c>
      <c r="AP50" s="57">
        <v>3.1865999999999999</v>
      </c>
      <c r="AQ50" s="37"/>
      <c r="AR50" s="37"/>
      <c r="AS50" s="56"/>
      <c r="AT50" s="37" t="s">
        <v>3</v>
      </c>
      <c r="AU50" s="57">
        <v>338130</v>
      </c>
      <c r="AV50" s="57">
        <v>2078.1</v>
      </c>
      <c r="AW50" s="57">
        <v>1763.2</v>
      </c>
      <c r="AX50" s="57">
        <v>279.27</v>
      </c>
      <c r="AY50" s="57">
        <v>3.7273999999999998</v>
      </c>
      <c r="AZ50" s="57">
        <v>1.2292000000000001</v>
      </c>
      <c r="BA50" s="37"/>
      <c r="BB50" s="37"/>
      <c r="BC50" s="37"/>
      <c r="BD50" s="56"/>
      <c r="BE50" s="37" t="s">
        <v>3</v>
      </c>
      <c r="BF50" s="57">
        <v>336750</v>
      </c>
      <c r="BG50" s="57">
        <v>2061</v>
      </c>
      <c r="BH50" s="57">
        <v>1667.5</v>
      </c>
      <c r="BI50" s="57">
        <v>118.33</v>
      </c>
      <c r="BJ50" s="57">
        <v>1.8136000000000001</v>
      </c>
      <c r="BK50" s="57">
        <v>0.56671000000000005</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27.911000000000001</v>
      </c>
      <c r="AM52" s="57">
        <v>302.68</v>
      </c>
      <c r="AN52" s="57">
        <v>1636.8</v>
      </c>
      <c r="AO52" s="57">
        <v>2102.8000000000002</v>
      </c>
      <c r="AP52" s="57">
        <v>2108.1999999999998</v>
      </c>
      <c r="AQ52" s="37"/>
      <c r="AR52" s="37"/>
      <c r="AS52" s="56"/>
      <c r="AT52" s="37" t="s">
        <v>5</v>
      </c>
      <c r="AU52" s="57">
        <v>0</v>
      </c>
      <c r="AV52" s="57">
        <v>33.000999999999998</v>
      </c>
      <c r="AW52" s="57">
        <v>347.83</v>
      </c>
      <c r="AX52" s="57">
        <v>1831.8</v>
      </c>
      <c r="AY52" s="57">
        <v>2107.4</v>
      </c>
      <c r="AZ52" s="57">
        <v>2109.9</v>
      </c>
      <c r="BA52" s="37"/>
      <c r="BB52" s="37"/>
      <c r="BC52" s="37"/>
      <c r="BD52" s="56"/>
      <c r="BE52" s="37" t="s">
        <v>5</v>
      </c>
      <c r="BF52" s="57">
        <v>0.27678000000000003</v>
      </c>
      <c r="BG52" s="57">
        <v>41.420999999999999</v>
      </c>
      <c r="BH52" s="57">
        <v>434.88</v>
      </c>
      <c r="BI52" s="57">
        <v>1984.1</v>
      </c>
      <c r="BJ52" s="57">
        <v>2100.6999999999998</v>
      </c>
      <c r="BK52" s="57">
        <v>2101.9</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338240</v>
      </c>
      <c r="AL54" s="57">
        <v>2111.8000000000002</v>
      </c>
      <c r="AM54" s="57">
        <v>2111.8000000000002</v>
      </c>
      <c r="AN54" s="57">
        <v>2111.8000000000002</v>
      </c>
      <c r="AO54" s="57">
        <v>2111.8000000000002</v>
      </c>
      <c r="AP54" s="57">
        <v>2111.8000000000002</v>
      </c>
      <c r="AQ54" s="37"/>
      <c r="AR54" s="37"/>
      <c r="AS54" s="56">
        <v>1.6</v>
      </c>
      <c r="AT54" s="37" t="s">
        <v>0</v>
      </c>
      <c r="AU54" s="57">
        <v>338240</v>
      </c>
      <c r="AV54" s="57">
        <v>2111.8000000000002</v>
      </c>
      <c r="AW54" s="57">
        <v>2111.8000000000002</v>
      </c>
      <c r="AX54" s="57">
        <v>2111.8000000000002</v>
      </c>
      <c r="AY54" s="57">
        <v>2111.8000000000002</v>
      </c>
      <c r="AZ54" s="57">
        <v>2111.8000000000002</v>
      </c>
      <c r="BA54" s="37"/>
      <c r="BB54" s="37"/>
      <c r="BC54" s="37"/>
      <c r="BD54" s="56">
        <v>1.6</v>
      </c>
      <c r="BE54" s="37" t="s">
        <v>0</v>
      </c>
      <c r="BF54" s="57">
        <v>338240</v>
      </c>
      <c r="BG54" s="57">
        <v>2111.8000000000002</v>
      </c>
      <c r="BH54" s="57">
        <v>2111.8000000000002</v>
      </c>
      <c r="BI54" s="57">
        <v>2111.8000000000002</v>
      </c>
      <c r="BJ54" s="57">
        <v>2111.8000000000002</v>
      </c>
      <c r="BK54" s="57">
        <v>2111.8000000000002</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338240</v>
      </c>
      <c r="AL55" s="57">
        <v>2111.8000000000002</v>
      </c>
      <c r="AM55" s="57">
        <v>2111.8000000000002</v>
      </c>
      <c r="AN55" s="57">
        <v>2111.8000000000002</v>
      </c>
      <c r="AO55" s="57">
        <v>2111.8000000000002</v>
      </c>
      <c r="AP55" s="57">
        <v>2111.8000000000002</v>
      </c>
      <c r="AQ55" s="37"/>
      <c r="AR55" s="37"/>
      <c r="AS55" s="56"/>
      <c r="AT55" s="37" t="s">
        <v>1</v>
      </c>
      <c r="AU55" s="57">
        <v>338240</v>
      </c>
      <c r="AV55" s="57">
        <v>2111.8000000000002</v>
      </c>
      <c r="AW55" s="57">
        <v>2111.8000000000002</v>
      </c>
      <c r="AX55" s="57">
        <v>2111.8000000000002</v>
      </c>
      <c r="AY55" s="57">
        <v>2111.8000000000002</v>
      </c>
      <c r="AZ55" s="57">
        <v>2111.8000000000002</v>
      </c>
      <c r="BA55" s="37"/>
      <c r="BB55" s="37"/>
      <c r="BC55" s="37"/>
      <c r="BD55" s="56"/>
      <c r="BE55" s="37" t="s">
        <v>1</v>
      </c>
      <c r="BF55" s="57">
        <v>338240</v>
      </c>
      <c r="BG55" s="57">
        <v>2111.8000000000002</v>
      </c>
      <c r="BH55" s="57">
        <v>2111.8000000000002</v>
      </c>
      <c r="BI55" s="57">
        <v>2111.8000000000002</v>
      </c>
      <c r="BJ55" s="57">
        <v>2111.8000000000002</v>
      </c>
      <c r="BK55" s="57">
        <v>2111.8000000000002</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0</v>
      </c>
      <c r="BG56" s="57">
        <v>0</v>
      </c>
      <c r="BH56" s="57">
        <v>0</v>
      </c>
      <c r="BI56" s="57">
        <v>0</v>
      </c>
      <c r="BJ56" s="57">
        <v>0</v>
      </c>
      <c r="BK56" s="57">
        <v>0</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338180</v>
      </c>
      <c r="AL57" s="57">
        <v>2075.1999999999998</v>
      </c>
      <c r="AM57" s="57">
        <v>1739</v>
      </c>
      <c r="AN57" s="57">
        <v>376.51</v>
      </c>
      <c r="AO57" s="57">
        <v>7.1712999999999996</v>
      </c>
      <c r="AP57" s="57">
        <v>3.5369999999999999</v>
      </c>
      <c r="AQ57" s="37"/>
      <c r="AR57" s="37"/>
      <c r="AS57" s="56"/>
      <c r="AT57" s="37" t="s">
        <v>3</v>
      </c>
      <c r="AU57" s="57">
        <v>338140</v>
      </c>
      <c r="AV57" s="57">
        <v>2068.8000000000002</v>
      </c>
      <c r="AW57" s="57">
        <v>1690.3</v>
      </c>
      <c r="AX57" s="57">
        <v>219.49</v>
      </c>
      <c r="AY57" s="57">
        <v>3.0741000000000001</v>
      </c>
      <c r="AZ57" s="57">
        <v>1.3774</v>
      </c>
      <c r="BA57" s="37"/>
      <c r="BB57" s="37"/>
      <c r="BC57" s="37"/>
      <c r="BD57" s="56"/>
      <c r="BE57" s="37" t="s">
        <v>3</v>
      </c>
      <c r="BF57" s="57">
        <v>338040</v>
      </c>
      <c r="BG57" s="57">
        <v>2056.9</v>
      </c>
      <c r="BH57" s="57">
        <v>1589.4</v>
      </c>
      <c r="BI57" s="57">
        <v>94.308000000000007</v>
      </c>
      <c r="BJ57" s="57">
        <v>1.4832000000000001</v>
      </c>
      <c r="BK57" s="57">
        <v>0.62399000000000004</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36.164999999999999</v>
      </c>
      <c r="AM59" s="57">
        <v>372.4</v>
      </c>
      <c r="AN59" s="57">
        <v>1734.9</v>
      </c>
      <c r="AO59" s="57">
        <v>2104.1999999999998</v>
      </c>
      <c r="AP59" s="57">
        <v>2107.9</v>
      </c>
      <c r="AQ59" s="37"/>
      <c r="AR59" s="37"/>
      <c r="AS59" s="56"/>
      <c r="AT59" s="37" t="s">
        <v>5</v>
      </c>
      <c r="AU59" s="57">
        <v>0</v>
      </c>
      <c r="AV59" s="57">
        <v>42.286000000000001</v>
      </c>
      <c r="AW59" s="57">
        <v>420.83</v>
      </c>
      <c r="AX59" s="57">
        <v>1891.6</v>
      </c>
      <c r="AY59" s="57">
        <v>2108.1</v>
      </c>
      <c r="AZ59" s="57">
        <v>2109.8000000000002</v>
      </c>
      <c r="BA59" s="37"/>
      <c r="BB59" s="37"/>
      <c r="BC59" s="37"/>
      <c r="BD59" s="56"/>
      <c r="BE59" s="37" t="s">
        <v>5</v>
      </c>
      <c r="BF59" s="57">
        <v>0.39822999999999997</v>
      </c>
      <c r="BG59" s="57">
        <v>53.597999999999999</v>
      </c>
      <c r="BH59" s="57">
        <v>521.09</v>
      </c>
      <c r="BI59" s="57">
        <v>2016.2</v>
      </c>
      <c r="BJ59" s="57">
        <v>2109.1</v>
      </c>
      <c r="BK59" s="57">
        <v>2109.9</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338240</v>
      </c>
      <c r="AL61" s="57">
        <v>2111.8000000000002</v>
      </c>
      <c r="AM61" s="57">
        <v>2111.8000000000002</v>
      </c>
      <c r="AN61" s="57">
        <v>2111.8000000000002</v>
      </c>
      <c r="AO61" s="57">
        <v>2111.8000000000002</v>
      </c>
      <c r="AP61" s="57">
        <v>2111.8000000000002</v>
      </c>
      <c r="AQ61" s="37"/>
      <c r="AR61" s="37"/>
      <c r="AS61" s="56">
        <v>2</v>
      </c>
      <c r="AT61" s="37" t="s">
        <v>0</v>
      </c>
      <c r="AU61" s="57">
        <v>338240</v>
      </c>
      <c r="AV61" s="57">
        <v>2111.8000000000002</v>
      </c>
      <c r="AW61" s="57">
        <v>2111.8000000000002</v>
      </c>
      <c r="AX61" s="57">
        <v>2111.8000000000002</v>
      </c>
      <c r="AY61" s="57">
        <v>2111.8000000000002</v>
      </c>
      <c r="AZ61" s="57">
        <v>2111.8000000000002</v>
      </c>
      <c r="BA61" s="37"/>
      <c r="BB61" s="37"/>
      <c r="BC61" s="37"/>
      <c r="BD61" s="56">
        <v>2</v>
      </c>
      <c r="BE61" s="37" t="s">
        <v>0</v>
      </c>
      <c r="BF61" s="57">
        <v>338240</v>
      </c>
      <c r="BG61" s="57">
        <v>2111.8000000000002</v>
      </c>
      <c r="BH61" s="57">
        <v>2111.8000000000002</v>
      </c>
      <c r="BI61" s="57">
        <v>2111.8000000000002</v>
      </c>
      <c r="BJ61" s="57">
        <v>2111.8000000000002</v>
      </c>
      <c r="BK61" s="57">
        <v>2111.8000000000002</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338240</v>
      </c>
      <c r="AL62" s="57">
        <v>2111.8000000000002</v>
      </c>
      <c r="AM62" s="57">
        <v>2111.8000000000002</v>
      </c>
      <c r="AN62" s="57">
        <v>2111.8000000000002</v>
      </c>
      <c r="AO62" s="57">
        <v>2111.8000000000002</v>
      </c>
      <c r="AP62" s="57">
        <v>2111.8000000000002</v>
      </c>
      <c r="AQ62" s="37"/>
      <c r="AR62" s="37"/>
      <c r="AS62" s="37"/>
      <c r="AT62" s="37" t="s">
        <v>1</v>
      </c>
      <c r="AU62" s="57">
        <v>338240</v>
      </c>
      <c r="AV62" s="57">
        <v>2111.8000000000002</v>
      </c>
      <c r="AW62" s="57">
        <v>2111.8000000000002</v>
      </c>
      <c r="AX62" s="57">
        <v>2111.8000000000002</v>
      </c>
      <c r="AY62" s="57">
        <v>2111.8000000000002</v>
      </c>
      <c r="AZ62" s="57">
        <v>2111.8000000000002</v>
      </c>
      <c r="BA62" s="37"/>
      <c r="BB62" s="37"/>
      <c r="BC62" s="37"/>
      <c r="BD62" s="37"/>
      <c r="BE62" s="37" t="s">
        <v>1</v>
      </c>
      <c r="BF62" s="57">
        <v>338240</v>
      </c>
      <c r="BG62" s="57">
        <v>2111.8000000000002</v>
      </c>
      <c r="BH62" s="57">
        <v>2111.8000000000002</v>
      </c>
      <c r="BI62" s="57">
        <v>2111.8000000000002</v>
      </c>
      <c r="BJ62" s="57">
        <v>2111.8000000000002</v>
      </c>
      <c r="BK62" s="57">
        <v>2111.8000000000002</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338180</v>
      </c>
      <c r="AL64" s="57">
        <v>2066.9</v>
      </c>
      <c r="AM64" s="57">
        <v>1673.9</v>
      </c>
      <c r="AN64" s="57">
        <v>308.01</v>
      </c>
      <c r="AO64" s="57">
        <v>6.5419</v>
      </c>
      <c r="AP64" s="57">
        <v>3.7061999999999999</v>
      </c>
      <c r="AQ64" s="37"/>
      <c r="AR64" s="37"/>
      <c r="AS64" s="37"/>
      <c r="AT64" s="37" t="s">
        <v>3</v>
      </c>
      <c r="AU64" s="57">
        <v>338130</v>
      </c>
      <c r="AV64" s="57">
        <v>2058.9</v>
      </c>
      <c r="AW64" s="57">
        <v>1617.3</v>
      </c>
      <c r="AX64" s="57">
        <v>175.08</v>
      </c>
      <c r="AY64" s="57">
        <v>2.8313000000000001</v>
      </c>
      <c r="AZ64" s="57">
        <v>1.4595</v>
      </c>
      <c r="BA64" s="37"/>
      <c r="BB64" s="37"/>
      <c r="BC64" s="37"/>
      <c r="BD64" s="37"/>
      <c r="BE64" s="37" t="s">
        <v>3</v>
      </c>
      <c r="BF64" s="57">
        <v>338060</v>
      </c>
      <c r="BG64" s="57">
        <v>2048</v>
      </c>
      <c r="BH64" s="57">
        <v>1529</v>
      </c>
      <c r="BI64" s="57">
        <v>79.930999999999997</v>
      </c>
      <c r="BJ64" s="57">
        <v>1.3863000000000001</v>
      </c>
      <c r="BK64" s="57">
        <v>0.69982</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44.408999999999999</v>
      </c>
      <c r="AM66" s="57">
        <v>437.49</v>
      </c>
      <c r="AN66" s="57">
        <v>1803.3</v>
      </c>
      <c r="AO66" s="57">
        <v>2104.8000000000002</v>
      </c>
      <c r="AP66" s="57">
        <v>2107.6</v>
      </c>
      <c r="AQ66" s="37"/>
      <c r="AR66" s="37"/>
      <c r="AS66" s="37"/>
      <c r="AT66" s="37" t="s">
        <v>5</v>
      </c>
      <c r="AU66" s="57">
        <v>0</v>
      </c>
      <c r="AV66" s="57">
        <v>52.152000000000001</v>
      </c>
      <c r="AW66" s="57">
        <v>493.72</v>
      </c>
      <c r="AX66" s="57">
        <v>1936</v>
      </c>
      <c r="AY66" s="57">
        <v>2108.3000000000002</v>
      </c>
      <c r="AZ66" s="57">
        <v>2109.6</v>
      </c>
      <c r="BA66" s="37"/>
      <c r="BB66" s="37"/>
      <c r="BC66" s="37"/>
      <c r="BD66" s="37"/>
      <c r="BE66" s="37" t="s">
        <v>5</v>
      </c>
      <c r="BF66" s="57">
        <v>0.19320000000000001</v>
      </c>
      <c r="BG66" s="57">
        <v>62.585999999999999</v>
      </c>
      <c r="BH66" s="57">
        <v>581.59</v>
      </c>
      <c r="BI66" s="57">
        <v>2030.7</v>
      </c>
      <c r="BJ66" s="57">
        <v>2109.3000000000002</v>
      </c>
      <c r="BK66" s="57">
        <v>2110</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sheetPr codeName="Sheet25"/>
  <dimension ref="A1:BP150"/>
  <sheetViews>
    <sheetView topLeftCell="A25" workbookViewId="0">
      <pane xSplit="8" topLeftCell="BK1" activePane="topRight" state="frozen"/>
      <selection pane="topRight" activeCell="BN19" sqref="BN19"/>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0.78590449954086317</v>
      </c>
      <c r="E2" t="s">
        <v>119</v>
      </c>
      <c r="G2" s="103">
        <f>C2*12</f>
        <v>9.4308539944903576</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342340</v>
      </c>
      <c r="N4" s="10">
        <v>100</v>
      </c>
      <c r="O4" s="2">
        <f>L5/$L$4</f>
        <v>0.11957410761231524</v>
      </c>
      <c r="P4" s="32">
        <v>2.2855000000000002E-3</v>
      </c>
      <c r="Q4" s="9">
        <f t="shared" ref="Q4:Q9" si="0">2/((P4/(N4*0.35))*3600)</f>
        <v>8.5077420452611872</v>
      </c>
      <c r="S4" s="7"/>
      <c r="T4" s="26">
        <v>100</v>
      </c>
      <c r="U4" s="4" t="s">
        <v>0</v>
      </c>
      <c r="V4" s="5">
        <v>342340</v>
      </c>
      <c r="X4" s="24">
        <v>100</v>
      </c>
      <c r="Y4" s="22">
        <f>V5/$V$4</f>
        <v>0.26724893380849446</v>
      </c>
      <c r="Z4" s="33">
        <v>7.8709000000000001E-3</v>
      </c>
      <c r="AA4" s="9">
        <f t="shared" ref="AA4:AA9" si="1">2/((Z4/(X4*0.35))*3600)</f>
        <v>2.4704219904260558</v>
      </c>
      <c r="AD4" s="26">
        <v>100</v>
      </c>
      <c r="AE4" s="4" t="s">
        <v>0</v>
      </c>
      <c r="AF4" s="5">
        <v>342340</v>
      </c>
      <c r="AH4" s="10">
        <v>100</v>
      </c>
      <c r="AI4" s="2">
        <f>AF5/$AF$4</f>
        <v>0.78018928550563771</v>
      </c>
      <c r="AJ4" s="32">
        <v>2.3226E-2</v>
      </c>
      <c r="AK4" s="9">
        <f t="shared" ref="AK4:AK9" si="2">2/((AJ4/(AH4*0.35))*3600)</f>
        <v>0.83718438148817897</v>
      </c>
      <c r="AN4" s="26">
        <v>100</v>
      </c>
      <c r="AO4" s="4" t="s">
        <v>0</v>
      </c>
      <c r="AP4" s="5">
        <v>342340</v>
      </c>
      <c r="AR4" s="10">
        <v>100</v>
      </c>
      <c r="AS4" s="2">
        <f>AP5/AP$4</f>
        <v>0.28398083776362681</v>
      </c>
      <c r="AT4" s="32">
        <v>2.9529999999999999E-3</v>
      </c>
      <c r="AU4" s="9">
        <f t="shared" ref="AU4:AU9" si="3">2/((AT4/(AR4*0.35))*3600)</f>
        <v>6.5846408548745154</v>
      </c>
      <c r="AW4" s="7"/>
      <c r="AX4" s="26">
        <v>100</v>
      </c>
      <c r="AY4" s="4" t="s">
        <v>0</v>
      </c>
      <c r="AZ4" s="5">
        <v>342340</v>
      </c>
      <c r="BB4" s="24">
        <v>100</v>
      </c>
      <c r="BC4" s="2">
        <f>AZ5/AZ$4</f>
        <v>0.50692294210434075</v>
      </c>
      <c r="BD4" s="33">
        <v>1.0985999999999999E-2</v>
      </c>
      <c r="BE4" s="9">
        <f t="shared" ref="BE4:BE9" si="4">2/((BD4/(BB4*0.35))*3600)</f>
        <v>1.7699294051014425</v>
      </c>
      <c r="BH4" s="26">
        <v>100</v>
      </c>
      <c r="BI4" s="4" t="s">
        <v>0</v>
      </c>
      <c r="BJ4" s="5">
        <v>342340</v>
      </c>
      <c r="BL4" s="10">
        <v>100</v>
      </c>
      <c r="BM4" s="2">
        <f>BJ5/BJ$4</f>
        <v>0.91920313138984633</v>
      </c>
      <c r="BN4" s="32">
        <v>2.8015999999999999E-2</v>
      </c>
      <c r="BO4" s="9">
        <f t="shared" ref="BO4:BO7" si="5">2/((BN4/(BL4*0.35))*3600)</f>
        <v>0.69404784567548705</v>
      </c>
      <c r="BP4" s="12"/>
    </row>
    <row r="5" spans="1:68">
      <c r="J5" s="26"/>
      <c r="K5" s="4" t="s">
        <v>1</v>
      </c>
      <c r="L5" s="5">
        <v>40935</v>
      </c>
      <c r="N5" s="10">
        <v>200</v>
      </c>
      <c r="O5" s="2">
        <f>L12/$L$4</f>
        <v>0.21306595781971141</v>
      </c>
      <c r="P5" s="32">
        <v>3.8555E-3</v>
      </c>
      <c r="Q5" s="9">
        <f t="shared" si="0"/>
        <v>10.086600671479415</v>
      </c>
      <c r="S5" s="7"/>
      <c r="T5" s="26"/>
      <c r="U5" s="4" t="s">
        <v>1</v>
      </c>
      <c r="V5" s="5">
        <v>91490</v>
      </c>
      <c r="X5" s="24">
        <v>200</v>
      </c>
      <c r="Y5" s="22">
        <f>V12/$V$4</f>
        <v>0.44429514517730911</v>
      </c>
      <c r="Z5" s="33">
        <v>1.2706E-2</v>
      </c>
      <c r="AA5" s="9">
        <f t="shared" si="1"/>
        <v>3.0606712489287649</v>
      </c>
      <c r="AD5" s="26"/>
      <c r="AE5" s="4" t="s">
        <v>1</v>
      </c>
      <c r="AF5" s="5">
        <v>267090</v>
      </c>
      <c r="AH5" s="10">
        <v>200</v>
      </c>
      <c r="AI5" s="2">
        <f>AF12/$AF$4</f>
        <v>0.90544487935970086</v>
      </c>
      <c r="AJ5" s="32">
        <v>2.7036000000000001E-2</v>
      </c>
      <c r="AK5" s="9">
        <f t="shared" si="2"/>
        <v>1.4384113363252289</v>
      </c>
      <c r="AN5" s="26"/>
      <c r="AO5" s="4" t="s">
        <v>1</v>
      </c>
      <c r="AP5" s="5">
        <v>97218</v>
      </c>
      <c r="AR5" s="10">
        <v>200</v>
      </c>
      <c r="AS5" s="2">
        <f>AP12/AP$4</f>
        <v>0.47435298241514284</v>
      </c>
      <c r="AT5" s="32">
        <v>4.9293999999999996E-3</v>
      </c>
      <c r="AU5" s="9">
        <f t="shared" si="3"/>
        <v>7.8891728991132579</v>
      </c>
      <c r="AW5" s="7"/>
      <c r="AX5" s="26"/>
      <c r="AY5" s="4" t="s">
        <v>1</v>
      </c>
      <c r="AZ5" s="5">
        <v>173540</v>
      </c>
      <c r="BB5" s="24">
        <v>200</v>
      </c>
      <c r="BC5" s="2">
        <f>AZ12/AZ$4</f>
        <v>0.73178711222760995</v>
      </c>
      <c r="BD5" s="33">
        <v>1.6317999999999999E-2</v>
      </c>
      <c r="BE5" s="9">
        <f t="shared" si="4"/>
        <v>2.3831896610423393</v>
      </c>
      <c r="BH5" s="26"/>
      <c r="BI5" s="4" t="s">
        <v>1</v>
      </c>
      <c r="BJ5" s="5">
        <v>314680</v>
      </c>
      <c r="BL5" s="10">
        <v>200</v>
      </c>
      <c r="BM5" s="2">
        <f>BJ12/BJ$4</f>
        <v>0.97108138108313369</v>
      </c>
      <c r="BN5" s="32">
        <v>3.1113999999999999E-2</v>
      </c>
      <c r="BO5" s="9">
        <f t="shared" si="5"/>
        <v>1.2498839393484891</v>
      </c>
      <c r="BP5" s="12"/>
    </row>
    <row r="6" spans="1:68">
      <c r="J6" s="26"/>
      <c r="K6" s="4" t="s">
        <v>2</v>
      </c>
      <c r="L6" s="5">
        <v>301400</v>
      </c>
      <c r="N6" s="10">
        <v>400</v>
      </c>
      <c r="O6" s="2">
        <f>L19/L$4</f>
        <v>0.37056727230238945</v>
      </c>
      <c r="P6" s="32">
        <v>6.3153000000000003E-3</v>
      </c>
      <c r="Q6" s="9">
        <f t="shared" si="0"/>
        <v>12.315769286934552</v>
      </c>
      <c r="S6" s="7"/>
      <c r="T6" s="26"/>
      <c r="U6" s="4" t="s">
        <v>2</v>
      </c>
      <c r="V6" s="5">
        <v>250850</v>
      </c>
      <c r="X6" s="24">
        <v>400</v>
      </c>
      <c r="Y6" s="22">
        <f>V19/$V$4</f>
        <v>0.66930536893147163</v>
      </c>
      <c r="Z6" s="33">
        <v>1.8932999999999998E-2</v>
      </c>
      <c r="AA6" s="9">
        <f t="shared" si="1"/>
        <v>4.1080535455436422</v>
      </c>
      <c r="AD6" s="26"/>
      <c r="AE6" s="4" t="s">
        <v>2</v>
      </c>
      <c r="AF6" s="5">
        <v>75252</v>
      </c>
      <c r="AH6" s="10">
        <v>400</v>
      </c>
      <c r="AI6" s="2">
        <f>AF19/$AF$4</f>
        <v>0.96164631652742882</v>
      </c>
      <c r="AJ6" s="32">
        <v>2.9596000000000001E-2</v>
      </c>
      <c r="AK6" s="9">
        <f t="shared" si="2"/>
        <v>2.6279827604330914</v>
      </c>
      <c r="AN6" s="26"/>
      <c r="AO6" s="4" t="s">
        <v>2</v>
      </c>
      <c r="AP6" s="5">
        <v>245120</v>
      </c>
      <c r="AR6" s="10">
        <v>400</v>
      </c>
      <c r="AS6" s="2">
        <f>AP19/AP$4</f>
        <v>0.70865221709411697</v>
      </c>
      <c r="AT6" s="32">
        <v>7.6864999999999998E-3</v>
      </c>
      <c r="AU6" s="9">
        <f t="shared" si="3"/>
        <v>10.118750767940908</v>
      </c>
      <c r="AW6" s="7"/>
      <c r="AX6" s="26"/>
      <c r="AY6" s="4" t="s">
        <v>2</v>
      </c>
      <c r="AZ6" s="5">
        <v>168800</v>
      </c>
      <c r="BB6" s="24">
        <v>400</v>
      </c>
      <c r="BC6" s="2">
        <f>AZ19/AZ$4</f>
        <v>0.91613600514108784</v>
      </c>
      <c r="BD6" s="33">
        <v>2.1982999999999999E-2</v>
      </c>
      <c r="BE6" s="9">
        <f t="shared" si="4"/>
        <v>3.5380875120674058</v>
      </c>
      <c r="BH6" s="26"/>
      <c r="BI6" s="4" t="s">
        <v>2</v>
      </c>
      <c r="BJ6" s="5">
        <v>27658</v>
      </c>
      <c r="BL6" s="10">
        <v>400</v>
      </c>
      <c r="BM6" s="2">
        <f>BJ19/BJ$4</f>
        <v>0.98925045276625578</v>
      </c>
      <c r="BN6" s="32">
        <v>3.3727E-2</v>
      </c>
      <c r="BO6" s="9">
        <f t="shared" si="5"/>
        <v>2.3060983122654779</v>
      </c>
      <c r="BP6" s="12"/>
    </row>
    <row r="7" spans="1:68">
      <c r="J7" s="26"/>
      <c r="K7" s="4" t="s">
        <v>3</v>
      </c>
      <c r="L7" s="5">
        <v>40797</v>
      </c>
      <c r="N7" s="10">
        <v>600</v>
      </c>
      <c r="O7" s="2">
        <f>L26/$L$4</f>
        <v>0.49187941812233454</v>
      </c>
      <c r="P7" s="32">
        <v>8.5059000000000003E-3</v>
      </c>
      <c r="Q7" s="9">
        <f t="shared" si="0"/>
        <v>13.715969699463511</v>
      </c>
      <c r="S7" s="7"/>
      <c r="T7" s="26"/>
      <c r="U7" s="4" t="s">
        <v>3</v>
      </c>
      <c r="V7" s="5">
        <v>91427</v>
      </c>
      <c r="X7" s="24">
        <v>600</v>
      </c>
      <c r="Y7" s="22">
        <f>V26/$V$4</f>
        <v>0.79266226558392239</v>
      </c>
      <c r="Z7" s="33">
        <v>2.2599999999999999E-2</v>
      </c>
      <c r="AA7" s="9">
        <f t="shared" si="1"/>
        <v>5.1622418879056049</v>
      </c>
      <c r="AD7" s="26"/>
      <c r="AE7" s="4" t="s">
        <v>3</v>
      </c>
      <c r="AF7" s="5">
        <v>267040</v>
      </c>
      <c r="AH7" s="10">
        <v>600</v>
      </c>
      <c r="AI7" s="2">
        <f>AF26/$AF$4</f>
        <v>0.97537535783139573</v>
      </c>
      <c r="AJ7" s="32">
        <v>3.1078999999999999E-2</v>
      </c>
      <c r="AK7" s="9">
        <f t="shared" si="2"/>
        <v>3.7538745347876916</v>
      </c>
      <c r="AN7" s="26"/>
      <c r="AO7" s="4" t="s">
        <v>3</v>
      </c>
      <c r="AP7" s="5">
        <v>96818</v>
      </c>
      <c r="AR7" s="10">
        <v>600</v>
      </c>
      <c r="AS7" s="2">
        <f>AP26/AP$4</f>
        <v>0.84550446924110534</v>
      </c>
      <c r="AT7" s="32">
        <v>9.9021000000000005E-3</v>
      </c>
      <c r="AU7" s="9">
        <f t="shared" si="3"/>
        <v>11.782012569724268</v>
      </c>
      <c r="AW7" s="7"/>
      <c r="AX7" s="26"/>
      <c r="AY7" s="4" t="s">
        <v>3</v>
      </c>
      <c r="AZ7" s="5">
        <v>173460</v>
      </c>
      <c r="BB7" s="24">
        <v>600</v>
      </c>
      <c r="BC7" s="2">
        <f>AZ26/AZ$4</f>
        <v>0.97648536542618447</v>
      </c>
      <c r="BD7" s="33">
        <v>2.4833000000000001E-2</v>
      </c>
      <c r="BE7" s="9">
        <f t="shared" si="4"/>
        <v>4.6980496382501782</v>
      </c>
      <c r="BH7" s="26"/>
      <c r="BI7" s="4" t="s">
        <v>3</v>
      </c>
      <c r="BJ7" s="5">
        <v>314630</v>
      </c>
      <c r="BL7" s="10">
        <v>600</v>
      </c>
      <c r="BM7" s="2">
        <f>BJ26/BJ$4</f>
        <v>0.99772156335806506</v>
      </c>
      <c r="BN7" s="32">
        <v>3.576E-2</v>
      </c>
      <c r="BO7" s="9">
        <f t="shared" si="5"/>
        <v>3.262490678598061</v>
      </c>
      <c r="BP7" s="12"/>
    </row>
    <row r="8" spans="1:68">
      <c r="J8" s="26"/>
      <c r="K8" s="4" t="s">
        <v>4</v>
      </c>
      <c r="L8" s="5">
        <v>0</v>
      </c>
      <c r="N8" s="10">
        <v>800</v>
      </c>
      <c r="O8" s="2">
        <f>L33/$L$4</f>
        <v>0.58631769585791904</v>
      </c>
      <c r="P8" s="32">
        <v>1.0356000000000001E-2</v>
      </c>
      <c r="Q8" s="9">
        <f t="shared" si="0"/>
        <v>15.020814557315134</v>
      </c>
      <c r="S8" s="7"/>
      <c r="T8" s="26"/>
      <c r="U8" s="4" t="s">
        <v>4</v>
      </c>
      <c r="V8" s="5">
        <v>0</v>
      </c>
      <c r="X8" s="24">
        <v>800</v>
      </c>
      <c r="Y8" s="22">
        <f>V33/$V$4</f>
        <v>0.86548460594730381</v>
      </c>
      <c r="Z8" s="33">
        <v>2.4885000000000001E-2</v>
      </c>
      <c r="AA8" s="9">
        <f t="shared" si="1"/>
        <v>6.2509767151117357</v>
      </c>
      <c r="AD8" s="26"/>
      <c r="AE8" s="4" t="s">
        <v>4</v>
      </c>
      <c r="AF8" s="5">
        <v>0</v>
      </c>
      <c r="AH8" s="10">
        <v>800</v>
      </c>
      <c r="AI8" s="2">
        <f>AF33/$AF$4</f>
        <v>0.98232751066191504</v>
      </c>
      <c r="AJ8" s="32">
        <v>3.2080999999999998E-2</v>
      </c>
      <c r="AK8" s="9">
        <f t="shared" si="2"/>
        <v>4.8488374912114827</v>
      </c>
      <c r="AN8" s="26"/>
      <c r="AO8" s="4" t="s">
        <v>4</v>
      </c>
      <c r="AP8" s="5">
        <v>0</v>
      </c>
      <c r="AR8" s="10">
        <v>800</v>
      </c>
      <c r="AS8" s="2">
        <f>AP33/AP$4</f>
        <v>0.92615528422036575</v>
      </c>
      <c r="AT8" s="32">
        <v>1.1731999999999999E-2</v>
      </c>
      <c r="AU8" s="9">
        <f t="shared" si="3"/>
        <v>13.259082471492976</v>
      </c>
      <c r="AW8" s="7"/>
      <c r="AX8" s="26"/>
      <c r="AY8" s="4" t="s">
        <v>4</v>
      </c>
      <c r="AZ8" s="5">
        <v>0</v>
      </c>
      <c r="BB8" s="24">
        <v>800</v>
      </c>
      <c r="BC8" s="2">
        <f>AZ33/AZ$4</f>
        <v>0.99369048314541097</v>
      </c>
      <c r="BD8" s="33">
        <v>2.6636E-2</v>
      </c>
      <c r="BE8" s="9">
        <f t="shared" si="4"/>
        <v>5.8400493901319859</v>
      </c>
      <c r="BH8" s="26"/>
      <c r="BI8" s="4" t="s">
        <v>4</v>
      </c>
      <c r="BJ8" s="5">
        <v>0</v>
      </c>
      <c r="BL8" s="10">
        <v>800</v>
      </c>
      <c r="BM8" s="2">
        <f>BJ33/BJ$4</f>
        <v>1</v>
      </c>
      <c r="BN8" s="32">
        <v>3.6285999999999999E-2</v>
      </c>
      <c r="BO8" s="9">
        <f>2/((BN8/(BL8*0.35))*3600)</f>
        <v>4.2869303741265377</v>
      </c>
      <c r="BP8" s="12"/>
    </row>
    <row r="9" spans="1:68">
      <c r="J9" s="26"/>
      <c r="K9" s="4" t="s">
        <v>5</v>
      </c>
      <c r="L9" s="5">
        <v>12.202</v>
      </c>
      <c r="M9" s="1"/>
      <c r="N9" s="10">
        <v>1000</v>
      </c>
      <c r="O9" s="2">
        <f>L40/$L$4</f>
        <v>0.66296664135070393</v>
      </c>
      <c r="P9" s="32">
        <v>1.1962E-2</v>
      </c>
      <c r="Q9" s="9">
        <f t="shared" si="0"/>
        <v>16.255178435415853</v>
      </c>
      <c r="S9" s="7"/>
      <c r="T9" s="26"/>
      <c r="U9" s="4" t="s">
        <v>5</v>
      </c>
      <c r="V9" s="5">
        <v>0</v>
      </c>
      <c r="W9" s="1"/>
      <c r="X9" s="24">
        <v>1000</v>
      </c>
      <c r="Y9" s="22">
        <f>V40/$V$4</f>
        <v>0.91073202079803706</v>
      </c>
      <c r="Z9" s="33">
        <v>2.6353000000000001E-2</v>
      </c>
      <c r="AA9" s="9">
        <f t="shared" si="1"/>
        <v>7.3784557524549177</v>
      </c>
      <c r="AD9" s="26"/>
      <c r="AE9" s="4" t="s">
        <v>5</v>
      </c>
      <c r="AF9" s="5">
        <v>0</v>
      </c>
      <c r="AG9" s="1"/>
      <c r="AH9" s="10">
        <v>1000</v>
      </c>
      <c r="AI9" s="2">
        <f>AF40/$AF$4</f>
        <v>0.98559911199392414</v>
      </c>
      <c r="AJ9" s="32">
        <v>3.2825E-2</v>
      </c>
      <c r="AK9" s="9">
        <f t="shared" si="2"/>
        <v>5.9236692900059236</v>
      </c>
      <c r="AN9" s="26"/>
      <c r="AO9" s="4" t="s">
        <v>5</v>
      </c>
      <c r="AP9" s="5">
        <v>207.11</v>
      </c>
      <c r="AQ9" s="1"/>
      <c r="AR9" s="10">
        <v>1000</v>
      </c>
      <c r="AS9" s="2">
        <f>AP40/AP$4</f>
        <v>0.97081848454752584</v>
      </c>
      <c r="AT9" s="32">
        <v>1.3185000000000001E-2</v>
      </c>
      <c r="AU9" s="9">
        <f t="shared" si="3"/>
        <v>14.74739813761429</v>
      </c>
      <c r="AW9" s="7"/>
      <c r="AX9" s="26"/>
      <c r="AY9" s="4" t="s">
        <v>5</v>
      </c>
      <c r="AZ9" s="5">
        <v>0</v>
      </c>
      <c r="BA9" s="1"/>
      <c r="BB9" s="24">
        <v>1000</v>
      </c>
      <c r="BC9" s="2">
        <f>AZ40/AZ$4</f>
        <v>1</v>
      </c>
      <c r="BD9" s="33">
        <v>2.7584999999999998E-2</v>
      </c>
      <c r="BE9" s="9">
        <f t="shared" si="4"/>
        <v>7.048919501339296</v>
      </c>
      <c r="BH9" s="26"/>
      <c r="BI9" s="4" t="s">
        <v>5</v>
      </c>
      <c r="BJ9" s="5">
        <v>0</v>
      </c>
      <c r="BK9" s="1"/>
      <c r="BL9" s="10">
        <v>1000</v>
      </c>
      <c r="BM9" s="2">
        <f>BJ40/BJ$4</f>
        <v>1</v>
      </c>
      <c r="BN9" s="32">
        <v>3.6277999999999998E-2</v>
      </c>
      <c r="BO9" s="9">
        <f t="shared" ref="BO9" si="6">2/((BN9/(BL9*0.35))*3600)</f>
        <v>5.3598446563880167</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342340</v>
      </c>
      <c r="S11" s="7"/>
      <c r="T11" s="26">
        <v>200</v>
      </c>
      <c r="U11" s="4" t="s">
        <v>0</v>
      </c>
      <c r="V11" s="5">
        <v>342340</v>
      </c>
      <c r="AD11" s="26">
        <v>200</v>
      </c>
      <c r="AE11" s="4" t="s">
        <v>0</v>
      </c>
      <c r="AF11" s="5">
        <v>342340</v>
      </c>
      <c r="AN11" s="26">
        <v>200</v>
      </c>
      <c r="AO11" s="4" t="s">
        <v>0</v>
      </c>
      <c r="AP11" s="5">
        <v>342340</v>
      </c>
      <c r="AW11" s="7"/>
      <c r="AX11" s="26">
        <v>200</v>
      </c>
      <c r="AY11" s="4" t="s">
        <v>0</v>
      </c>
      <c r="AZ11" s="5">
        <v>342340</v>
      </c>
      <c r="BH11" s="26">
        <v>200</v>
      </c>
      <c r="BI11" s="4" t="s">
        <v>0</v>
      </c>
      <c r="BJ11" s="5">
        <v>342340</v>
      </c>
      <c r="BP11" s="12"/>
    </row>
    <row r="12" spans="1:68">
      <c r="J12" s="26"/>
      <c r="K12" s="4" t="s">
        <v>1</v>
      </c>
      <c r="L12" s="5">
        <v>72941</v>
      </c>
      <c r="S12" s="7"/>
      <c r="T12" s="26"/>
      <c r="U12" s="4" t="s">
        <v>1</v>
      </c>
      <c r="V12" s="5">
        <v>152100</v>
      </c>
      <c r="AD12" s="26"/>
      <c r="AE12" s="4" t="s">
        <v>1</v>
      </c>
      <c r="AF12" s="5">
        <v>309970</v>
      </c>
      <c r="AN12" s="26"/>
      <c r="AO12" s="4" t="s">
        <v>1</v>
      </c>
      <c r="AP12" s="5">
        <v>162390</v>
      </c>
      <c r="AW12" s="7"/>
      <c r="AX12" s="26"/>
      <c r="AY12" s="4" t="s">
        <v>1</v>
      </c>
      <c r="AZ12" s="5">
        <v>250520</v>
      </c>
      <c r="BH12" s="26"/>
      <c r="BI12" s="4" t="s">
        <v>1</v>
      </c>
      <c r="BJ12" s="5">
        <v>332440</v>
      </c>
      <c r="BP12" s="12"/>
    </row>
    <row r="13" spans="1:68">
      <c r="J13" s="26"/>
      <c r="K13" s="4" t="s">
        <v>2</v>
      </c>
      <c r="L13" s="5">
        <v>269400</v>
      </c>
      <c r="T13" s="26"/>
      <c r="U13" s="4" t="s">
        <v>2</v>
      </c>
      <c r="V13" s="5">
        <v>190250</v>
      </c>
      <c r="AD13" s="26"/>
      <c r="AE13" s="4" t="s">
        <v>2</v>
      </c>
      <c r="AF13" s="5">
        <v>32374</v>
      </c>
      <c r="AN13" s="26"/>
      <c r="AO13" s="4" t="s">
        <v>2</v>
      </c>
      <c r="AP13" s="5">
        <v>179940</v>
      </c>
      <c r="AX13" s="26"/>
      <c r="AY13" s="4" t="s">
        <v>2</v>
      </c>
      <c r="AZ13" s="5">
        <v>91821</v>
      </c>
      <c r="BH13" s="26"/>
      <c r="BI13" s="4" t="s">
        <v>2</v>
      </c>
      <c r="BJ13" s="5">
        <v>9902.7000000000007</v>
      </c>
    </row>
    <row r="14" spans="1:68">
      <c r="J14" s="26"/>
      <c r="K14" s="4" t="s">
        <v>3</v>
      </c>
      <c r="L14" s="5">
        <v>72703</v>
      </c>
      <c r="T14" s="26"/>
      <c r="U14" s="4" t="s">
        <v>3</v>
      </c>
      <c r="V14" s="5">
        <v>151980</v>
      </c>
      <c r="AD14" s="26"/>
      <c r="AE14" s="4" t="s">
        <v>3</v>
      </c>
      <c r="AF14" s="5">
        <v>309880</v>
      </c>
      <c r="AN14" s="26"/>
      <c r="AO14" s="4" t="s">
        <v>3</v>
      </c>
      <c r="AP14" s="5">
        <v>161760</v>
      </c>
      <c r="AX14" s="26"/>
      <c r="AY14" s="4" t="s">
        <v>3</v>
      </c>
      <c r="AZ14" s="5">
        <v>250390</v>
      </c>
      <c r="BH14" s="26"/>
      <c r="BI14" s="4" t="s">
        <v>3</v>
      </c>
      <c r="BJ14" s="5">
        <v>332350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6.4759000000000002</v>
      </c>
      <c r="T16" s="26"/>
      <c r="U16" s="4" t="s">
        <v>5</v>
      </c>
      <c r="V16" s="5">
        <v>0</v>
      </c>
      <c r="AD16" s="26"/>
      <c r="AE16" s="4" t="s">
        <v>5</v>
      </c>
      <c r="AF16" s="5">
        <v>0</v>
      </c>
      <c r="AN16" s="26"/>
      <c r="AO16" s="4" t="s">
        <v>5</v>
      </c>
      <c r="AP16" s="5">
        <v>299.14999999999998</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342340</v>
      </c>
      <c r="T18" s="26">
        <v>400</v>
      </c>
      <c r="U18" s="4" t="s">
        <v>0</v>
      </c>
      <c r="V18" s="5">
        <v>342340</v>
      </c>
      <c r="AD18" s="26">
        <v>400</v>
      </c>
      <c r="AE18" s="4" t="s">
        <v>0</v>
      </c>
      <c r="AF18" s="5">
        <v>342340</v>
      </c>
      <c r="AN18" s="26">
        <v>400</v>
      </c>
      <c r="AO18" s="4" t="s">
        <v>0</v>
      </c>
      <c r="AP18" s="5">
        <v>342340</v>
      </c>
      <c r="AX18" s="26">
        <v>400</v>
      </c>
      <c r="AY18" s="4" t="s">
        <v>0</v>
      </c>
      <c r="AZ18" s="5">
        <v>342340</v>
      </c>
      <c r="BH18" s="26">
        <v>400</v>
      </c>
      <c r="BI18" s="4" t="s">
        <v>0</v>
      </c>
      <c r="BJ18" s="5">
        <v>342340</v>
      </c>
    </row>
    <row r="19" spans="1:62">
      <c r="J19" s="26"/>
      <c r="K19" s="4" t="s">
        <v>1</v>
      </c>
      <c r="L19" s="5">
        <v>126860</v>
      </c>
      <c r="T19" s="26"/>
      <c r="U19" s="4" t="s">
        <v>1</v>
      </c>
      <c r="V19" s="5">
        <v>229130</v>
      </c>
      <c r="AD19" s="26"/>
      <c r="AE19" s="4" t="s">
        <v>1</v>
      </c>
      <c r="AF19" s="5">
        <v>329210</v>
      </c>
      <c r="AN19" s="26"/>
      <c r="AO19" s="4" t="s">
        <v>1</v>
      </c>
      <c r="AP19" s="5">
        <v>242600</v>
      </c>
      <c r="AX19" s="26"/>
      <c r="AY19" s="4" t="s">
        <v>1</v>
      </c>
      <c r="AZ19" s="5">
        <v>313630</v>
      </c>
      <c r="BH19" s="26"/>
      <c r="BI19" s="4" t="s">
        <v>1</v>
      </c>
      <c r="BJ19" s="5">
        <v>338660</v>
      </c>
    </row>
    <row r="20" spans="1:62">
      <c r="J20" s="26"/>
      <c r="K20" s="4" t="s">
        <v>2</v>
      </c>
      <c r="L20" s="5">
        <v>215490</v>
      </c>
      <c r="T20" s="26"/>
      <c r="U20" s="4" t="s">
        <v>2</v>
      </c>
      <c r="V20" s="5">
        <v>113210</v>
      </c>
      <c r="AD20" s="26"/>
      <c r="AE20" s="4" t="s">
        <v>2</v>
      </c>
      <c r="AF20" s="5">
        <v>13129</v>
      </c>
      <c r="AN20" s="26"/>
      <c r="AO20" s="4" t="s">
        <v>2</v>
      </c>
      <c r="AP20" s="5">
        <v>99738</v>
      </c>
      <c r="AX20" s="26"/>
      <c r="AY20" s="4" t="s">
        <v>2</v>
      </c>
      <c r="AZ20" s="5">
        <v>28715</v>
      </c>
      <c r="BH20" s="26"/>
      <c r="BI20" s="4" t="s">
        <v>2</v>
      </c>
      <c r="BJ20" s="5">
        <v>3684.2</v>
      </c>
    </row>
    <row r="21" spans="1:62">
      <c r="J21" s="26"/>
      <c r="K21" s="4" t="s">
        <v>3</v>
      </c>
      <c r="L21" s="5">
        <v>126450</v>
      </c>
      <c r="T21" s="26"/>
      <c r="U21" s="4" t="s">
        <v>3</v>
      </c>
      <c r="V21" s="5">
        <v>228930</v>
      </c>
      <c r="AD21" s="26"/>
      <c r="AE21" s="4" t="s">
        <v>3</v>
      </c>
      <c r="AF21" s="5">
        <v>329050</v>
      </c>
      <c r="AN21" s="26"/>
      <c r="AO21" s="4" t="s">
        <v>3</v>
      </c>
      <c r="AP21" s="5">
        <v>241610</v>
      </c>
      <c r="AX21" s="26"/>
      <c r="AY21" s="4" t="s">
        <v>3</v>
      </c>
      <c r="AZ21" s="5">
        <v>313410</v>
      </c>
      <c r="BH21" s="26"/>
      <c r="BI21" s="4" t="s">
        <v>3</v>
      </c>
      <c r="BJ21" s="5">
        <v>338500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444.63</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342340</v>
      </c>
      <c r="T25" s="26">
        <v>600</v>
      </c>
      <c r="U25" s="4" t="s">
        <v>0</v>
      </c>
      <c r="V25" s="5">
        <v>342340</v>
      </c>
      <c r="AD25" s="26">
        <v>600</v>
      </c>
      <c r="AE25" s="4" t="s">
        <v>0</v>
      </c>
      <c r="AF25" s="5">
        <v>342340</v>
      </c>
      <c r="AN25" s="26">
        <v>600</v>
      </c>
      <c r="AO25" s="4" t="s">
        <v>0</v>
      </c>
      <c r="AP25" s="5">
        <v>342340</v>
      </c>
      <c r="AX25" s="26">
        <v>600</v>
      </c>
      <c r="AY25" s="4" t="s">
        <v>0</v>
      </c>
      <c r="AZ25" s="5">
        <v>342340</v>
      </c>
      <c r="BH25" s="26">
        <v>600</v>
      </c>
      <c r="BI25" s="4" t="s">
        <v>0</v>
      </c>
      <c r="BJ25" s="5">
        <v>342340</v>
      </c>
    </row>
    <row r="26" spans="1:62">
      <c r="J26" s="26"/>
      <c r="K26" s="4" t="s">
        <v>1</v>
      </c>
      <c r="L26" s="5">
        <v>168390</v>
      </c>
      <c r="T26" s="26"/>
      <c r="U26" s="4" t="s">
        <v>1</v>
      </c>
      <c r="V26" s="5">
        <v>271360</v>
      </c>
      <c r="AD26" s="26"/>
      <c r="AE26" s="4" t="s">
        <v>1</v>
      </c>
      <c r="AF26" s="5">
        <v>333910</v>
      </c>
      <c r="AN26" s="26"/>
      <c r="AO26" s="4" t="s">
        <v>1</v>
      </c>
      <c r="AP26" s="5">
        <v>289450</v>
      </c>
      <c r="AX26" s="26"/>
      <c r="AY26" s="4" t="s">
        <v>1</v>
      </c>
      <c r="AZ26" s="5">
        <v>334290</v>
      </c>
      <c r="BH26" s="26"/>
      <c r="BI26" s="4" t="s">
        <v>1</v>
      </c>
      <c r="BJ26" s="5">
        <v>341560</v>
      </c>
    </row>
    <row r="27" spans="1:62">
      <c r="A27" s="120" t="s">
        <v>145</v>
      </c>
      <c r="J27" s="26"/>
      <c r="K27" s="4" t="s">
        <v>2</v>
      </c>
      <c r="L27" s="5">
        <v>173950</v>
      </c>
      <c r="T27" s="26"/>
      <c r="U27" s="4" t="s">
        <v>2</v>
      </c>
      <c r="V27" s="5">
        <v>70987</v>
      </c>
      <c r="AD27" s="26"/>
      <c r="AE27" s="4" t="s">
        <v>2</v>
      </c>
      <c r="AF27" s="5">
        <v>8429.9</v>
      </c>
      <c r="AN27" s="26"/>
      <c r="AO27" s="4" t="s">
        <v>2</v>
      </c>
      <c r="AP27" s="5">
        <v>52895</v>
      </c>
      <c r="AX27" s="26"/>
      <c r="AY27" s="4" t="s">
        <v>2</v>
      </c>
      <c r="AZ27" s="5">
        <v>8049.9</v>
      </c>
      <c r="BH27" s="26"/>
      <c r="BI27" s="4" t="s">
        <v>2</v>
      </c>
      <c r="BJ27" s="5">
        <v>780</v>
      </c>
    </row>
    <row r="28" spans="1:62">
      <c r="A28" s="199" t="str">
        <f>AH3</f>
        <v>Filter Area (ft2)</v>
      </c>
      <c r="B28" s="200" t="s">
        <v>11</v>
      </c>
      <c r="C28" s="200"/>
      <c r="D28" s="200"/>
      <c r="E28" s="200" t="s">
        <v>12</v>
      </c>
      <c r="F28" s="200"/>
      <c r="G28" s="200"/>
      <c r="H28" s="6"/>
      <c r="J28" s="26"/>
      <c r="K28" s="4" t="s">
        <v>3</v>
      </c>
      <c r="L28" s="5">
        <v>167820</v>
      </c>
      <c r="T28" s="26"/>
      <c r="U28" s="4" t="s">
        <v>3</v>
      </c>
      <c r="V28" s="5">
        <v>271070</v>
      </c>
      <c r="AD28" s="26"/>
      <c r="AE28" s="4" t="s">
        <v>3</v>
      </c>
      <c r="AF28" s="5">
        <v>333680</v>
      </c>
      <c r="AN28" s="26"/>
      <c r="AO28" s="4" t="s">
        <v>3</v>
      </c>
      <c r="AP28" s="5">
        <v>288510</v>
      </c>
      <c r="AX28" s="26"/>
      <c r="AY28" s="4" t="s">
        <v>3</v>
      </c>
      <c r="AZ28" s="5">
        <v>333990</v>
      </c>
      <c r="BH28" s="26"/>
      <c r="BI28" s="4" t="s">
        <v>3</v>
      </c>
      <c r="BJ28" s="5">
        <v>341330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0.11957410761231524</v>
      </c>
      <c r="C30" s="2">
        <f t="shared" ref="C30:C35" si="8">Y4</f>
        <v>0.26724893380849446</v>
      </c>
      <c r="D30" s="2">
        <f t="shared" ref="D30:D35" si="9">AI4</f>
        <v>0.78018928550563771</v>
      </c>
      <c r="E30" s="11">
        <f t="shared" ref="E30:E35" si="10">Q4</f>
        <v>8.5077420452611872</v>
      </c>
      <c r="F30" s="11">
        <f t="shared" ref="F30:F35" si="11">AA4</f>
        <v>2.4704219904260558</v>
      </c>
      <c r="G30" s="9">
        <f t="shared" ref="G30:G35" si="12">AK4</f>
        <v>0.83718438148817897</v>
      </c>
      <c r="H30" s="12"/>
      <c r="J30" s="26"/>
      <c r="K30" s="4" t="s">
        <v>5</v>
      </c>
      <c r="L30" s="5">
        <v>0</v>
      </c>
      <c r="T30" s="26"/>
      <c r="U30" s="4" t="s">
        <v>5</v>
      </c>
      <c r="V30" s="5">
        <v>0</v>
      </c>
      <c r="AD30" s="26"/>
      <c r="AE30" s="4" t="s">
        <v>5</v>
      </c>
      <c r="AF30" s="5">
        <v>0</v>
      </c>
      <c r="AN30" s="26"/>
      <c r="AO30" s="4" t="s">
        <v>5</v>
      </c>
      <c r="AP30" s="5">
        <v>214.13</v>
      </c>
      <c r="AX30" s="26"/>
      <c r="AY30" s="4" t="s">
        <v>5</v>
      </c>
      <c r="AZ30" s="5">
        <v>0</v>
      </c>
      <c r="BH30" s="26"/>
      <c r="BI30" s="4" t="s">
        <v>5</v>
      </c>
      <c r="BJ30" s="5">
        <v>0</v>
      </c>
    </row>
    <row r="31" spans="1:62">
      <c r="A31" s="10">
        <v>200</v>
      </c>
      <c r="B31" s="2">
        <f t="shared" si="7"/>
        <v>0.21306595781971141</v>
      </c>
      <c r="C31" s="2">
        <f t="shared" si="8"/>
        <v>0.44429514517730911</v>
      </c>
      <c r="D31" s="2">
        <f t="shared" si="9"/>
        <v>0.90544487935970086</v>
      </c>
      <c r="E31" s="11">
        <f t="shared" si="10"/>
        <v>10.086600671479415</v>
      </c>
      <c r="F31" s="11">
        <f t="shared" si="11"/>
        <v>3.0606712489287649</v>
      </c>
      <c r="G31" s="9">
        <f t="shared" si="12"/>
        <v>1.4384113363252289</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0.37056727230238945</v>
      </c>
      <c r="C32" s="2">
        <f t="shared" si="8"/>
        <v>0.66930536893147163</v>
      </c>
      <c r="D32" s="2">
        <f t="shared" si="9"/>
        <v>0.96164631652742882</v>
      </c>
      <c r="E32" s="11">
        <f t="shared" si="10"/>
        <v>12.315769286934552</v>
      </c>
      <c r="F32" s="11">
        <f t="shared" si="11"/>
        <v>4.1080535455436422</v>
      </c>
      <c r="G32" s="9">
        <f t="shared" si="12"/>
        <v>2.6279827604330914</v>
      </c>
      <c r="H32" s="12"/>
      <c r="J32" s="26">
        <v>800</v>
      </c>
      <c r="K32" s="4" t="s">
        <v>0</v>
      </c>
      <c r="L32" s="5">
        <v>342340</v>
      </c>
      <c r="T32" s="26">
        <v>800</v>
      </c>
      <c r="U32" s="4" t="s">
        <v>0</v>
      </c>
      <c r="V32" s="5">
        <v>342340</v>
      </c>
      <c r="AD32" s="26">
        <v>800</v>
      </c>
      <c r="AE32" s="4" t="s">
        <v>0</v>
      </c>
      <c r="AF32" s="5">
        <v>342340</v>
      </c>
      <c r="AN32" s="26">
        <v>800</v>
      </c>
      <c r="AO32" s="4" t="s">
        <v>0</v>
      </c>
      <c r="AP32" s="5">
        <v>342340</v>
      </c>
      <c r="AX32" s="26">
        <v>800</v>
      </c>
      <c r="AY32" s="4" t="s">
        <v>0</v>
      </c>
      <c r="AZ32" s="5">
        <v>342340</v>
      </c>
      <c r="BH32" s="26">
        <v>800</v>
      </c>
      <c r="BI32" s="4" t="s">
        <v>0</v>
      </c>
      <c r="BJ32" s="5">
        <v>342340</v>
      </c>
    </row>
    <row r="33" spans="1:62">
      <c r="A33" s="10">
        <v>600</v>
      </c>
      <c r="B33" s="2">
        <f t="shared" si="7"/>
        <v>0.49187941812233454</v>
      </c>
      <c r="C33" s="2">
        <f t="shared" si="8"/>
        <v>0.79266226558392239</v>
      </c>
      <c r="D33" s="2">
        <f t="shared" si="9"/>
        <v>0.97537535783139573</v>
      </c>
      <c r="E33" s="11">
        <f t="shared" si="10"/>
        <v>13.715969699463511</v>
      </c>
      <c r="F33" s="11">
        <f t="shared" si="11"/>
        <v>5.1622418879056049</v>
      </c>
      <c r="G33" s="9">
        <f t="shared" si="12"/>
        <v>3.7538745347876916</v>
      </c>
      <c r="H33" s="12"/>
      <c r="J33" s="26"/>
      <c r="K33" s="4" t="s">
        <v>1</v>
      </c>
      <c r="L33" s="5">
        <v>200720</v>
      </c>
      <c r="T33" s="26"/>
      <c r="U33" s="4" t="s">
        <v>1</v>
      </c>
      <c r="V33" s="5">
        <v>296290</v>
      </c>
      <c r="AD33" s="26"/>
      <c r="AE33" s="4" t="s">
        <v>1</v>
      </c>
      <c r="AF33" s="5">
        <v>336290</v>
      </c>
      <c r="AN33" s="26"/>
      <c r="AO33" s="4" t="s">
        <v>1</v>
      </c>
      <c r="AP33" s="5">
        <v>317060</v>
      </c>
      <c r="AX33" s="26"/>
      <c r="AY33" s="4" t="s">
        <v>1</v>
      </c>
      <c r="AZ33" s="5">
        <v>340180</v>
      </c>
      <c r="BH33" s="26"/>
      <c r="BI33" s="4" t="s">
        <v>1</v>
      </c>
      <c r="BJ33" s="5">
        <v>342340</v>
      </c>
    </row>
    <row r="34" spans="1:62">
      <c r="A34" s="10">
        <v>800</v>
      </c>
      <c r="B34" s="2">
        <f t="shared" si="7"/>
        <v>0.58631769585791904</v>
      </c>
      <c r="C34" s="2">
        <f t="shared" si="8"/>
        <v>0.86548460594730381</v>
      </c>
      <c r="D34" s="2">
        <f t="shared" si="9"/>
        <v>0.98232751066191504</v>
      </c>
      <c r="E34" s="11">
        <f t="shared" si="10"/>
        <v>15.020814557315134</v>
      </c>
      <c r="F34" s="11">
        <f t="shared" si="11"/>
        <v>6.2509767151117357</v>
      </c>
      <c r="G34" s="9">
        <f t="shared" si="12"/>
        <v>4.8488374912114827</v>
      </c>
      <c r="H34" s="12"/>
      <c r="J34" s="26"/>
      <c r="K34" s="4" t="s">
        <v>2</v>
      </c>
      <c r="L34" s="5">
        <v>141630</v>
      </c>
      <c r="T34" s="26"/>
      <c r="U34" s="4" t="s">
        <v>2</v>
      </c>
      <c r="V34" s="5">
        <v>46053</v>
      </c>
      <c r="AD34" s="26"/>
      <c r="AE34" s="4" t="s">
        <v>2</v>
      </c>
      <c r="AF34" s="5">
        <v>6047.2</v>
      </c>
      <c r="AN34" s="26"/>
      <c r="AO34" s="4" t="s">
        <v>2</v>
      </c>
      <c r="AP34" s="5">
        <v>25277</v>
      </c>
      <c r="AX34" s="26"/>
      <c r="AY34" s="4" t="s">
        <v>2</v>
      </c>
      <c r="AZ34" s="5">
        <v>2160.5</v>
      </c>
      <c r="BH34" s="26"/>
      <c r="BI34" s="4" t="s">
        <v>2</v>
      </c>
      <c r="BJ34" s="5">
        <v>0</v>
      </c>
    </row>
    <row r="35" spans="1:62">
      <c r="A35" s="10">
        <v>1000</v>
      </c>
      <c r="B35" s="2">
        <f t="shared" si="7"/>
        <v>0.66296664135070393</v>
      </c>
      <c r="C35" s="2">
        <f t="shared" si="8"/>
        <v>0.91073202079803706</v>
      </c>
      <c r="D35" s="2">
        <f t="shared" si="9"/>
        <v>0.98559911199392414</v>
      </c>
      <c r="E35" s="11">
        <f t="shared" si="10"/>
        <v>16.255178435415853</v>
      </c>
      <c r="F35" s="11">
        <f t="shared" si="11"/>
        <v>7.3784557524549177</v>
      </c>
      <c r="G35" s="9">
        <f t="shared" si="12"/>
        <v>5.9236692900059236</v>
      </c>
      <c r="H35" s="12"/>
      <c r="J35" s="26"/>
      <c r="K35" s="4" t="s">
        <v>3</v>
      </c>
      <c r="L35" s="5">
        <v>200020</v>
      </c>
      <c r="T35" s="26"/>
      <c r="U35" s="4" t="s">
        <v>3</v>
      </c>
      <c r="V35" s="5">
        <v>295920</v>
      </c>
      <c r="AD35" s="26"/>
      <c r="AE35" s="4" t="s">
        <v>3</v>
      </c>
      <c r="AF35" s="5">
        <v>336000</v>
      </c>
      <c r="AN35" s="26"/>
      <c r="AO35" s="4" t="s">
        <v>3</v>
      </c>
      <c r="AP35" s="5">
        <v>316210</v>
      </c>
      <c r="AX35" s="26"/>
      <c r="AY35" s="4" t="s">
        <v>3</v>
      </c>
      <c r="AZ35" s="5">
        <v>339810</v>
      </c>
      <c r="BH35" s="26"/>
      <c r="BI35" s="4" t="s">
        <v>3</v>
      </c>
      <c r="BJ35" s="5">
        <v>342040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0.38923999999999997</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342340</v>
      </c>
      <c r="T39" s="26">
        <v>1000</v>
      </c>
      <c r="U39" s="4" t="s">
        <v>0</v>
      </c>
      <c r="V39" s="5">
        <v>342340</v>
      </c>
      <c r="AD39" s="26">
        <v>1000</v>
      </c>
      <c r="AE39" s="4" t="s">
        <v>0</v>
      </c>
      <c r="AF39" s="5">
        <v>342340</v>
      </c>
      <c r="AN39" s="26">
        <v>1000</v>
      </c>
      <c r="AO39" s="4" t="s">
        <v>0</v>
      </c>
      <c r="AP39" s="5">
        <v>342340</v>
      </c>
      <c r="AX39" s="26">
        <v>1000</v>
      </c>
      <c r="AY39" s="4" t="s">
        <v>0</v>
      </c>
      <c r="AZ39" s="5">
        <v>342340</v>
      </c>
      <c r="BH39" s="26">
        <v>1000</v>
      </c>
      <c r="BI39" s="4" t="s">
        <v>0</v>
      </c>
      <c r="BJ39" s="5">
        <v>342340</v>
      </c>
    </row>
    <row r="40" spans="1:62">
      <c r="A40" s="199"/>
      <c r="B40" s="15" t="s">
        <v>15</v>
      </c>
      <c r="C40" s="15" t="s">
        <v>14</v>
      </c>
      <c r="D40" s="15" t="s">
        <v>13</v>
      </c>
      <c r="E40" s="15" t="s">
        <v>15</v>
      </c>
      <c r="F40" s="15" t="s">
        <v>14</v>
      </c>
      <c r="G40" s="15" t="s">
        <v>13</v>
      </c>
      <c r="J40" s="26"/>
      <c r="K40" s="4" t="s">
        <v>1</v>
      </c>
      <c r="L40" s="5">
        <v>226960</v>
      </c>
      <c r="T40" s="26"/>
      <c r="U40" s="4" t="s">
        <v>1</v>
      </c>
      <c r="V40" s="5">
        <v>311780</v>
      </c>
      <c r="AD40" s="26"/>
      <c r="AE40" s="4" t="s">
        <v>1</v>
      </c>
      <c r="AF40" s="5">
        <v>337410</v>
      </c>
      <c r="AN40" s="26"/>
      <c r="AO40" s="4" t="s">
        <v>1</v>
      </c>
      <c r="AP40" s="5">
        <v>332350</v>
      </c>
      <c r="AX40" s="26"/>
      <c r="AY40" s="4" t="s">
        <v>1</v>
      </c>
      <c r="AZ40" s="5">
        <v>342340</v>
      </c>
      <c r="BH40" s="26"/>
      <c r="BI40" s="4" t="s">
        <v>1</v>
      </c>
      <c r="BJ40" s="5">
        <v>342340</v>
      </c>
    </row>
    <row r="41" spans="1:62">
      <c r="A41" s="10">
        <v>100</v>
      </c>
      <c r="B41" s="2">
        <f>AS4</f>
        <v>0.28398083776362681</v>
      </c>
      <c r="C41" s="2">
        <f>BC4</f>
        <v>0.50692294210434075</v>
      </c>
      <c r="D41" s="2">
        <f>BM4</f>
        <v>0.91920313138984633</v>
      </c>
      <c r="E41" s="11">
        <f>AU4</f>
        <v>6.5846408548745154</v>
      </c>
      <c r="F41" s="11">
        <f>BE4</f>
        <v>1.7699294051014425</v>
      </c>
      <c r="G41" s="9">
        <f>BO4</f>
        <v>0.69404784567548705</v>
      </c>
      <c r="J41" s="26"/>
      <c r="K41" s="4" t="s">
        <v>2</v>
      </c>
      <c r="L41" s="5">
        <v>115380</v>
      </c>
      <c r="T41" s="26"/>
      <c r="U41" s="4" t="s">
        <v>2</v>
      </c>
      <c r="V41" s="5">
        <v>30564</v>
      </c>
      <c r="AD41" s="26"/>
      <c r="AE41" s="4" t="s">
        <v>2</v>
      </c>
      <c r="AF41" s="5">
        <v>4931.5</v>
      </c>
      <c r="AN41" s="26"/>
      <c r="AO41" s="4" t="s">
        <v>2</v>
      </c>
      <c r="AP41" s="5">
        <v>9990.7000000000007</v>
      </c>
      <c r="AX41" s="26"/>
      <c r="AY41" s="4" t="s">
        <v>2</v>
      </c>
      <c r="AZ41" s="5">
        <v>0</v>
      </c>
      <c r="BH41" s="26"/>
      <c r="BI41" s="4" t="s">
        <v>2</v>
      </c>
      <c r="BJ41" s="5">
        <v>0</v>
      </c>
    </row>
    <row r="42" spans="1:62">
      <c r="A42" s="10">
        <v>200</v>
      </c>
      <c r="B42" s="2">
        <f t="shared" ref="B42:B46" si="13">AS5</f>
        <v>0.47435298241514284</v>
      </c>
      <c r="C42" s="2">
        <f t="shared" ref="C42:C46" si="14">BC5</f>
        <v>0.73178711222760995</v>
      </c>
      <c r="D42" s="2">
        <f t="shared" ref="D42:D46" si="15">BM5</f>
        <v>0.97108138108313369</v>
      </c>
      <c r="E42" s="11">
        <f t="shared" ref="E42:E46" si="16">AU5</f>
        <v>7.8891728991132579</v>
      </c>
      <c r="F42" s="11">
        <f t="shared" ref="F42:F46" si="17">BE5</f>
        <v>2.3831896610423393</v>
      </c>
      <c r="G42" s="9">
        <f t="shared" ref="G42:G46" si="18">BO5</f>
        <v>1.2498839393484891</v>
      </c>
      <c r="J42" s="26"/>
      <c r="K42" s="4" t="s">
        <v>3</v>
      </c>
      <c r="L42" s="5">
        <v>226140</v>
      </c>
      <c r="T42" s="26"/>
      <c r="U42" s="4" t="s">
        <v>3</v>
      </c>
      <c r="V42" s="5">
        <v>311330</v>
      </c>
      <c r="AD42" s="26"/>
      <c r="AE42" s="4" t="s">
        <v>3</v>
      </c>
      <c r="AF42" s="5">
        <v>337050</v>
      </c>
      <c r="AN42" s="26"/>
      <c r="AO42" s="4" t="s">
        <v>3</v>
      </c>
      <c r="AP42" s="5">
        <v>331390</v>
      </c>
      <c r="AX42" s="26"/>
      <c r="AY42" s="4" t="s">
        <v>3</v>
      </c>
      <c r="AZ42" s="5">
        <v>341890</v>
      </c>
      <c r="BH42" s="26"/>
      <c r="BI42" s="4" t="s">
        <v>3</v>
      </c>
      <c r="BJ42" s="5">
        <v>341980</v>
      </c>
    </row>
    <row r="43" spans="1:62">
      <c r="A43" s="10">
        <v>400</v>
      </c>
      <c r="B43" s="2">
        <f t="shared" si="13"/>
        <v>0.70865221709411697</v>
      </c>
      <c r="C43" s="2">
        <f t="shared" si="14"/>
        <v>0.91613600514108784</v>
      </c>
      <c r="D43" s="2">
        <f t="shared" si="15"/>
        <v>0.98925045276625578</v>
      </c>
      <c r="E43" s="11">
        <f t="shared" si="16"/>
        <v>10.118750767940908</v>
      </c>
      <c r="F43" s="11">
        <f t="shared" si="17"/>
        <v>3.5380875120674058</v>
      </c>
      <c r="G43" s="9">
        <f t="shared" si="18"/>
        <v>2.3060983122654779</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0.84550446924110534</v>
      </c>
      <c r="C44" s="2">
        <f t="shared" si="14"/>
        <v>0.97648536542618447</v>
      </c>
      <c r="D44" s="2">
        <f t="shared" si="15"/>
        <v>0.99772156335806506</v>
      </c>
      <c r="E44" s="11">
        <f t="shared" si="16"/>
        <v>11.782012569724268</v>
      </c>
      <c r="F44" s="11">
        <f t="shared" si="17"/>
        <v>4.6980496382501782</v>
      </c>
      <c r="G44" s="9">
        <f t="shared" si="18"/>
        <v>3.262490678598061</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0.92615528422036575</v>
      </c>
      <c r="C45" s="2">
        <f t="shared" si="14"/>
        <v>0.99369048314541097</v>
      </c>
      <c r="D45" s="2">
        <f t="shared" si="15"/>
        <v>1</v>
      </c>
      <c r="E45" s="11">
        <f t="shared" si="16"/>
        <v>13.259082471492976</v>
      </c>
      <c r="F45" s="11">
        <f t="shared" si="17"/>
        <v>5.8400493901319859</v>
      </c>
      <c r="G45" s="9">
        <f t="shared" si="18"/>
        <v>4.2869303741265377</v>
      </c>
      <c r="Y45"/>
      <c r="Z45"/>
      <c r="AA45"/>
      <c r="AB45"/>
      <c r="BC45"/>
      <c r="BD45"/>
      <c r="BE45"/>
      <c r="BF45"/>
    </row>
    <row r="46" spans="1:62">
      <c r="A46" s="10">
        <v>1000</v>
      </c>
      <c r="B46" s="2">
        <f t="shared" si="13"/>
        <v>0.97081848454752584</v>
      </c>
      <c r="C46" s="2">
        <f t="shared" si="14"/>
        <v>1</v>
      </c>
      <c r="D46" s="2">
        <f t="shared" si="15"/>
        <v>1</v>
      </c>
      <c r="E46" s="11">
        <f t="shared" si="16"/>
        <v>14.74739813761429</v>
      </c>
      <c r="F46" s="11">
        <f t="shared" si="17"/>
        <v>7.048919501339296</v>
      </c>
      <c r="G46" s="9">
        <f t="shared" si="18"/>
        <v>5.3598446563880167</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0.28398083776362681</v>
      </c>
      <c r="C52" s="2">
        <f>C30+(($A$25-1)/3)*(C41-C30)</f>
        <v>0.50692294210434075</v>
      </c>
      <c r="D52" s="2">
        <f>D30+(($A$25-1)/3)*(D41-D30)</f>
        <v>0.91920313138984633</v>
      </c>
      <c r="E52" s="9">
        <f>E30+(($A$25-1)/3)*(E41-E30)</f>
        <v>6.5846408548745154</v>
      </c>
      <c r="F52" s="9">
        <f t="shared" ref="F52:G57" si="19">F30+(($A$25-1)/3)*(F41-F30)</f>
        <v>1.7699294051014425</v>
      </c>
      <c r="G52" s="9">
        <f t="shared" si="19"/>
        <v>0.69404784567548705</v>
      </c>
      <c r="Y52"/>
      <c r="Z52"/>
      <c r="AA52"/>
      <c r="AB52"/>
      <c r="BC52"/>
      <c r="BD52"/>
      <c r="BE52"/>
      <c r="BF52"/>
    </row>
    <row r="53" spans="1:58">
      <c r="A53" s="10">
        <v>200</v>
      </c>
      <c r="B53" s="2">
        <f t="shared" ref="B53:E57" si="20">B31+(($A$25-1)/3)*(B42-B31)</f>
        <v>0.47435298241514279</v>
      </c>
      <c r="C53" s="2">
        <f t="shared" si="20"/>
        <v>0.73178711222760995</v>
      </c>
      <c r="D53" s="2">
        <f t="shared" si="20"/>
        <v>0.97108138108313369</v>
      </c>
      <c r="E53" s="9">
        <f t="shared" si="20"/>
        <v>7.8891728991132579</v>
      </c>
      <c r="F53" s="9">
        <f t="shared" si="19"/>
        <v>2.3831896610423393</v>
      </c>
      <c r="G53" s="9">
        <f t="shared" si="19"/>
        <v>1.2498839393484891</v>
      </c>
      <c r="Y53"/>
      <c r="Z53"/>
      <c r="AA53"/>
      <c r="AB53"/>
      <c r="BC53"/>
      <c r="BD53"/>
      <c r="BE53"/>
      <c r="BF53"/>
    </row>
    <row r="54" spans="1:58">
      <c r="A54" s="10">
        <v>400</v>
      </c>
      <c r="B54" s="2">
        <f t="shared" si="20"/>
        <v>0.70865221709411697</v>
      </c>
      <c r="C54" s="2">
        <f t="shared" si="20"/>
        <v>0.91613600514108784</v>
      </c>
      <c r="D54" s="2">
        <f t="shared" si="20"/>
        <v>0.98925045276625578</v>
      </c>
      <c r="E54" s="9">
        <f t="shared" si="20"/>
        <v>10.118750767940908</v>
      </c>
      <c r="F54" s="9">
        <f t="shared" si="19"/>
        <v>3.5380875120674058</v>
      </c>
      <c r="G54" s="9">
        <f t="shared" si="19"/>
        <v>2.3060983122654779</v>
      </c>
      <c r="Y54"/>
      <c r="Z54"/>
      <c r="AA54"/>
      <c r="AB54"/>
      <c r="BC54"/>
      <c r="BD54"/>
      <c r="BE54"/>
      <c r="BF54"/>
    </row>
    <row r="55" spans="1:58">
      <c r="A55" s="10">
        <v>600</v>
      </c>
      <c r="B55" s="2">
        <f t="shared" si="20"/>
        <v>0.84550446924110534</v>
      </c>
      <c r="C55" s="2">
        <f t="shared" si="20"/>
        <v>0.97648536542618447</v>
      </c>
      <c r="D55" s="2">
        <f t="shared" si="20"/>
        <v>0.99772156335806506</v>
      </c>
      <c r="E55" s="9">
        <f t="shared" si="20"/>
        <v>11.782012569724268</v>
      </c>
      <c r="F55" s="9">
        <f t="shared" si="19"/>
        <v>4.6980496382501782</v>
      </c>
      <c r="G55" s="9">
        <f t="shared" si="19"/>
        <v>3.262490678598061</v>
      </c>
      <c r="Y55"/>
      <c r="Z55"/>
      <c r="AA55"/>
      <c r="AB55"/>
      <c r="BC55"/>
      <c r="BD55"/>
      <c r="BE55"/>
      <c r="BF55"/>
    </row>
    <row r="56" spans="1:58">
      <c r="A56" s="10">
        <v>800</v>
      </c>
      <c r="B56" s="2">
        <f t="shared" si="20"/>
        <v>0.92615528422036575</v>
      </c>
      <c r="C56" s="2">
        <f t="shared" si="20"/>
        <v>0.99369048314541097</v>
      </c>
      <c r="D56" s="2">
        <f t="shared" si="20"/>
        <v>1</v>
      </c>
      <c r="E56" s="9">
        <f t="shared" si="20"/>
        <v>13.259082471492976</v>
      </c>
      <c r="F56" s="9">
        <f t="shared" si="19"/>
        <v>5.8400493901319859</v>
      </c>
      <c r="G56" s="9">
        <f t="shared" si="19"/>
        <v>4.2869303741265377</v>
      </c>
      <c r="Y56"/>
      <c r="Z56"/>
      <c r="AA56"/>
      <c r="AB56"/>
      <c r="BC56"/>
      <c r="BD56"/>
      <c r="BE56"/>
      <c r="BF56"/>
    </row>
    <row r="57" spans="1:58">
      <c r="A57" s="10">
        <v>1000</v>
      </c>
      <c r="B57" s="2">
        <f t="shared" si="20"/>
        <v>0.97081848454752584</v>
      </c>
      <c r="C57" s="2">
        <f t="shared" si="20"/>
        <v>1</v>
      </c>
      <c r="D57" s="2">
        <f t="shared" si="20"/>
        <v>1</v>
      </c>
      <c r="E57" s="9">
        <f t="shared" si="20"/>
        <v>14.74739813761429</v>
      </c>
      <c r="F57" s="9">
        <f t="shared" si="19"/>
        <v>7.048919501339296</v>
      </c>
      <c r="G57" s="9">
        <f t="shared" si="19"/>
        <v>5.3598446563880167</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sheetPr codeName="Sheet35"/>
  <dimension ref="A1:DD96"/>
  <sheetViews>
    <sheetView topLeftCell="W1" zoomScale="80" zoomScaleNormal="80" workbookViewId="0">
      <pane xSplit="10164" topLeftCell="BD1" activePane="topRight"/>
      <selection activeCell="BF5" sqref="BF5:BK66"/>
      <selection pane="topRight" activeCell="BF61" sqref="BF61:BK66"/>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631710</v>
      </c>
      <c r="AL5" s="57">
        <v>3944</v>
      </c>
      <c r="AM5" s="57">
        <v>3944</v>
      </c>
      <c r="AN5" s="57">
        <v>3944</v>
      </c>
      <c r="AO5" s="57">
        <v>3944</v>
      </c>
      <c r="AP5" s="57">
        <v>3944</v>
      </c>
      <c r="AQ5" s="37"/>
      <c r="AR5" s="37"/>
      <c r="AS5" s="56">
        <v>0.1</v>
      </c>
      <c r="AT5" s="37" t="s">
        <v>0</v>
      </c>
      <c r="AU5" s="57">
        <v>631710</v>
      </c>
      <c r="AV5" s="57">
        <v>3944</v>
      </c>
      <c r="AW5" s="57">
        <v>3944</v>
      </c>
      <c r="AX5" s="57">
        <v>3944</v>
      </c>
      <c r="AY5" s="57">
        <v>3944</v>
      </c>
      <c r="AZ5" s="57">
        <v>3944</v>
      </c>
      <c r="BA5" s="37"/>
      <c r="BB5" s="37"/>
      <c r="BC5" s="37"/>
      <c r="BD5" s="56">
        <v>0.1</v>
      </c>
      <c r="BE5" s="37" t="s">
        <v>0</v>
      </c>
      <c r="BF5" s="57">
        <v>631710</v>
      </c>
      <c r="BG5" s="57">
        <v>3944</v>
      </c>
      <c r="BH5" s="57">
        <v>3944</v>
      </c>
      <c r="BI5" s="57">
        <v>3944</v>
      </c>
      <c r="BJ5" s="57">
        <v>3944</v>
      </c>
      <c r="BK5" s="57">
        <v>3944</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436750</v>
      </c>
      <c r="AL6" s="57">
        <v>2726.8</v>
      </c>
      <c r="AM6" s="57">
        <v>2726.8</v>
      </c>
      <c r="AN6" s="57">
        <v>2726.8</v>
      </c>
      <c r="AO6" s="57">
        <v>2726.8</v>
      </c>
      <c r="AP6" s="57">
        <v>2726.8</v>
      </c>
      <c r="AQ6" s="37"/>
      <c r="AR6" s="37"/>
      <c r="AS6" s="56"/>
      <c r="AT6" s="37" t="s">
        <v>1</v>
      </c>
      <c r="AU6" s="57">
        <v>355100</v>
      </c>
      <c r="AV6" s="57">
        <v>2216.9</v>
      </c>
      <c r="AW6" s="57">
        <v>2216.9</v>
      </c>
      <c r="AX6" s="57">
        <v>2216.9</v>
      </c>
      <c r="AY6" s="57">
        <v>2216.9</v>
      </c>
      <c r="AZ6" s="57">
        <v>2216.9</v>
      </c>
      <c r="BA6" s="37"/>
      <c r="BB6" s="37"/>
      <c r="BC6" s="37"/>
      <c r="BD6" s="56"/>
      <c r="BE6" s="37" t="s">
        <v>1</v>
      </c>
      <c r="BF6" s="57">
        <v>278900</v>
      </c>
      <c r="BG6" s="57">
        <v>1741.3</v>
      </c>
      <c r="BH6" s="57">
        <v>1741.3</v>
      </c>
      <c r="BI6" s="57">
        <v>1741.3</v>
      </c>
      <c r="BJ6" s="57">
        <v>1741.3</v>
      </c>
      <c r="BK6" s="57">
        <v>1741.3</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1.4502066115702479</v>
      </c>
      <c r="D7"/>
      <c r="E7" t="s">
        <v>119</v>
      </c>
      <c r="F7"/>
      <c r="G7" s="103">
        <f>C7*12</f>
        <v>17.402479338842973</v>
      </c>
      <c r="H7"/>
      <c r="I7"/>
      <c r="J7"/>
      <c r="K7"/>
      <c r="L7"/>
      <c r="M7"/>
      <c r="N7"/>
      <c r="O7"/>
      <c r="P7"/>
      <c r="Q7"/>
      <c r="R7"/>
      <c r="S7"/>
      <c r="T7"/>
      <c r="U7"/>
      <c r="V7"/>
      <c r="W7"/>
      <c r="X7"/>
      <c r="Y7"/>
      <c r="Z7"/>
      <c r="AA7"/>
      <c r="AB7"/>
      <c r="AC7"/>
      <c r="AD7"/>
      <c r="AE7"/>
      <c r="AF7"/>
      <c r="AG7"/>
      <c r="AH7" s="37"/>
      <c r="AI7" s="56"/>
      <c r="AJ7" s="37" t="s">
        <v>2</v>
      </c>
      <c r="AK7" s="57">
        <v>194970</v>
      </c>
      <c r="AL7" s="57">
        <v>1217.2</v>
      </c>
      <c r="AM7" s="57">
        <v>1217.2</v>
      </c>
      <c r="AN7" s="57">
        <v>1217.2</v>
      </c>
      <c r="AO7" s="57">
        <v>1217.2</v>
      </c>
      <c r="AP7" s="57">
        <v>1217.2</v>
      </c>
      <c r="AQ7" s="37"/>
      <c r="AR7" s="37"/>
      <c r="AS7" s="56"/>
      <c r="AT7" s="37" t="s">
        <v>2</v>
      </c>
      <c r="AU7" s="57">
        <v>276620</v>
      </c>
      <c r="AV7" s="57">
        <v>1727</v>
      </c>
      <c r="AW7" s="57">
        <v>1727</v>
      </c>
      <c r="AX7" s="57">
        <v>1727</v>
      </c>
      <c r="AY7" s="57">
        <v>1727</v>
      </c>
      <c r="AZ7" s="57">
        <v>1727</v>
      </c>
      <c r="BA7" s="37"/>
      <c r="BB7" s="37"/>
      <c r="BC7" s="37"/>
      <c r="BD7" s="56"/>
      <c r="BE7" s="37" t="s">
        <v>2</v>
      </c>
      <c r="BF7" s="57">
        <v>352840</v>
      </c>
      <c r="BG7" s="57">
        <v>2202.9</v>
      </c>
      <c r="BH7" s="57">
        <v>2202.9</v>
      </c>
      <c r="BI7" s="57">
        <v>2202.9</v>
      </c>
      <c r="BJ7" s="57">
        <v>2202.9</v>
      </c>
      <c r="BK7" s="57">
        <v>2202.9</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436590</v>
      </c>
      <c r="AL8" s="57">
        <v>2720.5</v>
      </c>
      <c r="AM8" s="57">
        <v>2643</v>
      </c>
      <c r="AN8" s="57">
        <v>1724.1</v>
      </c>
      <c r="AO8" s="57">
        <v>11.84</v>
      </c>
      <c r="AP8" s="57">
        <v>1.7237</v>
      </c>
      <c r="AQ8" s="37"/>
      <c r="AR8" s="37"/>
      <c r="AS8" s="56"/>
      <c r="AT8" s="37" t="s">
        <v>3</v>
      </c>
      <c r="AU8" s="57">
        <v>354950</v>
      </c>
      <c r="AV8" s="57">
        <v>2209.6</v>
      </c>
      <c r="AW8" s="57">
        <v>2113.4</v>
      </c>
      <c r="AX8" s="57">
        <v>951.98</v>
      </c>
      <c r="AY8" s="57">
        <v>2.7582</v>
      </c>
      <c r="AZ8" s="57">
        <v>1.0617000000000001</v>
      </c>
      <c r="BA8" s="37"/>
      <c r="BB8" s="37"/>
      <c r="BC8" s="37"/>
      <c r="BD8" s="56"/>
      <c r="BE8" s="37" t="s">
        <v>3</v>
      </c>
      <c r="BF8" s="57">
        <v>278520</v>
      </c>
      <c r="BG8" s="57">
        <v>1729</v>
      </c>
      <c r="BH8" s="57">
        <v>1588.2</v>
      </c>
      <c r="BI8" s="57">
        <v>328.54</v>
      </c>
      <c r="BJ8" s="57">
        <v>0.60731999999999997</v>
      </c>
      <c r="BK8" s="57">
        <v>0.24626000000000001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5.3255999999999997</v>
      </c>
      <c r="AM10" s="57">
        <v>82.694000000000003</v>
      </c>
      <c r="AN10" s="57">
        <v>1001.7</v>
      </c>
      <c r="AO10" s="57">
        <v>2713.9</v>
      </c>
      <c r="AP10" s="57">
        <v>2724</v>
      </c>
      <c r="AQ10" s="37"/>
      <c r="AR10" s="37"/>
      <c r="AS10" s="56"/>
      <c r="AT10" s="37" t="s">
        <v>5</v>
      </c>
      <c r="AU10" s="57">
        <v>0</v>
      </c>
      <c r="AV10" s="57">
        <v>6.5030000000000001</v>
      </c>
      <c r="AW10" s="57">
        <v>102.66</v>
      </c>
      <c r="AX10" s="57">
        <v>1264.0999999999999</v>
      </c>
      <c r="AY10" s="57">
        <v>2213.3000000000002</v>
      </c>
      <c r="AZ10" s="57">
        <v>2215</v>
      </c>
      <c r="BA10" s="37"/>
      <c r="BB10" s="37"/>
      <c r="BC10" s="37"/>
      <c r="BD10" s="56"/>
      <c r="BE10" s="37" t="s">
        <v>5</v>
      </c>
      <c r="BF10" s="57">
        <v>0</v>
      </c>
      <c r="BG10" s="57">
        <v>9.7858000000000001</v>
      </c>
      <c r="BH10" s="57">
        <v>150.52000000000001</v>
      </c>
      <c r="BI10" s="57">
        <v>1410.3</v>
      </c>
      <c r="BJ10" s="57">
        <v>1738.3</v>
      </c>
      <c r="BK10" s="57">
        <v>1738.6</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0.69137737252853371</v>
      </c>
      <c r="C11" s="75">
        <f t="shared" ref="C11:C19" si="0">(($C$4*D11)+($D$4*E11)+($E$4*F11)+($F$4*G11)+($G$4*I11))</f>
        <v>0.4898606440162272</v>
      </c>
      <c r="D11" s="75">
        <f>AL10/$AL$5</f>
        <v>1.3503042596348883E-3</v>
      </c>
      <c r="E11" s="75">
        <f>AM$10/AM$5</f>
        <v>2.0967038539553753E-2</v>
      </c>
      <c r="F11" s="75">
        <f>AN$10/AN$5</f>
        <v>0.25398073022312373</v>
      </c>
      <c r="G11" s="75">
        <f>AO$10/AO$5</f>
        <v>0.6881085192697769</v>
      </c>
      <c r="H11" s="76">
        <f t="shared" ref="H11:H19" si="1">($D$4*E11+$E$4*F11+$F$4*G11)/(SUM($D$4:$F$4))</f>
        <v>0.3210187626774848</v>
      </c>
      <c r="I11" s="75">
        <f>AP10/$AP$5</f>
        <v>0.69066937119675453</v>
      </c>
      <c r="J11" s="75">
        <f>(($C$5*D11)+($D$5*E11)+($E$5*F11)+($F$5*G11)+($G$5*I11))</f>
        <v>0.31260937119675458</v>
      </c>
      <c r="K11"/>
      <c r="L11" s="68">
        <v>0.1</v>
      </c>
      <c r="M11" s="69">
        <f>AU6/$AK$5</f>
        <v>0.56212502572382894</v>
      </c>
      <c r="N11" s="69">
        <f t="shared" ref="N11:N19" si="2">(($C$4*O11)+($D$4*P11)+($E$4*Q11)+($F$4*R11)+($G$4*T11))</f>
        <v>0.41704719827586212</v>
      </c>
      <c r="O11" s="69">
        <f>AV10/$AL$5</f>
        <v>1.6488336713995943E-3</v>
      </c>
      <c r="P11" s="69">
        <f>AW$10/AW$5</f>
        <v>2.6029411764705881E-2</v>
      </c>
      <c r="Q11" s="69">
        <f>AX$10/AX$5</f>
        <v>0.32051217038539553</v>
      </c>
      <c r="R11" s="69">
        <f>AY$10/AY$5</f>
        <v>0.56118154158215017</v>
      </c>
      <c r="S11" s="70">
        <f t="shared" ref="S11:S19" si="3">($D$4*P11+$E$4*Q11+$F$4*R11)/(SUM($D$4:$F$4))</f>
        <v>0.3025743745774172</v>
      </c>
      <c r="T11" s="69">
        <f>AZ10/$AP$5</f>
        <v>0.56161257606490878</v>
      </c>
      <c r="U11" s="69">
        <f>(($C$5*O11)+($D$5*P11)+($E$5*Q11)+($F$5*R11)+($G$5*T11))</f>
        <v>0.30197319979716025</v>
      </c>
      <c r="V11"/>
      <c r="W11" s="84">
        <v>0.1</v>
      </c>
      <c r="X11" s="85">
        <f>BF6/$AK$5</f>
        <v>0.44150005540517007</v>
      </c>
      <c r="Y11" s="85">
        <f t="shared" ref="Y11:Y19" si="4">(($C$4*Z11)+($D$4*AA11)+($E$4*AB11)+($F$4*AC11)+($G$4*AE11))</f>
        <v>0.3460084406693712</v>
      </c>
      <c r="Z11" s="85">
        <f>BG10/$AL$5</f>
        <v>2.4811866125760648E-3</v>
      </c>
      <c r="AA11" s="85">
        <f>BH$10/BH$5</f>
        <v>3.8164300202839757E-2</v>
      </c>
      <c r="AB11" s="85">
        <f>BI$10/BI$5</f>
        <v>0.3575811359026369</v>
      </c>
      <c r="AC11" s="85">
        <f>BJ$10/BJ$5</f>
        <v>0.44074543610547667</v>
      </c>
      <c r="AD11" s="86">
        <f t="shared" ref="AD11:AD19" si="5">($D$4*AA11+$E$4*AB11+$F$4*AC11)/(SUM($D$4:$F$4))</f>
        <v>0.2788302907369844</v>
      </c>
      <c r="AE11" s="85">
        <f>BK10/$AP$5</f>
        <v>0.44082150101419876</v>
      </c>
      <c r="AF11" s="85">
        <f>(($C$5*Z11)+($D$5*AA11)+($E$5*AB11)+($F$5*AC11)+($G$5*AE11))</f>
        <v>0.28314467038539554</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0.89219736904592295</v>
      </c>
      <c r="C12" s="75">
        <f t="shared" si="0"/>
        <v>0.64552572261663288</v>
      </c>
      <c r="D12" s="75">
        <f>AL17/$AL$5</f>
        <v>2.5834178498985801E-3</v>
      </c>
      <c r="E12" s="75">
        <f>AM17/AM$5</f>
        <v>3.8275862068965522E-2</v>
      </c>
      <c r="F12" s="75">
        <f>AN17/AN$5</f>
        <v>0.40405679513184584</v>
      </c>
      <c r="G12" s="75">
        <f>AO17/AO$5</f>
        <v>0.88955375253549696</v>
      </c>
      <c r="H12" s="76">
        <f t="shared" si="1"/>
        <v>0.44396213657876943</v>
      </c>
      <c r="I12" s="75">
        <f>AP17/$AP$5</f>
        <v>0.89122718052738337</v>
      </c>
      <c r="J12" s="75">
        <f t="shared" ref="J12:J18" si="6">(($C$5*D12)+($D$5*E12)+($E$5*F12)+($F$5*G12)+($G$5*I12))</f>
        <v>0.4365697008113591</v>
      </c>
      <c r="K12"/>
      <c r="L12" s="68">
        <v>0.2</v>
      </c>
      <c r="M12" s="69">
        <f>AU13/$AK$5</f>
        <v>0.79731205774801728</v>
      </c>
      <c r="N12" s="69">
        <f t="shared" si="2"/>
        <v>0.60282284482758619</v>
      </c>
      <c r="O12" s="69">
        <f>AV17/$AL$5</f>
        <v>3.6019269776876267E-3</v>
      </c>
      <c r="P12" s="69">
        <f>AW17/AW$5</f>
        <v>5.147565922920893E-2</v>
      </c>
      <c r="Q12" s="69">
        <f>AX17/AX$5</f>
        <v>0.51412271805273835</v>
      </c>
      <c r="R12" s="69">
        <f>AY17/AY$5</f>
        <v>0.7964249492900608</v>
      </c>
      <c r="S12" s="70">
        <f t="shared" si="3"/>
        <v>0.45400777552400268</v>
      </c>
      <c r="T12" s="69">
        <f>AZ17/$AP$5</f>
        <v>0.79667849898580123</v>
      </c>
      <c r="U12" s="69">
        <f t="shared" ref="U12:U18" si="7">(($C$5*O12)+($D$5*P12)+($E$5*Q12)+($F$5*R12)+($G$5*T12))</f>
        <v>0.45525725152129815</v>
      </c>
      <c r="V12"/>
      <c r="W12" s="84">
        <v>0.2</v>
      </c>
      <c r="X12" s="85">
        <f>BF13/$AK$5</f>
        <v>0.69400516059584305</v>
      </c>
      <c r="Y12" s="85">
        <f t="shared" si="4"/>
        <v>0.54817767494929015</v>
      </c>
      <c r="Z12" s="85">
        <f>BG17/$AL$5</f>
        <v>4.6995436105476676E-3</v>
      </c>
      <c r="AA12" s="85">
        <f>BH17/BH$5</f>
        <v>6.8392494929006092E-2</v>
      </c>
      <c r="AB12" s="85">
        <f>BI17/BI$5</f>
        <v>0.58019776876267748</v>
      </c>
      <c r="AC12" s="85">
        <f>BJ17/BJ$5</f>
        <v>0.69325557809330629</v>
      </c>
      <c r="AD12" s="86">
        <f t="shared" si="5"/>
        <v>0.44728194726166332</v>
      </c>
      <c r="AE12" s="85">
        <f>BK17/$AP$5</f>
        <v>0.69333164300202843</v>
      </c>
      <c r="AF12" s="85">
        <f t="shared" ref="AF12:AF18" si="8">(($C$5*Z12)+($D$5*AA12)+($E$5*AB12)+($F$5*AC12)+($G$5*AE12))</f>
        <v>0.45421184077079113</v>
      </c>
      <c r="AG12"/>
      <c r="AH12" s="37"/>
      <c r="AI12" s="56">
        <v>0.2</v>
      </c>
      <c r="AJ12" s="37" t="s">
        <v>0</v>
      </c>
      <c r="AK12" s="57">
        <v>631710</v>
      </c>
      <c r="AL12" s="57">
        <v>3944</v>
      </c>
      <c r="AM12" s="57">
        <v>3944</v>
      </c>
      <c r="AN12" s="57">
        <v>3944</v>
      </c>
      <c r="AO12" s="57">
        <v>3944</v>
      </c>
      <c r="AP12" s="57">
        <v>3944</v>
      </c>
      <c r="AQ12" s="37"/>
      <c r="AR12" s="37"/>
      <c r="AS12" s="56">
        <v>0.2</v>
      </c>
      <c r="AT12" s="37" t="s">
        <v>0</v>
      </c>
      <c r="AU12" s="57">
        <v>631710</v>
      </c>
      <c r="AV12" s="57">
        <v>3944</v>
      </c>
      <c r="AW12" s="57">
        <v>3944</v>
      </c>
      <c r="AX12" s="57">
        <v>3944</v>
      </c>
      <c r="AY12" s="57">
        <v>3944</v>
      </c>
      <c r="AZ12" s="57">
        <v>3944</v>
      </c>
      <c r="BA12" s="37"/>
      <c r="BB12" s="37"/>
      <c r="BC12" s="37"/>
      <c r="BD12" s="56">
        <v>0.2</v>
      </c>
      <c r="BE12" s="37" t="s">
        <v>0</v>
      </c>
      <c r="BF12" s="57">
        <v>631710</v>
      </c>
      <c r="BG12" s="57">
        <v>3944</v>
      </c>
      <c r="BH12" s="57">
        <v>3944</v>
      </c>
      <c r="BI12" s="57">
        <v>3944</v>
      </c>
      <c r="BJ12" s="57">
        <v>3944</v>
      </c>
      <c r="BK12" s="57">
        <v>3944</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0.98242864605594338</v>
      </c>
      <c r="C13" s="75">
        <f t="shared" si="0"/>
        <v>0.73117218559837727</v>
      </c>
      <c r="D13" s="75">
        <f>AL24/$AL$5</f>
        <v>4.9447261663286002E-3</v>
      </c>
      <c r="E13" s="75">
        <f>AM24/AM$5</f>
        <v>6.6815415821501009E-2</v>
      </c>
      <c r="F13" s="75">
        <f>AN24/AN$5</f>
        <v>0.55458924949290067</v>
      </c>
      <c r="G13" s="75">
        <f>AO24/AO$5</f>
        <v>0.9797920892494929</v>
      </c>
      <c r="H13" s="76">
        <f t="shared" si="1"/>
        <v>0.53373225152129822</v>
      </c>
      <c r="I13" s="75">
        <f>AP24/$AP$5</f>
        <v>0.98149087221095332</v>
      </c>
      <c r="J13" s="75">
        <f t="shared" si="6"/>
        <v>0.52980076064908732</v>
      </c>
      <c r="K13"/>
      <c r="L13" s="68">
        <v>0.4</v>
      </c>
      <c r="M13" s="69">
        <f>AU20/$AK$5</f>
        <v>0.94875813268746734</v>
      </c>
      <c r="N13" s="69">
        <f t="shared" si="2"/>
        <v>0.73029646298174433</v>
      </c>
      <c r="O13" s="69">
        <f>AV24/$AL$5</f>
        <v>5.9115111561866126E-3</v>
      </c>
      <c r="P13" s="69">
        <f>AW24/AW$5</f>
        <v>7.9814908722109543E-2</v>
      </c>
      <c r="Q13" s="69">
        <f>AX24/AX$5</f>
        <v>0.6786511156186612</v>
      </c>
      <c r="R13" s="69">
        <f>AY24/AY$5</f>
        <v>0.94779411764705879</v>
      </c>
      <c r="S13" s="70">
        <f t="shared" si="3"/>
        <v>0.56875338066260983</v>
      </c>
      <c r="T13" s="69">
        <f>AZ24/$AP$5</f>
        <v>0.94812373225152136</v>
      </c>
      <c r="U13" s="69">
        <f t="shared" si="7"/>
        <v>0.57238577586206907</v>
      </c>
      <c r="V13"/>
      <c r="W13" s="84">
        <v>0.4</v>
      </c>
      <c r="X13" s="85">
        <f>BF20/$AK$5</f>
        <v>0.88936379034683632</v>
      </c>
      <c r="Y13" s="85">
        <f t="shared" si="4"/>
        <v>0.711611549188641</v>
      </c>
      <c r="Z13" s="85">
        <f>BG24/$AL$5</f>
        <v>8.3516734279918872E-3</v>
      </c>
      <c r="AA13" s="85">
        <f>BH24/BH$5</f>
        <v>0.11089249492900609</v>
      </c>
      <c r="AB13" s="85">
        <f>BI24/BI$5</f>
        <v>0.77961460446247466</v>
      </c>
      <c r="AC13" s="85">
        <f>BJ24/BJ$5</f>
        <v>0.88856490872210958</v>
      </c>
      <c r="AD13" s="86">
        <f t="shared" si="5"/>
        <v>0.59302400270453026</v>
      </c>
      <c r="AE13" s="85">
        <f>BK24/$AP$5</f>
        <v>0.88866632860040573</v>
      </c>
      <c r="AF13" s="85">
        <f t="shared" si="8"/>
        <v>0.60143912271805278</v>
      </c>
      <c r="AG13"/>
      <c r="AH13" s="37"/>
      <c r="AI13" s="56"/>
      <c r="AJ13" s="37" t="s">
        <v>1</v>
      </c>
      <c r="AK13" s="57">
        <v>563610</v>
      </c>
      <c r="AL13" s="57">
        <v>3518.8</v>
      </c>
      <c r="AM13" s="57">
        <v>3518.8</v>
      </c>
      <c r="AN13" s="57">
        <v>3518.8</v>
      </c>
      <c r="AO13" s="57">
        <v>3518.8</v>
      </c>
      <c r="AP13" s="57">
        <v>3518.8</v>
      </c>
      <c r="AQ13" s="37"/>
      <c r="AR13" s="37"/>
      <c r="AS13" s="56"/>
      <c r="AT13" s="37" t="s">
        <v>1</v>
      </c>
      <c r="AU13" s="57">
        <v>503670</v>
      </c>
      <c r="AV13" s="57">
        <v>3144.5</v>
      </c>
      <c r="AW13" s="57">
        <v>3144.5</v>
      </c>
      <c r="AX13" s="57">
        <v>3144.5</v>
      </c>
      <c r="AY13" s="57">
        <v>3144.5</v>
      </c>
      <c r="AZ13" s="57">
        <v>3144.5</v>
      </c>
      <c r="BA13" s="37"/>
      <c r="BB13" s="37"/>
      <c r="BC13" s="37"/>
      <c r="BD13" s="56"/>
      <c r="BE13" s="37" t="s">
        <v>1</v>
      </c>
      <c r="BF13" s="57">
        <v>438410</v>
      </c>
      <c r="BG13" s="57">
        <v>2737.1</v>
      </c>
      <c r="BH13" s="57">
        <v>2737.1</v>
      </c>
      <c r="BI13" s="57">
        <v>2737.1</v>
      </c>
      <c r="BJ13" s="57">
        <v>2737.1</v>
      </c>
      <c r="BK13" s="57">
        <v>2737.1</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0.99610580804483073</v>
      </c>
      <c r="C14" s="75">
        <f t="shared" si="0"/>
        <v>0.75838911004056797</v>
      </c>
      <c r="D14" s="75">
        <f>AL31/$AL$5</f>
        <v>7.2928498985801223E-3</v>
      </c>
      <c r="E14" s="75">
        <f>AM31/AM$5</f>
        <v>9.2593813387423937E-2</v>
      </c>
      <c r="F14" s="75">
        <f>AN31/AN$5</f>
        <v>0.65050709939148066</v>
      </c>
      <c r="G14" s="75">
        <f>AO31/AO$5</f>
        <v>0.99345841784989852</v>
      </c>
      <c r="H14" s="76">
        <f t="shared" si="1"/>
        <v>0.57885311020960106</v>
      </c>
      <c r="I14" s="75">
        <f>AP31/$AP$5</f>
        <v>0.99508113590263692</v>
      </c>
      <c r="J14" s="75">
        <f t="shared" si="6"/>
        <v>0.57765068458417845</v>
      </c>
      <c r="K14"/>
      <c r="L14" s="68">
        <v>0.6</v>
      </c>
      <c r="M14" s="69">
        <f>AU27/$AK$5</f>
        <v>0.98912475661300281</v>
      </c>
      <c r="N14" s="69">
        <f t="shared" si="2"/>
        <v>0.77512619168356989</v>
      </c>
      <c r="O14" s="69">
        <f>AV31/$AL$5</f>
        <v>8.8701825557809342E-3</v>
      </c>
      <c r="P14" s="69">
        <f>AW31/AW$5</f>
        <v>0.11013945233265719</v>
      </c>
      <c r="Q14" s="69">
        <f>AX31/AX$5</f>
        <v>0.77132352941176463</v>
      </c>
      <c r="R14" s="69">
        <f>AY31/AY$5</f>
        <v>0.98820993914807298</v>
      </c>
      <c r="S14" s="70">
        <f t="shared" si="3"/>
        <v>0.62322430696416498</v>
      </c>
      <c r="T14" s="69">
        <f>AZ31/$AP$5</f>
        <v>0.98846348884381341</v>
      </c>
      <c r="U14" s="69">
        <f t="shared" si="7"/>
        <v>0.62793265720081148</v>
      </c>
      <c r="V14"/>
      <c r="W14" s="84">
        <v>0.6</v>
      </c>
      <c r="X14" s="85">
        <f>BF27/$AK$5</f>
        <v>0.96327428725206188</v>
      </c>
      <c r="Y14" s="85">
        <f t="shared" si="4"/>
        <v>0.77871364097363083</v>
      </c>
      <c r="Z14" s="85">
        <f>BG31/$AL$5</f>
        <v>1.1836206896551725E-2</v>
      </c>
      <c r="AA14" s="85">
        <f>BH31/BH$5</f>
        <v>0.14557555780933062</v>
      </c>
      <c r="AB14" s="85">
        <f>BI31/BI$5</f>
        <v>0.87084178498985798</v>
      </c>
      <c r="AC14" s="85">
        <f>BJ31/BJ$5</f>
        <v>0.96247464503042601</v>
      </c>
      <c r="AD14" s="86">
        <f t="shared" si="5"/>
        <v>0.65963066260987158</v>
      </c>
      <c r="AE14" s="85">
        <f>BK31/$AP$5</f>
        <v>0.96257606490872216</v>
      </c>
      <c r="AF14" s="85">
        <f t="shared" si="8"/>
        <v>0.66738798174442193</v>
      </c>
      <c r="AG14"/>
      <c r="AH14" s="37"/>
      <c r="AI14" s="56"/>
      <c r="AJ14" s="37" t="s">
        <v>2</v>
      </c>
      <c r="AK14" s="57">
        <v>68108</v>
      </c>
      <c r="AL14" s="57">
        <v>425.22</v>
      </c>
      <c r="AM14" s="57">
        <v>425.22</v>
      </c>
      <c r="AN14" s="57">
        <v>425.22</v>
      </c>
      <c r="AO14" s="57">
        <v>425.22</v>
      </c>
      <c r="AP14" s="57">
        <v>425.22</v>
      </c>
      <c r="AQ14" s="37"/>
      <c r="AR14" s="37"/>
      <c r="AS14" s="56"/>
      <c r="AT14" s="37" t="s">
        <v>2</v>
      </c>
      <c r="AU14" s="57">
        <v>128050</v>
      </c>
      <c r="AV14" s="57">
        <v>799.46</v>
      </c>
      <c r="AW14" s="57">
        <v>799.46</v>
      </c>
      <c r="AX14" s="57">
        <v>799.46</v>
      </c>
      <c r="AY14" s="57">
        <v>799.46</v>
      </c>
      <c r="AZ14" s="57">
        <v>799.46</v>
      </c>
      <c r="BA14" s="37"/>
      <c r="BB14" s="37"/>
      <c r="BC14" s="37"/>
      <c r="BD14" s="56"/>
      <c r="BE14" s="37" t="s">
        <v>2</v>
      </c>
      <c r="BF14" s="57">
        <v>193320</v>
      </c>
      <c r="BG14" s="57">
        <v>1207</v>
      </c>
      <c r="BH14" s="57">
        <v>1207</v>
      </c>
      <c r="BI14" s="57">
        <v>1207</v>
      </c>
      <c r="BJ14" s="57">
        <v>1207</v>
      </c>
      <c r="BK14" s="57">
        <v>1207</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0.99936679805606998</v>
      </c>
      <c r="C15" s="75">
        <f t="shared" si="0"/>
        <v>0.77281087728194731</v>
      </c>
      <c r="D15" s="75">
        <f>AL38/$AL$5</f>
        <v>9.5846855983772825E-3</v>
      </c>
      <c r="E15" s="75">
        <f>AM38/AM$5</f>
        <v>0.11567951318458418</v>
      </c>
      <c r="F15" s="75">
        <f>AN38/AN$5</f>
        <v>0.70882352941176463</v>
      </c>
      <c r="G15" s="75">
        <f>AO38/AO$5</f>
        <v>0.99670385395537531</v>
      </c>
      <c r="H15" s="76">
        <f t="shared" si="1"/>
        <v>0.60706896551724143</v>
      </c>
      <c r="I15" s="75">
        <f>AP38/$AP$5</f>
        <v>0.99830121703853958</v>
      </c>
      <c r="J15" s="75">
        <f t="shared" si="6"/>
        <v>0.60679467545638943</v>
      </c>
      <c r="K15"/>
      <c r="L15" s="68">
        <v>0.8</v>
      </c>
      <c r="M15" s="69">
        <f>AU34/$AK$5</f>
        <v>0.99667568979436771</v>
      </c>
      <c r="N15" s="69">
        <f t="shared" si="2"/>
        <v>0.79399336967545642</v>
      </c>
      <c r="O15" s="69">
        <f>AV38/$AL$5</f>
        <v>1.1804513184584179E-2</v>
      </c>
      <c r="P15" s="69">
        <f>AW38/AW$5</f>
        <v>0.13777383367139959</v>
      </c>
      <c r="Q15" s="69">
        <f>AX38/AX$5</f>
        <v>0.8356237322515212</v>
      </c>
      <c r="R15" s="69">
        <f>AY38/AY$5</f>
        <v>0.99589249492900611</v>
      </c>
      <c r="S15" s="70">
        <f t="shared" si="3"/>
        <v>0.65643002028397579</v>
      </c>
      <c r="T15" s="69">
        <f>AZ38/$AP$5</f>
        <v>0.99601926977687627</v>
      </c>
      <c r="U15" s="69">
        <f t="shared" si="7"/>
        <v>0.66176513691683569</v>
      </c>
      <c r="V15"/>
      <c r="W15" s="84">
        <v>0.8</v>
      </c>
      <c r="X15" s="85">
        <f>BF34/$AK$5</f>
        <v>0.98611704737933548</v>
      </c>
      <c r="Y15" s="85">
        <f t="shared" si="4"/>
        <v>0.804071729208925</v>
      </c>
      <c r="Z15" s="85">
        <f>BG38/$AL$5</f>
        <v>1.511866125760649E-2</v>
      </c>
      <c r="AA15" s="85">
        <f>BH38/BH$5</f>
        <v>0.17425202839756593</v>
      </c>
      <c r="AB15" s="85">
        <f>BI38/BI$5</f>
        <v>0.91110547667342801</v>
      </c>
      <c r="AC15" s="85">
        <f>BJ38/BJ$5</f>
        <v>0.9853448275862069</v>
      </c>
      <c r="AD15" s="86">
        <f t="shared" si="5"/>
        <v>0.69023411088573372</v>
      </c>
      <c r="AE15" s="85">
        <f>BK38/$AP$5</f>
        <v>0.98542089249492903</v>
      </c>
      <c r="AF15" s="85">
        <f t="shared" si="8"/>
        <v>0.6964155172413794</v>
      </c>
      <c r="AG15"/>
      <c r="AH15" s="37"/>
      <c r="AI15" s="56"/>
      <c r="AJ15" s="37" t="s">
        <v>3</v>
      </c>
      <c r="AK15" s="57">
        <v>563490</v>
      </c>
      <c r="AL15" s="57">
        <v>3507.8</v>
      </c>
      <c r="AM15" s="57">
        <v>3367</v>
      </c>
      <c r="AN15" s="57">
        <v>1924.4</v>
      </c>
      <c r="AO15" s="57">
        <v>9.6008999999999993</v>
      </c>
      <c r="AP15" s="57">
        <v>2.9445999999999999</v>
      </c>
      <c r="AQ15" s="37"/>
      <c r="AR15" s="37"/>
      <c r="AS15" s="56"/>
      <c r="AT15" s="37" t="s">
        <v>3</v>
      </c>
      <c r="AU15" s="57">
        <v>503370</v>
      </c>
      <c r="AV15" s="57">
        <v>3128.7</v>
      </c>
      <c r="AW15" s="57">
        <v>2939.6</v>
      </c>
      <c r="AX15" s="57">
        <v>1115.0999999999999</v>
      </c>
      <c r="AY15" s="57">
        <v>1.7078</v>
      </c>
      <c r="AZ15" s="57">
        <v>0.64298999999999995</v>
      </c>
      <c r="BA15" s="37"/>
      <c r="BB15" s="37"/>
      <c r="BC15" s="37"/>
      <c r="BD15" s="56"/>
      <c r="BE15" s="37" t="s">
        <v>3</v>
      </c>
      <c r="BF15" s="57">
        <v>438040</v>
      </c>
      <c r="BG15" s="57">
        <v>2716.4</v>
      </c>
      <c r="BH15" s="57">
        <v>2464.9</v>
      </c>
      <c r="BI15" s="57">
        <v>446.58</v>
      </c>
      <c r="BJ15" s="57">
        <v>0.65486999999999995</v>
      </c>
      <c r="BK15" s="57">
        <v>0.33171</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1</v>
      </c>
      <c r="C16" s="75">
        <f t="shared" si="0"/>
        <v>0.78319497971602425</v>
      </c>
      <c r="D16" s="75">
        <f>AL45/$AL$5</f>
        <v>1.1855983772819472E-2</v>
      </c>
      <c r="E16" s="75">
        <f>AM45/AM$5</f>
        <v>0.13707403651115618</v>
      </c>
      <c r="F16" s="75">
        <f>AN45/AN$5</f>
        <v>0.75283975659229208</v>
      </c>
      <c r="G16" s="75">
        <f>AO45/AO$5</f>
        <v>0.99756592292089252</v>
      </c>
      <c r="H16" s="76">
        <f t="shared" si="1"/>
        <v>0.62915990534144695</v>
      </c>
      <c r="I16" s="75">
        <f>AP45/$AP$5</f>
        <v>0.9989604462474645</v>
      </c>
      <c r="J16" s="75">
        <f t="shared" si="6"/>
        <v>0.62914553752535496</v>
      </c>
      <c r="K16"/>
      <c r="L16" s="68">
        <v>1</v>
      </c>
      <c r="M16" s="69">
        <f>AU41/$AK$5</f>
        <v>0.99895521679251553</v>
      </c>
      <c r="N16" s="69">
        <f t="shared" si="2"/>
        <v>0.80122478448275858</v>
      </c>
      <c r="O16" s="69">
        <f>AV45/$AL$5</f>
        <v>1.3920131845841786E-2</v>
      </c>
      <c r="P16" s="69">
        <f>AW45/AW$5</f>
        <v>0.15678752535496956</v>
      </c>
      <c r="Q16" s="69">
        <f>AX45/AX$5</f>
        <v>0.8543610547667343</v>
      </c>
      <c r="R16" s="69">
        <f>AY45/AY$5</f>
        <v>0.99812373225152129</v>
      </c>
      <c r="S16" s="70">
        <f t="shared" si="3"/>
        <v>0.66975743745774174</v>
      </c>
      <c r="T16" s="69">
        <f>AZ45/$AP$5</f>
        <v>0.99827586206896546</v>
      </c>
      <c r="U16" s="69">
        <f t="shared" si="7"/>
        <v>0.67394627281947261</v>
      </c>
      <c r="V16"/>
      <c r="W16" s="84">
        <v>1</v>
      </c>
      <c r="X16" s="85">
        <f>BF41/$AK$5</f>
        <v>0.99643823906539397</v>
      </c>
      <c r="Y16" s="85">
        <f t="shared" si="4"/>
        <v>0.81806469320486819</v>
      </c>
      <c r="Z16" s="85">
        <f>BG45/$AL$5</f>
        <v>1.8236054766734282E-2</v>
      </c>
      <c r="AA16" s="85">
        <f>BH45/BH$5</f>
        <v>0.19927484787018257</v>
      </c>
      <c r="AB16" s="85">
        <f>BI45/BI$5</f>
        <v>0.93369675456389456</v>
      </c>
      <c r="AC16" s="85">
        <f>BJ45/BJ$5</f>
        <v>0.9956643002028398</v>
      </c>
      <c r="AD16" s="86">
        <f t="shared" si="5"/>
        <v>0.70954530087897238</v>
      </c>
      <c r="AE16" s="85">
        <f>BK45/$AP$5</f>
        <v>0.99571501014198782</v>
      </c>
      <c r="AF16" s="85">
        <f t="shared" si="8"/>
        <v>0.71386163793103452</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0.79125844320486816</v>
      </c>
      <c r="D17" s="75">
        <f>AL52/$AL$5</f>
        <v>1.4073529411764705E-2</v>
      </c>
      <c r="E17" s="75">
        <f>AM52/AM$5</f>
        <v>0.15705375253549694</v>
      </c>
      <c r="F17" s="75">
        <f>AN52/AN$5</f>
        <v>0.78567444219066929</v>
      </c>
      <c r="G17" s="75">
        <f>AO52/AO$5</f>
        <v>0.99776876267748471</v>
      </c>
      <c r="H17" s="76">
        <f t="shared" si="1"/>
        <v>0.6468323191345503</v>
      </c>
      <c r="I17" s="75">
        <f>AP52/$AP$5</f>
        <v>0.9989604462474645</v>
      </c>
      <c r="J17" s="75">
        <f t="shared" si="6"/>
        <v>0.64653767748478697</v>
      </c>
      <c r="K17"/>
      <c r="L17" s="68">
        <v>1.2</v>
      </c>
      <c r="M17" s="69">
        <f>AU48/$AK$5</f>
        <v>1</v>
      </c>
      <c r="N17" s="69">
        <f t="shared" si="2"/>
        <v>0.80900360040567953</v>
      </c>
      <c r="O17" s="69">
        <f>AV52/$AL$5</f>
        <v>1.673782961460446E-2</v>
      </c>
      <c r="P17" s="69">
        <f>AW52/AW$5</f>
        <v>0.18002789046653142</v>
      </c>
      <c r="Q17" s="69">
        <f>AX52/AX$5</f>
        <v>0.87751014198782962</v>
      </c>
      <c r="R17" s="69">
        <f>AY52/AY$5</f>
        <v>0.99918864097363091</v>
      </c>
      <c r="S17" s="70">
        <f t="shared" si="3"/>
        <v>0.68557555780933066</v>
      </c>
      <c r="T17" s="69">
        <f>AZ52/$AP$5</f>
        <v>0.99931541582150107</v>
      </c>
      <c r="U17" s="69">
        <f t="shared" si="7"/>
        <v>0.68845268762677492</v>
      </c>
      <c r="V17"/>
      <c r="W17" s="84">
        <v>1.2</v>
      </c>
      <c r="X17" s="85">
        <f>BF48/$AK$5</f>
        <v>0.99886023650092604</v>
      </c>
      <c r="Y17" s="85">
        <f t="shared" si="4"/>
        <v>0.82508057809330615</v>
      </c>
      <c r="Z17" s="85">
        <f>BG52/$AL$5</f>
        <v>2.1355476673427992E-2</v>
      </c>
      <c r="AA17" s="85">
        <f>BH52/BH$5</f>
        <v>0.22251774847870182</v>
      </c>
      <c r="AB17" s="85">
        <f>BI52/BI$5</f>
        <v>0.94563894523326575</v>
      </c>
      <c r="AC17" s="85">
        <f>BJ52/BJ$5</f>
        <v>0.99809837728194728</v>
      </c>
      <c r="AD17" s="86">
        <f t="shared" si="5"/>
        <v>0.72208502366463834</v>
      </c>
      <c r="AE17" s="85">
        <f>BK52/$AP$5</f>
        <v>0.9981490872210953</v>
      </c>
      <c r="AF17" s="85">
        <f t="shared" si="8"/>
        <v>0.72432925963488848</v>
      </c>
      <c r="AG17"/>
      <c r="AH17" s="37"/>
      <c r="AI17" s="56"/>
      <c r="AJ17" s="37" t="s">
        <v>5</v>
      </c>
      <c r="AK17" s="57">
        <v>0</v>
      </c>
      <c r="AL17" s="57">
        <v>10.189</v>
      </c>
      <c r="AM17" s="57">
        <v>150.96</v>
      </c>
      <c r="AN17" s="57">
        <v>1593.6</v>
      </c>
      <c r="AO17" s="57">
        <v>3508.4</v>
      </c>
      <c r="AP17" s="57">
        <v>3515</v>
      </c>
      <c r="AQ17" s="37"/>
      <c r="AR17" s="37"/>
      <c r="AS17" s="56"/>
      <c r="AT17" s="37" t="s">
        <v>5</v>
      </c>
      <c r="AU17" s="57">
        <v>0</v>
      </c>
      <c r="AV17" s="57">
        <v>14.206</v>
      </c>
      <c r="AW17" s="57">
        <v>203.02</v>
      </c>
      <c r="AX17" s="57">
        <v>2027.7</v>
      </c>
      <c r="AY17" s="57">
        <v>3141.1</v>
      </c>
      <c r="AZ17" s="57">
        <v>3142.1</v>
      </c>
      <c r="BA17" s="37"/>
      <c r="BB17" s="37"/>
      <c r="BC17" s="37"/>
      <c r="BD17" s="56"/>
      <c r="BE17" s="37" t="s">
        <v>5</v>
      </c>
      <c r="BF17" s="57">
        <v>0</v>
      </c>
      <c r="BG17" s="57">
        <v>18.535</v>
      </c>
      <c r="BH17" s="57">
        <v>269.74</v>
      </c>
      <c r="BI17" s="57">
        <v>2288.3000000000002</v>
      </c>
      <c r="BJ17" s="57">
        <v>2734.2</v>
      </c>
      <c r="BK17" s="57">
        <v>2734.5</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0.8036185851926978</v>
      </c>
      <c r="D18" s="75">
        <f>AL59/$AL$5</f>
        <v>1.8322515212981744E-2</v>
      </c>
      <c r="E18" s="75">
        <f>AM59/AM$5</f>
        <v>0.19289807302231238</v>
      </c>
      <c r="F18" s="75">
        <f>AN59/AN$5</f>
        <v>0.83067951318458411</v>
      </c>
      <c r="G18" s="75">
        <f>AO59/AO$5</f>
        <v>0.99807302231237327</v>
      </c>
      <c r="H18" s="76">
        <f t="shared" si="1"/>
        <v>0.67388353617309005</v>
      </c>
      <c r="I18" s="75">
        <f>AP59/$AP$5</f>
        <v>0.99890973630831636</v>
      </c>
      <c r="J18" s="75">
        <f t="shared" si="6"/>
        <v>0.6721892494929006</v>
      </c>
      <c r="K18"/>
      <c r="L18" s="68">
        <v>1.6</v>
      </c>
      <c r="M18" s="69">
        <f>AU55/$AK$5</f>
        <v>1</v>
      </c>
      <c r="N18" s="69">
        <f t="shared" si="2"/>
        <v>0.81897829614604456</v>
      </c>
      <c r="O18" s="69">
        <f>AV59/$AL$5</f>
        <v>2.160446247464503E-2</v>
      </c>
      <c r="P18" s="69">
        <f>AW59/AW$5</f>
        <v>0.21805273833671399</v>
      </c>
      <c r="Q18" s="69">
        <f>AX59/AX$5</f>
        <v>0.90433569979716022</v>
      </c>
      <c r="R18" s="69">
        <f>AY59/AY$5</f>
        <v>0.99921399594320492</v>
      </c>
      <c r="S18" s="70">
        <f t="shared" si="3"/>
        <v>0.70720081135902635</v>
      </c>
      <c r="T18" s="69">
        <f>AZ59/$AP$5</f>
        <v>0.99931541582150107</v>
      </c>
      <c r="U18" s="69">
        <f t="shared" si="7"/>
        <v>0.70727961460446254</v>
      </c>
      <c r="V18"/>
      <c r="W18" s="84">
        <v>1.6</v>
      </c>
      <c r="X18" s="85">
        <f>BF55/$AK$5</f>
        <v>1</v>
      </c>
      <c r="Y18" s="85">
        <f t="shared" si="4"/>
        <v>0.83486904158215003</v>
      </c>
      <c r="Z18" s="85">
        <f>BG59/$AL$5</f>
        <v>2.79842799188641E-2</v>
      </c>
      <c r="AA18" s="85">
        <f>BH59/BH$5</f>
        <v>0.26736815415821502</v>
      </c>
      <c r="AB18" s="85">
        <f>BI59/BI$5</f>
        <v>0.95900101419878303</v>
      </c>
      <c r="AC18" s="85">
        <f>BJ59/BJ$5</f>
        <v>0.99921399594320492</v>
      </c>
      <c r="AD18" s="86">
        <f t="shared" si="5"/>
        <v>0.74186105476673436</v>
      </c>
      <c r="AE18" s="85">
        <f>BK59/$AP$5</f>
        <v>0.99926470588235294</v>
      </c>
      <c r="AF18" s="85">
        <f t="shared" si="8"/>
        <v>0.73964173427991897</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0.4898606440162272</v>
      </c>
      <c r="CH18" s="62">
        <f t="shared" ref="CH18:CH26" si="10">N11</f>
        <v>0.41704719827586212</v>
      </c>
      <c r="CI18" s="62">
        <f t="shared" ref="CI18:CI26" si="11">Y11</f>
        <v>0.3460084406693712</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0.81371811612576062</v>
      </c>
      <c r="D19" s="75">
        <f>AL66/$AL$5</f>
        <v>2.259761663286004E-2</v>
      </c>
      <c r="E19" s="75">
        <f>AM66/AM$5</f>
        <v>0.22619675456389451</v>
      </c>
      <c r="F19" s="75">
        <f>AN66/AN$5</f>
        <v>0.86305780933062881</v>
      </c>
      <c r="G19" s="75">
        <f>AO66/AO$5</f>
        <v>0.99830121703853958</v>
      </c>
      <c r="H19" s="76">
        <f t="shared" si="1"/>
        <v>0.69585192697768772</v>
      </c>
      <c r="I19" s="75">
        <f>AP66/$AP$5</f>
        <v>0.99890973630831636</v>
      </c>
      <c r="J19" s="75">
        <f>(($C$5*D19)+($D$5*E19)+($E$5*F19)+($F$5*G19)+($G$5*I19))</f>
        <v>0.69227345334685608</v>
      </c>
      <c r="K19"/>
      <c r="L19" s="68">
        <v>2</v>
      </c>
      <c r="M19" s="69">
        <f>AU62/$AK$5</f>
        <v>1</v>
      </c>
      <c r="N19" s="69">
        <f t="shared" si="2"/>
        <v>0.82816024340770789</v>
      </c>
      <c r="O19" s="69">
        <f>AV66/$AL$5</f>
        <v>2.6845841784989857E-2</v>
      </c>
      <c r="P19" s="69">
        <f>AW66/AW$5</f>
        <v>0.25590770791075051</v>
      </c>
      <c r="Q19" s="69">
        <f>AX66/AX$5</f>
        <v>0.92583671399594325</v>
      </c>
      <c r="R19" s="69">
        <f>AY66/AY$5</f>
        <v>0.99923935091277893</v>
      </c>
      <c r="S19" s="70">
        <f t="shared" si="3"/>
        <v>0.72699459093982433</v>
      </c>
      <c r="T19" s="69">
        <f>AZ66/$AP$5</f>
        <v>0.99934077079107508</v>
      </c>
      <c r="U19" s="69">
        <f>(($C$5*O19)+($D$5*P19)+($E$5*Q19)+($F$5*R19)+($G$5*T19))</f>
        <v>0.72398275862068973</v>
      </c>
      <c r="V19"/>
      <c r="W19" s="84">
        <v>2</v>
      </c>
      <c r="X19" s="85">
        <f>BF62/$AK$5</f>
        <v>1</v>
      </c>
      <c r="Y19" s="85">
        <f t="shared" si="4"/>
        <v>0.84068433062880321</v>
      </c>
      <c r="Z19" s="85">
        <f>BG66/$AL$5</f>
        <v>3.2677484787018256E-2</v>
      </c>
      <c r="AA19" s="85">
        <f>BH66/BH$5</f>
        <v>0.29754056795131845</v>
      </c>
      <c r="AB19" s="85">
        <f>BI66/BI$5</f>
        <v>0.96589756592292086</v>
      </c>
      <c r="AC19" s="85">
        <f>BJ66/BJ$5</f>
        <v>0.99926470588235294</v>
      </c>
      <c r="AD19" s="86">
        <f t="shared" si="5"/>
        <v>0.75423427991886405</v>
      </c>
      <c r="AE19" s="85">
        <f>BK66/$AP$5</f>
        <v>0.99929006085192695</v>
      </c>
      <c r="AF19" s="85">
        <f>(($C$5*Z19)+($D$5*AA19)+($E$5*AB19)+($F$5*AC19)+($G$5*AE19))</f>
        <v>0.74891683569979717</v>
      </c>
      <c r="AG19"/>
      <c r="AH19" s="37"/>
      <c r="AI19" s="56">
        <v>0.4</v>
      </c>
      <c r="AJ19" s="37" t="s">
        <v>0</v>
      </c>
      <c r="AK19" s="57">
        <v>631710</v>
      </c>
      <c r="AL19" s="57">
        <v>3944</v>
      </c>
      <c r="AM19" s="57">
        <v>3944</v>
      </c>
      <c r="AN19" s="57">
        <v>3944</v>
      </c>
      <c r="AO19" s="57">
        <v>3944</v>
      </c>
      <c r="AP19" s="57">
        <v>3944</v>
      </c>
      <c r="AQ19" s="37"/>
      <c r="AR19" s="37"/>
      <c r="AS19" s="56">
        <v>0.4</v>
      </c>
      <c r="AT19" s="37" t="s">
        <v>0</v>
      </c>
      <c r="AU19" s="57">
        <v>631710</v>
      </c>
      <c r="AV19" s="57">
        <v>3944</v>
      </c>
      <c r="AW19" s="57">
        <v>3944</v>
      </c>
      <c r="AX19" s="57">
        <v>3944</v>
      </c>
      <c r="AY19" s="57">
        <v>3944</v>
      </c>
      <c r="AZ19" s="57">
        <v>3944</v>
      </c>
      <c r="BA19" s="37"/>
      <c r="BB19" s="37"/>
      <c r="BC19" s="37"/>
      <c r="BD19" s="56">
        <v>0.4</v>
      </c>
      <c r="BE19" s="37" t="s">
        <v>0</v>
      </c>
      <c r="BF19" s="57">
        <v>631710</v>
      </c>
      <c r="BG19" s="57">
        <v>3944</v>
      </c>
      <c r="BH19" s="57">
        <v>3944</v>
      </c>
      <c r="BI19" s="57">
        <v>3944</v>
      </c>
      <c r="BJ19" s="57">
        <v>3944</v>
      </c>
      <c r="BK19" s="57">
        <v>3944</v>
      </c>
      <c r="BL19" s="37"/>
      <c r="BM19" s="37"/>
      <c r="BN19" s="37"/>
      <c r="BO19" s="37"/>
      <c r="BY19" s="37"/>
      <c r="BZ19" s="37"/>
      <c r="CA19" s="37"/>
      <c r="CB19" s="37"/>
      <c r="CC19" s="61">
        <v>0.2</v>
      </c>
      <c r="CD19" s="62">
        <v>0.77280172734718189</v>
      </c>
      <c r="CE19" s="62">
        <v>0.62134241679696223</v>
      </c>
      <c r="CF19" s="62">
        <v>0.48760330578512395</v>
      </c>
      <c r="CG19" s="62">
        <f t="shared" si="9"/>
        <v>0.64552572261663288</v>
      </c>
      <c r="CH19" s="62">
        <f t="shared" si="10"/>
        <v>0.60282284482758619</v>
      </c>
      <c r="CI19" s="62">
        <f t="shared" si="11"/>
        <v>0.54817767494929015</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620610</v>
      </c>
      <c r="AL20" s="57">
        <v>3874.7</v>
      </c>
      <c r="AM20" s="57">
        <v>3874.7</v>
      </c>
      <c r="AN20" s="57">
        <v>3874.7</v>
      </c>
      <c r="AO20" s="57">
        <v>3874.7</v>
      </c>
      <c r="AP20" s="57">
        <v>3874.7</v>
      </c>
      <c r="AQ20" s="37"/>
      <c r="AR20" s="37"/>
      <c r="AS20" s="56"/>
      <c r="AT20" s="37" t="s">
        <v>1</v>
      </c>
      <c r="AU20" s="57">
        <v>599340</v>
      </c>
      <c r="AV20" s="57">
        <v>3741.9</v>
      </c>
      <c r="AW20" s="57">
        <v>3741.9</v>
      </c>
      <c r="AX20" s="57">
        <v>3741.9</v>
      </c>
      <c r="AY20" s="57">
        <v>3741.9</v>
      </c>
      <c r="AZ20" s="57">
        <v>3741.9</v>
      </c>
      <c r="BA20" s="37"/>
      <c r="BB20" s="37"/>
      <c r="BC20" s="37"/>
      <c r="BD20" s="56"/>
      <c r="BE20" s="37" t="s">
        <v>1</v>
      </c>
      <c r="BF20" s="57">
        <v>561820</v>
      </c>
      <c r="BG20" s="57">
        <v>3507.7</v>
      </c>
      <c r="BH20" s="57">
        <v>3507.7</v>
      </c>
      <c r="BI20" s="57">
        <v>3507.7</v>
      </c>
      <c r="BJ20" s="57">
        <v>3507.7</v>
      </c>
      <c r="BK20" s="57">
        <v>3507.7</v>
      </c>
      <c r="BL20" s="37"/>
      <c r="BM20" s="37"/>
      <c r="BN20" s="37"/>
      <c r="BO20" s="37"/>
      <c r="BY20" s="37"/>
      <c r="BZ20" s="37"/>
      <c r="CA20" s="37"/>
      <c r="CB20" s="37"/>
      <c r="CC20" s="61">
        <v>0.4</v>
      </c>
      <c r="CD20" s="62">
        <v>0.93740227831136924</v>
      </c>
      <c r="CE20" s="62">
        <v>0.83551113096567642</v>
      </c>
      <c r="CF20" s="62">
        <v>0.7119350755714392</v>
      </c>
      <c r="CG20" s="62">
        <f t="shared" si="9"/>
        <v>0.73117218559837727</v>
      </c>
      <c r="CH20" s="62">
        <f t="shared" si="10"/>
        <v>0.73029646298174433</v>
      </c>
      <c r="CI20" s="62">
        <f t="shared" si="11"/>
        <v>0.711611549188641</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11102</v>
      </c>
      <c r="AL21" s="57">
        <v>69.316999999999993</v>
      </c>
      <c r="AM21" s="57">
        <v>69.316999999999993</v>
      </c>
      <c r="AN21" s="57">
        <v>69.316999999999993</v>
      </c>
      <c r="AO21" s="57">
        <v>69.316999999999993</v>
      </c>
      <c r="AP21" s="57">
        <v>69.316999999999993</v>
      </c>
      <c r="AQ21" s="57"/>
      <c r="AR21" s="37"/>
      <c r="AS21" s="56"/>
      <c r="AT21" s="37" t="s">
        <v>2</v>
      </c>
      <c r="AU21" s="57">
        <v>32372</v>
      </c>
      <c r="AV21" s="57">
        <v>202.11</v>
      </c>
      <c r="AW21" s="57">
        <v>202.11</v>
      </c>
      <c r="AX21" s="57">
        <v>202.11</v>
      </c>
      <c r="AY21" s="57">
        <v>202.11</v>
      </c>
      <c r="AZ21" s="57">
        <v>202.11</v>
      </c>
      <c r="BA21" s="57"/>
      <c r="BB21" s="37"/>
      <c r="BC21" s="37"/>
      <c r="BD21" s="56"/>
      <c r="BE21" s="37" t="s">
        <v>2</v>
      </c>
      <c r="BF21" s="57">
        <v>69891</v>
      </c>
      <c r="BG21" s="57">
        <v>436.35</v>
      </c>
      <c r="BH21" s="57">
        <v>436.35</v>
      </c>
      <c r="BI21" s="57">
        <v>436.35</v>
      </c>
      <c r="BJ21" s="57">
        <v>436.35</v>
      </c>
      <c r="BK21" s="57">
        <v>436.35</v>
      </c>
      <c r="BL21" s="57"/>
      <c r="BM21" s="57"/>
      <c r="BN21" s="57"/>
      <c r="BO21" s="37"/>
      <c r="BY21" s="37"/>
      <c r="BZ21" s="37"/>
      <c r="CA21" s="37"/>
      <c r="CB21" s="37"/>
      <c r="CC21" s="61">
        <v>0.6</v>
      </c>
      <c r="CD21" s="62">
        <v>0.98157248157248156</v>
      </c>
      <c r="CE21" s="62">
        <v>0.93494527585436671</v>
      </c>
      <c r="CF21" s="62">
        <v>0.84556250465341376</v>
      </c>
      <c r="CG21" s="62">
        <f t="shared" si="9"/>
        <v>0.75838911004056797</v>
      </c>
      <c r="CH21" s="62">
        <f t="shared" si="10"/>
        <v>0.77512619168356989</v>
      </c>
      <c r="CI21" s="62">
        <f t="shared" si="11"/>
        <v>0.77871364097363083</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620480</v>
      </c>
      <c r="AL22" s="57">
        <v>3854.4</v>
      </c>
      <c r="AM22" s="57">
        <v>3610.3</v>
      </c>
      <c r="AN22" s="57">
        <v>1686.5</v>
      </c>
      <c r="AO22" s="57">
        <v>9.4784000000000006</v>
      </c>
      <c r="AP22" s="57">
        <v>2.8549000000000002</v>
      </c>
      <c r="AQ22" s="37"/>
      <c r="AR22" s="37"/>
      <c r="AS22" s="56"/>
      <c r="AT22" s="37" t="s">
        <v>3</v>
      </c>
      <c r="AU22" s="57">
        <v>599150</v>
      </c>
      <c r="AV22" s="57">
        <v>3717.4</v>
      </c>
      <c r="AW22" s="57">
        <v>3425.7</v>
      </c>
      <c r="AX22" s="57">
        <v>1064</v>
      </c>
      <c r="AY22" s="57">
        <v>2.4735</v>
      </c>
      <c r="AZ22" s="57">
        <v>1.1567000000000001</v>
      </c>
      <c r="BA22" s="37"/>
      <c r="BB22" s="37"/>
      <c r="BC22" s="37"/>
      <c r="BD22" s="56"/>
      <c r="BE22" s="37" t="s">
        <v>3</v>
      </c>
      <c r="BF22" s="57">
        <v>561450</v>
      </c>
      <c r="BG22" s="57">
        <v>3472.5</v>
      </c>
      <c r="BH22" s="57">
        <v>3067.7</v>
      </c>
      <c r="BI22" s="57">
        <v>430.54</v>
      </c>
      <c r="BJ22" s="57">
        <v>0.77127999999999997</v>
      </c>
      <c r="BK22" s="57">
        <v>0.36035</v>
      </c>
      <c r="BL22" s="37"/>
      <c r="BM22" s="37"/>
      <c r="BN22" s="37"/>
      <c r="BO22" s="37"/>
      <c r="BY22" s="37"/>
      <c r="BZ22" s="37"/>
      <c r="CA22" s="37"/>
      <c r="CB22" s="37"/>
      <c r="CC22" s="61">
        <v>0.8</v>
      </c>
      <c r="CD22" s="62">
        <v>0.99348522075794798</v>
      </c>
      <c r="CE22" s="62">
        <v>0.97371751917206462</v>
      </c>
      <c r="CF22" s="62">
        <v>0.92195294468021738</v>
      </c>
      <c r="CG22" s="62">
        <f t="shared" si="9"/>
        <v>0.77281087728194731</v>
      </c>
      <c r="CH22" s="62">
        <f t="shared" si="10"/>
        <v>0.79399336967545642</v>
      </c>
      <c r="CI22" s="62">
        <f t="shared" si="11"/>
        <v>0.804071729208925</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0.78319497971602425</v>
      </c>
      <c r="CH23" s="62">
        <f t="shared" si="10"/>
        <v>0.80122478448275858</v>
      </c>
      <c r="CI23" s="62">
        <f t="shared" si="11"/>
        <v>0.81806469320486819</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19.501999999999999</v>
      </c>
      <c r="AM24" s="57">
        <v>263.52</v>
      </c>
      <c r="AN24" s="57">
        <v>2187.3000000000002</v>
      </c>
      <c r="AO24" s="57">
        <v>3864.3</v>
      </c>
      <c r="AP24" s="57">
        <v>3871</v>
      </c>
      <c r="AQ24" s="37"/>
      <c r="AR24" s="37"/>
      <c r="AS24" s="56"/>
      <c r="AT24" s="37" t="s">
        <v>5</v>
      </c>
      <c r="AU24" s="57">
        <v>0</v>
      </c>
      <c r="AV24" s="57">
        <v>23.315000000000001</v>
      </c>
      <c r="AW24" s="57">
        <v>314.79000000000002</v>
      </c>
      <c r="AX24" s="57">
        <v>2676.6</v>
      </c>
      <c r="AY24" s="57">
        <v>3738.1</v>
      </c>
      <c r="AZ24" s="57">
        <v>3739.4</v>
      </c>
      <c r="BA24" s="37"/>
      <c r="BB24" s="37"/>
      <c r="BC24" s="37"/>
      <c r="BD24" s="56"/>
      <c r="BE24" s="37" t="s">
        <v>5</v>
      </c>
      <c r="BF24" s="57">
        <v>0</v>
      </c>
      <c r="BG24" s="57">
        <v>32.939</v>
      </c>
      <c r="BH24" s="57">
        <v>437.36</v>
      </c>
      <c r="BI24" s="57">
        <v>3074.8</v>
      </c>
      <c r="BJ24" s="57">
        <v>3504.5</v>
      </c>
      <c r="BK24" s="57">
        <v>3504.9</v>
      </c>
      <c r="BL24" s="37"/>
      <c r="BM24" s="37"/>
      <c r="BN24" s="37"/>
      <c r="BO24" s="37"/>
      <c r="BY24" s="37"/>
      <c r="BZ24" s="37"/>
      <c r="CA24" s="37"/>
      <c r="CB24" s="37"/>
      <c r="CC24" s="61">
        <v>1.2</v>
      </c>
      <c r="CD24" s="62">
        <v>0.9987156578065669</v>
      </c>
      <c r="CE24" s="62">
        <v>0.99434144888690346</v>
      </c>
      <c r="CF24" s="62">
        <v>0.97799865981684164</v>
      </c>
      <c r="CG24" s="62">
        <f t="shared" si="9"/>
        <v>0.79125844320486816</v>
      </c>
      <c r="CH24" s="62">
        <f t="shared" si="10"/>
        <v>0.80900360040567953</v>
      </c>
      <c r="CI24" s="62">
        <f t="shared" si="11"/>
        <v>0.82508057809330615</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0.8036185851926978</v>
      </c>
      <c r="CH25" s="62">
        <f t="shared" si="10"/>
        <v>0.81897829614604456</v>
      </c>
      <c r="CI25" s="62">
        <f t="shared" si="11"/>
        <v>0.83486904158215003</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631710</v>
      </c>
      <c r="AL26" s="57">
        <v>3944</v>
      </c>
      <c r="AM26" s="57">
        <v>3944</v>
      </c>
      <c r="AN26" s="57">
        <v>3944</v>
      </c>
      <c r="AO26" s="57">
        <v>3944</v>
      </c>
      <c r="AP26" s="57">
        <v>3944</v>
      </c>
      <c r="AQ26" s="37"/>
      <c r="AR26" s="37"/>
      <c r="AS26" s="56">
        <v>0.6</v>
      </c>
      <c r="AT26" s="37" t="s">
        <v>0</v>
      </c>
      <c r="AU26" s="57">
        <v>631710</v>
      </c>
      <c r="AV26" s="57">
        <v>3944</v>
      </c>
      <c r="AW26" s="57">
        <v>3944</v>
      </c>
      <c r="AX26" s="57">
        <v>3944</v>
      </c>
      <c r="AY26" s="57">
        <v>3944</v>
      </c>
      <c r="AZ26" s="57">
        <v>3944</v>
      </c>
      <c r="BA26" s="37"/>
      <c r="BB26" s="37"/>
      <c r="BC26" s="37"/>
      <c r="BD26" s="56">
        <v>0.6</v>
      </c>
      <c r="BE26" s="37" t="s">
        <v>0</v>
      </c>
      <c r="BF26" s="57">
        <v>631710</v>
      </c>
      <c r="BG26" s="57">
        <v>3944</v>
      </c>
      <c r="BH26" s="57">
        <v>3944</v>
      </c>
      <c r="BI26" s="57">
        <v>3944</v>
      </c>
      <c r="BJ26" s="57">
        <v>3944</v>
      </c>
      <c r="BK26" s="57">
        <v>3944</v>
      </c>
      <c r="BL26" s="37"/>
      <c r="BM26" s="37"/>
      <c r="BN26" s="37"/>
      <c r="BO26" s="37"/>
      <c r="BY26" s="37"/>
      <c r="BZ26" s="37"/>
      <c r="CA26" s="37"/>
      <c r="CB26" s="37"/>
      <c r="CC26" s="61">
        <v>2</v>
      </c>
      <c r="CD26" s="62">
        <v>1</v>
      </c>
      <c r="CE26" s="62">
        <v>1</v>
      </c>
      <c r="CF26" s="62">
        <v>1</v>
      </c>
      <c r="CG26" s="62">
        <f t="shared" si="9"/>
        <v>0.81371811612576062</v>
      </c>
      <c r="CH26" s="62">
        <f t="shared" si="10"/>
        <v>0.82816024340770789</v>
      </c>
      <c r="CI26" s="62">
        <f t="shared" si="11"/>
        <v>0.84068433062880321</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629250</v>
      </c>
      <c r="AL27" s="57">
        <v>3928.6</v>
      </c>
      <c r="AM27" s="57">
        <v>3928.6</v>
      </c>
      <c r="AN27" s="57">
        <v>3928.6</v>
      </c>
      <c r="AO27" s="57">
        <v>3928.6</v>
      </c>
      <c r="AP27" s="57">
        <v>3928.6</v>
      </c>
      <c r="AQ27" s="37"/>
      <c r="AR27" s="37"/>
      <c r="AS27" s="56"/>
      <c r="AT27" s="37" t="s">
        <v>1</v>
      </c>
      <c r="AU27" s="57">
        <v>624840</v>
      </c>
      <c r="AV27" s="57">
        <v>3901.1</v>
      </c>
      <c r="AW27" s="57">
        <v>3901.1</v>
      </c>
      <c r="AX27" s="57">
        <v>3901.1</v>
      </c>
      <c r="AY27" s="57">
        <v>3901.1</v>
      </c>
      <c r="AZ27" s="57">
        <v>3901.1</v>
      </c>
      <c r="BA27" s="37"/>
      <c r="BB27" s="37"/>
      <c r="BC27" s="37"/>
      <c r="BD27" s="56"/>
      <c r="BE27" s="37" t="s">
        <v>1</v>
      </c>
      <c r="BF27" s="57">
        <v>608510</v>
      </c>
      <c r="BG27" s="57">
        <v>3799.1</v>
      </c>
      <c r="BH27" s="57">
        <v>3799.1</v>
      </c>
      <c r="BI27" s="57">
        <v>3799.1</v>
      </c>
      <c r="BJ27" s="57">
        <v>3799.1</v>
      </c>
      <c r="BK27" s="57">
        <v>3799.1</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2458.6999999999998</v>
      </c>
      <c r="AL28" s="57">
        <v>15.351000000000001</v>
      </c>
      <c r="AM28" s="57">
        <v>15.351000000000001</v>
      </c>
      <c r="AN28" s="57">
        <v>15.351000000000001</v>
      </c>
      <c r="AO28" s="57">
        <v>15.351000000000001</v>
      </c>
      <c r="AP28" s="57">
        <v>15.351000000000001</v>
      </c>
      <c r="AQ28" s="37"/>
      <c r="AR28" s="37"/>
      <c r="AS28" s="56"/>
      <c r="AT28" s="37" t="s">
        <v>2</v>
      </c>
      <c r="AU28" s="57">
        <v>6870.5</v>
      </c>
      <c r="AV28" s="57">
        <v>42.895000000000003</v>
      </c>
      <c r="AW28" s="57">
        <v>42.895000000000003</v>
      </c>
      <c r="AX28" s="57">
        <v>42.895000000000003</v>
      </c>
      <c r="AY28" s="57">
        <v>42.895000000000003</v>
      </c>
      <c r="AZ28" s="57">
        <v>42.895000000000003</v>
      </c>
      <c r="BA28" s="37"/>
      <c r="BB28" s="37"/>
      <c r="BC28" s="37"/>
      <c r="BD28" s="56"/>
      <c r="BE28" s="37" t="s">
        <v>2</v>
      </c>
      <c r="BF28" s="57">
        <v>23203</v>
      </c>
      <c r="BG28" s="57">
        <v>144.87</v>
      </c>
      <c r="BH28" s="57">
        <v>144.87</v>
      </c>
      <c r="BI28" s="57">
        <v>144.87</v>
      </c>
      <c r="BJ28" s="57">
        <v>144.87</v>
      </c>
      <c r="BK28" s="57">
        <v>144.87</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629140</v>
      </c>
      <c r="AL29" s="57">
        <v>3899.1</v>
      </c>
      <c r="AM29" s="57">
        <v>3562.5</v>
      </c>
      <c r="AN29" s="57">
        <v>1362.2</v>
      </c>
      <c r="AO29" s="57">
        <v>9.5883000000000003</v>
      </c>
      <c r="AP29" s="57">
        <v>3.1968000000000001</v>
      </c>
      <c r="AQ29" s="37"/>
      <c r="AR29" s="37"/>
      <c r="AS29" s="56"/>
      <c r="AT29" s="37" t="s">
        <v>3</v>
      </c>
      <c r="AU29" s="57">
        <v>624630</v>
      </c>
      <c r="AV29" s="57">
        <v>3864.7</v>
      </c>
      <c r="AW29" s="57">
        <v>3465.1</v>
      </c>
      <c r="AX29" s="57">
        <v>857.52</v>
      </c>
      <c r="AY29" s="57">
        <v>2.1322999999999999</v>
      </c>
      <c r="AZ29" s="57">
        <v>1.0687</v>
      </c>
      <c r="BA29" s="37"/>
      <c r="BB29" s="37"/>
      <c r="BC29" s="37"/>
      <c r="BD29" s="56"/>
      <c r="BE29" s="37" t="s">
        <v>3</v>
      </c>
      <c r="BF29" s="57">
        <v>608160</v>
      </c>
      <c r="BG29" s="57">
        <v>3750.1</v>
      </c>
      <c r="BH29" s="57">
        <v>3222.4</v>
      </c>
      <c r="BI29" s="57">
        <v>362.14</v>
      </c>
      <c r="BJ29" s="57">
        <v>0.75914999999999999</v>
      </c>
      <c r="BK29" s="57">
        <v>0.38662999999999997</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28.763000000000002</v>
      </c>
      <c r="AM31" s="57">
        <v>365.19</v>
      </c>
      <c r="AN31" s="57">
        <v>2565.6</v>
      </c>
      <c r="AO31" s="57">
        <v>3918.2</v>
      </c>
      <c r="AP31" s="57">
        <v>3924.6</v>
      </c>
      <c r="AQ31" s="37"/>
      <c r="AR31" s="37"/>
      <c r="AS31" s="56"/>
      <c r="AT31" s="37" t="s">
        <v>5</v>
      </c>
      <c r="AU31" s="57">
        <v>0</v>
      </c>
      <c r="AV31" s="57">
        <v>34.984000000000002</v>
      </c>
      <c r="AW31" s="57">
        <v>434.39</v>
      </c>
      <c r="AX31" s="57">
        <v>3042.1</v>
      </c>
      <c r="AY31" s="57">
        <v>3897.5</v>
      </c>
      <c r="AZ31" s="57">
        <v>3898.5</v>
      </c>
      <c r="BA31" s="37"/>
      <c r="BB31" s="37"/>
      <c r="BC31" s="37"/>
      <c r="BD31" s="56"/>
      <c r="BE31" s="37" t="s">
        <v>5</v>
      </c>
      <c r="BF31" s="57">
        <v>0</v>
      </c>
      <c r="BG31" s="57">
        <v>46.682000000000002</v>
      </c>
      <c r="BH31" s="57">
        <v>574.15</v>
      </c>
      <c r="BI31" s="57">
        <v>3434.6</v>
      </c>
      <c r="BJ31" s="57">
        <v>3796</v>
      </c>
      <c r="BK31" s="57">
        <v>3796.4</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631710</v>
      </c>
      <c r="AL33" s="57">
        <v>3944</v>
      </c>
      <c r="AM33" s="57">
        <v>3944</v>
      </c>
      <c r="AN33" s="57">
        <v>3944</v>
      </c>
      <c r="AO33" s="57">
        <v>3944</v>
      </c>
      <c r="AP33" s="57">
        <v>3944</v>
      </c>
      <c r="AQ33" s="37"/>
      <c r="AR33" s="37"/>
      <c r="AS33" s="56">
        <v>0.8</v>
      </c>
      <c r="AT33" s="37" t="s">
        <v>0</v>
      </c>
      <c r="AU33" s="57">
        <v>631710</v>
      </c>
      <c r="AV33" s="57">
        <v>3944</v>
      </c>
      <c r="AW33" s="57">
        <v>3944</v>
      </c>
      <c r="AX33" s="57">
        <v>3944</v>
      </c>
      <c r="AY33" s="57">
        <v>3944</v>
      </c>
      <c r="AZ33" s="57">
        <v>3944</v>
      </c>
      <c r="BA33" s="37"/>
      <c r="BB33" s="37"/>
      <c r="BC33" s="37"/>
      <c r="BD33" s="56">
        <v>0.8</v>
      </c>
      <c r="BE33" s="37" t="s">
        <v>0</v>
      </c>
      <c r="BF33" s="57">
        <v>631710</v>
      </c>
      <c r="BG33" s="57">
        <v>3944</v>
      </c>
      <c r="BH33" s="57">
        <v>3944</v>
      </c>
      <c r="BI33" s="57">
        <v>3944</v>
      </c>
      <c r="BJ33" s="57">
        <v>3944</v>
      </c>
      <c r="BK33" s="57">
        <v>3944</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631310</v>
      </c>
      <c r="AL34" s="57">
        <v>3941.5</v>
      </c>
      <c r="AM34" s="57">
        <v>3941.5</v>
      </c>
      <c r="AN34" s="57">
        <v>3941.5</v>
      </c>
      <c r="AO34" s="57">
        <v>3941.5</v>
      </c>
      <c r="AP34" s="57">
        <v>3941.5</v>
      </c>
      <c r="AQ34" s="37"/>
      <c r="AR34" s="37"/>
      <c r="AS34" s="56"/>
      <c r="AT34" s="37" t="s">
        <v>1</v>
      </c>
      <c r="AU34" s="57">
        <v>629610</v>
      </c>
      <c r="AV34" s="57">
        <v>3930.9</v>
      </c>
      <c r="AW34" s="57">
        <v>3930.9</v>
      </c>
      <c r="AX34" s="57">
        <v>3930.9</v>
      </c>
      <c r="AY34" s="57">
        <v>3930.9</v>
      </c>
      <c r="AZ34" s="57">
        <v>3930.9</v>
      </c>
      <c r="BA34" s="37"/>
      <c r="BB34" s="37"/>
      <c r="BC34" s="37"/>
      <c r="BD34" s="56"/>
      <c r="BE34" s="37" t="s">
        <v>1</v>
      </c>
      <c r="BF34" s="57">
        <v>622940</v>
      </c>
      <c r="BG34" s="57">
        <v>3889.2</v>
      </c>
      <c r="BH34" s="57">
        <v>3889.2</v>
      </c>
      <c r="BI34" s="57">
        <v>3889.2</v>
      </c>
      <c r="BJ34" s="57">
        <v>3889.2</v>
      </c>
      <c r="BK34" s="57">
        <v>3889.2</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402.46</v>
      </c>
      <c r="AL35" s="57">
        <v>2.5127000000000002</v>
      </c>
      <c r="AM35" s="57">
        <v>2.5127000000000002</v>
      </c>
      <c r="AN35" s="57">
        <v>2.5127000000000002</v>
      </c>
      <c r="AO35" s="57">
        <v>2.5127000000000002</v>
      </c>
      <c r="AP35" s="57">
        <v>2.5127000000000002</v>
      </c>
      <c r="AQ35" s="37"/>
      <c r="AR35" s="37"/>
      <c r="AS35" s="56"/>
      <c r="AT35" s="37" t="s">
        <v>2</v>
      </c>
      <c r="AU35" s="57">
        <v>2097.6999999999998</v>
      </c>
      <c r="AV35" s="57">
        <v>13.097</v>
      </c>
      <c r="AW35" s="57">
        <v>13.097</v>
      </c>
      <c r="AX35" s="57">
        <v>13.097</v>
      </c>
      <c r="AY35" s="57">
        <v>13.097</v>
      </c>
      <c r="AZ35" s="57">
        <v>13.097</v>
      </c>
      <c r="BA35" s="37"/>
      <c r="BB35" s="37"/>
      <c r="BC35" s="37"/>
      <c r="BD35" s="56"/>
      <c r="BE35" s="37" t="s">
        <v>2</v>
      </c>
      <c r="BF35" s="57">
        <v>8772.6</v>
      </c>
      <c r="BG35" s="57">
        <v>54.771000000000001</v>
      </c>
      <c r="BH35" s="57">
        <v>54.771000000000001</v>
      </c>
      <c r="BI35" s="57">
        <v>54.771000000000001</v>
      </c>
      <c r="BJ35" s="57">
        <v>54.771000000000001</v>
      </c>
      <c r="BK35" s="57">
        <v>54.771000000000001</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631190</v>
      </c>
      <c r="AL36" s="57">
        <v>3902.9</v>
      </c>
      <c r="AM36" s="57">
        <v>3484.3</v>
      </c>
      <c r="AN36" s="57">
        <v>1145</v>
      </c>
      <c r="AO36" s="57">
        <v>9.6941000000000006</v>
      </c>
      <c r="AP36" s="57">
        <v>3.4119000000000002</v>
      </c>
      <c r="AQ36" s="37"/>
      <c r="AR36" s="37"/>
      <c r="AS36" s="56"/>
      <c r="AT36" s="37" t="s">
        <v>3</v>
      </c>
      <c r="AU36" s="57">
        <v>629390</v>
      </c>
      <c r="AV36" s="57">
        <v>3882.8</v>
      </c>
      <c r="AW36" s="57">
        <v>3385.8</v>
      </c>
      <c r="AX36" s="57">
        <v>633.62</v>
      </c>
      <c r="AY36" s="57">
        <v>1.5283</v>
      </c>
      <c r="AZ36" s="57">
        <v>1.0119</v>
      </c>
      <c r="BA36" s="37"/>
      <c r="BB36" s="37"/>
      <c r="BC36" s="37"/>
      <c r="BD36" s="56"/>
      <c r="BE36" s="37" t="s">
        <v>3</v>
      </c>
      <c r="BF36" s="57">
        <v>622600</v>
      </c>
      <c r="BG36" s="57">
        <v>3827.2</v>
      </c>
      <c r="BH36" s="57">
        <v>3199.3</v>
      </c>
      <c r="BI36" s="57">
        <v>293.48</v>
      </c>
      <c r="BJ36" s="57">
        <v>0.66707000000000005</v>
      </c>
      <c r="BK36" s="57">
        <v>0.40516000000000002</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37.802</v>
      </c>
      <c r="AM38" s="57">
        <v>456.24</v>
      </c>
      <c r="AN38" s="57">
        <v>2795.6</v>
      </c>
      <c r="AO38" s="57">
        <v>3931</v>
      </c>
      <c r="AP38" s="57">
        <v>3937.3</v>
      </c>
      <c r="AQ38" s="37"/>
      <c r="AR38" s="37"/>
      <c r="AS38" s="56"/>
      <c r="AT38" s="37" t="s">
        <v>5</v>
      </c>
      <c r="AU38" s="57">
        <v>0</v>
      </c>
      <c r="AV38" s="57">
        <v>46.557000000000002</v>
      </c>
      <c r="AW38" s="57">
        <v>543.38</v>
      </c>
      <c r="AX38" s="57">
        <v>3295.7</v>
      </c>
      <c r="AY38" s="57">
        <v>3927.8</v>
      </c>
      <c r="AZ38" s="57">
        <v>3928.3</v>
      </c>
      <c r="BA38" s="37"/>
      <c r="BB38" s="37"/>
      <c r="BC38" s="37"/>
      <c r="BD38" s="56"/>
      <c r="BE38" s="37" t="s">
        <v>5</v>
      </c>
      <c r="BF38" s="57">
        <v>0</v>
      </c>
      <c r="BG38" s="57">
        <v>59.628</v>
      </c>
      <c r="BH38" s="57">
        <v>687.25</v>
      </c>
      <c r="BI38" s="57">
        <v>3593.4</v>
      </c>
      <c r="BJ38" s="57">
        <v>3886.2</v>
      </c>
      <c r="BK38" s="57">
        <v>3886.5</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631710</v>
      </c>
      <c r="AL40" s="57">
        <v>3944</v>
      </c>
      <c r="AM40" s="57">
        <v>3944</v>
      </c>
      <c r="AN40" s="57">
        <v>3944</v>
      </c>
      <c r="AO40" s="57">
        <v>3944</v>
      </c>
      <c r="AP40" s="57">
        <v>3944</v>
      </c>
      <c r="AQ40" s="37"/>
      <c r="AR40" s="37"/>
      <c r="AS40" s="56">
        <v>1</v>
      </c>
      <c r="AT40" s="37" t="s">
        <v>0</v>
      </c>
      <c r="AU40" s="57">
        <v>631710</v>
      </c>
      <c r="AV40" s="57">
        <v>3944</v>
      </c>
      <c r="AW40" s="57">
        <v>3944</v>
      </c>
      <c r="AX40" s="57">
        <v>3944</v>
      </c>
      <c r="AY40" s="57">
        <v>3944</v>
      </c>
      <c r="AZ40" s="57">
        <v>3944</v>
      </c>
      <c r="BA40" s="37"/>
      <c r="BB40" s="37"/>
      <c r="BC40" s="37"/>
      <c r="BD40" s="56">
        <v>1</v>
      </c>
      <c r="BE40" s="37" t="s">
        <v>0</v>
      </c>
      <c r="BF40" s="57">
        <v>631710</v>
      </c>
      <c r="BG40" s="57">
        <v>3944</v>
      </c>
      <c r="BH40" s="57">
        <v>3944</v>
      </c>
      <c r="BI40" s="57">
        <v>3944</v>
      </c>
      <c r="BJ40" s="57">
        <v>3944</v>
      </c>
      <c r="BK40" s="57">
        <v>3944</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631710</v>
      </c>
      <c r="AL41" s="57">
        <v>3944</v>
      </c>
      <c r="AM41" s="57">
        <v>3944</v>
      </c>
      <c r="AN41" s="57">
        <v>3944</v>
      </c>
      <c r="AO41" s="57">
        <v>3944</v>
      </c>
      <c r="AP41" s="57">
        <v>3944</v>
      </c>
      <c r="AQ41" s="37"/>
      <c r="AR41" s="37"/>
      <c r="AS41" s="56"/>
      <c r="AT41" s="37" t="s">
        <v>1</v>
      </c>
      <c r="AU41" s="57">
        <v>631050</v>
      </c>
      <c r="AV41" s="57">
        <v>3939.9</v>
      </c>
      <c r="AW41" s="57">
        <v>3939.9</v>
      </c>
      <c r="AX41" s="57">
        <v>3939.9</v>
      </c>
      <c r="AY41" s="57">
        <v>3939.9</v>
      </c>
      <c r="AZ41" s="57">
        <v>3939.9</v>
      </c>
      <c r="BA41" s="37"/>
      <c r="BB41" s="37"/>
      <c r="BC41" s="37"/>
      <c r="BD41" s="56"/>
      <c r="BE41" s="37" t="s">
        <v>1</v>
      </c>
      <c r="BF41" s="57">
        <v>629460</v>
      </c>
      <c r="BG41" s="57">
        <v>3930</v>
      </c>
      <c r="BH41" s="57">
        <v>3930</v>
      </c>
      <c r="BI41" s="57">
        <v>3930</v>
      </c>
      <c r="BJ41" s="57">
        <v>3930</v>
      </c>
      <c r="BK41" s="57">
        <v>3930</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0</v>
      </c>
      <c r="AL42" s="57">
        <v>0</v>
      </c>
      <c r="AM42" s="57">
        <v>0</v>
      </c>
      <c r="AN42" s="57">
        <v>0</v>
      </c>
      <c r="AO42" s="57">
        <v>0</v>
      </c>
      <c r="AP42" s="57">
        <v>0</v>
      </c>
      <c r="AQ42" s="37"/>
      <c r="AR42" s="37"/>
      <c r="AS42" s="56"/>
      <c r="AT42" s="37" t="s">
        <v>2</v>
      </c>
      <c r="AU42" s="57">
        <v>659.56</v>
      </c>
      <c r="AV42" s="57">
        <v>4.1178999999999997</v>
      </c>
      <c r="AW42" s="57">
        <v>4.1178999999999997</v>
      </c>
      <c r="AX42" s="57">
        <v>4.1178999999999997</v>
      </c>
      <c r="AY42" s="57">
        <v>4.1178999999999997</v>
      </c>
      <c r="AZ42" s="57">
        <v>4.1178999999999997</v>
      </c>
      <c r="BA42" s="37"/>
      <c r="BB42" s="37"/>
      <c r="BC42" s="37"/>
      <c r="BD42" s="56"/>
      <c r="BE42" s="37" t="s">
        <v>2</v>
      </c>
      <c r="BF42" s="57">
        <v>2248.5</v>
      </c>
      <c r="BG42" s="57">
        <v>14.038</v>
      </c>
      <c r="BH42" s="57">
        <v>14.038</v>
      </c>
      <c r="BI42" s="57">
        <v>14.038</v>
      </c>
      <c r="BJ42" s="57">
        <v>14.038</v>
      </c>
      <c r="BK42" s="57">
        <v>14.038</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631580</v>
      </c>
      <c r="AL43" s="57">
        <v>3896.4</v>
      </c>
      <c r="AM43" s="57">
        <v>3402.4</v>
      </c>
      <c r="AN43" s="57">
        <v>973.97</v>
      </c>
      <c r="AO43" s="57">
        <v>8.6989000000000001</v>
      </c>
      <c r="AP43" s="57">
        <v>3.2178</v>
      </c>
      <c r="AQ43" s="37"/>
      <c r="AR43" s="37"/>
      <c r="AS43" s="56"/>
      <c r="AT43" s="37" t="s">
        <v>3</v>
      </c>
      <c r="AU43" s="57">
        <v>630850</v>
      </c>
      <c r="AV43" s="57">
        <v>3883.6</v>
      </c>
      <c r="AW43" s="57">
        <v>3319.9</v>
      </c>
      <c r="AX43" s="57">
        <v>568.88</v>
      </c>
      <c r="AY43" s="57">
        <v>1.8557999999999999</v>
      </c>
      <c r="AZ43" s="57">
        <v>1.2169000000000001</v>
      </c>
      <c r="BA43" s="37"/>
      <c r="BB43" s="37"/>
      <c r="BC43" s="37"/>
      <c r="BD43" s="56"/>
      <c r="BE43" s="37" t="s">
        <v>3</v>
      </c>
      <c r="BF43" s="57">
        <v>629110</v>
      </c>
      <c r="BG43" s="57">
        <v>3855.6</v>
      </c>
      <c r="BH43" s="57">
        <v>3141.4</v>
      </c>
      <c r="BI43" s="57">
        <v>245</v>
      </c>
      <c r="BJ43" s="57">
        <v>0.61033999999999999</v>
      </c>
      <c r="BK43" s="57">
        <v>0.40764</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46.76</v>
      </c>
      <c r="AM45" s="57">
        <v>540.62</v>
      </c>
      <c r="AN45" s="57">
        <v>2969.2</v>
      </c>
      <c r="AO45" s="57">
        <v>3934.4</v>
      </c>
      <c r="AP45" s="57">
        <v>3939.9</v>
      </c>
      <c r="AQ45" s="37"/>
      <c r="AR45" s="37"/>
      <c r="AS45" s="56"/>
      <c r="AT45" s="37" t="s">
        <v>5</v>
      </c>
      <c r="AU45" s="57">
        <v>0</v>
      </c>
      <c r="AV45" s="57">
        <v>54.901000000000003</v>
      </c>
      <c r="AW45" s="57">
        <v>618.37</v>
      </c>
      <c r="AX45" s="57">
        <v>3369.6</v>
      </c>
      <c r="AY45" s="57">
        <v>3936.6</v>
      </c>
      <c r="AZ45" s="57">
        <v>3937.2</v>
      </c>
      <c r="BA45" s="37"/>
      <c r="BB45" s="37"/>
      <c r="BC45" s="37"/>
      <c r="BD45" s="56"/>
      <c r="BE45" s="37" t="s">
        <v>5</v>
      </c>
      <c r="BF45" s="57">
        <v>0</v>
      </c>
      <c r="BG45" s="57">
        <v>71.923000000000002</v>
      </c>
      <c r="BH45" s="57">
        <v>785.94</v>
      </c>
      <c r="BI45" s="57">
        <v>3682.5</v>
      </c>
      <c r="BJ45" s="57">
        <v>3926.9</v>
      </c>
      <c r="BK45" s="57">
        <v>3927.1</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631710</v>
      </c>
      <c r="AL47" s="57">
        <v>3944</v>
      </c>
      <c r="AM47" s="57">
        <v>3944</v>
      </c>
      <c r="AN47" s="57">
        <v>3944</v>
      </c>
      <c r="AO47" s="57">
        <v>3944</v>
      </c>
      <c r="AP47" s="57">
        <v>3944</v>
      </c>
      <c r="AQ47" s="37"/>
      <c r="AR47" s="37"/>
      <c r="AS47" s="56">
        <v>1.2</v>
      </c>
      <c r="AT47" s="37" t="s">
        <v>0</v>
      </c>
      <c r="AU47" s="57">
        <v>631710</v>
      </c>
      <c r="AV47" s="57">
        <v>3944</v>
      </c>
      <c r="AW47" s="57">
        <v>3944</v>
      </c>
      <c r="AX47" s="57">
        <v>3944</v>
      </c>
      <c r="AY47" s="57">
        <v>3944</v>
      </c>
      <c r="AZ47" s="57">
        <v>3944</v>
      </c>
      <c r="BA47" s="37"/>
      <c r="BB47" s="37"/>
      <c r="BC47" s="37"/>
      <c r="BD47" s="56">
        <v>1.2</v>
      </c>
      <c r="BE47" s="37" t="s">
        <v>0</v>
      </c>
      <c r="BF47" s="57">
        <v>631710</v>
      </c>
      <c r="BG47" s="57">
        <v>3944</v>
      </c>
      <c r="BH47" s="57">
        <v>3944</v>
      </c>
      <c r="BI47" s="57">
        <v>3944</v>
      </c>
      <c r="BJ47" s="57">
        <v>3944</v>
      </c>
      <c r="BK47" s="57">
        <v>3944</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631710</v>
      </c>
      <c r="AL48" s="57">
        <v>3944</v>
      </c>
      <c r="AM48" s="57">
        <v>3944</v>
      </c>
      <c r="AN48" s="57">
        <v>3944</v>
      </c>
      <c r="AO48" s="57">
        <v>3944</v>
      </c>
      <c r="AP48" s="57">
        <v>3944</v>
      </c>
      <c r="AQ48" s="37"/>
      <c r="AR48" s="37"/>
      <c r="AS48" s="56"/>
      <c r="AT48" s="37" t="s">
        <v>1</v>
      </c>
      <c r="AU48" s="57">
        <v>631710</v>
      </c>
      <c r="AV48" s="57">
        <v>3944</v>
      </c>
      <c r="AW48" s="57">
        <v>3944</v>
      </c>
      <c r="AX48" s="57">
        <v>3944</v>
      </c>
      <c r="AY48" s="57">
        <v>3944</v>
      </c>
      <c r="AZ48" s="57">
        <v>3944</v>
      </c>
      <c r="BA48" s="37"/>
      <c r="BB48" s="37"/>
      <c r="BC48" s="37"/>
      <c r="BD48" s="56"/>
      <c r="BE48" s="37" t="s">
        <v>1</v>
      </c>
      <c r="BF48" s="57">
        <v>630990</v>
      </c>
      <c r="BG48" s="57">
        <v>3939.5</v>
      </c>
      <c r="BH48" s="57">
        <v>3939.5</v>
      </c>
      <c r="BI48" s="57">
        <v>3939.5</v>
      </c>
      <c r="BJ48" s="57">
        <v>3939.5</v>
      </c>
      <c r="BK48" s="57">
        <v>3939.5</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0</v>
      </c>
      <c r="AV49" s="57">
        <v>0</v>
      </c>
      <c r="AW49" s="57">
        <v>0</v>
      </c>
      <c r="AX49" s="57">
        <v>0</v>
      </c>
      <c r="AY49" s="57">
        <v>0</v>
      </c>
      <c r="AZ49" s="57">
        <v>0</v>
      </c>
      <c r="BA49" s="37"/>
      <c r="BB49" s="37"/>
      <c r="BC49" s="37"/>
      <c r="BD49" s="56"/>
      <c r="BE49" s="37" t="s">
        <v>2</v>
      </c>
      <c r="BF49" s="57">
        <v>720.73</v>
      </c>
      <c r="BG49" s="57">
        <v>4.4997999999999996</v>
      </c>
      <c r="BH49" s="57">
        <v>4.4997999999999996</v>
      </c>
      <c r="BI49" s="57">
        <v>4.4997999999999996</v>
      </c>
      <c r="BJ49" s="57">
        <v>4.4997999999999996</v>
      </c>
      <c r="BK49" s="57">
        <v>4.4997999999999996</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631600</v>
      </c>
      <c r="AL50" s="57">
        <v>3887.6</v>
      </c>
      <c r="AM50" s="57">
        <v>3323.6</v>
      </c>
      <c r="AN50" s="57">
        <v>844.49</v>
      </c>
      <c r="AO50" s="57">
        <v>7.9661999999999997</v>
      </c>
      <c r="AP50" s="57">
        <v>3.3637000000000001</v>
      </c>
      <c r="AQ50" s="37"/>
      <c r="AR50" s="37"/>
      <c r="AS50" s="56"/>
      <c r="AT50" s="37" t="s">
        <v>3</v>
      </c>
      <c r="AU50" s="57">
        <v>631500</v>
      </c>
      <c r="AV50" s="57">
        <v>3876.5</v>
      </c>
      <c r="AW50" s="57">
        <v>3232.4</v>
      </c>
      <c r="AX50" s="57">
        <v>481.65</v>
      </c>
      <c r="AY50" s="57">
        <v>1.7058</v>
      </c>
      <c r="AZ50" s="57">
        <v>1.1476</v>
      </c>
      <c r="BA50" s="37"/>
      <c r="BB50" s="37"/>
      <c r="BC50" s="37"/>
      <c r="BD50" s="56"/>
      <c r="BE50" s="37" t="s">
        <v>3</v>
      </c>
      <c r="BF50" s="57">
        <v>630650</v>
      </c>
      <c r="BG50" s="57">
        <v>3852.8</v>
      </c>
      <c r="BH50" s="57">
        <v>3059.3</v>
      </c>
      <c r="BI50" s="57">
        <v>207.49</v>
      </c>
      <c r="BJ50" s="57">
        <v>0.58877999999999997</v>
      </c>
      <c r="BK50" s="57">
        <v>0.41804000000000002</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55.506</v>
      </c>
      <c r="AM52" s="57">
        <v>619.41999999999996</v>
      </c>
      <c r="AN52" s="57">
        <v>3098.7</v>
      </c>
      <c r="AO52" s="57">
        <v>3935.2</v>
      </c>
      <c r="AP52" s="57">
        <v>3939.9</v>
      </c>
      <c r="AQ52" s="37"/>
      <c r="AR52" s="37"/>
      <c r="AS52" s="56"/>
      <c r="AT52" s="37" t="s">
        <v>5</v>
      </c>
      <c r="AU52" s="57">
        <v>0</v>
      </c>
      <c r="AV52" s="57">
        <v>66.013999999999996</v>
      </c>
      <c r="AW52" s="57">
        <v>710.03</v>
      </c>
      <c r="AX52" s="57">
        <v>3460.9</v>
      </c>
      <c r="AY52" s="57">
        <v>3940.8</v>
      </c>
      <c r="AZ52" s="57">
        <v>3941.3</v>
      </c>
      <c r="BA52" s="37"/>
      <c r="BB52" s="37"/>
      <c r="BC52" s="37"/>
      <c r="BD52" s="56"/>
      <c r="BE52" s="37" t="s">
        <v>5</v>
      </c>
      <c r="BF52" s="57">
        <v>0</v>
      </c>
      <c r="BG52" s="57">
        <v>84.225999999999999</v>
      </c>
      <c r="BH52" s="57">
        <v>877.61</v>
      </c>
      <c r="BI52" s="57">
        <v>3729.6</v>
      </c>
      <c r="BJ52" s="57">
        <v>3936.5</v>
      </c>
      <c r="BK52" s="57">
        <v>3936.7</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631710</v>
      </c>
      <c r="AL54" s="57">
        <v>3944</v>
      </c>
      <c r="AM54" s="57">
        <v>3944</v>
      </c>
      <c r="AN54" s="57">
        <v>3944</v>
      </c>
      <c r="AO54" s="57">
        <v>3944</v>
      </c>
      <c r="AP54" s="57">
        <v>3944</v>
      </c>
      <c r="AQ54" s="37"/>
      <c r="AR54" s="37"/>
      <c r="AS54" s="56">
        <v>1.6</v>
      </c>
      <c r="AT54" s="37" t="s">
        <v>0</v>
      </c>
      <c r="AU54" s="57">
        <v>631710</v>
      </c>
      <c r="AV54" s="57">
        <v>3944</v>
      </c>
      <c r="AW54" s="57">
        <v>3944</v>
      </c>
      <c r="AX54" s="57">
        <v>3944</v>
      </c>
      <c r="AY54" s="57">
        <v>3944</v>
      </c>
      <c r="AZ54" s="57">
        <v>3944</v>
      </c>
      <c r="BA54" s="37"/>
      <c r="BB54" s="37"/>
      <c r="BC54" s="37"/>
      <c r="BD54" s="56">
        <v>1.6</v>
      </c>
      <c r="BE54" s="37" t="s">
        <v>0</v>
      </c>
      <c r="BF54" s="57">
        <v>631710</v>
      </c>
      <c r="BG54" s="57">
        <v>3944</v>
      </c>
      <c r="BH54" s="57">
        <v>3944</v>
      </c>
      <c r="BI54" s="57">
        <v>3944</v>
      </c>
      <c r="BJ54" s="57">
        <v>3944</v>
      </c>
      <c r="BK54" s="57">
        <v>3944</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631710</v>
      </c>
      <c r="AL55" s="57">
        <v>3944</v>
      </c>
      <c r="AM55" s="57">
        <v>3944</v>
      </c>
      <c r="AN55" s="57">
        <v>3944</v>
      </c>
      <c r="AO55" s="57">
        <v>3944</v>
      </c>
      <c r="AP55" s="57">
        <v>3944</v>
      </c>
      <c r="AQ55" s="37"/>
      <c r="AR55" s="37"/>
      <c r="AS55" s="56"/>
      <c r="AT55" s="37" t="s">
        <v>1</v>
      </c>
      <c r="AU55" s="57">
        <v>631710</v>
      </c>
      <c r="AV55" s="57">
        <v>3944</v>
      </c>
      <c r="AW55" s="57">
        <v>3944</v>
      </c>
      <c r="AX55" s="57">
        <v>3944</v>
      </c>
      <c r="AY55" s="57">
        <v>3944</v>
      </c>
      <c r="AZ55" s="57">
        <v>3944</v>
      </c>
      <c r="BA55" s="37"/>
      <c r="BB55" s="37"/>
      <c r="BC55" s="37"/>
      <c r="BD55" s="56"/>
      <c r="BE55" s="37" t="s">
        <v>1</v>
      </c>
      <c r="BF55" s="57">
        <v>631710</v>
      </c>
      <c r="BG55" s="57">
        <v>3944</v>
      </c>
      <c r="BH55" s="57">
        <v>3944</v>
      </c>
      <c r="BI55" s="57">
        <v>3944</v>
      </c>
      <c r="BJ55" s="57">
        <v>3944</v>
      </c>
      <c r="BK55" s="57">
        <v>3944</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0</v>
      </c>
      <c r="BG56" s="57">
        <v>0</v>
      </c>
      <c r="BH56" s="57">
        <v>0</v>
      </c>
      <c r="BI56" s="57">
        <v>0</v>
      </c>
      <c r="BJ56" s="57">
        <v>0</v>
      </c>
      <c r="BK56" s="57">
        <v>0</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631590</v>
      </c>
      <c r="AL57" s="57">
        <v>3870.9</v>
      </c>
      <c r="AM57" s="57">
        <v>3182.3</v>
      </c>
      <c r="AN57" s="57">
        <v>666.96</v>
      </c>
      <c r="AO57" s="57">
        <v>6.8747999999999996</v>
      </c>
      <c r="AP57" s="57">
        <v>3.5733000000000001</v>
      </c>
      <c r="AQ57" s="37"/>
      <c r="AR57" s="37"/>
      <c r="AS57" s="56"/>
      <c r="AT57" s="37" t="s">
        <v>3</v>
      </c>
      <c r="AU57" s="57">
        <v>631500</v>
      </c>
      <c r="AV57" s="57">
        <v>3857.3</v>
      </c>
      <c r="AW57" s="57">
        <v>3082.4</v>
      </c>
      <c r="AX57" s="57">
        <v>375.92</v>
      </c>
      <c r="AY57" s="57">
        <v>1.6958</v>
      </c>
      <c r="AZ57" s="57">
        <v>1.2468999999999999</v>
      </c>
      <c r="BA57" s="37"/>
      <c r="BB57" s="37"/>
      <c r="BC57" s="37"/>
      <c r="BD57" s="56"/>
      <c r="BE57" s="37" t="s">
        <v>3</v>
      </c>
      <c r="BF57" s="57">
        <v>631340</v>
      </c>
      <c r="BG57" s="57">
        <v>3831</v>
      </c>
      <c r="BH57" s="57">
        <v>2886.8</v>
      </c>
      <c r="BI57" s="57">
        <v>159.16999999999999</v>
      </c>
      <c r="BJ57" s="57">
        <v>0.52383999999999997</v>
      </c>
      <c r="BK57" s="57">
        <v>0.39455000000000001</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72.263999999999996</v>
      </c>
      <c r="AM59" s="57">
        <v>760.79</v>
      </c>
      <c r="AN59" s="57">
        <v>3276.2</v>
      </c>
      <c r="AO59" s="57">
        <v>3936.4</v>
      </c>
      <c r="AP59" s="57">
        <v>3939.7</v>
      </c>
      <c r="AQ59" s="37"/>
      <c r="AR59" s="37"/>
      <c r="AS59" s="56"/>
      <c r="AT59" s="37" t="s">
        <v>5</v>
      </c>
      <c r="AU59" s="57">
        <v>0</v>
      </c>
      <c r="AV59" s="57">
        <v>85.207999999999998</v>
      </c>
      <c r="AW59" s="57">
        <v>860</v>
      </c>
      <c r="AX59" s="57">
        <v>3566.7</v>
      </c>
      <c r="AY59" s="57">
        <v>3940.9</v>
      </c>
      <c r="AZ59" s="57">
        <v>3941.3</v>
      </c>
      <c r="BA59" s="37"/>
      <c r="BB59" s="37"/>
      <c r="BC59" s="37"/>
      <c r="BD59" s="56"/>
      <c r="BE59" s="37" t="s">
        <v>5</v>
      </c>
      <c r="BF59" s="57">
        <v>0</v>
      </c>
      <c r="BG59" s="57">
        <v>110.37</v>
      </c>
      <c r="BH59" s="57">
        <v>1054.5</v>
      </c>
      <c r="BI59" s="57">
        <v>3782.3</v>
      </c>
      <c r="BJ59" s="57">
        <v>3940.9</v>
      </c>
      <c r="BK59" s="57">
        <v>3941.1</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631710</v>
      </c>
      <c r="AL61" s="57">
        <v>3944</v>
      </c>
      <c r="AM61" s="57">
        <v>3944</v>
      </c>
      <c r="AN61" s="57">
        <v>3944</v>
      </c>
      <c r="AO61" s="57">
        <v>3944</v>
      </c>
      <c r="AP61" s="57">
        <v>3944</v>
      </c>
      <c r="AQ61" s="37"/>
      <c r="AR61" s="37"/>
      <c r="AS61" s="56">
        <v>2</v>
      </c>
      <c r="AT61" s="37" t="s">
        <v>0</v>
      </c>
      <c r="AU61" s="57">
        <v>631710</v>
      </c>
      <c r="AV61" s="57">
        <v>3944</v>
      </c>
      <c r="AW61" s="57">
        <v>3944</v>
      </c>
      <c r="AX61" s="57">
        <v>3944</v>
      </c>
      <c r="AY61" s="57">
        <v>3944</v>
      </c>
      <c r="AZ61" s="57">
        <v>3944</v>
      </c>
      <c r="BA61" s="37"/>
      <c r="BB61" s="37"/>
      <c r="BC61" s="37"/>
      <c r="BD61" s="56">
        <v>2</v>
      </c>
      <c r="BE61" s="37" t="s">
        <v>0</v>
      </c>
      <c r="BF61" s="57">
        <v>631710</v>
      </c>
      <c r="BG61" s="57">
        <v>3944</v>
      </c>
      <c r="BH61" s="57">
        <v>3944</v>
      </c>
      <c r="BI61" s="57">
        <v>3944</v>
      </c>
      <c r="BJ61" s="57">
        <v>3944</v>
      </c>
      <c r="BK61" s="57">
        <v>3944</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631710</v>
      </c>
      <c r="AL62" s="57">
        <v>3944</v>
      </c>
      <c r="AM62" s="57">
        <v>3944</v>
      </c>
      <c r="AN62" s="57">
        <v>3944</v>
      </c>
      <c r="AO62" s="57">
        <v>3944</v>
      </c>
      <c r="AP62" s="57">
        <v>3944</v>
      </c>
      <c r="AQ62" s="37"/>
      <c r="AR62" s="37"/>
      <c r="AS62" s="37"/>
      <c r="AT62" s="37" t="s">
        <v>1</v>
      </c>
      <c r="AU62" s="57">
        <v>631710</v>
      </c>
      <c r="AV62" s="57">
        <v>3944</v>
      </c>
      <c r="AW62" s="57">
        <v>3944</v>
      </c>
      <c r="AX62" s="57">
        <v>3944</v>
      </c>
      <c r="AY62" s="57">
        <v>3944</v>
      </c>
      <c r="AZ62" s="57">
        <v>3944</v>
      </c>
      <c r="BA62" s="37"/>
      <c r="BB62" s="37"/>
      <c r="BC62" s="37"/>
      <c r="BD62" s="37"/>
      <c r="BE62" s="37" t="s">
        <v>1</v>
      </c>
      <c r="BF62" s="57">
        <v>631710</v>
      </c>
      <c r="BG62" s="57">
        <v>3944</v>
      </c>
      <c r="BH62" s="57">
        <v>3944</v>
      </c>
      <c r="BI62" s="57">
        <v>3944</v>
      </c>
      <c r="BJ62" s="57">
        <v>3944</v>
      </c>
      <c r="BK62" s="57">
        <v>3944</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631600</v>
      </c>
      <c r="AL64" s="57">
        <v>3854</v>
      </c>
      <c r="AM64" s="57">
        <v>3050.9</v>
      </c>
      <c r="AN64" s="57">
        <v>539.20000000000005</v>
      </c>
      <c r="AO64" s="57">
        <v>5.9138000000000002</v>
      </c>
      <c r="AP64" s="57">
        <v>3.5146000000000002</v>
      </c>
      <c r="AQ64" s="37"/>
      <c r="AR64" s="37"/>
      <c r="AS64" s="37"/>
      <c r="AT64" s="37" t="s">
        <v>3</v>
      </c>
      <c r="AU64" s="57">
        <v>631490</v>
      </c>
      <c r="AV64" s="57">
        <v>3836.5</v>
      </c>
      <c r="AW64" s="57">
        <v>2933.1</v>
      </c>
      <c r="AX64" s="57">
        <v>291.02</v>
      </c>
      <c r="AY64" s="57">
        <v>1.5043</v>
      </c>
      <c r="AZ64" s="57">
        <v>1.1687000000000001</v>
      </c>
      <c r="BA64" s="37"/>
      <c r="BB64" s="37"/>
      <c r="BC64" s="37"/>
      <c r="BD64" s="37"/>
      <c r="BE64" s="37" t="s">
        <v>3</v>
      </c>
      <c r="BF64" s="57">
        <v>631380</v>
      </c>
      <c r="BG64" s="57">
        <v>3812.7</v>
      </c>
      <c r="BH64" s="57">
        <v>2768</v>
      </c>
      <c r="BI64" s="57">
        <v>132.21</v>
      </c>
      <c r="BJ64" s="57">
        <v>0.56330999999999998</v>
      </c>
      <c r="BK64" s="57">
        <v>0.46895999999999999</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89.125</v>
      </c>
      <c r="AM66" s="57">
        <v>892.12</v>
      </c>
      <c r="AN66" s="57">
        <v>3403.9</v>
      </c>
      <c r="AO66" s="57">
        <v>3937.3</v>
      </c>
      <c r="AP66" s="57">
        <v>3939.7</v>
      </c>
      <c r="AQ66" s="37"/>
      <c r="AR66" s="37"/>
      <c r="AS66" s="37"/>
      <c r="AT66" s="37" t="s">
        <v>5</v>
      </c>
      <c r="AU66" s="57">
        <v>0</v>
      </c>
      <c r="AV66" s="57">
        <v>105.88</v>
      </c>
      <c r="AW66" s="57">
        <v>1009.3</v>
      </c>
      <c r="AX66" s="57">
        <v>3651.5</v>
      </c>
      <c r="AY66" s="57">
        <v>3941</v>
      </c>
      <c r="AZ66" s="57">
        <v>3941.4</v>
      </c>
      <c r="BA66" s="37"/>
      <c r="BB66" s="37"/>
      <c r="BC66" s="37"/>
      <c r="BD66" s="37"/>
      <c r="BE66" s="37" t="s">
        <v>5</v>
      </c>
      <c r="BF66" s="57">
        <v>0</v>
      </c>
      <c r="BG66" s="57">
        <v>128.88</v>
      </c>
      <c r="BH66" s="57">
        <v>1173.5</v>
      </c>
      <c r="BI66" s="57">
        <v>3809.5</v>
      </c>
      <c r="BJ66" s="57">
        <v>3941.1</v>
      </c>
      <c r="BK66" s="57">
        <v>3941.2</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sheetPr codeName="Sheet26"/>
  <dimension ref="A1:BP150"/>
  <sheetViews>
    <sheetView topLeftCell="A33" workbookViewId="0">
      <pane xSplit="8" topLeftCell="BK1" activePane="topRight" state="frozen"/>
      <selection pane="topRight" activeCell="A36" sqref="A36:G57"/>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1.4477272727272728</v>
      </c>
      <c r="E2" t="s">
        <v>119</v>
      </c>
      <c r="G2" s="103">
        <f>C2*12</f>
        <v>17.372727272727275</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630630</v>
      </c>
      <c r="N4" s="10">
        <v>100</v>
      </c>
      <c r="O4" s="2">
        <f>L5/$L$4</f>
        <v>0.16174301888587603</v>
      </c>
      <c r="P4" s="32">
        <v>2.5416000000000002E-3</v>
      </c>
      <c r="Q4" s="9">
        <f t="shared" ref="Q4:Q9" si="0">2/((P4/(N4*0.35))*3600)</f>
        <v>7.6504738922113793</v>
      </c>
      <c r="S4" s="7"/>
      <c r="T4" s="26">
        <v>100</v>
      </c>
      <c r="U4" s="4" t="s">
        <v>0</v>
      </c>
      <c r="V4" s="5">
        <v>630630</v>
      </c>
      <c r="X4" s="24">
        <v>100</v>
      </c>
      <c r="Y4" s="22">
        <f>V5/$V$4</f>
        <v>0.33558504987076415</v>
      </c>
      <c r="Z4" s="33">
        <v>9.4753000000000007E-3</v>
      </c>
      <c r="AA4" s="9">
        <f t="shared" ref="AA4:AA9" si="1">2/((Z4/(X4*0.35))*3600)</f>
        <v>2.0521191354832506</v>
      </c>
      <c r="AD4" s="26">
        <v>100</v>
      </c>
      <c r="AE4" s="4" t="s">
        <v>0</v>
      </c>
      <c r="AF4" s="5">
        <v>630630</v>
      </c>
      <c r="AH4" s="10">
        <v>100</v>
      </c>
      <c r="AI4" s="2">
        <f>AF5/$AF$4</f>
        <v>0.81623138765995906</v>
      </c>
      <c r="AJ4" s="32">
        <v>2.6852999999999998E-2</v>
      </c>
      <c r="AK4" s="9">
        <f t="shared" ref="AK4:AK9" si="2">2/((AJ4/(AH4*0.35))*3600)</f>
        <v>0.72410696921924733</v>
      </c>
      <c r="AN4" s="26">
        <v>100</v>
      </c>
      <c r="AO4" s="4" t="s">
        <v>0</v>
      </c>
      <c r="AP4" s="5">
        <v>630630</v>
      </c>
      <c r="AR4" s="10">
        <v>100</v>
      </c>
      <c r="AS4" s="2">
        <f>AP5/AP$4</f>
        <v>0.38014366585795156</v>
      </c>
      <c r="AT4" s="32">
        <v>3.4298000000000002E-3</v>
      </c>
      <c r="AU4" s="9">
        <f t="shared" ref="AU4:AU9" si="3">2/((AT4/(AR4*0.35))*3600)</f>
        <v>5.669264809739472</v>
      </c>
      <c r="AW4" s="7"/>
      <c r="AX4" s="26">
        <v>100</v>
      </c>
      <c r="AY4" s="4" t="s">
        <v>0</v>
      </c>
      <c r="AZ4" s="5">
        <v>630630</v>
      </c>
      <c r="BB4" s="24">
        <v>100</v>
      </c>
      <c r="BC4" s="2">
        <f>AZ5/AZ$4</f>
        <v>0.61164232592804024</v>
      </c>
      <c r="BD4" s="33">
        <v>1.2818E-2</v>
      </c>
      <c r="BE4" s="9">
        <f t="shared" ref="BE4:BE9" si="4">2/((BD4/(BB4*0.35))*3600)</f>
        <v>1.5169639916090221</v>
      </c>
      <c r="BH4" s="26">
        <v>100</v>
      </c>
      <c r="BI4" s="4" t="s">
        <v>0</v>
      </c>
      <c r="BJ4" s="5">
        <v>630630</v>
      </c>
      <c r="BL4" s="10">
        <v>100</v>
      </c>
      <c r="BM4" s="2">
        <f>BJ5/BJ$4</f>
        <v>0.95247609533323818</v>
      </c>
      <c r="BN4" s="32">
        <v>3.1449999999999999E-2</v>
      </c>
      <c r="BO4" s="9">
        <f t="shared" ref="BO4:BO7" si="5">2/((BN4/(BL4*0.35))*3600)</f>
        <v>0.6182653241476771</v>
      </c>
      <c r="BP4" s="12"/>
    </row>
    <row r="5" spans="1:68">
      <c r="J5" s="26"/>
      <c r="K5" s="4" t="s">
        <v>1</v>
      </c>
      <c r="L5" s="5">
        <v>102000</v>
      </c>
      <c r="N5" s="10">
        <v>200</v>
      </c>
      <c r="O5" s="2">
        <f>L12/$L$4</f>
        <v>0.28658642944357232</v>
      </c>
      <c r="P5" s="32">
        <v>4.5344000000000001E-3</v>
      </c>
      <c r="Q5" s="9">
        <f t="shared" si="0"/>
        <v>8.5764133929271544</v>
      </c>
      <c r="S5" s="7"/>
      <c r="T5" s="26"/>
      <c r="U5" s="4" t="s">
        <v>1</v>
      </c>
      <c r="V5" s="5">
        <v>211630</v>
      </c>
      <c r="X5" s="24">
        <v>200</v>
      </c>
      <c r="Y5" s="22">
        <f>V12/$V$4</f>
        <v>0.53611467897182186</v>
      </c>
      <c r="Z5" s="33">
        <v>1.5296000000000001E-2</v>
      </c>
      <c r="AA5" s="9">
        <f t="shared" si="1"/>
        <v>2.5424221292422127</v>
      </c>
      <c r="AD5" s="26"/>
      <c r="AE5" s="4" t="s">
        <v>1</v>
      </c>
      <c r="AF5" s="5">
        <v>514740</v>
      </c>
      <c r="AH5" s="10">
        <v>200</v>
      </c>
      <c r="AI5" s="2">
        <f>AF12/$AF$4</f>
        <v>0.93016507302221585</v>
      </c>
      <c r="AJ5" s="32">
        <v>3.0665999999999999E-2</v>
      </c>
      <c r="AK5" s="9">
        <f t="shared" si="2"/>
        <v>1.2681435103661673</v>
      </c>
      <c r="AN5" s="26"/>
      <c r="AO5" s="4" t="s">
        <v>1</v>
      </c>
      <c r="AP5" s="5">
        <v>239730</v>
      </c>
      <c r="AR5" s="10">
        <v>200</v>
      </c>
      <c r="AS5" s="2">
        <f>AP12/AP$4</f>
        <v>0.60365031793603219</v>
      </c>
      <c r="AT5" s="32">
        <v>5.7838000000000004E-3</v>
      </c>
      <c r="AU5" s="9">
        <f t="shared" si="3"/>
        <v>6.7237610029546122</v>
      </c>
      <c r="AW5" s="7"/>
      <c r="AX5" s="26"/>
      <c r="AY5" s="4" t="s">
        <v>1</v>
      </c>
      <c r="AZ5" s="5">
        <v>385720</v>
      </c>
      <c r="BB5" s="24">
        <v>200</v>
      </c>
      <c r="BC5" s="2">
        <f>AZ12/AZ$4</f>
        <v>0.83004297290011575</v>
      </c>
      <c r="BD5" s="33">
        <v>1.8754E-2</v>
      </c>
      <c r="BE5" s="9">
        <f t="shared" si="4"/>
        <v>2.0736316993115542</v>
      </c>
      <c r="BH5" s="26"/>
      <c r="BI5" s="4" t="s">
        <v>1</v>
      </c>
      <c r="BJ5" s="5">
        <v>600660</v>
      </c>
      <c r="BL5" s="10">
        <v>200</v>
      </c>
      <c r="BM5" s="2">
        <f>BJ12/BJ$4</f>
        <v>0.98924884639170352</v>
      </c>
      <c r="BN5" s="32">
        <v>3.2856999999999997E-2</v>
      </c>
      <c r="BO5" s="9">
        <f t="shared" si="5"/>
        <v>1.1835800252271629</v>
      </c>
      <c r="BP5" s="12"/>
    </row>
    <row r="6" spans="1:68">
      <c r="J6" s="26"/>
      <c r="K6" s="4" t="s">
        <v>2</v>
      </c>
      <c r="L6" s="5">
        <v>528650</v>
      </c>
      <c r="N6" s="10">
        <v>400</v>
      </c>
      <c r="O6" s="2">
        <f>L19/L$4</f>
        <v>0.47663447663447661</v>
      </c>
      <c r="P6" s="32">
        <v>7.7516E-3</v>
      </c>
      <c r="Q6" s="9">
        <f t="shared" si="0"/>
        <v>10.033770805740463</v>
      </c>
      <c r="S6" s="7"/>
      <c r="T6" s="26"/>
      <c r="U6" s="4" t="s">
        <v>2</v>
      </c>
      <c r="V6" s="5">
        <v>418990</v>
      </c>
      <c r="X6" s="24">
        <v>400</v>
      </c>
      <c r="Y6" s="22">
        <f>V19/$V$4</f>
        <v>0.75821004392432967</v>
      </c>
      <c r="Z6" s="33">
        <v>2.2617999999999999E-2</v>
      </c>
      <c r="AA6" s="9">
        <f t="shared" si="1"/>
        <v>3.4387557599158978</v>
      </c>
      <c r="AD6" s="26"/>
      <c r="AE6" s="4" t="s">
        <v>2</v>
      </c>
      <c r="AF6" s="5">
        <v>115890</v>
      </c>
      <c r="AH6" s="10">
        <v>400</v>
      </c>
      <c r="AI6" s="2">
        <f>AF19/$AF$4</f>
        <v>0.98171669600241029</v>
      </c>
      <c r="AJ6" s="32">
        <v>3.2479000000000001E-2</v>
      </c>
      <c r="AK6" s="9">
        <f t="shared" si="2"/>
        <v>2.3947097440739489</v>
      </c>
      <c r="AN6" s="26"/>
      <c r="AO6" s="4" t="s">
        <v>2</v>
      </c>
      <c r="AP6" s="5">
        <v>390930</v>
      </c>
      <c r="AR6" s="10">
        <v>400</v>
      </c>
      <c r="AS6" s="2">
        <f>AP19/AP$4</f>
        <v>0.83378526235669093</v>
      </c>
      <c r="AT6" s="32">
        <v>9.1099000000000006E-3</v>
      </c>
      <c r="AU6" s="9">
        <f t="shared" si="3"/>
        <v>8.5377202579367264</v>
      </c>
      <c r="AW6" s="7"/>
      <c r="AX6" s="26"/>
      <c r="AY6" s="4" t="s">
        <v>2</v>
      </c>
      <c r="AZ6" s="5">
        <v>244900</v>
      </c>
      <c r="BB6" s="24">
        <v>400</v>
      </c>
      <c r="BC6" s="2">
        <f>AZ19/AZ$4</f>
        <v>0.96608153751010895</v>
      </c>
      <c r="BD6" s="33">
        <v>2.5305000000000001E-2</v>
      </c>
      <c r="BE6" s="9">
        <f t="shared" si="4"/>
        <v>3.0736130321192561</v>
      </c>
      <c r="BH6" s="26"/>
      <c r="BI6" s="4" t="s">
        <v>2</v>
      </c>
      <c r="BJ6" s="5">
        <v>29973</v>
      </c>
      <c r="BL6" s="10">
        <v>400</v>
      </c>
      <c r="BM6" s="2">
        <f>BJ19/BJ$4</f>
        <v>0.99900099900099903</v>
      </c>
      <c r="BN6" s="32">
        <v>3.3422E-2</v>
      </c>
      <c r="BO6" s="9">
        <f t="shared" si="5"/>
        <v>2.3271431326006158</v>
      </c>
      <c r="BP6" s="12"/>
    </row>
    <row r="7" spans="1:68">
      <c r="J7" s="26"/>
      <c r="K7" s="4" t="s">
        <v>3</v>
      </c>
      <c r="L7" s="5">
        <v>101560</v>
      </c>
      <c r="N7" s="10">
        <v>600</v>
      </c>
      <c r="O7" s="2">
        <f>L26/$L$4</f>
        <v>0.61108732537303967</v>
      </c>
      <c r="P7" s="32">
        <v>1.0439E-2</v>
      </c>
      <c r="Q7" s="9">
        <f t="shared" si="0"/>
        <v>11.176038573298847</v>
      </c>
      <c r="S7" s="7"/>
      <c r="T7" s="26"/>
      <c r="U7" s="4" t="s">
        <v>3</v>
      </c>
      <c r="V7" s="5">
        <v>211450</v>
      </c>
      <c r="X7" s="24">
        <v>600</v>
      </c>
      <c r="Y7" s="22">
        <f>V26/$V$4</f>
        <v>0.86626072340358051</v>
      </c>
      <c r="Z7" s="33">
        <v>2.6624999999999999E-2</v>
      </c>
      <c r="AA7" s="9">
        <f t="shared" si="1"/>
        <v>4.3818466353677614</v>
      </c>
      <c r="AD7" s="26"/>
      <c r="AE7" s="4" t="s">
        <v>3</v>
      </c>
      <c r="AF7" s="5">
        <v>514620</v>
      </c>
      <c r="AH7" s="10">
        <v>600</v>
      </c>
      <c r="AI7" s="2">
        <f>AF26/$AF$4</f>
        <v>0.99170670599242028</v>
      </c>
      <c r="AJ7" s="32">
        <v>3.2939000000000003E-2</v>
      </c>
      <c r="AK7" s="9">
        <f t="shared" si="2"/>
        <v>3.5419006851047889</v>
      </c>
      <c r="AN7" s="26"/>
      <c r="AO7" s="4" t="s">
        <v>3</v>
      </c>
      <c r="AP7" s="5">
        <v>239040</v>
      </c>
      <c r="AR7" s="10">
        <v>600</v>
      </c>
      <c r="AS7" s="2">
        <f>AP26/AP$4</f>
        <v>0.93320964749536173</v>
      </c>
      <c r="AT7" s="32">
        <v>1.1650000000000001E-2</v>
      </c>
      <c r="AU7" s="9">
        <f t="shared" si="3"/>
        <v>10.014306151645206</v>
      </c>
      <c r="AW7" s="7"/>
      <c r="AX7" s="26"/>
      <c r="AY7" s="4" t="s">
        <v>3</v>
      </c>
      <c r="AZ7" s="5">
        <v>385490</v>
      </c>
      <c r="BB7" s="24">
        <v>600</v>
      </c>
      <c r="BC7" s="2">
        <f>AZ26/AZ$4</f>
        <v>0.99424385138670857</v>
      </c>
      <c r="BD7" s="33">
        <v>2.8493000000000001E-2</v>
      </c>
      <c r="BE7" s="9">
        <f t="shared" si="4"/>
        <v>4.0945729360427698</v>
      </c>
      <c r="BH7" s="26"/>
      <c r="BI7" s="4" t="s">
        <v>3</v>
      </c>
      <c r="BJ7" s="5">
        <v>600530</v>
      </c>
      <c r="BL7" s="10">
        <v>600</v>
      </c>
      <c r="BM7" s="2">
        <f>BJ26/BJ$4</f>
        <v>1</v>
      </c>
      <c r="BN7" s="32">
        <v>3.3418000000000003E-2</v>
      </c>
      <c r="BO7" s="9">
        <f t="shared" si="5"/>
        <v>3.4911325233905877</v>
      </c>
      <c r="BP7" s="12"/>
    </row>
    <row r="8" spans="1:68">
      <c r="J8" s="26"/>
      <c r="K8" s="4" t="s">
        <v>4</v>
      </c>
      <c r="L8" s="5">
        <v>0</v>
      </c>
      <c r="N8" s="10">
        <v>800</v>
      </c>
      <c r="O8" s="2">
        <f>L33/$L$4</f>
        <v>0.71151071151071155</v>
      </c>
      <c r="P8" s="32">
        <v>1.2622E-2</v>
      </c>
      <c r="Q8" s="9">
        <f t="shared" si="0"/>
        <v>12.324160636630928</v>
      </c>
      <c r="S8" s="7"/>
      <c r="T8" s="26"/>
      <c r="U8" s="4" t="s">
        <v>4</v>
      </c>
      <c r="V8" s="5">
        <v>0</v>
      </c>
      <c r="X8" s="24">
        <v>800</v>
      </c>
      <c r="Y8" s="22">
        <f>V33/$V$4</f>
        <v>0.9266923552637838</v>
      </c>
      <c r="Z8" s="33">
        <v>2.8986999999999999E-2</v>
      </c>
      <c r="AA8" s="9">
        <f t="shared" si="1"/>
        <v>5.3663902975663422</v>
      </c>
      <c r="AD8" s="26"/>
      <c r="AE8" s="4" t="s">
        <v>4</v>
      </c>
      <c r="AF8" s="5">
        <v>0</v>
      </c>
      <c r="AH8" s="10">
        <v>800</v>
      </c>
      <c r="AI8" s="2">
        <f>AF33/$AF$4</f>
        <v>0.99636871065442489</v>
      </c>
      <c r="AJ8" s="32">
        <v>3.3211999999999998E-2</v>
      </c>
      <c r="AK8" s="9">
        <f t="shared" si="2"/>
        <v>4.6837153906887741</v>
      </c>
      <c r="AN8" s="26"/>
      <c r="AO8" s="4" t="s">
        <v>4</v>
      </c>
      <c r="AP8" s="5">
        <v>0</v>
      </c>
      <c r="AR8" s="10">
        <v>800</v>
      </c>
      <c r="AS8" s="2">
        <f>AP33/AP$4</f>
        <v>0.96627182341468054</v>
      </c>
      <c r="AT8" s="32">
        <v>1.3596E-2</v>
      </c>
      <c r="AU8" s="9">
        <f t="shared" si="3"/>
        <v>11.441273577195908</v>
      </c>
      <c r="AW8" s="7"/>
      <c r="AX8" s="26"/>
      <c r="AY8" s="4" t="s">
        <v>4</v>
      </c>
      <c r="AZ8" s="5">
        <v>0</v>
      </c>
      <c r="BB8" s="24">
        <v>800</v>
      </c>
      <c r="BC8" s="2">
        <f>AZ33/AZ$4</f>
        <v>0.99843014128728413</v>
      </c>
      <c r="BD8" s="33">
        <v>3.0121999999999999E-2</v>
      </c>
      <c r="BE8" s="9">
        <f t="shared" si="4"/>
        <v>5.1641841695622981</v>
      </c>
      <c r="BH8" s="26"/>
      <c r="BI8" s="4" t="s">
        <v>4</v>
      </c>
      <c r="BJ8" s="5">
        <v>0</v>
      </c>
      <c r="BL8" s="10">
        <v>800</v>
      </c>
      <c r="BM8" s="2">
        <f>BJ33/BJ$4</f>
        <v>1</v>
      </c>
      <c r="BN8" s="32">
        <v>3.3406999999999999E-2</v>
      </c>
      <c r="BO8" s="9">
        <f>2/((BN8/(BL8*0.35))*3600)</f>
        <v>4.6563760755397237</v>
      </c>
      <c r="BP8" s="12"/>
    </row>
    <row r="9" spans="1:68">
      <c r="J9" s="26"/>
      <c r="K9" s="4" t="s">
        <v>5</v>
      </c>
      <c r="L9" s="5">
        <v>0</v>
      </c>
      <c r="M9" s="1"/>
      <c r="N9" s="10">
        <v>1000</v>
      </c>
      <c r="O9" s="2">
        <f>L40/$L$4</f>
        <v>0.78635650064221496</v>
      </c>
      <c r="P9" s="32">
        <v>1.4487999999999999E-2</v>
      </c>
      <c r="Q9" s="9">
        <f t="shared" si="0"/>
        <v>13.421068777225598</v>
      </c>
      <c r="S9" s="7"/>
      <c r="T9" s="26"/>
      <c r="U9" s="4" t="s">
        <v>5</v>
      </c>
      <c r="V9" s="5">
        <v>0</v>
      </c>
      <c r="W9" s="1"/>
      <c r="X9" s="24">
        <v>1000</v>
      </c>
      <c r="Y9" s="22">
        <f>V40/$V$4</f>
        <v>0.95981795981795981</v>
      </c>
      <c r="Z9" s="33">
        <v>3.0266000000000001E-2</v>
      </c>
      <c r="AA9" s="9">
        <f t="shared" si="1"/>
        <v>6.4245174269624146</v>
      </c>
      <c r="AD9" s="26"/>
      <c r="AE9" s="4" t="s">
        <v>5</v>
      </c>
      <c r="AF9" s="5">
        <v>0</v>
      </c>
      <c r="AG9" s="1"/>
      <c r="AH9" s="10">
        <v>1000</v>
      </c>
      <c r="AI9" s="2">
        <f>AF40/$AF$4</f>
        <v>0.99843014128728413</v>
      </c>
      <c r="AJ9" s="32">
        <v>3.3342999999999998E-2</v>
      </c>
      <c r="AK9" s="9">
        <f t="shared" si="2"/>
        <v>5.8316421571077726</v>
      </c>
      <c r="AN9" s="26"/>
      <c r="AO9" s="4" t="s">
        <v>5</v>
      </c>
      <c r="AP9" s="5">
        <v>0</v>
      </c>
      <c r="AQ9" s="1"/>
      <c r="AR9" s="10">
        <v>1000</v>
      </c>
      <c r="AS9" s="2">
        <f>AP40/AP$4</f>
        <v>0.98463441320584177</v>
      </c>
      <c r="AT9" s="32">
        <v>1.5259999999999999E-2</v>
      </c>
      <c r="AU9" s="9">
        <f t="shared" si="3"/>
        <v>12.742099898063202</v>
      </c>
      <c r="AW9" s="7"/>
      <c r="AX9" s="26"/>
      <c r="AY9" s="4" t="s">
        <v>5</v>
      </c>
      <c r="AZ9" s="5">
        <v>0</v>
      </c>
      <c r="BA9" s="1"/>
      <c r="BB9" s="24">
        <v>1000</v>
      </c>
      <c r="BC9" s="2">
        <f>AZ40/AZ$4</f>
        <v>1</v>
      </c>
      <c r="BD9" s="33">
        <v>3.0949000000000001E-2</v>
      </c>
      <c r="BE9" s="9">
        <f t="shared" si="4"/>
        <v>6.2827375503067771</v>
      </c>
      <c r="BH9" s="26"/>
      <c r="BI9" s="4" t="s">
        <v>5</v>
      </c>
      <c r="BJ9" s="5">
        <v>0</v>
      </c>
      <c r="BK9" s="1"/>
      <c r="BL9" s="10">
        <v>1000</v>
      </c>
      <c r="BM9" s="2">
        <f>BJ40/BJ$4</f>
        <v>1</v>
      </c>
      <c r="BN9" s="32">
        <v>3.3396000000000002E-2</v>
      </c>
      <c r="BO9" s="9">
        <f t="shared" ref="BO9" si="6">2/((BN9/(BL9*0.35))*3600)</f>
        <v>5.8223872453121466</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630630</v>
      </c>
      <c r="S11" s="7"/>
      <c r="T11" s="26">
        <v>200</v>
      </c>
      <c r="U11" s="4" t="s">
        <v>0</v>
      </c>
      <c r="V11" s="5">
        <v>630630</v>
      </c>
      <c r="AD11" s="26">
        <v>200</v>
      </c>
      <c r="AE11" s="4" t="s">
        <v>0</v>
      </c>
      <c r="AF11" s="5">
        <v>630630</v>
      </c>
      <c r="AN11" s="26">
        <v>200</v>
      </c>
      <c r="AO11" s="4" t="s">
        <v>0</v>
      </c>
      <c r="AP11" s="5">
        <v>630630</v>
      </c>
      <c r="AW11" s="7"/>
      <c r="AX11" s="26">
        <v>200</v>
      </c>
      <c r="AY11" s="4" t="s">
        <v>0</v>
      </c>
      <c r="AZ11" s="5">
        <v>630630</v>
      </c>
      <c r="BH11" s="26">
        <v>200</v>
      </c>
      <c r="BI11" s="4" t="s">
        <v>0</v>
      </c>
      <c r="BJ11" s="5">
        <v>630630</v>
      </c>
      <c r="BP11" s="12"/>
    </row>
    <row r="12" spans="1:68">
      <c r="J12" s="26"/>
      <c r="K12" s="4" t="s">
        <v>1</v>
      </c>
      <c r="L12" s="5">
        <v>180730</v>
      </c>
      <c r="S12" s="7"/>
      <c r="T12" s="26"/>
      <c r="U12" s="4" t="s">
        <v>1</v>
      </c>
      <c r="V12" s="5">
        <v>338090</v>
      </c>
      <c r="AD12" s="26"/>
      <c r="AE12" s="4" t="s">
        <v>1</v>
      </c>
      <c r="AF12" s="5">
        <v>586590</v>
      </c>
      <c r="AN12" s="26"/>
      <c r="AO12" s="4" t="s">
        <v>1</v>
      </c>
      <c r="AP12" s="5">
        <v>380680</v>
      </c>
      <c r="AW12" s="7"/>
      <c r="AX12" s="26"/>
      <c r="AY12" s="4" t="s">
        <v>1</v>
      </c>
      <c r="AZ12" s="5">
        <v>523450</v>
      </c>
      <c r="BH12" s="26"/>
      <c r="BI12" s="4" t="s">
        <v>1</v>
      </c>
      <c r="BJ12" s="5">
        <v>623850</v>
      </c>
      <c r="BP12" s="12"/>
    </row>
    <row r="13" spans="1:68">
      <c r="J13" s="26"/>
      <c r="K13" s="4" t="s">
        <v>2</v>
      </c>
      <c r="L13" s="5">
        <v>449920</v>
      </c>
      <c r="T13" s="26"/>
      <c r="U13" s="4" t="s">
        <v>2</v>
      </c>
      <c r="V13" s="5">
        <v>292540</v>
      </c>
      <c r="AD13" s="26"/>
      <c r="AE13" s="4" t="s">
        <v>2</v>
      </c>
      <c r="AF13" s="5">
        <v>44037</v>
      </c>
      <c r="AN13" s="26"/>
      <c r="AO13" s="4" t="s">
        <v>2</v>
      </c>
      <c r="AP13" s="5">
        <v>249960</v>
      </c>
      <c r="AX13" s="26"/>
      <c r="AY13" s="4" t="s">
        <v>2</v>
      </c>
      <c r="AZ13" s="5">
        <v>107190</v>
      </c>
      <c r="BH13" s="26"/>
      <c r="BI13" s="4" t="s">
        <v>2</v>
      </c>
      <c r="BJ13" s="5">
        <v>6776.9</v>
      </c>
    </row>
    <row r="14" spans="1:68">
      <c r="J14" s="26"/>
      <c r="K14" s="4" t="s">
        <v>3</v>
      </c>
      <c r="L14" s="5">
        <v>179970</v>
      </c>
      <c r="T14" s="26"/>
      <c r="U14" s="4" t="s">
        <v>3</v>
      </c>
      <c r="V14" s="5">
        <v>337760</v>
      </c>
      <c r="AD14" s="26"/>
      <c r="AE14" s="4" t="s">
        <v>3</v>
      </c>
      <c r="AF14" s="5">
        <v>586370</v>
      </c>
      <c r="AN14" s="26"/>
      <c r="AO14" s="4" t="s">
        <v>3</v>
      </c>
      <c r="AP14" s="5">
        <v>379600</v>
      </c>
      <c r="AX14" s="26"/>
      <c r="AY14" s="4" t="s">
        <v>3</v>
      </c>
      <c r="AZ14" s="5">
        <v>523070</v>
      </c>
      <c r="BH14" s="26"/>
      <c r="BI14" s="4" t="s">
        <v>3</v>
      </c>
      <c r="BJ14" s="5">
        <v>623630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630630</v>
      </c>
      <c r="T18" s="26">
        <v>400</v>
      </c>
      <c r="U18" s="4" t="s">
        <v>0</v>
      </c>
      <c r="V18" s="5">
        <v>630630</v>
      </c>
      <c r="AD18" s="26">
        <v>400</v>
      </c>
      <c r="AE18" s="4" t="s">
        <v>0</v>
      </c>
      <c r="AF18" s="5">
        <v>630630</v>
      </c>
      <c r="AN18" s="26">
        <v>400</v>
      </c>
      <c r="AO18" s="4" t="s">
        <v>0</v>
      </c>
      <c r="AP18" s="5">
        <v>630630</v>
      </c>
      <c r="AX18" s="26">
        <v>400</v>
      </c>
      <c r="AY18" s="4" t="s">
        <v>0</v>
      </c>
      <c r="AZ18" s="5">
        <v>630630</v>
      </c>
      <c r="BH18" s="26">
        <v>400</v>
      </c>
      <c r="BI18" s="4" t="s">
        <v>0</v>
      </c>
      <c r="BJ18" s="5">
        <v>630630</v>
      </c>
    </row>
    <row r="19" spans="1:62">
      <c r="J19" s="26"/>
      <c r="K19" s="4" t="s">
        <v>1</v>
      </c>
      <c r="L19" s="5">
        <v>300580</v>
      </c>
      <c r="T19" s="26"/>
      <c r="U19" s="4" t="s">
        <v>1</v>
      </c>
      <c r="V19" s="5">
        <v>478150</v>
      </c>
      <c r="AD19" s="26"/>
      <c r="AE19" s="4" t="s">
        <v>1</v>
      </c>
      <c r="AF19" s="5">
        <v>619100</v>
      </c>
      <c r="AN19" s="26"/>
      <c r="AO19" s="4" t="s">
        <v>1</v>
      </c>
      <c r="AP19" s="5">
        <v>525810</v>
      </c>
      <c r="AX19" s="26"/>
      <c r="AY19" s="4" t="s">
        <v>1</v>
      </c>
      <c r="AZ19" s="5">
        <v>609240</v>
      </c>
      <c r="BH19" s="26"/>
      <c r="BI19" s="4" t="s">
        <v>1</v>
      </c>
      <c r="BJ19" s="5">
        <v>630000</v>
      </c>
    </row>
    <row r="20" spans="1:62">
      <c r="J20" s="26"/>
      <c r="K20" s="4" t="s">
        <v>2</v>
      </c>
      <c r="L20" s="5">
        <v>330050</v>
      </c>
      <c r="T20" s="26"/>
      <c r="U20" s="4" t="s">
        <v>2</v>
      </c>
      <c r="V20" s="5">
        <v>152480</v>
      </c>
      <c r="AD20" s="26"/>
      <c r="AE20" s="4" t="s">
        <v>2</v>
      </c>
      <c r="AF20" s="5">
        <v>11529</v>
      </c>
      <c r="AN20" s="26"/>
      <c r="AO20" s="4" t="s">
        <v>2</v>
      </c>
      <c r="AP20" s="5">
        <v>104810</v>
      </c>
      <c r="AX20" s="26"/>
      <c r="AY20" s="4" t="s">
        <v>2</v>
      </c>
      <c r="AZ20" s="5">
        <v>21392</v>
      </c>
      <c r="BH20" s="26"/>
      <c r="BI20" s="4" t="s">
        <v>2</v>
      </c>
      <c r="BJ20" s="5">
        <v>626.01</v>
      </c>
    </row>
    <row r="21" spans="1:62">
      <c r="J21" s="26"/>
      <c r="K21" s="4" t="s">
        <v>3</v>
      </c>
      <c r="L21" s="5">
        <v>299330</v>
      </c>
      <c r="T21" s="26"/>
      <c r="U21" s="4" t="s">
        <v>3</v>
      </c>
      <c r="V21" s="5">
        <v>477590</v>
      </c>
      <c r="AD21" s="26"/>
      <c r="AE21" s="4" t="s">
        <v>3</v>
      </c>
      <c r="AF21" s="5">
        <v>618680</v>
      </c>
      <c r="AN21" s="26"/>
      <c r="AO21" s="4" t="s">
        <v>3</v>
      </c>
      <c r="AP21" s="5">
        <v>524160</v>
      </c>
      <c r="AX21" s="26"/>
      <c r="AY21" s="4" t="s">
        <v>3</v>
      </c>
      <c r="AZ21" s="5">
        <v>608650</v>
      </c>
      <c r="BH21" s="26"/>
      <c r="BI21" s="4" t="s">
        <v>3</v>
      </c>
      <c r="BJ21" s="5">
        <v>629580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630630</v>
      </c>
      <c r="T25" s="26">
        <v>600</v>
      </c>
      <c r="U25" s="4" t="s">
        <v>0</v>
      </c>
      <c r="V25" s="5">
        <v>630630</v>
      </c>
      <c r="AD25" s="26">
        <v>600</v>
      </c>
      <c r="AE25" s="4" t="s">
        <v>0</v>
      </c>
      <c r="AF25" s="5">
        <v>630630</v>
      </c>
      <c r="AN25" s="26">
        <v>600</v>
      </c>
      <c r="AO25" s="4" t="s">
        <v>0</v>
      </c>
      <c r="AP25" s="5">
        <v>630630</v>
      </c>
      <c r="AX25" s="26">
        <v>600</v>
      </c>
      <c r="AY25" s="4" t="s">
        <v>0</v>
      </c>
      <c r="AZ25" s="5">
        <v>630630</v>
      </c>
      <c r="BH25" s="26">
        <v>600</v>
      </c>
      <c r="BI25" s="4" t="s">
        <v>0</v>
      </c>
      <c r="BJ25" s="5">
        <v>630630</v>
      </c>
    </row>
    <row r="26" spans="1:62">
      <c r="J26" s="26"/>
      <c r="K26" s="4" t="s">
        <v>1</v>
      </c>
      <c r="L26" s="5">
        <v>385370</v>
      </c>
      <c r="T26" s="26"/>
      <c r="U26" s="4" t="s">
        <v>1</v>
      </c>
      <c r="V26" s="5">
        <v>546290</v>
      </c>
      <c r="AD26" s="26"/>
      <c r="AE26" s="4" t="s">
        <v>1</v>
      </c>
      <c r="AF26" s="5">
        <v>625400</v>
      </c>
      <c r="AN26" s="26"/>
      <c r="AO26" s="4" t="s">
        <v>1</v>
      </c>
      <c r="AP26" s="5">
        <v>588510</v>
      </c>
      <c r="AX26" s="26"/>
      <c r="AY26" s="4" t="s">
        <v>1</v>
      </c>
      <c r="AZ26" s="5">
        <v>627000</v>
      </c>
      <c r="BH26" s="26"/>
      <c r="BI26" s="4" t="s">
        <v>1</v>
      </c>
      <c r="BJ26" s="5">
        <v>630630</v>
      </c>
    </row>
    <row r="27" spans="1:62">
      <c r="A27" s="120" t="s">
        <v>145</v>
      </c>
      <c r="J27" s="26"/>
      <c r="K27" s="4" t="s">
        <v>2</v>
      </c>
      <c r="L27" s="5">
        <v>245260</v>
      </c>
      <c r="T27" s="26"/>
      <c r="U27" s="4" t="s">
        <v>2</v>
      </c>
      <c r="V27" s="5">
        <v>84335</v>
      </c>
      <c r="AD27" s="26"/>
      <c r="AE27" s="4" t="s">
        <v>2</v>
      </c>
      <c r="AF27" s="5">
        <v>5232</v>
      </c>
      <c r="AN27" s="26"/>
      <c r="AO27" s="4" t="s">
        <v>2</v>
      </c>
      <c r="AP27" s="5">
        <v>42122</v>
      </c>
      <c r="AX27" s="26"/>
      <c r="AY27" s="4" t="s">
        <v>2</v>
      </c>
      <c r="AZ27" s="5">
        <v>3628.6</v>
      </c>
      <c r="BH27" s="26"/>
      <c r="BI27" s="4" t="s">
        <v>2</v>
      </c>
      <c r="BJ27" s="5">
        <v>0</v>
      </c>
    </row>
    <row r="28" spans="1:62">
      <c r="A28" s="199" t="str">
        <f>AH3</f>
        <v>Filter Area (ft2)</v>
      </c>
      <c r="B28" s="200" t="s">
        <v>11</v>
      </c>
      <c r="C28" s="200"/>
      <c r="D28" s="200"/>
      <c r="E28" s="200" t="s">
        <v>12</v>
      </c>
      <c r="F28" s="200"/>
      <c r="G28" s="200"/>
      <c r="H28" s="6"/>
      <c r="J28" s="26"/>
      <c r="K28" s="4" t="s">
        <v>3</v>
      </c>
      <c r="L28" s="5">
        <v>383690</v>
      </c>
      <c r="T28" s="26"/>
      <c r="U28" s="4" t="s">
        <v>3</v>
      </c>
      <c r="V28" s="5">
        <v>545510</v>
      </c>
      <c r="AD28" s="26"/>
      <c r="AE28" s="4" t="s">
        <v>3</v>
      </c>
      <c r="AF28" s="5">
        <v>624790</v>
      </c>
      <c r="AN28" s="26"/>
      <c r="AO28" s="4" t="s">
        <v>3</v>
      </c>
      <c r="AP28" s="5">
        <v>586420</v>
      </c>
      <c r="AX28" s="26"/>
      <c r="AY28" s="4" t="s">
        <v>3</v>
      </c>
      <c r="AZ28" s="5">
        <v>626200</v>
      </c>
      <c r="BH28" s="26"/>
      <c r="BI28" s="4" t="s">
        <v>3</v>
      </c>
      <c r="BJ28" s="5">
        <v>630020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0.16174301888587603</v>
      </c>
      <c r="C30" s="2">
        <f t="shared" ref="C30:C35" si="8">Y4</f>
        <v>0.33558504987076415</v>
      </c>
      <c r="D30" s="2">
        <f t="shared" ref="D30:D35" si="9">AI4</f>
        <v>0.81623138765995906</v>
      </c>
      <c r="E30" s="11">
        <f t="shared" ref="E30:E35" si="10">Q4</f>
        <v>7.6504738922113793</v>
      </c>
      <c r="F30" s="11">
        <f t="shared" ref="F30:F35" si="11">AA4</f>
        <v>2.0521191354832506</v>
      </c>
      <c r="G30" s="9">
        <f t="shared" ref="G30:G35" si="12">AK4</f>
        <v>0.72410696921924733</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0.28658642944357232</v>
      </c>
      <c r="C31" s="2">
        <f t="shared" si="8"/>
        <v>0.53611467897182186</v>
      </c>
      <c r="D31" s="2">
        <f t="shared" si="9"/>
        <v>0.93016507302221585</v>
      </c>
      <c r="E31" s="11">
        <f t="shared" si="10"/>
        <v>8.5764133929271544</v>
      </c>
      <c r="F31" s="11">
        <f t="shared" si="11"/>
        <v>2.5424221292422127</v>
      </c>
      <c r="G31" s="9">
        <f t="shared" si="12"/>
        <v>1.2681435103661673</v>
      </c>
      <c r="H31" s="12"/>
      <c r="J31" s="26"/>
      <c r="K31" s="4"/>
      <c r="L31" s="4"/>
      <c r="T31" s="26"/>
      <c r="U31" s="4"/>
      <c r="V31" s="4"/>
      <c r="AD31" s="26"/>
      <c r="AE31" s="4"/>
      <c r="AF31" s="4"/>
      <c r="AN31" s="26"/>
      <c r="AO31" s="4"/>
      <c r="AP31" s="4"/>
      <c r="AX31" s="26"/>
      <c r="AY31" s="4"/>
      <c r="AZ31" s="4"/>
      <c r="BH31" s="26"/>
      <c r="BI31" s="4"/>
      <c r="BJ31" s="4"/>
    </row>
    <row r="32" spans="1:62">
      <c r="A32" s="10">
        <v>400</v>
      </c>
      <c r="B32" s="2">
        <f t="shared" si="7"/>
        <v>0.47663447663447661</v>
      </c>
      <c r="C32" s="2">
        <f t="shared" si="8"/>
        <v>0.75821004392432967</v>
      </c>
      <c r="D32" s="2">
        <f t="shared" si="9"/>
        <v>0.98171669600241029</v>
      </c>
      <c r="E32" s="11">
        <f t="shared" si="10"/>
        <v>10.033770805740463</v>
      </c>
      <c r="F32" s="11">
        <f t="shared" si="11"/>
        <v>3.4387557599158978</v>
      </c>
      <c r="G32" s="9">
        <f t="shared" si="12"/>
        <v>2.3947097440739489</v>
      </c>
      <c r="H32" s="12"/>
      <c r="J32" s="26">
        <v>800</v>
      </c>
      <c r="K32" s="4" t="s">
        <v>0</v>
      </c>
      <c r="L32" s="5">
        <v>630630</v>
      </c>
      <c r="T32" s="26">
        <v>800</v>
      </c>
      <c r="U32" s="4" t="s">
        <v>0</v>
      </c>
      <c r="V32" s="5">
        <v>630630</v>
      </c>
      <c r="AD32" s="26">
        <v>800</v>
      </c>
      <c r="AE32" s="4" t="s">
        <v>0</v>
      </c>
      <c r="AF32" s="5">
        <v>630630</v>
      </c>
      <c r="AN32" s="26">
        <v>800</v>
      </c>
      <c r="AO32" s="4" t="s">
        <v>0</v>
      </c>
      <c r="AP32" s="5">
        <v>630630</v>
      </c>
      <c r="AX32" s="26">
        <v>800</v>
      </c>
      <c r="AY32" s="4" t="s">
        <v>0</v>
      </c>
      <c r="AZ32" s="5">
        <v>630630</v>
      </c>
      <c r="BH32" s="26">
        <v>800</v>
      </c>
      <c r="BI32" s="4" t="s">
        <v>0</v>
      </c>
      <c r="BJ32" s="5">
        <v>630630</v>
      </c>
    </row>
    <row r="33" spans="1:62">
      <c r="A33" s="10">
        <v>600</v>
      </c>
      <c r="B33" s="2">
        <f t="shared" si="7"/>
        <v>0.61108732537303967</v>
      </c>
      <c r="C33" s="2">
        <f t="shared" si="8"/>
        <v>0.86626072340358051</v>
      </c>
      <c r="D33" s="2">
        <f t="shared" si="9"/>
        <v>0.99170670599242028</v>
      </c>
      <c r="E33" s="11">
        <f t="shared" si="10"/>
        <v>11.176038573298847</v>
      </c>
      <c r="F33" s="11">
        <f t="shared" si="11"/>
        <v>4.3818466353677614</v>
      </c>
      <c r="G33" s="9">
        <f t="shared" si="12"/>
        <v>3.5419006851047889</v>
      </c>
      <c r="H33" s="12"/>
      <c r="J33" s="26"/>
      <c r="K33" s="4" t="s">
        <v>1</v>
      </c>
      <c r="L33" s="5">
        <v>448700</v>
      </c>
      <c r="T33" s="26"/>
      <c r="U33" s="4" t="s">
        <v>1</v>
      </c>
      <c r="V33" s="5">
        <v>584400</v>
      </c>
      <c r="AD33" s="26"/>
      <c r="AE33" s="4" t="s">
        <v>1</v>
      </c>
      <c r="AF33" s="5">
        <v>628340</v>
      </c>
      <c r="AN33" s="26"/>
      <c r="AO33" s="4" t="s">
        <v>1</v>
      </c>
      <c r="AP33" s="5">
        <v>609360</v>
      </c>
      <c r="AX33" s="26"/>
      <c r="AY33" s="4" t="s">
        <v>1</v>
      </c>
      <c r="AZ33" s="5">
        <v>629640</v>
      </c>
      <c r="BH33" s="26"/>
      <c r="BI33" s="4" t="s">
        <v>1</v>
      </c>
      <c r="BJ33" s="5">
        <v>630630</v>
      </c>
    </row>
    <row r="34" spans="1:62">
      <c r="A34" s="10">
        <v>800</v>
      </c>
      <c r="B34" s="2">
        <f t="shared" si="7"/>
        <v>0.71151071151071155</v>
      </c>
      <c r="C34" s="2">
        <f t="shared" si="8"/>
        <v>0.9266923552637838</v>
      </c>
      <c r="D34" s="2">
        <f t="shared" si="9"/>
        <v>0.99636871065442489</v>
      </c>
      <c r="E34" s="11">
        <f t="shared" si="10"/>
        <v>12.324160636630928</v>
      </c>
      <c r="F34" s="11">
        <f t="shared" si="11"/>
        <v>5.3663902975663422</v>
      </c>
      <c r="G34" s="9">
        <f t="shared" si="12"/>
        <v>4.6837153906887741</v>
      </c>
      <c r="H34" s="12"/>
      <c r="J34" s="26"/>
      <c r="K34" s="4" t="s">
        <v>2</v>
      </c>
      <c r="L34" s="5">
        <v>181930</v>
      </c>
      <c r="T34" s="26"/>
      <c r="U34" s="4" t="s">
        <v>2</v>
      </c>
      <c r="V34" s="5">
        <v>46233</v>
      </c>
      <c r="AD34" s="26"/>
      <c r="AE34" s="4" t="s">
        <v>2</v>
      </c>
      <c r="AF34" s="5">
        <v>2286.6999999999998</v>
      </c>
      <c r="AN34" s="26"/>
      <c r="AO34" s="4" t="s">
        <v>2</v>
      </c>
      <c r="AP34" s="5">
        <v>21266</v>
      </c>
      <c r="AX34" s="26"/>
      <c r="AY34" s="4" t="s">
        <v>2</v>
      </c>
      <c r="AZ34" s="5">
        <v>992.55</v>
      </c>
      <c r="BH34" s="26"/>
      <c r="BI34" s="4" t="s">
        <v>2</v>
      </c>
      <c r="BJ34" s="5">
        <v>0</v>
      </c>
    </row>
    <row r="35" spans="1:62">
      <c r="A35" s="10">
        <v>1000</v>
      </c>
      <c r="B35" s="2">
        <f t="shared" si="7"/>
        <v>0.78635650064221496</v>
      </c>
      <c r="C35" s="2">
        <f t="shared" si="8"/>
        <v>0.95981795981795981</v>
      </c>
      <c r="D35" s="2">
        <f t="shared" si="9"/>
        <v>0.99843014128728413</v>
      </c>
      <c r="E35" s="11">
        <f t="shared" si="10"/>
        <v>13.421068777225598</v>
      </c>
      <c r="F35" s="11">
        <f t="shared" si="11"/>
        <v>6.4245174269624146</v>
      </c>
      <c r="G35" s="9">
        <f t="shared" si="12"/>
        <v>5.8316421571077726</v>
      </c>
      <c r="H35" s="12"/>
      <c r="J35" s="26"/>
      <c r="K35" s="4" t="s">
        <v>3</v>
      </c>
      <c r="L35" s="5">
        <v>446650</v>
      </c>
      <c r="T35" s="26"/>
      <c r="U35" s="4" t="s">
        <v>3</v>
      </c>
      <c r="V35" s="5">
        <v>583390</v>
      </c>
      <c r="AD35" s="26"/>
      <c r="AE35" s="4" t="s">
        <v>3</v>
      </c>
      <c r="AF35" s="5">
        <v>627550</v>
      </c>
      <c r="AN35" s="26"/>
      <c r="AO35" s="4" t="s">
        <v>3</v>
      </c>
      <c r="AP35" s="5">
        <v>606970</v>
      </c>
      <c r="AX35" s="26"/>
      <c r="AY35" s="4" t="s">
        <v>3</v>
      </c>
      <c r="AZ35" s="5">
        <v>628620</v>
      </c>
      <c r="BH35" s="26"/>
      <c r="BI35" s="4" t="s">
        <v>3</v>
      </c>
      <c r="BJ35" s="5">
        <v>629840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630630</v>
      </c>
      <c r="T39" s="26">
        <v>1000</v>
      </c>
      <c r="U39" s="4" t="s">
        <v>0</v>
      </c>
      <c r="V39" s="5">
        <v>630630</v>
      </c>
      <c r="AD39" s="26">
        <v>1000</v>
      </c>
      <c r="AE39" s="4" t="s">
        <v>0</v>
      </c>
      <c r="AF39" s="5">
        <v>630630</v>
      </c>
      <c r="AN39" s="26">
        <v>1000</v>
      </c>
      <c r="AO39" s="4" t="s">
        <v>0</v>
      </c>
      <c r="AP39" s="5">
        <v>630630</v>
      </c>
      <c r="AX39" s="26">
        <v>1000</v>
      </c>
      <c r="AY39" s="4" t="s">
        <v>0</v>
      </c>
      <c r="AZ39" s="5">
        <v>630630</v>
      </c>
      <c r="BH39" s="26">
        <v>1000</v>
      </c>
      <c r="BI39" s="4" t="s">
        <v>0</v>
      </c>
      <c r="BJ39" s="5">
        <v>630630</v>
      </c>
    </row>
    <row r="40" spans="1:62">
      <c r="A40" s="199"/>
      <c r="B40" s="15" t="s">
        <v>15</v>
      </c>
      <c r="C40" s="15" t="s">
        <v>14</v>
      </c>
      <c r="D40" s="15" t="s">
        <v>13</v>
      </c>
      <c r="E40" s="15" t="s">
        <v>15</v>
      </c>
      <c r="F40" s="15" t="s">
        <v>14</v>
      </c>
      <c r="G40" s="15" t="s">
        <v>13</v>
      </c>
      <c r="J40" s="26"/>
      <c r="K40" s="4" t="s">
        <v>1</v>
      </c>
      <c r="L40" s="5">
        <v>495900</v>
      </c>
      <c r="T40" s="26"/>
      <c r="U40" s="4" t="s">
        <v>1</v>
      </c>
      <c r="V40" s="5">
        <v>605290</v>
      </c>
      <c r="AD40" s="26"/>
      <c r="AE40" s="4" t="s">
        <v>1</v>
      </c>
      <c r="AF40" s="5">
        <v>629640</v>
      </c>
      <c r="AN40" s="26"/>
      <c r="AO40" s="4" t="s">
        <v>1</v>
      </c>
      <c r="AP40" s="5">
        <v>620940</v>
      </c>
      <c r="AX40" s="26"/>
      <c r="AY40" s="4" t="s">
        <v>1</v>
      </c>
      <c r="AZ40" s="5">
        <v>630630</v>
      </c>
      <c r="BH40" s="26"/>
      <c r="BI40" s="4" t="s">
        <v>1</v>
      </c>
      <c r="BJ40" s="5">
        <v>630630</v>
      </c>
    </row>
    <row r="41" spans="1:62">
      <c r="A41" s="10">
        <v>100</v>
      </c>
      <c r="B41" s="2">
        <f>AS4</f>
        <v>0.38014366585795156</v>
      </c>
      <c r="C41" s="2">
        <f>BC4</f>
        <v>0.61164232592804024</v>
      </c>
      <c r="D41" s="2">
        <f>BM4</f>
        <v>0.95247609533323818</v>
      </c>
      <c r="E41" s="11">
        <f>AU4</f>
        <v>5.669264809739472</v>
      </c>
      <c r="F41" s="11">
        <f>BE4</f>
        <v>1.5169639916090221</v>
      </c>
      <c r="G41" s="9">
        <f>BO4</f>
        <v>0.6182653241476771</v>
      </c>
      <c r="J41" s="26"/>
      <c r="K41" s="4" t="s">
        <v>2</v>
      </c>
      <c r="L41" s="5">
        <v>134740</v>
      </c>
      <c r="T41" s="26"/>
      <c r="U41" s="4" t="s">
        <v>2</v>
      </c>
      <c r="V41" s="5">
        <v>25341</v>
      </c>
      <c r="AD41" s="26"/>
      <c r="AE41" s="4" t="s">
        <v>2</v>
      </c>
      <c r="AF41" s="5">
        <v>993.02</v>
      </c>
      <c r="AN41" s="26"/>
      <c r="AO41" s="4" t="s">
        <v>2</v>
      </c>
      <c r="AP41" s="5">
        <v>9690.2999999999993</v>
      </c>
      <c r="AX41" s="26"/>
      <c r="AY41" s="4" t="s">
        <v>2</v>
      </c>
      <c r="AZ41" s="5">
        <v>0</v>
      </c>
      <c r="BH41" s="26"/>
      <c r="BI41" s="4" t="s">
        <v>2</v>
      </c>
      <c r="BJ41" s="5">
        <v>0</v>
      </c>
    </row>
    <row r="42" spans="1:62">
      <c r="A42" s="10">
        <v>200</v>
      </c>
      <c r="B42" s="2">
        <f t="shared" ref="B42:B46" si="13">AS5</f>
        <v>0.60365031793603219</v>
      </c>
      <c r="C42" s="2">
        <f t="shared" ref="C42:C46" si="14">BC5</f>
        <v>0.83004297290011575</v>
      </c>
      <c r="D42" s="2">
        <f t="shared" ref="D42:D46" si="15">BM5</f>
        <v>0.98924884639170352</v>
      </c>
      <c r="E42" s="11">
        <f t="shared" ref="E42:E46" si="16">AU5</f>
        <v>6.7237610029546122</v>
      </c>
      <c r="F42" s="11">
        <f t="shared" ref="F42:F46" si="17">BE5</f>
        <v>2.0736316993115542</v>
      </c>
      <c r="G42" s="9">
        <f t="shared" ref="G42:G46" si="18">BO5</f>
        <v>1.1835800252271629</v>
      </c>
      <c r="J42" s="26"/>
      <c r="K42" s="4" t="s">
        <v>3</v>
      </c>
      <c r="L42" s="5">
        <v>493490</v>
      </c>
      <c r="T42" s="26"/>
      <c r="U42" s="4" t="s">
        <v>3</v>
      </c>
      <c r="V42" s="5">
        <v>604060</v>
      </c>
      <c r="AD42" s="26"/>
      <c r="AE42" s="4" t="s">
        <v>3</v>
      </c>
      <c r="AF42" s="5">
        <v>628680</v>
      </c>
      <c r="AN42" s="26"/>
      <c r="AO42" s="4" t="s">
        <v>3</v>
      </c>
      <c r="AP42" s="5">
        <v>618270</v>
      </c>
      <c r="AX42" s="26"/>
      <c r="AY42" s="4" t="s">
        <v>3</v>
      </c>
      <c r="AZ42" s="5">
        <v>629400</v>
      </c>
      <c r="BH42" s="26"/>
      <c r="BI42" s="4" t="s">
        <v>3</v>
      </c>
      <c r="BJ42" s="5">
        <v>629670</v>
      </c>
    </row>
    <row r="43" spans="1:62">
      <c r="A43" s="10">
        <v>400</v>
      </c>
      <c r="B43" s="2">
        <f t="shared" si="13"/>
        <v>0.83378526235669093</v>
      </c>
      <c r="C43" s="2">
        <f t="shared" si="14"/>
        <v>0.96608153751010895</v>
      </c>
      <c r="D43" s="2">
        <f t="shared" si="15"/>
        <v>0.99900099900099903</v>
      </c>
      <c r="E43" s="11">
        <f t="shared" si="16"/>
        <v>8.5377202579367264</v>
      </c>
      <c r="F43" s="11">
        <f t="shared" si="17"/>
        <v>3.0736130321192561</v>
      </c>
      <c r="G43" s="9">
        <f t="shared" si="18"/>
        <v>2.3271431326006158</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0.93320964749536173</v>
      </c>
      <c r="C44" s="2">
        <f t="shared" si="14"/>
        <v>0.99424385138670857</v>
      </c>
      <c r="D44" s="2">
        <f t="shared" si="15"/>
        <v>1</v>
      </c>
      <c r="E44" s="11">
        <f t="shared" si="16"/>
        <v>10.014306151645206</v>
      </c>
      <c r="F44" s="11">
        <f t="shared" si="17"/>
        <v>4.0945729360427698</v>
      </c>
      <c r="G44" s="9">
        <f t="shared" si="18"/>
        <v>3.4911325233905877</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0.96627182341468054</v>
      </c>
      <c r="C45" s="2">
        <f t="shared" si="14"/>
        <v>0.99843014128728413</v>
      </c>
      <c r="D45" s="2">
        <f t="shared" si="15"/>
        <v>1</v>
      </c>
      <c r="E45" s="11">
        <f t="shared" si="16"/>
        <v>11.441273577195908</v>
      </c>
      <c r="F45" s="11">
        <f t="shared" si="17"/>
        <v>5.1641841695622981</v>
      </c>
      <c r="G45" s="9">
        <f t="shared" si="18"/>
        <v>4.6563760755397237</v>
      </c>
      <c r="Y45"/>
      <c r="Z45"/>
      <c r="AA45"/>
      <c r="AB45"/>
      <c r="BC45"/>
      <c r="BD45"/>
      <c r="BE45"/>
      <c r="BF45"/>
    </row>
    <row r="46" spans="1:62">
      <c r="A46" s="10">
        <v>1000</v>
      </c>
      <c r="B46" s="2">
        <f t="shared" si="13"/>
        <v>0.98463441320584177</v>
      </c>
      <c r="C46" s="2">
        <f t="shared" si="14"/>
        <v>1</v>
      </c>
      <c r="D46" s="2">
        <f t="shared" si="15"/>
        <v>1</v>
      </c>
      <c r="E46" s="11">
        <f t="shared" si="16"/>
        <v>12.742099898063202</v>
      </c>
      <c r="F46" s="11">
        <f t="shared" si="17"/>
        <v>6.2827375503067771</v>
      </c>
      <c r="G46" s="9">
        <f t="shared" si="18"/>
        <v>5.8223872453121466</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0.38014366585795156</v>
      </c>
      <c r="C52" s="2">
        <f>C30+(($A$25-1)/3)*(C41-C30)</f>
        <v>0.61164232592804024</v>
      </c>
      <c r="D52" s="2">
        <f>D30+(($A$25-1)/3)*(D41-D30)</f>
        <v>0.95247609533323818</v>
      </c>
      <c r="E52" s="9">
        <f>E30+(($A$25-1)/3)*(E41-E30)</f>
        <v>5.669264809739472</v>
      </c>
      <c r="F52" s="9">
        <f t="shared" ref="F52:G57" si="19">F30+(($A$25-1)/3)*(F41-F30)</f>
        <v>1.5169639916090221</v>
      </c>
      <c r="G52" s="9">
        <f t="shared" si="19"/>
        <v>0.6182653241476771</v>
      </c>
      <c r="Y52"/>
      <c r="Z52"/>
      <c r="AA52"/>
      <c r="AB52"/>
      <c r="BC52"/>
      <c r="BD52"/>
      <c r="BE52"/>
      <c r="BF52"/>
    </row>
    <row r="53" spans="1:58">
      <c r="A53" s="10">
        <v>200</v>
      </c>
      <c r="B53" s="2">
        <f t="shared" ref="B53:E57" si="20">B31+(($A$25-1)/3)*(B42-B31)</f>
        <v>0.60365031793603219</v>
      </c>
      <c r="C53" s="2">
        <f t="shared" si="20"/>
        <v>0.83004297290011575</v>
      </c>
      <c r="D53" s="2">
        <f t="shared" si="20"/>
        <v>0.98924884639170352</v>
      </c>
      <c r="E53" s="9">
        <f t="shared" si="20"/>
        <v>6.7237610029546122</v>
      </c>
      <c r="F53" s="9">
        <f t="shared" si="19"/>
        <v>2.0736316993115542</v>
      </c>
      <c r="G53" s="9">
        <f t="shared" si="19"/>
        <v>1.1835800252271629</v>
      </c>
      <c r="Y53"/>
      <c r="Z53"/>
      <c r="AA53"/>
      <c r="AB53"/>
      <c r="BC53"/>
      <c r="BD53"/>
      <c r="BE53"/>
      <c r="BF53"/>
    </row>
    <row r="54" spans="1:58">
      <c r="A54" s="10">
        <v>400</v>
      </c>
      <c r="B54" s="2">
        <f t="shared" si="20"/>
        <v>0.83378526235669093</v>
      </c>
      <c r="C54" s="2">
        <f t="shared" si="20"/>
        <v>0.96608153751010895</v>
      </c>
      <c r="D54" s="2">
        <f t="shared" si="20"/>
        <v>0.99900099900099903</v>
      </c>
      <c r="E54" s="9">
        <f t="shared" si="20"/>
        <v>8.5377202579367264</v>
      </c>
      <c r="F54" s="9">
        <f t="shared" si="19"/>
        <v>3.0736130321192561</v>
      </c>
      <c r="G54" s="9">
        <f t="shared" si="19"/>
        <v>2.3271431326006158</v>
      </c>
      <c r="Y54"/>
      <c r="Z54"/>
      <c r="AA54"/>
      <c r="AB54"/>
      <c r="BC54"/>
      <c r="BD54"/>
      <c r="BE54"/>
      <c r="BF54"/>
    </row>
    <row r="55" spans="1:58">
      <c r="A55" s="10">
        <v>600</v>
      </c>
      <c r="B55" s="2">
        <f t="shared" si="20"/>
        <v>0.93320964749536173</v>
      </c>
      <c r="C55" s="2">
        <f t="shared" si="20"/>
        <v>0.99424385138670857</v>
      </c>
      <c r="D55" s="2">
        <f t="shared" si="20"/>
        <v>1</v>
      </c>
      <c r="E55" s="9">
        <f t="shared" si="20"/>
        <v>10.014306151645206</v>
      </c>
      <c r="F55" s="9">
        <f t="shared" si="19"/>
        <v>4.0945729360427698</v>
      </c>
      <c r="G55" s="9">
        <f t="shared" si="19"/>
        <v>3.4911325233905877</v>
      </c>
      <c r="Y55"/>
      <c r="Z55"/>
      <c r="AA55"/>
      <c r="AB55"/>
      <c r="BC55"/>
      <c r="BD55"/>
      <c r="BE55"/>
      <c r="BF55"/>
    </row>
    <row r="56" spans="1:58">
      <c r="A56" s="10">
        <v>800</v>
      </c>
      <c r="B56" s="2">
        <f t="shared" si="20"/>
        <v>0.96627182341468054</v>
      </c>
      <c r="C56" s="2">
        <f t="shared" si="20"/>
        <v>0.99843014128728413</v>
      </c>
      <c r="D56" s="2">
        <f t="shared" si="20"/>
        <v>1</v>
      </c>
      <c r="E56" s="9">
        <f t="shared" si="20"/>
        <v>11.441273577195908</v>
      </c>
      <c r="F56" s="9">
        <f t="shared" si="19"/>
        <v>5.1641841695622981</v>
      </c>
      <c r="G56" s="9">
        <f t="shared" si="19"/>
        <v>4.6563760755397237</v>
      </c>
      <c r="Y56"/>
      <c r="Z56"/>
      <c r="AA56"/>
      <c r="AB56"/>
      <c r="BC56"/>
      <c r="BD56"/>
      <c r="BE56"/>
      <c r="BF56"/>
    </row>
    <row r="57" spans="1:58">
      <c r="A57" s="10">
        <v>1000</v>
      </c>
      <c r="B57" s="2">
        <f t="shared" si="20"/>
        <v>0.98463441320584177</v>
      </c>
      <c r="C57" s="2">
        <f t="shared" si="20"/>
        <v>1</v>
      </c>
      <c r="D57" s="2">
        <f t="shared" si="20"/>
        <v>1</v>
      </c>
      <c r="E57" s="9">
        <f t="shared" si="20"/>
        <v>12.742099898063202</v>
      </c>
      <c r="F57" s="9">
        <f t="shared" si="19"/>
        <v>6.2827375503067771</v>
      </c>
      <c r="G57" s="9">
        <f t="shared" si="19"/>
        <v>5.8223872453121466</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Sheet38"/>
  <dimension ref="A1:M57"/>
  <sheetViews>
    <sheetView tabSelected="1" topLeftCell="A31" zoomScaleNormal="100" workbookViewId="0">
      <selection activeCell="C50" sqref="C50"/>
    </sheetView>
  </sheetViews>
  <sheetFormatPr defaultRowHeight="14.4"/>
  <cols>
    <col min="1" max="1" width="31.44140625" customWidth="1"/>
    <col min="2" max="2" width="17.5546875" customWidth="1"/>
    <col min="3" max="3" width="15.5546875" customWidth="1"/>
    <col min="4" max="4" width="13.44140625" customWidth="1"/>
    <col min="5" max="5" width="13.5546875" customWidth="1"/>
    <col min="6" max="6" width="14" customWidth="1"/>
    <col min="7" max="7" width="11.21875" customWidth="1"/>
    <col min="8" max="8" width="12.5546875" customWidth="1"/>
    <col min="9" max="9" width="13.21875" customWidth="1"/>
    <col min="10" max="10" width="12.5546875" customWidth="1"/>
    <col min="11" max="11" width="12" customWidth="1"/>
    <col min="12" max="12" width="10.77734375" customWidth="1"/>
    <col min="13" max="13" width="10.88671875" customWidth="1"/>
  </cols>
  <sheetData>
    <row r="1" spans="1:10" ht="20.399999999999999" customHeight="1">
      <c r="A1" s="163" t="s">
        <v>178</v>
      </c>
      <c r="B1" s="162"/>
      <c r="C1" s="162"/>
      <c r="D1" s="162"/>
      <c r="E1" s="162"/>
      <c r="F1" s="162"/>
      <c r="G1" s="162"/>
      <c r="H1" s="162"/>
    </row>
    <row r="3" spans="1:10" ht="15.6">
      <c r="A3" s="164" t="s">
        <v>160</v>
      </c>
    </row>
    <row r="4" spans="1:10" ht="60.6" customHeight="1">
      <c r="A4" s="181" t="s">
        <v>179</v>
      </c>
      <c r="B4" s="181"/>
      <c r="C4" s="181"/>
      <c r="D4" s="181"/>
    </row>
    <row r="6" spans="1:10" ht="15.6">
      <c r="A6" s="164" t="s">
        <v>156</v>
      </c>
    </row>
    <row r="7" spans="1:10" ht="60.6">
      <c r="A7" s="170" t="s">
        <v>191</v>
      </c>
    </row>
    <row r="9" spans="1:10" ht="48">
      <c r="A9" s="172" t="s">
        <v>181</v>
      </c>
      <c r="B9" s="160" t="s">
        <v>56</v>
      </c>
      <c r="C9" s="137">
        <v>1</v>
      </c>
    </row>
    <row r="10" spans="1:10" ht="84.6">
      <c r="A10" s="165" t="s">
        <v>189</v>
      </c>
      <c r="B10" s="160" t="s">
        <v>188</v>
      </c>
      <c r="C10" s="137">
        <v>10</v>
      </c>
      <c r="D10" s="124" t="str">
        <f>IF(AND(C10&gt;=1,C10&lt;=50)," ","ERROR 
Out of range")</f>
        <v xml:space="preserve"> </v>
      </c>
    </row>
    <row r="11" spans="1:10" ht="64.2" customHeight="1">
      <c r="A11" s="165" t="s">
        <v>182</v>
      </c>
      <c r="B11" s="160" t="s">
        <v>153</v>
      </c>
      <c r="C11" s="137">
        <v>4</v>
      </c>
      <c r="D11" s="124" t="str">
        <f>IF(AND(C11&gt;=1,C11&lt;=4)," ","ERROR 
Out of range")</f>
        <v xml:space="preserve"> </v>
      </c>
    </row>
    <row r="12" spans="1:10" ht="36.6">
      <c r="A12" s="165" t="s">
        <v>183</v>
      </c>
      <c r="B12" s="160" t="s">
        <v>127</v>
      </c>
      <c r="C12" s="138">
        <v>100</v>
      </c>
    </row>
    <row r="13" spans="1:10" ht="14.4" customHeight="1"/>
    <row r="14" spans="1:10" ht="60" customHeight="1">
      <c r="A14" s="182" t="s">
        <v>184</v>
      </c>
      <c r="B14" s="136" t="s">
        <v>22</v>
      </c>
      <c r="C14" s="106" t="s">
        <v>37</v>
      </c>
      <c r="D14" s="106" t="s">
        <v>150</v>
      </c>
      <c r="E14" s="106" t="s">
        <v>53</v>
      </c>
      <c r="F14" s="106" t="s">
        <v>54</v>
      </c>
      <c r="G14" s="106" t="s">
        <v>55</v>
      </c>
      <c r="H14" s="156" t="s">
        <v>198</v>
      </c>
      <c r="I14" s="161" t="s">
        <v>151</v>
      </c>
      <c r="J14" s="106" t="s">
        <v>152</v>
      </c>
    </row>
    <row r="15" spans="1:10">
      <c r="A15" s="182"/>
      <c r="B15" s="139" t="s">
        <v>26</v>
      </c>
      <c r="C15" s="125" t="str">
        <f>VLOOKUP(B15,'rain zones'!A3:G17,2,FALSE)</f>
        <v>Chicago, IL</v>
      </c>
      <c r="D15" s="125">
        <f>VLOOKUP(B15,'rain zones'!A3:G17,4,FALSE)</f>
        <v>56</v>
      </c>
      <c r="E15" s="126">
        <f>VLOOKUP(B15,'rain zones'!A3:G17,5,FALSE)</f>
        <v>9.3640000000000008</v>
      </c>
      <c r="F15" s="127">
        <f>VLOOKUP(B15,'rain zones'!A3:G17,6,FALSE)</f>
        <v>0.59799999999999998</v>
      </c>
      <c r="G15" s="125">
        <f>VLOOKUP(B15,'rain zones'!A3:G17,7,FALSE)</f>
        <v>9.4E-2</v>
      </c>
      <c r="H15" s="126">
        <f>VLOOKUP(B15,'rain zones'!A3:H17,8,FALSE)</f>
        <v>33.496000000000002</v>
      </c>
      <c r="I15" s="127">
        <f>VLOOKUP(B15,'rain zones'!A3:H17,8,FALSE)*$C$9/12</f>
        <v>2.7913333333333337</v>
      </c>
      <c r="J15" s="128">
        <f>C12*I15*43560*28.317/1000000</f>
        <v>344.30776221600007</v>
      </c>
    </row>
    <row r="17" spans="1:8" s="36" customFormat="1" hidden="1">
      <c r="A17" s="107"/>
      <c r="G17" s="36" t="str">
        <f>"Media Filter - Runoff Capture
"&amp;B15&amp;" Rain Zone"</f>
        <v>Media Filter - Runoff Capture
North Central Rain Zone</v>
      </c>
      <c r="H17" s="36" t="s">
        <v>108</v>
      </c>
    </row>
    <row r="18" spans="1:8" s="36" customFormat="1" hidden="1">
      <c r="C18" s="36" t="str">
        <f>"'"&amp;$B$15&amp;"-MF'"&amp;"!B52"</f>
        <v>'North Central-MF'!B52</v>
      </c>
      <c r="D18" s="36" t="str">
        <f>"'"&amp;$B$15&amp;"-MF'"&amp;"!C52"</f>
        <v>'North Central-MF'!C52</v>
      </c>
      <c r="E18" s="36" t="str">
        <f>"'"&amp;$B$15&amp;"-MF'"&amp;"!D52"</f>
        <v>'North Central-MF'!D52</v>
      </c>
      <c r="F18" s="88" t="s">
        <v>108</v>
      </c>
      <c r="G18" s="36" t="str">
        <f>"Media Filter - Average Contact Time
"&amp;B15&amp;" Rain Zone"</f>
        <v>Media Filter - Average Contact Time
North Central Rain Zone</v>
      </c>
      <c r="H18" s="36" t="s">
        <v>108</v>
      </c>
    </row>
    <row r="19" spans="1:8" s="36" customFormat="1">
      <c r="F19" s="88"/>
    </row>
    <row r="20" spans="1:8" s="36" customFormat="1">
      <c r="F20" s="88"/>
    </row>
    <row r="21" spans="1:8" s="36" customFormat="1">
      <c r="F21" s="88"/>
    </row>
    <row r="22" spans="1:8" s="36" customFormat="1">
      <c r="F22" s="88"/>
    </row>
    <row r="23" spans="1:8" s="36" customFormat="1">
      <c r="F23" s="88"/>
    </row>
    <row r="24" spans="1:8" s="36" customFormat="1">
      <c r="F24" s="88"/>
    </row>
    <row r="25" spans="1:8" s="36" customFormat="1">
      <c r="F25" s="88"/>
    </row>
    <row r="26" spans="1:8" s="36" customFormat="1">
      <c r="F26" s="88"/>
    </row>
    <row r="27" spans="1:8" s="36" customFormat="1">
      <c r="F27" s="88"/>
    </row>
    <row r="28" spans="1:8" s="36" customFormat="1">
      <c r="F28" s="88"/>
    </row>
    <row r="29" spans="1:8" s="36" customFormat="1">
      <c r="F29" s="88"/>
    </row>
    <row r="30" spans="1:8" s="36" customFormat="1">
      <c r="F30" s="88"/>
    </row>
    <row r="31" spans="1:8" s="36" customFormat="1">
      <c r="F31" s="88"/>
    </row>
    <row r="32" spans="1:8" s="36" customFormat="1">
      <c r="F32" s="88"/>
    </row>
    <row r="33" spans="1:13" s="36" customFormat="1">
      <c r="F33" s="88"/>
    </row>
    <row r="34" spans="1:13" s="36" customFormat="1">
      <c r="F34" s="88"/>
    </row>
    <row r="35" spans="1:13" s="36" customFormat="1">
      <c r="F35" s="88"/>
    </row>
    <row r="36" spans="1:13" s="36" customFormat="1">
      <c r="F36" s="88"/>
    </row>
    <row r="37" spans="1:13" s="36" customFormat="1">
      <c r="F37" s="88"/>
    </row>
    <row r="38" spans="1:13" s="36" customFormat="1">
      <c r="F38" s="88"/>
    </row>
    <row r="39" spans="1:13" s="36" customFormat="1">
      <c r="F39" s="88"/>
    </row>
    <row r="40" spans="1:13" s="36" customFormat="1">
      <c r="F40" s="88"/>
    </row>
    <row r="41" spans="1:13" s="36" customFormat="1" ht="14.4" customHeight="1">
      <c r="A41" s="182" t="s">
        <v>185</v>
      </c>
      <c r="B41" s="198" t="s">
        <v>110</v>
      </c>
      <c r="C41" s="198" t="s">
        <v>109</v>
      </c>
      <c r="D41" s="196" t="s">
        <v>141</v>
      </c>
      <c r="E41" s="196" t="s">
        <v>142</v>
      </c>
      <c r="F41" s="194" t="s">
        <v>57</v>
      </c>
      <c r="G41" s="194"/>
      <c r="H41" s="194"/>
      <c r="I41" s="194"/>
      <c r="J41" s="195" t="s">
        <v>148</v>
      </c>
      <c r="K41" s="195"/>
      <c r="L41" s="195"/>
      <c r="M41" s="195"/>
    </row>
    <row r="42" spans="1:13" ht="15.6" customHeight="1">
      <c r="A42" s="182"/>
      <c r="B42" s="198"/>
      <c r="C42" s="198"/>
      <c r="D42" s="197"/>
      <c r="E42" s="197"/>
      <c r="F42" s="129" t="s">
        <v>125</v>
      </c>
      <c r="G42" s="130" t="s">
        <v>126</v>
      </c>
      <c r="H42" s="130" t="s">
        <v>144</v>
      </c>
      <c r="I42" s="129" t="str">
        <f>"K = "&amp;C10&amp;" in/hr"</f>
        <v>K = 10 in/hr</v>
      </c>
      <c r="J42" s="131" t="s">
        <v>125</v>
      </c>
      <c r="K42" s="132" t="s">
        <v>126</v>
      </c>
      <c r="L42" s="132" t="s">
        <v>144</v>
      </c>
      <c r="M42" s="131" t="str">
        <f>"K = "&amp;C10&amp;" in/hr"</f>
        <v>K = 10 in/hr</v>
      </c>
    </row>
    <row r="43" spans="1:13">
      <c r="A43" s="182"/>
      <c r="B43" s="133">
        <f t="shared" ref="B43:B48" si="0">C43/43560/$C$9</f>
        <v>2.295684113865932E-3</v>
      </c>
      <c r="C43" s="125">
        <f>100*$C$9</f>
        <v>100</v>
      </c>
      <c r="D43" s="125">
        <f t="shared" ref="D43:D48" si="1">$C$11*C43</f>
        <v>400</v>
      </c>
      <c r="E43" s="126">
        <f t="shared" ref="E43:E48" si="2">$J$15/C43</f>
        <v>3.4430776221600006</v>
      </c>
      <c r="F43" s="134">
        <f ca="1">INDIRECT(C$18)</f>
        <v>0.27261617900172119</v>
      </c>
      <c r="G43" s="134">
        <f ca="1">INDIRECT(D$18)</f>
        <v>0.4535370051635112</v>
      </c>
      <c r="H43" s="134">
        <f ca="1">INDIRECT(E$18)</f>
        <v>0.80465576592082622</v>
      </c>
      <c r="I43" s="134">
        <f t="shared" ref="I43:I48" ca="1" si="3">IF(AND($C$10&gt;=1,$C$10&lt;5),F43+(G43-F43)*($C$10-1)/(5-1),IF(AND($C$10&gt;=5,$C$10&lt;=50),G43+(H43-G43)*($C$10-5)/(50-5),0))</f>
        <v>0.49255020080321288</v>
      </c>
      <c r="J43" s="135">
        <f ca="1">OFFSET(INDIRECT(C$18),0,3)</f>
        <v>5.8915417659812279</v>
      </c>
      <c r="K43" s="135">
        <f ca="1">OFFSET(INDIRECT(D$18),0,3)</f>
        <v>1.538813267208329</v>
      </c>
      <c r="L43" s="135">
        <f ca="1">OFFSET(INDIRECT(E$18),0,3)</f>
        <v>0.50681448273065854</v>
      </c>
      <c r="M43" s="135">
        <f t="shared" ref="M43:M48" ca="1" si="4">IF(AND($C$10&gt;=1,$C$10&lt;5),J43+(K43-J43)*($C$10-1)/(5-1),IF(AND($C$10&gt;=5,$C$10&lt;=50),K43+(L43-K43)*($C$10-5)/(50-5),0))</f>
        <v>1.4241467355996988</v>
      </c>
    </row>
    <row r="44" spans="1:13">
      <c r="A44" s="182"/>
      <c r="B44" s="133">
        <f t="shared" si="0"/>
        <v>4.5913682277318639E-3</v>
      </c>
      <c r="C44" s="125">
        <f>200*$C$9</f>
        <v>200</v>
      </c>
      <c r="D44" s="125">
        <f t="shared" si="1"/>
        <v>800</v>
      </c>
      <c r="E44" s="126">
        <f t="shared" si="2"/>
        <v>1.7215388110800003</v>
      </c>
      <c r="F44" s="134">
        <f ca="1">OFFSET(INDIRECT(C$18),1,0)</f>
        <v>0.44497418244406195</v>
      </c>
      <c r="G44" s="134">
        <f ca="1">OFFSET(INDIRECT(D$18),1,0)</f>
        <v>0.6521256454388985</v>
      </c>
      <c r="H44" s="134">
        <f ca="1">OFFSET(INDIRECT(E$18),1,0)</f>
        <v>0.90963855421686746</v>
      </c>
      <c r="I44" s="134">
        <f t="shared" ca="1" si="3"/>
        <v>0.68073819085867282</v>
      </c>
      <c r="J44" s="135">
        <f ca="1">OFFSET(INDIRECT(C$18),1,3)</f>
        <v>6.9466773050067676</v>
      </c>
      <c r="K44" s="135">
        <f ca="1">OFFSET(INDIRECT(D$18),1,3)</f>
        <v>2.0198872325813579</v>
      </c>
      <c r="L44" s="135">
        <f ca="1">OFFSET(INDIRECT(E$18),1,3)</f>
        <v>0.87569836944963608</v>
      </c>
      <c r="M44" s="135">
        <f t="shared" ca="1" si="4"/>
        <v>1.8927551366778332</v>
      </c>
    </row>
    <row r="45" spans="1:13">
      <c r="A45" s="182"/>
      <c r="B45" s="133">
        <f t="shared" si="0"/>
        <v>9.1827364554637279E-3</v>
      </c>
      <c r="C45" s="125">
        <f>400*$C$9</f>
        <v>400</v>
      </c>
      <c r="D45" s="125">
        <f t="shared" si="1"/>
        <v>1600</v>
      </c>
      <c r="E45" s="126">
        <f t="shared" si="2"/>
        <v>0.86076940554000014</v>
      </c>
      <c r="F45" s="134">
        <f ca="1">OFFSET(INDIRECT(C$18),2,0)</f>
        <v>0.66088640275387267</v>
      </c>
      <c r="G45" s="134">
        <f ca="1">OFFSET(INDIRECT(D$18),2,0)</f>
        <v>0.82241824440619626</v>
      </c>
      <c r="H45" s="134">
        <f ca="1">OFFSET(INDIRECT(E$18),2,0)</f>
        <v>0.97418244406196208</v>
      </c>
      <c r="I45" s="134">
        <f t="shared" ca="1" si="3"/>
        <v>0.83928093325683695</v>
      </c>
      <c r="J45" s="135">
        <f ca="1">OFFSET(INDIRECT(C$18),2,3)</f>
        <v>8.636409622440846</v>
      </c>
      <c r="K45" s="135">
        <f ca="1">OFFSET(INDIRECT(D$18),2,3)</f>
        <v>2.8708761914136192</v>
      </c>
      <c r="L45" s="135">
        <f ca="1">OFFSET(INDIRECT(E$18),2,3)</f>
        <v>1.6169007707996959</v>
      </c>
      <c r="M45" s="135">
        <f t="shared" ca="1" si="4"/>
        <v>2.7315455891231832</v>
      </c>
    </row>
    <row r="46" spans="1:13">
      <c r="A46" s="182"/>
      <c r="B46" s="133">
        <f t="shared" si="0"/>
        <v>1.3774104683195593E-2</v>
      </c>
      <c r="C46" s="125">
        <f>600*$C$9</f>
        <v>600</v>
      </c>
      <c r="D46" s="125">
        <f t="shared" si="1"/>
        <v>2400</v>
      </c>
      <c r="E46" s="126">
        <f t="shared" si="2"/>
        <v>0.57384627036000013</v>
      </c>
      <c r="F46" s="134">
        <f ca="1">OFFSET(INDIRECT(C$18),3,0)</f>
        <v>0.7800602409638554</v>
      </c>
      <c r="G46" s="134">
        <f ca="1">OFFSET(INDIRECT(D$18),3,0)</f>
        <v>0.8913080895008606</v>
      </c>
      <c r="H46" s="134">
        <f ca="1">OFFSET(INDIRECT(E$18),3,0)</f>
        <v>0.99087779690189326</v>
      </c>
      <c r="I46" s="134">
        <f t="shared" ca="1" si="3"/>
        <v>0.90237139032319758</v>
      </c>
      <c r="J46" s="135">
        <f ca="1">OFFSET(INDIRECT(C$18),3,3)</f>
        <v>10.034115994380896</v>
      </c>
      <c r="K46" s="135">
        <f ca="1">OFFSET(INDIRECT(D$18),3,3)</f>
        <v>3.6790598425362382</v>
      </c>
      <c r="L46" s="135">
        <f ca="1">OFFSET(INDIRECT(E$18),3,3)</f>
        <v>2.3624385765970088</v>
      </c>
      <c r="M46" s="135">
        <f t="shared" ca="1" si="4"/>
        <v>3.5327685907652127</v>
      </c>
    </row>
    <row r="47" spans="1:13">
      <c r="A47" s="182"/>
      <c r="B47" s="133">
        <f t="shared" si="0"/>
        <v>1.8365472910927456E-2</v>
      </c>
      <c r="C47" s="125">
        <f>800*$C$9</f>
        <v>800</v>
      </c>
      <c r="D47" s="125">
        <f t="shared" si="1"/>
        <v>3200</v>
      </c>
      <c r="E47" s="126">
        <f t="shared" si="2"/>
        <v>0.43038470277000007</v>
      </c>
      <c r="F47" s="134">
        <f ca="1">OFFSET(INDIRECT(C$18),4,0)</f>
        <v>0.84684165232358</v>
      </c>
      <c r="G47" s="134">
        <f ca="1">OFFSET(INDIRECT(D$18),4,0)</f>
        <v>0.92951807228915662</v>
      </c>
      <c r="H47" s="134">
        <f ca="1">OFFSET(INDIRECT(E$18),4,0)</f>
        <v>0.99561101549053355</v>
      </c>
      <c r="I47" s="134">
        <f t="shared" ca="1" si="3"/>
        <v>0.93686173264486516</v>
      </c>
      <c r="J47" s="135">
        <f ca="1">OFFSET(INDIRECT(C$18),4,3)</f>
        <v>11.304909560723514</v>
      </c>
      <c r="K47" s="135">
        <f ca="1">OFFSET(INDIRECT(D$18),4,3)</f>
        <v>4.4444444444444446</v>
      </c>
      <c r="L47" s="135">
        <f ca="1">OFFSET(INDIRECT(E$18),4,3)</f>
        <v>3.1188458488161754</v>
      </c>
      <c r="M47" s="135">
        <f t="shared" ca="1" si="4"/>
        <v>4.2971557115968588</v>
      </c>
    </row>
    <row r="48" spans="1:13">
      <c r="A48" s="182"/>
      <c r="B48" s="133">
        <f t="shared" si="0"/>
        <v>2.2956841138659319E-2</v>
      </c>
      <c r="C48" s="125">
        <f>1000*$C$9</f>
        <v>1000</v>
      </c>
      <c r="D48" s="125">
        <f t="shared" si="1"/>
        <v>4000</v>
      </c>
      <c r="E48" s="126">
        <f t="shared" si="2"/>
        <v>0.34430776221600007</v>
      </c>
      <c r="F48" s="134">
        <f ca="1">OFFSET(INDIRECT(C$18),5,0)</f>
        <v>0.88907056798623063</v>
      </c>
      <c r="G48" s="134">
        <f ca="1">OFFSET(INDIRECT(D$18),5,0)</f>
        <v>0.95034423407917379</v>
      </c>
      <c r="H48" s="134">
        <f ca="1">OFFSET(INDIRECT(E$18),5,0)</f>
        <v>0.99759036144578317</v>
      </c>
      <c r="I48" s="134">
        <f t="shared" ca="1" si="3"/>
        <v>0.95559380378657488</v>
      </c>
      <c r="J48" s="135">
        <f ca="1">OFFSET(INDIRECT(C$18),5,3)</f>
        <v>12.51815131941315</v>
      </c>
      <c r="K48" s="135">
        <f ca="1">OFFSET(INDIRECT(D$18),5,3)</f>
        <v>5.2037800258107483</v>
      </c>
      <c r="L48" s="135">
        <f ca="1">OFFSET(INDIRECT(E$18),5,3)</f>
        <v>3.8784945235657324</v>
      </c>
      <c r="M48" s="135">
        <f t="shared" ca="1" si="4"/>
        <v>5.056526081116858</v>
      </c>
    </row>
    <row r="49" spans="1:5">
      <c r="E49" t="s">
        <v>180</v>
      </c>
    </row>
    <row r="51" spans="1:5">
      <c r="A51" s="30"/>
      <c r="B51" s="89"/>
      <c r="C51" s="89"/>
    </row>
    <row r="52" spans="1:5">
      <c r="B52" s="90"/>
      <c r="C52" s="29"/>
    </row>
    <row r="53" spans="1:5">
      <c r="B53" s="90"/>
      <c r="C53" s="29"/>
    </row>
    <row r="54" spans="1:5">
      <c r="B54" s="90"/>
      <c r="C54" s="29"/>
    </row>
    <row r="55" spans="1:5">
      <c r="B55" s="90"/>
      <c r="C55" s="29"/>
    </row>
    <row r="56" spans="1:5">
      <c r="B56" s="90"/>
      <c r="C56" s="29"/>
    </row>
    <row r="57" spans="1:5">
      <c r="B57" s="90"/>
      <c r="C57" s="29"/>
    </row>
  </sheetData>
  <sheetProtection sheet="1" objects="1" scenarios="1"/>
  <dataConsolidate/>
  <mergeCells count="9">
    <mergeCell ref="F41:I41"/>
    <mergeCell ref="J41:M41"/>
    <mergeCell ref="D41:D42"/>
    <mergeCell ref="E41:E42"/>
    <mergeCell ref="A4:D4"/>
    <mergeCell ref="A14:A15"/>
    <mergeCell ref="A41:A48"/>
    <mergeCell ref="B41:B42"/>
    <mergeCell ref="C41:C42"/>
  </mergeCells>
  <dataValidations count="1">
    <dataValidation type="list" allowBlank="1" showInputMessage="1" showErrorMessage="1" sqref="B15">
      <formula1>'rain zones'!A3:A17</formula1>
    </dataValidation>
  </dataValidation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sheetPr codeName="Sheet36"/>
  <dimension ref="A1:DD96"/>
  <sheetViews>
    <sheetView topLeftCell="U28" zoomScale="80" zoomScaleNormal="80" workbookViewId="0">
      <pane xSplit="8952" topLeftCell="BD1" activePane="topRight"/>
      <selection activeCell="C8" sqref="C8"/>
      <selection pane="topRight" activeCell="BF61" sqref="BF61:BK66"/>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579480</v>
      </c>
      <c r="AL5" s="57">
        <v>3617.9</v>
      </c>
      <c r="AM5" s="57">
        <v>3617.9</v>
      </c>
      <c r="AN5" s="57">
        <v>3617.9</v>
      </c>
      <c r="AO5" s="57">
        <v>3617.9</v>
      </c>
      <c r="AP5" s="57">
        <v>3617.9</v>
      </c>
      <c r="AQ5" s="37"/>
      <c r="AR5" s="37"/>
      <c r="AS5" s="56">
        <v>0.1</v>
      </c>
      <c r="AT5" s="37" t="s">
        <v>0</v>
      </c>
      <c r="AU5" s="57">
        <v>579480</v>
      </c>
      <c r="AV5" s="57">
        <v>3617.9</v>
      </c>
      <c r="AW5" s="57">
        <v>3617.9</v>
      </c>
      <c r="AX5" s="57">
        <v>3617.9</v>
      </c>
      <c r="AY5" s="57">
        <v>3617.9</v>
      </c>
      <c r="AZ5" s="57">
        <v>3617.9</v>
      </c>
      <c r="BA5" s="37"/>
      <c r="BB5" s="37"/>
      <c r="BC5" s="37"/>
      <c r="BD5" s="56">
        <v>0.1</v>
      </c>
      <c r="BE5" s="37" t="s">
        <v>0</v>
      </c>
      <c r="BF5" s="57">
        <v>579480</v>
      </c>
      <c r="BG5" s="57">
        <v>3617.9</v>
      </c>
      <c r="BH5" s="57">
        <v>3617.9</v>
      </c>
      <c r="BI5" s="57">
        <v>3617.9</v>
      </c>
      <c r="BJ5" s="57">
        <v>3617.9</v>
      </c>
      <c r="BK5" s="57">
        <v>3617.9</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392380</v>
      </c>
      <c r="AL6" s="57">
        <v>2449.6999999999998</v>
      </c>
      <c r="AM6" s="57">
        <v>2449.6999999999998</v>
      </c>
      <c r="AN6" s="57">
        <v>2449.6999999999998</v>
      </c>
      <c r="AO6" s="57">
        <v>2449.6999999999998</v>
      </c>
      <c r="AP6" s="57">
        <v>2449.6999999999998</v>
      </c>
      <c r="AQ6" s="37"/>
      <c r="AR6" s="37"/>
      <c r="AS6" s="56"/>
      <c r="AT6" s="37" t="s">
        <v>1</v>
      </c>
      <c r="AU6" s="57">
        <v>309310</v>
      </c>
      <c r="AV6" s="57">
        <v>1931</v>
      </c>
      <c r="AW6" s="57">
        <v>1931</v>
      </c>
      <c r="AX6" s="57">
        <v>1931</v>
      </c>
      <c r="AY6" s="57">
        <v>1931</v>
      </c>
      <c r="AZ6" s="57">
        <v>1931</v>
      </c>
      <c r="BA6" s="37"/>
      <c r="BB6" s="37"/>
      <c r="BC6" s="37"/>
      <c r="BD6" s="56"/>
      <c r="BE6" s="37" t="s">
        <v>1</v>
      </c>
      <c r="BF6" s="57">
        <v>234610</v>
      </c>
      <c r="BG6" s="57">
        <v>1464.7</v>
      </c>
      <c r="BH6" s="57">
        <v>1464.7</v>
      </c>
      <c r="BI6" s="57">
        <v>1464.7</v>
      </c>
      <c r="BJ6" s="57">
        <v>1464.7</v>
      </c>
      <c r="BK6" s="57">
        <v>1464.7</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1.3303030303030303</v>
      </c>
      <c r="D7"/>
      <c r="E7" t="s">
        <v>119</v>
      </c>
      <c r="F7"/>
      <c r="G7" s="103">
        <f>C7*12</f>
        <v>15.963636363636365</v>
      </c>
      <c r="H7"/>
      <c r="I7"/>
      <c r="J7"/>
      <c r="K7"/>
      <c r="L7"/>
      <c r="M7"/>
      <c r="N7"/>
      <c r="O7"/>
      <c r="P7"/>
      <c r="Q7"/>
      <c r="R7"/>
      <c r="S7"/>
      <c r="T7"/>
      <c r="U7"/>
      <c r="V7"/>
      <c r="W7"/>
      <c r="X7"/>
      <c r="Y7"/>
      <c r="Z7"/>
      <c r="AA7"/>
      <c r="AB7"/>
      <c r="AC7"/>
      <c r="AD7"/>
      <c r="AE7"/>
      <c r="AF7"/>
      <c r="AG7"/>
      <c r="AH7" s="37"/>
      <c r="AI7" s="56"/>
      <c r="AJ7" s="37" t="s">
        <v>2</v>
      </c>
      <c r="AK7" s="57">
        <v>187110</v>
      </c>
      <c r="AL7" s="57">
        <v>1168.2</v>
      </c>
      <c r="AM7" s="57">
        <v>1168.2</v>
      </c>
      <c r="AN7" s="57">
        <v>1168.2</v>
      </c>
      <c r="AO7" s="57">
        <v>1168.2</v>
      </c>
      <c r="AP7" s="57">
        <v>1168.2</v>
      </c>
      <c r="AQ7" s="37"/>
      <c r="AR7" s="37"/>
      <c r="AS7" s="56"/>
      <c r="AT7" s="37" t="s">
        <v>2</v>
      </c>
      <c r="AU7" s="57">
        <v>270180</v>
      </c>
      <c r="AV7" s="57">
        <v>1686.8</v>
      </c>
      <c r="AW7" s="57">
        <v>1686.8</v>
      </c>
      <c r="AX7" s="57">
        <v>1686.8</v>
      </c>
      <c r="AY7" s="57">
        <v>1686.8</v>
      </c>
      <c r="AZ7" s="57">
        <v>1686.8</v>
      </c>
      <c r="BA7" s="37"/>
      <c r="BB7" s="37"/>
      <c r="BC7" s="37"/>
      <c r="BD7" s="56"/>
      <c r="BE7" s="37" t="s">
        <v>2</v>
      </c>
      <c r="BF7" s="57">
        <v>344890</v>
      </c>
      <c r="BG7" s="57">
        <v>2153.3000000000002</v>
      </c>
      <c r="BH7" s="57">
        <v>2153.3000000000002</v>
      </c>
      <c r="BI7" s="57">
        <v>2153.3000000000002</v>
      </c>
      <c r="BJ7" s="57">
        <v>2153.3000000000002</v>
      </c>
      <c r="BK7" s="57">
        <v>2153.3000000000002</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392230</v>
      </c>
      <c r="AL8" s="57">
        <v>2443.6999999999998</v>
      </c>
      <c r="AM8" s="57">
        <v>2368.5</v>
      </c>
      <c r="AN8" s="57">
        <v>1498.1</v>
      </c>
      <c r="AO8" s="57">
        <v>5.7873000000000001</v>
      </c>
      <c r="AP8" s="57">
        <v>1.1081000000000001</v>
      </c>
      <c r="AQ8" s="37"/>
      <c r="AR8" s="37"/>
      <c r="AS8" s="56"/>
      <c r="AT8" s="37" t="s">
        <v>3</v>
      </c>
      <c r="AU8" s="57">
        <v>309180</v>
      </c>
      <c r="AV8" s="57">
        <v>1924.1</v>
      </c>
      <c r="AW8" s="57">
        <v>1833.1</v>
      </c>
      <c r="AX8" s="57">
        <v>759.04</v>
      </c>
      <c r="AY8" s="57">
        <v>1.4777</v>
      </c>
      <c r="AZ8" s="57">
        <v>0.67915000000000003</v>
      </c>
      <c r="BA8" s="37"/>
      <c r="BB8" s="37"/>
      <c r="BC8" s="37"/>
      <c r="BD8" s="56"/>
      <c r="BE8" s="37" t="s">
        <v>3</v>
      </c>
      <c r="BF8" s="57">
        <v>234340</v>
      </c>
      <c r="BG8" s="57">
        <v>1453.8</v>
      </c>
      <c r="BH8" s="57">
        <v>1326.3</v>
      </c>
      <c r="BI8" s="57">
        <v>216.46</v>
      </c>
      <c r="BJ8" s="57">
        <v>0.24054</v>
      </c>
      <c r="BK8" s="57">
        <v>0.11913</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5.2840999999999996</v>
      </c>
      <c r="AM10" s="57">
        <v>80.358999999999995</v>
      </c>
      <c r="AN10" s="57">
        <v>950.72</v>
      </c>
      <c r="AO10" s="57">
        <v>2443.1</v>
      </c>
      <c r="AP10" s="57">
        <v>2447.8000000000002</v>
      </c>
      <c r="AQ10" s="37"/>
      <c r="AR10" s="37"/>
      <c r="AS10" s="56"/>
      <c r="AT10" s="37" t="s">
        <v>5</v>
      </c>
      <c r="AU10" s="57">
        <v>0</v>
      </c>
      <c r="AV10" s="57">
        <v>6.2526000000000002</v>
      </c>
      <c r="AW10" s="57">
        <v>97.275999999999996</v>
      </c>
      <c r="AX10" s="57">
        <v>1171.3</v>
      </c>
      <c r="AY10" s="57">
        <v>1928.9</v>
      </c>
      <c r="AZ10" s="57">
        <v>1929.7</v>
      </c>
      <c r="BA10" s="37"/>
      <c r="BB10" s="37"/>
      <c r="BC10" s="37"/>
      <c r="BD10" s="56"/>
      <c r="BE10" s="37" t="s">
        <v>5</v>
      </c>
      <c r="BF10" s="57">
        <v>0</v>
      </c>
      <c r="BG10" s="57">
        <v>9.0410000000000004</v>
      </c>
      <c r="BH10" s="57">
        <v>136.57</v>
      </c>
      <c r="BI10" s="57">
        <v>1246.5</v>
      </c>
      <c r="BJ10" s="57">
        <v>1462.7</v>
      </c>
      <c r="BK10" s="57">
        <v>1462.8</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0.67712431835438669</v>
      </c>
      <c r="C11" s="75">
        <f t="shared" ref="C11:C19" si="0">(($C$4*D11)+($D$4*E11)+($E$4*F11)+($F$4*G11)+($G$4*I11))</f>
        <v>0.48240444871334204</v>
      </c>
      <c r="D11" s="75">
        <f>AL10/$AL$5</f>
        <v>1.4605434091600098E-3</v>
      </c>
      <c r="E11" s="75">
        <f>AM$10/AM$5</f>
        <v>2.2211503911108651E-2</v>
      </c>
      <c r="F11" s="75">
        <f>AN$10/AN$5</f>
        <v>0.26278227701152601</v>
      </c>
      <c r="G11" s="75">
        <f>AO$10/AO$5</f>
        <v>0.67528124049863181</v>
      </c>
      <c r="H11" s="76">
        <f t="shared" ref="H11:H19" si="1">($D$4*E11+$E$4*F11+$F$4*G11)/(SUM($D$4:$F$4))</f>
        <v>0.32009167380708886</v>
      </c>
      <c r="I11" s="75">
        <f>AP10/$AP$5</f>
        <v>0.6765803366593881</v>
      </c>
      <c r="J11" s="75">
        <f>(($C$5*D11)+($D$5*E11)+($E$5*F11)+($F$5*G11)+($G$5*I11))</f>
        <v>0.31241554769341329</v>
      </c>
      <c r="K11"/>
      <c r="L11" s="68">
        <v>0.1</v>
      </c>
      <c r="M11" s="69">
        <f>AU6/$AK$5</f>
        <v>0.53377165734796717</v>
      </c>
      <c r="N11" s="69">
        <f t="shared" ref="N11:N19" si="2">(($C$4*O11)+($D$4*P11)+($E$4*Q11)+($F$4*R11)+($G$4*T11))</f>
        <v>0.39934327372232514</v>
      </c>
      <c r="O11" s="69">
        <f>AV10/$AL$5</f>
        <v>1.7282401393073331E-3</v>
      </c>
      <c r="P11" s="69">
        <f>AW$10/AW$5</f>
        <v>2.688742087951574E-2</v>
      </c>
      <c r="Q11" s="69">
        <f>AX$10/AX$5</f>
        <v>0.32375134746676248</v>
      </c>
      <c r="R11" s="69">
        <f>AY$10/AY$5</f>
        <v>0.53315459244313002</v>
      </c>
      <c r="S11" s="70">
        <f t="shared" ref="S11:S19" si="3">($D$4*P11+$E$4*Q11+$F$4*R11)/(SUM($D$4:$F$4))</f>
        <v>0.29459778692980271</v>
      </c>
      <c r="T11" s="69">
        <f>AZ10/$AP$5</f>
        <v>0.53337571519389704</v>
      </c>
      <c r="U11" s="69">
        <f>(($C$5*O11)+($D$5*P11)+($E$5*Q11)+($F$5*R11)+($G$5*T11))</f>
        <v>0.29501933718455459</v>
      </c>
      <c r="V11"/>
      <c r="W11" s="84">
        <v>0.1</v>
      </c>
      <c r="X11" s="85">
        <f>BF6/$AK$5</f>
        <v>0.4048629806032995</v>
      </c>
      <c r="Y11" s="85">
        <f t="shared" ref="Y11:Y19" si="4">(($C$4*Z11)+($D$4*AA11)+($E$4*AB11)+($F$4*AC11)+($G$4*AE11))</f>
        <v>0.32027351502252688</v>
      </c>
      <c r="Z11" s="85">
        <f>BG10/$AL$5</f>
        <v>2.4989634871057796E-3</v>
      </c>
      <c r="AA11" s="85">
        <f>BH$10/BH$5</f>
        <v>3.7748417590314817E-2</v>
      </c>
      <c r="AB11" s="85">
        <f>BI$10/BI$5</f>
        <v>0.34453688603886229</v>
      </c>
      <c r="AC11" s="85">
        <f>BJ$10/BJ$5</f>
        <v>0.40429530943364933</v>
      </c>
      <c r="AD11" s="86">
        <f t="shared" ref="AD11:AD19" si="5">($D$4*AA11+$E$4*AB11+$F$4*AC11)/(SUM($D$4:$F$4))</f>
        <v>0.26219353768760884</v>
      </c>
      <c r="AE11" s="85">
        <f>BK10/$AP$5</f>
        <v>0.40432294977749522</v>
      </c>
      <c r="AF11" s="85">
        <f>(($C$5*Z11)+($D$5*AA11)+($E$5*AB11)+($F$5*AC11)+($G$5*AE11))</f>
        <v>0.26690569114679785</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0.88877959549941332</v>
      </c>
      <c r="C12" s="75">
        <f t="shared" si="0"/>
        <v>0.6461573288371707</v>
      </c>
      <c r="D12" s="75">
        <f>AL17/$AL$5</f>
        <v>2.7949915696951272E-3</v>
      </c>
      <c r="E12" s="75">
        <f>AM17/AM$5</f>
        <v>4.0459935321595399E-2</v>
      </c>
      <c r="F12" s="75">
        <f>AN17/AN$5</f>
        <v>0.41919345476657727</v>
      </c>
      <c r="G12" s="75">
        <f>AO17/AO$5</f>
        <v>0.88731031814035755</v>
      </c>
      <c r="H12" s="76">
        <f t="shared" si="1"/>
        <v>0.44898790274284345</v>
      </c>
      <c r="I12" s="75">
        <f>AP17/$AP$5</f>
        <v>0.88794604604881278</v>
      </c>
      <c r="J12" s="75">
        <f t="shared" ref="J12:J18" si="6">(($C$5*D12)+($D$5*E12)+($E$5*F12)+($F$5*G12)+($G$5*I12))</f>
        <v>0.44230553636087233</v>
      </c>
      <c r="K12"/>
      <c r="L12" s="68">
        <v>0.2</v>
      </c>
      <c r="M12" s="69">
        <f>AU13/$AK$5</f>
        <v>0.77039759784634498</v>
      </c>
      <c r="N12" s="69">
        <f t="shared" si="2"/>
        <v>0.58649127947151658</v>
      </c>
      <c r="O12" s="69">
        <f>AV17/$AL$5</f>
        <v>3.8353741120539537E-3</v>
      </c>
      <c r="P12" s="69">
        <f>AW17/AW$5</f>
        <v>5.3074988252853866E-2</v>
      </c>
      <c r="Q12" s="69">
        <f>AX17/AX$5</f>
        <v>0.51925149948865357</v>
      </c>
      <c r="R12" s="69">
        <f>AY17/AY$5</f>
        <v>0.76983885679537845</v>
      </c>
      <c r="S12" s="70">
        <f t="shared" si="3"/>
        <v>0.44738844817896201</v>
      </c>
      <c r="T12" s="69">
        <f>AZ17/$AP$5</f>
        <v>0.76994941817076201</v>
      </c>
      <c r="U12" s="69">
        <f t="shared" ref="U12:U18" si="7">(($C$5*O12)+($D$5*P12)+($E$5*Q12)+($F$5*R12)+($G$5*T12))</f>
        <v>0.44966184803338949</v>
      </c>
      <c r="V12"/>
      <c r="W12" s="84">
        <v>0.2</v>
      </c>
      <c r="X12" s="85">
        <f>BF13/$AK$5</f>
        <v>0.65167046317388</v>
      </c>
      <c r="Y12" s="85">
        <f t="shared" si="4"/>
        <v>0.51882701290804056</v>
      </c>
      <c r="Z12" s="85">
        <f>BG17/$AL$5</f>
        <v>4.7942176400674417E-3</v>
      </c>
      <c r="AA12" s="85">
        <f>BH17/BH$5</f>
        <v>6.823848088670223E-2</v>
      </c>
      <c r="AB12" s="85">
        <f>BI17/BI$5</f>
        <v>0.5672904170927886</v>
      </c>
      <c r="AC12" s="85">
        <f>BJ17/BJ$5</f>
        <v>0.65112357997733483</v>
      </c>
      <c r="AD12" s="86">
        <f t="shared" si="5"/>
        <v>0.42888415931894192</v>
      </c>
      <c r="AE12" s="85">
        <f>BK17/$AP$5</f>
        <v>0.65117886066502673</v>
      </c>
      <c r="AF12" s="85">
        <f t="shared" ref="AF12:AF18" si="8">(($C$5*Z12)+($D$5*AA12)+($E$5*AB12)+($F$5*AC12)+($G$5*AE12))</f>
        <v>0.43638588684043234</v>
      </c>
      <c r="AG12"/>
      <c r="AH12" s="37"/>
      <c r="AI12" s="56">
        <v>0.2</v>
      </c>
      <c r="AJ12" s="37" t="s">
        <v>0</v>
      </c>
      <c r="AK12" s="57">
        <v>579480</v>
      </c>
      <c r="AL12" s="57">
        <v>3617.9</v>
      </c>
      <c r="AM12" s="57">
        <v>3617.9</v>
      </c>
      <c r="AN12" s="57">
        <v>3617.9</v>
      </c>
      <c r="AO12" s="57">
        <v>3617.9</v>
      </c>
      <c r="AP12" s="57">
        <v>3617.9</v>
      </c>
      <c r="AQ12" s="37"/>
      <c r="AR12" s="37"/>
      <c r="AS12" s="56">
        <v>0.2</v>
      </c>
      <c r="AT12" s="37" t="s">
        <v>0</v>
      </c>
      <c r="AU12" s="57">
        <v>579480</v>
      </c>
      <c r="AV12" s="57">
        <v>3617.9</v>
      </c>
      <c r="AW12" s="57">
        <v>3617.9</v>
      </c>
      <c r="AX12" s="57">
        <v>3617.9</v>
      </c>
      <c r="AY12" s="57">
        <v>3617.9</v>
      </c>
      <c r="AZ12" s="57">
        <v>3617.9</v>
      </c>
      <c r="BA12" s="37"/>
      <c r="BB12" s="37"/>
      <c r="BC12" s="37"/>
      <c r="BD12" s="56">
        <v>0.2</v>
      </c>
      <c r="BE12" s="37" t="s">
        <v>0</v>
      </c>
      <c r="BF12" s="57">
        <v>579480</v>
      </c>
      <c r="BG12" s="57">
        <v>3617.9</v>
      </c>
      <c r="BH12" s="57">
        <v>3617.9</v>
      </c>
      <c r="BI12" s="57">
        <v>3617.9</v>
      </c>
      <c r="BJ12" s="57">
        <v>3617.9</v>
      </c>
      <c r="BK12" s="57">
        <v>3617.9</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0.98341616621798855</v>
      </c>
      <c r="C13" s="75">
        <f t="shared" si="0"/>
        <v>0.73560474308300394</v>
      </c>
      <c r="D13" s="75">
        <f>AL24/$AL$5</f>
        <v>5.3589098648387191E-3</v>
      </c>
      <c r="E13" s="75">
        <f>AM24/AM$5</f>
        <v>7.0234113712374577E-2</v>
      </c>
      <c r="F13" s="75">
        <f>AN24/AN$5</f>
        <v>0.57444926614887093</v>
      </c>
      <c r="G13" s="75">
        <f>AO24/AO$5</f>
        <v>0.98208905718787132</v>
      </c>
      <c r="H13" s="76">
        <f t="shared" si="1"/>
        <v>0.54225747901637233</v>
      </c>
      <c r="I13" s="75">
        <f>AP24/$AP$5</f>
        <v>0.98264186406478893</v>
      </c>
      <c r="J13" s="75">
        <f t="shared" si="6"/>
        <v>0.53904441803256031</v>
      </c>
      <c r="K13"/>
      <c r="L13" s="68">
        <v>0.4</v>
      </c>
      <c r="M13" s="69">
        <f>AU20/$AK$5</f>
        <v>0.92828052736936562</v>
      </c>
      <c r="N13" s="69">
        <f t="shared" si="2"/>
        <v>0.71903551784184194</v>
      </c>
      <c r="O13" s="69">
        <f>AV24/$AL$5</f>
        <v>6.3495397882749665E-3</v>
      </c>
      <c r="P13" s="69">
        <f>AW24/AW$5</f>
        <v>8.2838110506094687E-2</v>
      </c>
      <c r="Q13" s="69">
        <f>AX24/AX$5</f>
        <v>0.6881892810746566</v>
      </c>
      <c r="R13" s="69">
        <f>AY24/AY$5</f>
        <v>0.92774814118687632</v>
      </c>
      <c r="S13" s="70">
        <f t="shared" si="3"/>
        <v>0.56625851092254254</v>
      </c>
      <c r="T13" s="69">
        <f>AZ24/$AP$5</f>
        <v>0.92780342187456799</v>
      </c>
      <c r="U13" s="69">
        <f t="shared" si="7"/>
        <v>0.57080825893474119</v>
      </c>
      <c r="V13"/>
      <c r="W13" s="84">
        <v>0.4</v>
      </c>
      <c r="X13" s="85">
        <f>BF20/$AK$5</f>
        <v>0.84943397528818942</v>
      </c>
      <c r="Y13" s="85">
        <f t="shared" si="4"/>
        <v>0.68433607894082216</v>
      </c>
      <c r="Z13" s="85">
        <f>BG24/$AL$5</f>
        <v>8.5850907985295325E-3</v>
      </c>
      <c r="AA13" s="85">
        <f>BH24/BH$5</f>
        <v>0.11133806904557893</v>
      </c>
      <c r="AB13" s="85">
        <f>BI24/BI$5</f>
        <v>0.7693966112938444</v>
      </c>
      <c r="AC13" s="85">
        <f>BJ24/BJ$5</f>
        <v>0.84891788053843398</v>
      </c>
      <c r="AD13" s="86">
        <f t="shared" si="5"/>
        <v>0.5765508536259526</v>
      </c>
      <c r="AE13" s="85">
        <f>BK24/$AP$5</f>
        <v>0.84891788053843398</v>
      </c>
      <c r="AF13" s="85">
        <f t="shared" si="8"/>
        <v>0.58556013156803677</v>
      </c>
      <c r="AG13"/>
      <c r="AH13" s="37"/>
      <c r="AI13" s="56"/>
      <c r="AJ13" s="37" t="s">
        <v>1</v>
      </c>
      <c r="AK13" s="57">
        <v>515030</v>
      </c>
      <c r="AL13" s="57">
        <v>3215.5</v>
      </c>
      <c r="AM13" s="57">
        <v>3215.5</v>
      </c>
      <c r="AN13" s="57">
        <v>3215.5</v>
      </c>
      <c r="AO13" s="57">
        <v>3215.5</v>
      </c>
      <c r="AP13" s="57">
        <v>3215.5</v>
      </c>
      <c r="AQ13" s="37"/>
      <c r="AR13" s="37"/>
      <c r="AS13" s="56"/>
      <c r="AT13" s="37" t="s">
        <v>1</v>
      </c>
      <c r="AU13" s="57">
        <v>446430</v>
      </c>
      <c r="AV13" s="57">
        <v>2787.2</v>
      </c>
      <c r="AW13" s="57">
        <v>2787.2</v>
      </c>
      <c r="AX13" s="57">
        <v>2787.2</v>
      </c>
      <c r="AY13" s="57">
        <v>2787.2</v>
      </c>
      <c r="AZ13" s="57">
        <v>2787.2</v>
      </c>
      <c r="BA13" s="37"/>
      <c r="BB13" s="37"/>
      <c r="BC13" s="37"/>
      <c r="BD13" s="56"/>
      <c r="BE13" s="37" t="s">
        <v>1</v>
      </c>
      <c r="BF13" s="57">
        <v>377630</v>
      </c>
      <c r="BG13" s="57">
        <v>2357.6999999999998</v>
      </c>
      <c r="BH13" s="57">
        <v>2357.6999999999998</v>
      </c>
      <c r="BI13" s="57">
        <v>2357.6999999999998</v>
      </c>
      <c r="BJ13" s="57">
        <v>2357.6999999999998</v>
      </c>
      <c r="BK13" s="57">
        <v>2357.6999999999998</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0.99761855456616277</v>
      </c>
      <c r="C14" s="75">
        <f t="shared" si="0"/>
        <v>0.76404191658144227</v>
      </c>
      <c r="D14" s="75">
        <f>AL31/$AL$5</f>
        <v>7.881644047651952E-3</v>
      </c>
      <c r="E14" s="75">
        <f>AM31/AM$5</f>
        <v>9.6992730589568532E-2</v>
      </c>
      <c r="F14" s="75">
        <f>AN31/AN$5</f>
        <v>0.67519831946709419</v>
      </c>
      <c r="G14" s="75">
        <f>AO31/AO$5</f>
        <v>0.99624091323696073</v>
      </c>
      <c r="H14" s="76">
        <f t="shared" si="1"/>
        <v>0.58947732109787454</v>
      </c>
      <c r="I14" s="75">
        <f>AP31/$AP$5</f>
        <v>0.99676607977003229</v>
      </c>
      <c r="J14" s="75">
        <f t="shared" si="6"/>
        <v>0.58919082893391206</v>
      </c>
      <c r="K14"/>
      <c r="L14" s="68">
        <v>0.6</v>
      </c>
      <c r="M14" s="69">
        <f>AU27/$AK$5</f>
        <v>0.98068958376475457</v>
      </c>
      <c r="N14" s="69">
        <f t="shared" si="2"/>
        <v>0.77256181762901133</v>
      </c>
      <c r="O14" s="69">
        <f>AV31/$AL$5</f>
        <v>9.540893888719976E-3</v>
      </c>
      <c r="P14" s="69">
        <f>AW31/AW$5</f>
        <v>0.1142292490118577</v>
      </c>
      <c r="Q14" s="69">
        <f>AX31/AX$5</f>
        <v>0.78548329141214523</v>
      </c>
      <c r="R14" s="69">
        <f>AY31/AY$5</f>
        <v>0.9801542331186599</v>
      </c>
      <c r="S14" s="70">
        <f t="shared" si="3"/>
        <v>0.62662225784755432</v>
      </c>
      <c r="T14" s="69">
        <f>AZ31/$AP$5</f>
        <v>0.9802095138063518</v>
      </c>
      <c r="U14" s="69">
        <f t="shared" si="7"/>
        <v>0.63204505376046871</v>
      </c>
      <c r="V14"/>
      <c r="W14" s="84">
        <v>0.6</v>
      </c>
      <c r="X14" s="85">
        <f>BF27/$AK$5</f>
        <v>0.931593842755574</v>
      </c>
      <c r="Y14" s="85">
        <f t="shared" si="4"/>
        <v>0.75753217336023659</v>
      </c>
      <c r="Z14" s="85">
        <f>BG31/$AL$5</f>
        <v>1.2228917327731558E-2</v>
      </c>
      <c r="AA14" s="85">
        <f>BH31/BH$5</f>
        <v>0.14698858453799163</v>
      </c>
      <c r="AB14" s="85">
        <f>BI31/BI$5</f>
        <v>0.86453467481135471</v>
      </c>
      <c r="AC14" s="85">
        <f>BJ31/BJ$5</f>
        <v>0.93106498244838165</v>
      </c>
      <c r="AD14" s="86">
        <f t="shared" si="5"/>
        <v>0.64752941393257613</v>
      </c>
      <c r="AE14" s="85">
        <f>BK31/$AP$5</f>
        <v>0.93106498244838165</v>
      </c>
      <c r="AF14" s="85">
        <f t="shared" si="8"/>
        <v>0.65575397329942786</v>
      </c>
      <c r="AG14"/>
      <c r="AH14" s="37"/>
      <c r="AI14" s="56"/>
      <c r="AJ14" s="37" t="s">
        <v>2</v>
      </c>
      <c r="AK14" s="57">
        <v>64452</v>
      </c>
      <c r="AL14" s="57">
        <v>402.4</v>
      </c>
      <c r="AM14" s="57">
        <v>402.4</v>
      </c>
      <c r="AN14" s="57">
        <v>402.4</v>
      </c>
      <c r="AO14" s="57">
        <v>402.4</v>
      </c>
      <c r="AP14" s="57">
        <v>402.4</v>
      </c>
      <c r="AQ14" s="37"/>
      <c r="AR14" s="37"/>
      <c r="AS14" s="56"/>
      <c r="AT14" s="37" t="s">
        <v>2</v>
      </c>
      <c r="AU14" s="57">
        <v>133050</v>
      </c>
      <c r="AV14" s="57">
        <v>830.68</v>
      </c>
      <c r="AW14" s="57">
        <v>830.68</v>
      </c>
      <c r="AX14" s="57">
        <v>830.68</v>
      </c>
      <c r="AY14" s="57">
        <v>830.68</v>
      </c>
      <c r="AZ14" s="57">
        <v>830.68</v>
      </c>
      <c r="BA14" s="37"/>
      <c r="BB14" s="37"/>
      <c r="BC14" s="37"/>
      <c r="BD14" s="56"/>
      <c r="BE14" s="37" t="s">
        <v>2</v>
      </c>
      <c r="BF14" s="57">
        <v>201870</v>
      </c>
      <c r="BG14" s="57">
        <v>1260.3</v>
      </c>
      <c r="BH14" s="57">
        <v>1260.3</v>
      </c>
      <c r="BI14" s="57">
        <v>1260.3</v>
      </c>
      <c r="BJ14" s="57">
        <v>1260.3</v>
      </c>
      <c r="BK14" s="57">
        <v>1260.3</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1</v>
      </c>
      <c r="C15" s="75">
        <f t="shared" si="0"/>
        <v>0.77838549987561834</v>
      </c>
      <c r="D15" s="75">
        <f>AL38/$AL$5</f>
        <v>1.0334171757096658E-2</v>
      </c>
      <c r="E15" s="75">
        <f>AM38/AM$5</f>
        <v>0.12092926836009839</v>
      </c>
      <c r="F15" s="75">
        <f>AN38/AN$5</f>
        <v>0.73595179524033272</v>
      </c>
      <c r="G15" s="75">
        <f>AO38/AO$5</f>
        <v>0.99861798280770608</v>
      </c>
      <c r="H15" s="76">
        <f t="shared" si="1"/>
        <v>0.61849968213604578</v>
      </c>
      <c r="I15" s="75">
        <f>AP38/$AP$5</f>
        <v>0.99908786865308596</v>
      </c>
      <c r="J15" s="75">
        <f t="shared" si="6"/>
        <v>0.61923237237071227</v>
      </c>
      <c r="K15"/>
      <c r="L15" s="68">
        <v>0.8</v>
      </c>
      <c r="M15" s="69">
        <f>AU34/$AK$5</f>
        <v>0.9962725201905156</v>
      </c>
      <c r="N15" s="69">
        <f t="shared" si="2"/>
        <v>0.79700324774040188</v>
      </c>
      <c r="O15" s="69">
        <f>AV38/$AL$5</f>
        <v>1.2651261781696564E-2</v>
      </c>
      <c r="P15" s="69">
        <f>AW38/AW$5</f>
        <v>0.14263246634788135</v>
      </c>
      <c r="Q15" s="69">
        <f>AX38/AX$5</f>
        <v>0.85140551148456289</v>
      </c>
      <c r="R15" s="69">
        <f>AY38/AY$5</f>
        <v>0.99577102739158074</v>
      </c>
      <c r="S15" s="70">
        <f t="shared" si="3"/>
        <v>0.66326966840800838</v>
      </c>
      <c r="T15" s="69">
        <f>AZ38/$AP$5</f>
        <v>0.99579866773542658</v>
      </c>
      <c r="U15" s="69">
        <f t="shared" si="7"/>
        <v>0.66908789629343002</v>
      </c>
      <c r="V15"/>
      <c r="W15" s="84">
        <v>0.8</v>
      </c>
      <c r="X15" s="85">
        <f>BF34/$AK$5</f>
        <v>0.97045627113964239</v>
      </c>
      <c r="Y15" s="85">
        <f t="shared" si="4"/>
        <v>0.7944818541142652</v>
      </c>
      <c r="Z15" s="85">
        <f>BG38/$AL$5</f>
        <v>1.5668758119351006E-2</v>
      </c>
      <c r="AA15" s="85">
        <f>BH38/BH$5</f>
        <v>0.17692860499184609</v>
      </c>
      <c r="AB15" s="85">
        <f>BI38/BI$5</f>
        <v>0.91149561900550036</v>
      </c>
      <c r="AC15" s="85">
        <f>BJ38/BJ$5</f>
        <v>0.96989966555183948</v>
      </c>
      <c r="AD15" s="86">
        <f t="shared" si="5"/>
        <v>0.686107963183062</v>
      </c>
      <c r="AE15" s="85">
        <f>BK38/$AP$5</f>
        <v>0.96989966555183948</v>
      </c>
      <c r="AF15" s="85">
        <f t="shared" si="8"/>
        <v>0.69252074407805642</v>
      </c>
      <c r="AG15"/>
      <c r="AH15" s="37"/>
      <c r="AI15" s="56"/>
      <c r="AJ15" s="37" t="s">
        <v>3</v>
      </c>
      <c r="AK15" s="57">
        <v>514920</v>
      </c>
      <c r="AL15" s="57">
        <v>3204.8</v>
      </c>
      <c r="AM15" s="57">
        <v>3068.4</v>
      </c>
      <c r="AN15" s="57">
        <v>1698.2</v>
      </c>
      <c r="AO15" s="57">
        <v>4.5929000000000002</v>
      </c>
      <c r="AP15" s="57">
        <v>2.3246000000000002</v>
      </c>
      <c r="AQ15" s="37"/>
      <c r="AR15" s="37"/>
      <c r="AS15" s="56"/>
      <c r="AT15" s="37" t="s">
        <v>3</v>
      </c>
      <c r="AU15" s="57">
        <v>446210</v>
      </c>
      <c r="AV15" s="57">
        <v>2772.1</v>
      </c>
      <c r="AW15" s="57">
        <v>2593.6999999999998</v>
      </c>
      <c r="AX15" s="57">
        <v>907.26</v>
      </c>
      <c r="AY15" s="57">
        <v>0.67674000000000001</v>
      </c>
      <c r="AZ15" s="57">
        <v>0.29549999999999998</v>
      </c>
      <c r="BA15" s="37"/>
      <c r="BB15" s="37"/>
      <c r="BC15" s="37"/>
      <c r="BD15" s="56"/>
      <c r="BE15" s="37" t="s">
        <v>3</v>
      </c>
      <c r="BF15" s="57">
        <v>377350</v>
      </c>
      <c r="BG15" s="57">
        <v>2338.6</v>
      </c>
      <c r="BH15" s="57">
        <v>2109</v>
      </c>
      <c r="BI15" s="57">
        <v>303.57</v>
      </c>
      <c r="BJ15" s="57">
        <v>0.27923999999999999</v>
      </c>
      <c r="BK15" s="57">
        <v>0.14709</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1</v>
      </c>
      <c r="C16" s="75">
        <f t="shared" si="0"/>
        <v>0.78853090190441977</v>
      </c>
      <c r="D16" s="75">
        <f>AL45/$AL$5</f>
        <v>1.2758506315818569E-2</v>
      </c>
      <c r="E16" s="75">
        <f>AM45/AM$5</f>
        <v>0.14304430747118493</v>
      </c>
      <c r="F16" s="75">
        <f>AN45/AN$5</f>
        <v>0.78034218745681194</v>
      </c>
      <c r="G16" s="75">
        <f>AO45/AO$5</f>
        <v>0.99875618452693549</v>
      </c>
      <c r="H16" s="76">
        <f t="shared" si="1"/>
        <v>0.64071422648497756</v>
      </c>
      <c r="I16" s="75">
        <f>AP45/$AP$5</f>
        <v>0.99914314934077786</v>
      </c>
      <c r="J16" s="75">
        <f t="shared" si="6"/>
        <v>0.64168713894800855</v>
      </c>
      <c r="K16"/>
      <c r="L16" s="68">
        <v>1</v>
      </c>
      <c r="M16" s="69">
        <f>AU41/$AK$5</f>
        <v>0.99894733209084008</v>
      </c>
      <c r="N16" s="69">
        <f t="shared" si="2"/>
        <v>0.80461212305481067</v>
      </c>
      <c r="O16" s="69">
        <f>AV45/$AL$5</f>
        <v>1.4915835152989302E-2</v>
      </c>
      <c r="P16" s="69">
        <f>AW45/AW$5</f>
        <v>0.16239254816329915</v>
      </c>
      <c r="Q16" s="69">
        <f>AX45/AX$5</f>
        <v>0.87011802426822182</v>
      </c>
      <c r="R16" s="69">
        <f>AY45/AY$5</f>
        <v>0.9984245004007849</v>
      </c>
      <c r="S16" s="70">
        <f t="shared" si="3"/>
        <v>0.67697835761076863</v>
      </c>
      <c r="T16" s="69">
        <f>AZ45/$AP$5</f>
        <v>0.99845214074463084</v>
      </c>
      <c r="U16" s="69">
        <f t="shared" si="7"/>
        <v>0.68154741700986754</v>
      </c>
      <c r="V16"/>
      <c r="W16" s="84">
        <v>1</v>
      </c>
      <c r="X16" s="85">
        <f>BF41/$AK$5</f>
        <v>0.99076758473113824</v>
      </c>
      <c r="Y16" s="85">
        <f t="shared" si="4"/>
        <v>0.81590482047596669</v>
      </c>
      <c r="Z16" s="85">
        <f>BG45/$AL$5</f>
        <v>1.8900743525249453E-2</v>
      </c>
      <c r="AA16" s="85">
        <f>BH45/BH$5</f>
        <v>0.2028580115536637</v>
      </c>
      <c r="AB16" s="85">
        <f>BI45/BI$5</f>
        <v>0.9392741645706072</v>
      </c>
      <c r="AC16" s="85">
        <f>BJ45/BJ$5</f>
        <v>0.99021531827855935</v>
      </c>
      <c r="AD16" s="86">
        <f t="shared" si="5"/>
        <v>0.71078249813427674</v>
      </c>
      <c r="AE16" s="85">
        <f>BK45/$AP$5</f>
        <v>0.99021531827855935</v>
      </c>
      <c r="AF16" s="85">
        <f t="shared" si="8"/>
        <v>0.71523593797506835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0.79681507227949921</v>
      </c>
      <c r="D17" s="75">
        <f>AL52/$AL$5</f>
        <v>1.5120650100887255E-2</v>
      </c>
      <c r="E17" s="75">
        <f>AM52/AM$5</f>
        <v>0.16379114956190055</v>
      </c>
      <c r="F17" s="75">
        <f>AN52/AN$5</f>
        <v>0.81395284557339898</v>
      </c>
      <c r="G17" s="75">
        <f>AO52/AO$5</f>
        <v>0.99883910555847311</v>
      </c>
      <c r="H17" s="76">
        <f t="shared" si="1"/>
        <v>0.65886103356459091</v>
      </c>
      <c r="I17" s="75">
        <f>AP52/$AP$5</f>
        <v>0.99914314934077786</v>
      </c>
      <c r="J17" s="75">
        <f t="shared" si="6"/>
        <v>0.65953356919760087</v>
      </c>
      <c r="K17"/>
      <c r="L17" s="68">
        <v>1.2</v>
      </c>
      <c r="M17" s="69">
        <f>AU48/$AK$5</f>
        <v>1</v>
      </c>
      <c r="N17" s="69">
        <f t="shared" si="2"/>
        <v>0.81236503220100054</v>
      </c>
      <c r="O17" s="69">
        <f>AV52/$AL$5</f>
        <v>1.7874733961690481E-2</v>
      </c>
      <c r="P17" s="69">
        <f>AW52/AW$5</f>
        <v>0.18601398601398603</v>
      </c>
      <c r="Q17" s="69">
        <f>AX52/AX$5</f>
        <v>0.89264490450261202</v>
      </c>
      <c r="R17" s="69">
        <f>AY52/AY$5</f>
        <v>0.99947483346692834</v>
      </c>
      <c r="S17" s="70">
        <f t="shared" si="3"/>
        <v>0.69271124132784212</v>
      </c>
      <c r="T17" s="69">
        <f>AZ52/$AP$5</f>
        <v>0.99950247381077417</v>
      </c>
      <c r="U17" s="69">
        <f t="shared" si="7"/>
        <v>0.69589344647447415</v>
      </c>
      <c r="V17"/>
      <c r="W17" s="84">
        <v>1.2</v>
      </c>
      <c r="X17" s="85">
        <f>BF48/$AK$5</f>
        <v>0.99786015047974042</v>
      </c>
      <c r="Y17" s="85">
        <f t="shared" si="4"/>
        <v>0.82663651565825469</v>
      </c>
      <c r="Z17" s="85">
        <f>BG52/$AL$5</f>
        <v>2.2138533403355538E-2</v>
      </c>
      <c r="AA17" s="85">
        <f>BH52/BH$5</f>
        <v>0.22686917825257744</v>
      </c>
      <c r="AB17" s="85">
        <f>BI52/BI$5</f>
        <v>0.95494623953121982</v>
      </c>
      <c r="AC17" s="85">
        <f>BJ52/BJ$5</f>
        <v>0.99731888664694979</v>
      </c>
      <c r="AD17" s="86">
        <f t="shared" si="5"/>
        <v>0.72637810147691573</v>
      </c>
      <c r="AE17" s="85">
        <f>BK52/$AP$5</f>
        <v>0.99731888664694979</v>
      </c>
      <c r="AF17" s="85">
        <f t="shared" si="8"/>
        <v>0.72876185079742384</v>
      </c>
      <c r="AG17"/>
      <c r="AH17" s="37"/>
      <c r="AI17" s="56"/>
      <c r="AJ17" s="37" t="s">
        <v>5</v>
      </c>
      <c r="AK17" s="57">
        <v>0</v>
      </c>
      <c r="AL17" s="57">
        <v>10.112</v>
      </c>
      <c r="AM17" s="57">
        <v>146.38</v>
      </c>
      <c r="AN17" s="57">
        <v>1516.6</v>
      </c>
      <c r="AO17" s="57">
        <v>3210.2</v>
      </c>
      <c r="AP17" s="57">
        <v>3212.5</v>
      </c>
      <c r="AQ17" s="37"/>
      <c r="AR17" s="37"/>
      <c r="AS17" s="56"/>
      <c r="AT17" s="37" t="s">
        <v>5</v>
      </c>
      <c r="AU17" s="57">
        <v>0</v>
      </c>
      <c r="AV17" s="57">
        <v>13.875999999999999</v>
      </c>
      <c r="AW17" s="57">
        <v>192.02</v>
      </c>
      <c r="AX17" s="57">
        <v>1878.6</v>
      </c>
      <c r="AY17" s="57">
        <v>2785.2</v>
      </c>
      <c r="AZ17" s="57">
        <v>2785.6</v>
      </c>
      <c r="BA17" s="37"/>
      <c r="BB17" s="37"/>
      <c r="BC17" s="37"/>
      <c r="BD17" s="56"/>
      <c r="BE17" s="37" t="s">
        <v>5</v>
      </c>
      <c r="BF17" s="57">
        <v>0</v>
      </c>
      <c r="BG17" s="57">
        <v>17.344999999999999</v>
      </c>
      <c r="BH17" s="57">
        <v>246.88</v>
      </c>
      <c r="BI17" s="57">
        <v>2052.4</v>
      </c>
      <c r="BJ17" s="57">
        <v>2355.6999999999998</v>
      </c>
      <c r="BK17" s="57">
        <v>2355.9</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0.80943616462588786</v>
      </c>
      <c r="D18" s="75">
        <f>AL59/$AL$5</f>
        <v>1.9633489040603663E-2</v>
      </c>
      <c r="E18" s="75">
        <f>AM59/AM$5</f>
        <v>0.20104204096298958</v>
      </c>
      <c r="F18" s="75">
        <f>AN59/AN$5</f>
        <v>0.85955941291909677</v>
      </c>
      <c r="G18" s="75">
        <f>AO59/AO$5</f>
        <v>0.99889438624616489</v>
      </c>
      <c r="H18" s="76">
        <f t="shared" si="1"/>
        <v>0.68649861337608387</v>
      </c>
      <c r="I18" s="75">
        <f>AP59/$AP$5</f>
        <v>0.99906022830924013</v>
      </c>
      <c r="J18" s="75">
        <f t="shared" si="6"/>
        <v>0.68568042234445403</v>
      </c>
      <c r="K18"/>
      <c r="L18" s="68">
        <v>1.6</v>
      </c>
      <c r="M18" s="69">
        <f>AU55/$AK$5</f>
        <v>1</v>
      </c>
      <c r="N18" s="69">
        <f t="shared" si="2"/>
        <v>0.82252733630006358</v>
      </c>
      <c r="O18" s="69">
        <f>AV59/$AL$5</f>
        <v>2.2989303186931646E-2</v>
      </c>
      <c r="P18" s="69">
        <f>AW59/AW$5</f>
        <v>0.22488736559882805</v>
      </c>
      <c r="Q18" s="69">
        <f>AX59/AX$5</f>
        <v>0.91978772215926363</v>
      </c>
      <c r="R18" s="69">
        <f>AY59/AY$5</f>
        <v>0.99950247381077417</v>
      </c>
      <c r="S18" s="70">
        <f t="shared" si="3"/>
        <v>0.71472585385628873</v>
      </c>
      <c r="T18" s="69">
        <f>AZ59/$AP$5</f>
        <v>0.99950247381077417</v>
      </c>
      <c r="U18" s="69">
        <f t="shared" si="7"/>
        <v>0.7150422344453965</v>
      </c>
      <c r="V18"/>
      <c r="W18" s="84">
        <v>1.6</v>
      </c>
      <c r="X18" s="85">
        <f>BF55/$AK$5</f>
        <v>1</v>
      </c>
      <c r="Y18" s="85">
        <f t="shared" si="4"/>
        <v>0.83709665828242907</v>
      </c>
      <c r="Z18" s="85">
        <f>BG59/$AL$5</f>
        <v>2.8859283009480638E-2</v>
      </c>
      <c r="AA18" s="85">
        <f>BH59/BH$5</f>
        <v>0.27217722988473975</v>
      </c>
      <c r="AB18" s="85">
        <f>BI59/BI$5</f>
        <v>0.96790956079493629</v>
      </c>
      <c r="AC18" s="85">
        <f>BJ59/BJ$5</f>
        <v>0.9994471931230825</v>
      </c>
      <c r="AD18" s="86">
        <f t="shared" si="5"/>
        <v>0.7465113279342529</v>
      </c>
      <c r="AE18" s="85">
        <f>BK59/$AP$5</f>
        <v>0.9994471931230825</v>
      </c>
      <c r="AF18" s="85">
        <f t="shared" si="8"/>
        <v>0.74431935653279524</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0.48240444871334204</v>
      </c>
      <c r="CH18" s="62">
        <f t="shared" ref="CH18:CH26" si="10">N11</f>
        <v>0.39934327372232514</v>
      </c>
      <c r="CI18" s="62">
        <f t="shared" ref="CI18:CI26" si="11">Y11</f>
        <v>0.32027351502252688</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0.81957422814339809</v>
      </c>
      <c r="D19" s="75">
        <f>AL66/$AL$5</f>
        <v>2.4152685259404626E-2</v>
      </c>
      <c r="E19" s="75">
        <f>AM66/AM$5</f>
        <v>0.23557588656402884</v>
      </c>
      <c r="F19" s="75">
        <f>AN66/AN$5</f>
        <v>0.89093120318416763</v>
      </c>
      <c r="G19" s="75">
        <f>AO66/AO$5</f>
        <v>0.99897730727770251</v>
      </c>
      <c r="H19" s="76">
        <f t="shared" si="1"/>
        <v>0.70849479900863299</v>
      </c>
      <c r="I19" s="75">
        <f>AP66/$AP$5</f>
        <v>0.99908786865308596</v>
      </c>
      <c r="J19" s="75">
        <f>(($C$5*D19)+($D$5*E19)+($E$5*F19)+($F$5*G19)+($G$5*I19))</f>
        <v>0.70560717543326235</v>
      </c>
      <c r="K19"/>
      <c r="L19" s="68">
        <v>2</v>
      </c>
      <c r="M19" s="69">
        <f>AU62/$AK$5</f>
        <v>1</v>
      </c>
      <c r="N19" s="69">
        <f t="shared" si="2"/>
        <v>0.8315046021172503</v>
      </c>
      <c r="O19" s="69">
        <f>AV66/$AL$5</f>
        <v>2.8417037507946597E-2</v>
      </c>
      <c r="P19" s="69">
        <f>AW66/AW$5</f>
        <v>0.26324663478813676</v>
      </c>
      <c r="Q19" s="69">
        <f>AX66/AX$5</f>
        <v>0.93946764697752838</v>
      </c>
      <c r="R19" s="69">
        <f>AY66/AY$5</f>
        <v>0.99950247381077417</v>
      </c>
      <c r="S19" s="70">
        <f t="shared" si="3"/>
        <v>0.7340722518588132</v>
      </c>
      <c r="T19" s="69">
        <f>AZ66/$AP$5</f>
        <v>0.99950247381077417</v>
      </c>
      <c r="U19" s="69">
        <f>(($C$5*O19)+($D$5*P19)+($E$5*Q19)+($F$5*R19)+($G$5*T19))</f>
        <v>0.73112883164266562</v>
      </c>
      <c r="V19"/>
      <c r="W19" s="84">
        <v>2</v>
      </c>
      <c r="X19" s="85">
        <f>BF62/$AK$5</f>
        <v>1</v>
      </c>
      <c r="Y19" s="85">
        <f t="shared" si="4"/>
        <v>0.84293070565797834</v>
      </c>
      <c r="Z19" s="85">
        <f>BG66/$AL$5</f>
        <v>3.382625279858481E-2</v>
      </c>
      <c r="AA19" s="85">
        <f>BH66/BH$5</f>
        <v>0.30340805439619667</v>
      </c>
      <c r="AB19" s="85">
        <f>BI66/BI$5</f>
        <v>0.97379695403410815</v>
      </c>
      <c r="AC19" s="85">
        <f>BJ66/BJ$5</f>
        <v>0.99947483346692834</v>
      </c>
      <c r="AD19" s="86">
        <f t="shared" si="5"/>
        <v>0.75889328063241113</v>
      </c>
      <c r="AE19" s="85">
        <f>BK66/$AP$5</f>
        <v>0.99947483346692834</v>
      </c>
      <c r="AF19" s="85">
        <f>(($C$5*Z19)+($D$5*AA19)+($E$5*AB19)+($F$5*AC19)+($G$5*AE19))</f>
        <v>0.7534254678128196</v>
      </c>
      <c r="AG19"/>
      <c r="AH19" s="37"/>
      <c r="AI19" s="56">
        <v>0.4</v>
      </c>
      <c r="AJ19" s="37" t="s">
        <v>0</v>
      </c>
      <c r="AK19" s="57">
        <v>579480</v>
      </c>
      <c r="AL19" s="57">
        <v>3617.9</v>
      </c>
      <c r="AM19" s="57">
        <v>3617.9</v>
      </c>
      <c r="AN19" s="57">
        <v>3617.9</v>
      </c>
      <c r="AO19" s="57">
        <v>3617.9</v>
      </c>
      <c r="AP19" s="57">
        <v>3617.9</v>
      </c>
      <c r="AQ19" s="37"/>
      <c r="AR19" s="37"/>
      <c r="AS19" s="56">
        <v>0.4</v>
      </c>
      <c r="AT19" s="37" t="s">
        <v>0</v>
      </c>
      <c r="AU19" s="57">
        <v>579480</v>
      </c>
      <c r="AV19" s="57">
        <v>3617.9</v>
      </c>
      <c r="AW19" s="57">
        <v>3617.9</v>
      </c>
      <c r="AX19" s="57">
        <v>3617.9</v>
      </c>
      <c r="AY19" s="57">
        <v>3617.9</v>
      </c>
      <c r="AZ19" s="57">
        <v>3617.9</v>
      </c>
      <c r="BA19" s="37"/>
      <c r="BB19" s="37"/>
      <c r="BC19" s="37"/>
      <c r="BD19" s="56">
        <v>0.4</v>
      </c>
      <c r="BE19" s="37" t="s">
        <v>0</v>
      </c>
      <c r="BF19" s="57">
        <v>579480</v>
      </c>
      <c r="BG19" s="57">
        <v>3617.9</v>
      </c>
      <c r="BH19" s="57">
        <v>3617.9</v>
      </c>
      <c r="BI19" s="57">
        <v>3617.9</v>
      </c>
      <c r="BJ19" s="57">
        <v>3617.9</v>
      </c>
      <c r="BK19" s="57">
        <v>3617.9</v>
      </c>
      <c r="BL19" s="37"/>
      <c r="BM19" s="37"/>
      <c r="BN19" s="37"/>
      <c r="BO19" s="37"/>
      <c r="BY19" s="37"/>
      <c r="BZ19" s="37"/>
      <c r="CA19" s="37"/>
      <c r="CB19" s="37"/>
      <c r="CC19" s="61">
        <v>0.2</v>
      </c>
      <c r="CD19" s="62">
        <v>0.77280172734718189</v>
      </c>
      <c r="CE19" s="62">
        <v>0.62134241679696223</v>
      </c>
      <c r="CF19" s="62">
        <v>0.48760330578512395</v>
      </c>
      <c r="CG19" s="62">
        <f t="shared" si="9"/>
        <v>0.6461573288371707</v>
      </c>
      <c r="CH19" s="62">
        <f t="shared" si="10"/>
        <v>0.58649127947151658</v>
      </c>
      <c r="CI19" s="62">
        <f t="shared" si="11"/>
        <v>0.51882701290804056</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569870</v>
      </c>
      <c r="AL20" s="57">
        <v>3557.9</v>
      </c>
      <c r="AM20" s="57">
        <v>3557.9</v>
      </c>
      <c r="AN20" s="57">
        <v>3557.9</v>
      </c>
      <c r="AO20" s="57">
        <v>3557.9</v>
      </c>
      <c r="AP20" s="57">
        <v>3557.9</v>
      </c>
      <c r="AQ20" s="37"/>
      <c r="AR20" s="37"/>
      <c r="AS20" s="56"/>
      <c r="AT20" s="37" t="s">
        <v>1</v>
      </c>
      <c r="AU20" s="57">
        <v>537920</v>
      </c>
      <c r="AV20" s="57">
        <v>3358.4</v>
      </c>
      <c r="AW20" s="57">
        <v>3358.4</v>
      </c>
      <c r="AX20" s="57">
        <v>3358.4</v>
      </c>
      <c r="AY20" s="57">
        <v>3358.4</v>
      </c>
      <c r="AZ20" s="57">
        <v>3358.4</v>
      </c>
      <c r="BA20" s="37"/>
      <c r="BB20" s="37"/>
      <c r="BC20" s="37"/>
      <c r="BD20" s="56"/>
      <c r="BE20" s="37" t="s">
        <v>1</v>
      </c>
      <c r="BF20" s="57">
        <v>492230</v>
      </c>
      <c r="BG20" s="57">
        <v>3073.2</v>
      </c>
      <c r="BH20" s="57">
        <v>3073.2</v>
      </c>
      <c r="BI20" s="57">
        <v>3073.2</v>
      </c>
      <c r="BJ20" s="57">
        <v>3073.2</v>
      </c>
      <c r="BK20" s="57">
        <v>3073.2</v>
      </c>
      <c r="BL20" s="37"/>
      <c r="BM20" s="37"/>
      <c r="BN20" s="37"/>
      <c r="BO20" s="37"/>
      <c r="BY20" s="37"/>
      <c r="BZ20" s="37"/>
      <c r="CA20" s="37"/>
      <c r="CB20" s="37"/>
      <c r="CC20" s="61">
        <v>0.4</v>
      </c>
      <c r="CD20" s="62">
        <v>0.93740227831136924</v>
      </c>
      <c r="CE20" s="62">
        <v>0.83551113096567642</v>
      </c>
      <c r="CF20" s="62">
        <v>0.7119350755714392</v>
      </c>
      <c r="CG20" s="62">
        <f t="shared" si="9"/>
        <v>0.73560474308300394</v>
      </c>
      <c r="CH20" s="62">
        <f t="shared" si="10"/>
        <v>0.71903551784184194</v>
      </c>
      <c r="CI20" s="62">
        <f t="shared" si="11"/>
        <v>0.68433607894082216</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9614</v>
      </c>
      <c r="AL21" s="57">
        <v>60.024000000000001</v>
      </c>
      <c r="AM21" s="57">
        <v>60.024000000000001</v>
      </c>
      <c r="AN21" s="57">
        <v>60.024000000000001</v>
      </c>
      <c r="AO21" s="57">
        <v>60.024000000000001</v>
      </c>
      <c r="AP21" s="57">
        <v>60.024000000000001</v>
      </c>
      <c r="AQ21" s="57"/>
      <c r="AR21" s="37"/>
      <c r="AS21" s="56"/>
      <c r="AT21" s="37" t="s">
        <v>2</v>
      </c>
      <c r="AU21" s="57">
        <v>41560</v>
      </c>
      <c r="AV21" s="57">
        <v>259.48</v>
      </c>
      <c r="AW21" s="57">
        <v>259.48</v>
      </c>
      <c r="AX21" s="57">
        <v>259.48</v>
      </c>
      <c r="AY21" s="57">
        <v>259.48</v>
      </c>
      <c r="AZ21" s="57">
        <v>259.48</v>
      </c>
      <c r="BA21" s="57"/>
      <c r="BB21" s="37"/>
      <c r="BC21" s="37"/>
      <c r="BD21" s="56"/>
      <c r="BE21" s="37" t="s">
        <v>2</v>
      </c>
      <c r="BF21" s="57">
        <v>87244</v>
      </c>
      <c r="BG21" s="57">
        <v>544.70000000000005</v>
      </c>
      <c r="BH21" s="57">
        <v>544.70000000000005</v>
      </c>
      <c r="BI21" s="57">
        <v>544.70000000000005</v>
      </c>
      <c r="BJ21" s="57">
        <v>544.70000000000005</v>
      </c>
      <c r="BK21" s="57">
        <v>544.70000000000005</v>
      </c>
      <c r="BL21" s="57"/>
      <c r="BM21" s="57"/>
      <c r="BN21" s="57"/>
      <c r="BO21" s="37"/>
      <c r="BY21" s="37"/>
      <c r="BZ21" s="37"/>
      <c r="CA21" s="37"/>
      <c r="CB21" s="37"/>
      <c r="CC21" s="61">
        <v>0.6</v>
      </c>
      <c r="CD21" s="62">
        <v>0.98157248157248156</v>
      </c>
      <c r="CE21" s="62">
        <v>0.93494527585436671</v>
      </c>
      <c r="CF21" s="62">
        <v>0.84556250465341376</v>
      </c>
      <c r="CG21" s="62">
        <f t="shared" si="9"/>
        <v>0.76404191658144227</v>
      </c>
      <c r="CH21" s="62">
        <f t="shared" si="10"/>
        <v>0.77256181762901133</v>
      </c>
      <c r="CI21" s="62">
        <f t="shared" si="11"/>
        <v>0.75753217336023659</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569750</v>
      </c>
      <c r="AL22" s="57">
        <v>3537.8</v>
      </c>
      <c r="AM22" s="57">
        <v>3303</v>
      </c>
      <c r="AN22" s="57">
        <v>1478.8</v>
      </c>
      <c r="AO22" s="57">
        <v>4.0129999999999999</v>
      </c>
      <c r="AP22" s="57">
        <v>2.0247000000000002</v>
      </c>
      <c r="AQ22" s="37"/>
      <c r="AR22" s="37"/>
      <c r="AS22" s="56"/>
      <c r="AT22" s="37" t="s">
        <v>3</v>
      </c>
      <c r="AU22" s="57">
        <v>537740</v>
      </c>
      <c r="AV22" s="57">
        <v>3334.4</v>
      </c>
      <c r="AW22" s="57">
        <v>3057.6</v>
      </c>
      <c r="AX22" s="57">
        <v>867.59</v>
      </c>
      <c r="AY22" s="57">
        <v>0.89278000000000002</v>
      </c>
      <c r="AZ22" s="57">
        <v>0.61331000000000002</v>
      </c>
      <c r="BA22" s="37"/>
      <c r="BB22" s="37"/>
      <c r="BC22" s="37"/>
      <c r="BD22" s="56"/>
      <c r="BE22" s="37" t="s">
        <v>3</v>
      </c>
      <c r="BF22" s="57">
        <v>491950</v>
      </c>
      <c r="BG22" s="57">
        <v>3040.4</v>
      </c>
      <c r="BH22" s="57">
        <v>2668.5</v>
      </c>
      <c r="BI22" s="57">
        <v>287.87</v>
      </c>
      <c r="BJ22" s="57">
        <v>0.19999</v>
      </c>
      <c r="BK22" s="57">
        <v>0.14893000000000001</v>
      </c>
      <c r="BL22" s="37"/>
      <c r="BM22" s="37"/>
      <c r="BN22" s="37"/>
      <c r="BO22" s="37"/>
      <c r="BY22" s="37"/>
      <c r="BZ22" s="37"/>
      <c r="CA22" s="37"/>
      <c r="CB22" s="37"/>
      <c r="CC22" s="61">
        <v>0.8</v>
      </c>
      <c r="CD22" s="62">
        <v>0.99348522075794798</v>
      </c>
      <c r="CE22" s="62">
        <v>0.97371751917206462</v>
      </c>
      <c r="CF22" s="62">
        <v>0.92195294468021738</v>
      </c>
      <c r="CG22" s="62">
        <f t="shared" si="9"/>
        <v>0.77838549987561834</v>
      </c>
      <c r="CH22" s="62">
        <f t="shared" si="10"/>
        <v>0.79700324774040188</v>
      </c>
      <c r="CI22" s="62">
        <f t="shared" si="11"/>
        <v>0.7944818541142652</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0.78853090190441977</v>
      </c>
      <c r="CH23" s="62">
        <f t="shared" si="10"/>
        <v>0.80461212305481067</v>
      </c>
      <c r="CI23" s="62">
        <f t="shared" si="11"/>
        <v>0.81590482047596669</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19.388000000000002</v>
      </c>
      <c r="AM24" s="57">
        <v>254.1</v>
      </c>
      <c r="AN24" s="57">
        <v>2078.3000000000002</v>
      </c>
      <c r="AO24" s="57">
        <v>3553.1</v>
      </c>
      <c r="AP24" s="57">
        <v>3555.1</v>
      </c>
      <c r="AQ24" s="37"/>
      <c r="AR24" s="37"/>
      <c r="AS24" s="56"/>
      <c r="AT24" s="37" t="s">
        <v>5</v>
      </c>
      <c r="AU24" s="57">
        <v>0</v>
      </c>
      <c r="AV24" s="57">
        <v>22.972000000000001</v>
      </c>
      <c r="AW24" s="57">
        <v>299.7</v>
      </c>
      <c r="AX24" s="57">
        <v>2489.8000000000002</v>
      </c>
      <c r="AY24" s="57">
        <v>3356.5</v>
      </c>
      <c r="AZ24" s="57">
        <v>3356.7</v>
      </c>
      <c r="BA24" s="37"/>
      <c r="BB24" s="37"/>
      <c r="BC24" s="37"/>
      <c r="BD24" s="56"/>
      <c r="BE24" s="37" t="s">
        <v>5</v>
      </c>
      <c r="BF24" s="57">
        <v>0</v>
      </c>
      <c r="BG24" s="57">
        <v>31.06</v>
      </c>
      <c r="BH24" s="57">
        <v>402.81</v>
      </c>
      <c r="BI24" s="57">
        <v>2783.6</v>
      </c>
      <c r="BJ24" s="57">
        <v>3071.3</v>
      </c>
      <c r="BK24" s="57">
        <v>3071.3</v>
      </c>
      <c r="BL24" s="37"/>
      <c r="BM24" s="37"/>
      <c r="BN24" s="37"/>
      <c r="BO24" s="37"/>
      <c r="BY24" s="37"/>
      <c r="BZ24" s="37"/>
      <c r="CA24" s="37"/>
      <c r="CB24" s="37"/>
      <c r="CC24" s="61">
        <v>1.2</v>
      </c>
      <c r="CD24" s="62">
        <v>0.9987156578065669</v>
      </c>
      <c r="CE24" s="62">
        <v>0.99434144888690346</v>
      </c>
      <c r="CF24" s="62">
        <v>0.97799865981684164</v>
      </c>
      <c r="CG24" s="62">
        <f t="shared" si="9"/>
        <v>0.79681507227949921</v>
      </c>
      <c r="CH24" s="62">
        <f t="shared" si="10"/>
        <v>0.81236503220100054</v>
      </c>
      <c r="CI24" s="62">
        <f t="shared" si="11"/>
        <v>0.82663651565825469</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0.80943616462588786</v>
      </c>
      <c r="CH25" s="62">
        <f t="shared" si="10"/>
        <v>0.82252733630006358</v>
      </c>
      <c r="CI25" s="62">
        <f t="shared" si="11"/>
        <v>0.83709665828242907</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579480</v>
      </c>
      <c r="AL26" s="57">
        <v>3617.9</v>
      </c>
      <c r="AM26" s="57">
        <v>3617.9</v>
      </c>
      <c r="AN26" s="57">
        <v>3617.9</v>
      </c>
      <c r="AO26" s="57">
        <v>3617.9</v>
      </c>
      <c r="AP26" s="57">
        <v>3617.9</v>
      </c>
      <c r="AQ26" s="37"/>
      <c r="AR26" s="37"/>
      <c r="AS26" s="56">
        <v>0.6</v>
      </c>
      <c r="AT26" s="37" t="s">
        <v>0</v>
      </c>
      <c r="AU26" s="57">
        <v>579480</v>
      </c>
      <c r="AV26" s="57">
        <v>3617.9</v>
      </c>
      <c r="AW26" s="57">
        <v>3617.9</v>
      </c>
      <c r="AX26" s="57">
        <v>3617.9</v>
      </c>
      <c r="AY26" s="57">
        <v>3617.9</v>
      </c>
      <c r="AZ26" s="57">
        <v>3617.9</v>
      </c>
      <c r="BA26" s="37"/>
      <c r="BB26" s="37"/>
      <c r="BC26" s="37"/>
      <c r="BD26" s="56">
        <v>0.6</v>
      </c>
      <c r="BE26" s="37" t="s">
        <v>0</v>
      </c>
      <c r="BF26" s="57">
        <v>579480</v>
      </c>
      <c r="BG26" s="57">
        <v>3617.9</v>
      </c>
      <c r="BH26" s="57">
        <v>3617.9</v>
      </c>
      <c r="BI26" s="57">
        <v>3617.9</v>
      </c>
      <c r="BJ26" s="57">
        <v>3617.9</v>
      </c>
      <c r="BK26" s="57">
        <v>3617.9</v>
      </c>
      <c r="BL26" s="37"/>
      <c r="BM26" s="37"/>
      <c r="BN26" s="37"/>
      <c r="BO26" s="37"/>
      <c r="BY26" s="37"/>
      <c r="BZ26" s="37"/>
      <c r="CA26" s="37"/>
      <c r="CB26" s="37"/>
      <c r="CC26" s="61">
        <v>2</v>
      </c>
      <c r="CD26" s="62">
        <v>1</v>
      </c>
      <c r="CE26" s="62">
        <v>1</v>
      </c>
      <c r="CF26" s="62">
        <v>1</v>
      </c>
      <c r="CG26" s="62">
        <f t="shared" si="9"/>
        <v>0.81957422814339809</v>
      </c>
      <c r="CH26" s="62">
        <f t="shared" si="10"/>
        <v>0.8315046021172503</v>
      </c>
      <c r="CI26" s="62">
        <f t="shared" si="11"/>
        <v>0.84293070565797834</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578100</v>
      </c>
      <c r="AL27" s="57">
        <v>3609.3</v>
      </c>
      <c r="AM27" s="57">
        <v>3609.3</v>
      </c>
      <c r="AN27" s="57">
        <v>3609.3</v>
      </c>
      <c r="AO27" s="57">
        <v>3609.3</v>
      </c>
      <c r="AP27" s="57">
        <v>3609.3</v>
      </c>
      <c r="AQ27" s="37"/>
      <c r="AR27" s="37"/>
      <c r="AS27" s="56"/>
      <c r="AT27" s="37" t="s">
        <v>1</v>
      </c>
      <c r="AU27" s="57">
        <v>568290</v>
      </c>
      <c r="AV27" s="57">
        <v>3548</v>
      </c>
      <c r="AW27" s="57">
        <v>3548</v>
      </c>
      <c r="AX27" s="57">
        <v>3548</v>
      </c>
      <c r="AY27" s="57">
        <v>3548</v>
      </c>
      <c r="AZ27" s="57">
        <v>3548</v>
      </c>
      <c r="BA27" s="37"/>
      <c r="BB27" s="37"/>
      <c r="BC27" s="37"/>
      <c r="BD27" s="56"/>
      <c r="BE27" s="37" t="s">
        <v>1</v>
      </c>
      <c r="BF27" s="57">
        <v>539840</v>
      </c>
      <c r="BG27" s="57">
        <v>3370.4</v>
      </c>
      <c r="BH27" s="57">
        <v>3370.4</v>
      </c>
      <c r="BI27" s="57">
        <v>3370.4</v>
      </c>
      <c r="BJ27" s="57">
        <v>3370.4</v>
      </c>
      <c r="BK27" s="57">
        <v>3370.4</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1381.5</v>
      </c>
      <c r="AL28" s="57">
        <v>8.6254000000000008</v>
      </c>
      <c r="AM28" s="57">
        <v>8.6254000000000008</v>
      </c>
      <c r="AN28" s="57">
        <v>8.6254000000000008</v>
      </c>
      <c r="AO28" s="57">
        <v>8.6254000000000008</v>
      </c>
      <c r="AP28" s="57">
        <v>8.6254000000000008</v>
      </c>
      <c r="AQ28" s="37"/>
      <c r="AR28" s="37"/>
      <c r="AS28" s="56"/>
      <c r="AT28" s="37" t="s">
        <v>2</v>
      </c>
      <c r="AU28" s="57">
        <v>11191</v>
      </c>
      <c r="AV28" s="57">
        <v>69.867000000000004</v>
      </c>
      <c r="AW28" s="57">
        <v>69.867000000000004</v>
      </c>
      <c r="AX28" s="57">
        <v>69.867000000000004</v>
      </c>
      <c r="AY28" s="57">
        <v>69.867000000000004</v>
      </c>
      <c r="AZ28" s="57">
        <v>69.867000000000004</v>
      </c>
      <c r="BA28" s="37"/>
      <c r="BB28" s="37"/>
      <c r="BC28" s="37"/>
      <c r="BD28" s="56"/>
      <c r="BE28" s="37" t="s">
        <v>2</v>
      </c>
      <c r="BF28" s="57">
        <v>39642</v>
      </c>
      <c r="BG28" s="57">
        <v>247.5</v>
      </c>
      <c r="BH28" s="57">
        <v>247.5</v>
      </c>
      <c r="BI28" s="57">
        <v>247.5</v>
      </c>
      <c r="BJ28" s="57">
        <v>247.5</v>
      </c>
      <c r="BK28" s="57">
        <v>247.5</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577990</v>
      </c>
      <c r="AL29" s="57">
        <v>3580</v>
      </c>
      <c r="AM29" s="57">
        <v>3257.5</v>
      </c>
      <c r="AN29" s="57">
        <v>1165.7</v>
      </c>
      <c r="AO29" s="57">
        <v>4.2619999999999996</v>
      </c>
      <c r="AP29" s="57">
        <v>2.3567999999999998</v>
      </c>
      <c r="AQ29" s="37"/>
      <c r="AR29" s="37"/>
      <c r="AS29" s="56"/>
      <c r="AT29" s="37" t="s">
        <v>3</v>
      </c>
      <c r="AU29" s="57">
        <v>568110</v>
      </c>
      <c r="AV29" s="57">
        <v>3512.4</v>
      </c>
      <c r="AW29" s="57">
        <v>3133.5</v>
      </c>
      <c r="AX29" s="57">
        <v>705.06</v>
      </c>
      <c r="AY29" s="57">
        <v>0.74141000000000001</v>
      </c>
      <c r="AZ29" s="57">
        <v>0.54442999999999997</v>
      </c>
      <c r="BA29" s="37"/>
      <c r="BB29" s="37"/>
      <c r="BC29" s="37"/>
      <c r="BD29" s="56"/>
      <c r="BE29" s="37" t="s">
        <v>3</v>
      </c>
      <c r="BF29" s="57">
        <v>539560</v>
      </c>
      <c r="BG29" s="57">
        <v>3324.4</v>
      </c>
      <c r="BH29" s="57">
        <v>2836.7</v>
      </c>
      <c r="BI29" s="57">
        <v>240.85</v>
      </c>
      <c r="BJ29" s="57">
        <v>0.20419999999999999</v>
      </c>
      <c r="BK29" s="57">
        <v>0.16608999999999999</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28.515000000000001</v>
      </c>
      <c r="AM31" s="57">
        <v>350.91</v>
      </c>
      <c r="AN31" s="57">
        <v>2442.8000000000002</v>
      </c>
      <c r="AO31" s="57">
        <v>3604.3</v>
      </c>
      <c r="AP31" s="57">
        <v>3606.2</v>
      </c>
      <c r="AQ31" s="37"/>
      <c r="AR31" s="37"/>
      <c r="AS31" s="56"/>
      <c r="AT31" s="37" t="s">
        <v>5</v>
      </c>
      <c r="AU31" s="57">
        <v>0</v>
      </c>
      <c r="AV31" s="57">
        <v>34.518000000000001</v>
      </c>
      <c r="AW31" s="57">
        <v>413.27</v>
      </c>
      <c r="AX31" s="57">
        <v>2841.8</v>
      </c>
      <c r="AY31" s="57">
        <v>3546.1</v>
      </c>
      <c r="AZ31" s="57">
        <v>3546.3</v>
      </c>
      <c r="BA31" s="37"/>
      <c r="BB31" s="37"/>
      <c r="BC31" s="37"/>
      <c r="BD31" s="56"/>
      <c r="BE31" s="37" t="s">
        <v>5</v>
      </c>
      <c r="BF31" s="57">
        <v>0</v>
      </c>
      <c r="BG31" s="57">
        <v>44.243000000000002</v>
      </c>
      <c r="BH31" s="57">
        <v>531.79</v>
      </c>
      <c r="BI31" s="57">
        <v>3127.8</v>
      </c>
      <c r="BJ31" s="57">
        <v>3368.5</v>
      </c>
      <c r="BK31" s="57">
        <v>3368.5</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579480</v>
      </c>
      <c r="AL33" s="57">
        <v>3617.9</v>
      </c>
      <c r="AM33" s="57">
        <v>3617.9</v>
      </c>
      <c r="AN33" s="57">
        <v>3617.9</v>
      </c>
      <c r="AO33" s="57">
        <v>3617.9</v>
      </c>
      <c r="AP33" s="57">
        <v>3617.9</v>
      </c>
      <c r="AQ33" s="37"/>
      <c r="AR33" s="37"/>
      <c r="AS33" s="56">
        <v>0.8</v>
      </c>
      <c r="AT33" s="37" t="s">
        <v>0</v>
      </c>
      <c r="AU33" s="57">
        <v>579480</v>
      </c>
      <c r="AV33" s="57">
        <v>3617.9</v>
      </c>
      <c r="AW33" s="57">
        <v>3617.9</v>
      </c>
      <c r="AX33" s="57">
        <v>3617.9</v>
      </c>
      <c r="AY33" s="57">
        <v>3617.9</v>
      </c>
      <c r="AZ33" s="57">
        <v>3617.9</v>
      </c>
      <c r="BA33" s="37"/>
      <c r="BB33" s="37"/>
      <c r="BC33" s="37"/>
      <c r="BD33" s="56">
        <v>0.8</v>
      </c>
      <c r="BE33" s="37" t="s">
        <v>0</v>
      </c>
      <c r="BF33" s="57">
        <v>579480</v>
      </c>
      <c r="BG33" s="57">
        <v>3617.9</v>
      </c>
      <c r="BH33" s="57">
        <v>3617.9</v>
      </c>
      <c r="BI33" s="57">
        <v>3617.9</v>
      </c>
      <c r="BJ33" s="57">
        <v>3617.9</v>
      </c>
      <c r="BK33" s="57">
        <v>3617.9</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579480</v>
      </c>
      <c r="AL34" s="57">
        <v>3617.9</v>
      </c>
      <c r="AM34" s="57">
        <v>3617.9</v>
      </c>
      <c r="AN34" s="57">
        <v>3617.9</v>
      </c>
      <c r="AO34" s="57">
        <v>3617.9</v>
      </c>
      <c r="AP34" s="57">
        <v>3617.9</v>
      </c>
      <c r="AQ34" s="37"/>
      <c r="AR34" s="37"/>
      <c r="AS34" s="56"/>
      <c r="AT34" s="37" t="s">
        <v>1</v>
      </c>
      <c r="AU34" s="57">
        <v>577320</v>
      </c>
      <c r="AV34" s="57">
        <v>3604.4</v>
      </c>
      <c r="AW34" s="57">
        <v>3604.4</v>
      </c>
      <c r="AX34" s="57">
        <v>3604.4</v>
      </c>
      <c r="AY34" s="57">
        <v>3604.4</v>
      </c>
      <c r="AZ34" s="57">
        <v>3604.4</v>
      </c>
      <c r="BA34" s="37"/>
      <c r="BB34" s="37"/>
      <c r="BC34" s="37"/>
      <c r="BD34" s="56"/>
      <c r="BE34" s="37" t="s">
        <v>1</v>
      </c>
      <c r="BF34" s="57">
        <v>562360</v>
      </c>
      <c r="BG34" s="57">
        <v>3511</v>
      </c>
      <c r="BH34" s="57">
        <v>3511</v>
      </c>
      <c r="BI34" s="57">
        <v>3511</v>
      </c>
      <c r="BJ34" s="57">
        <v>3511</v>
      </c>
      <c r="BK34" s="57">
        <v>3511</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0</v>
      </c>
      <c r="AL35" s="57">
        <v>0</v>
      </c>
      <c r="AM35" s="57">
        <v>0</v>
      </c>
      <c r="AN35" s="57">
        <v>0</v>
      </c>
      <c r="AO35" s="57">
        <v>0</v>
      </c>
      <c r="AP35" s="57">
        <v>0</v>
      </c>
      <c r="AQ35" s="37"/>
      <c r="AR35" s="37"/>
      <c r="AS35" s="56"/>
      <c r="AT35" s="37" t="s">
        <v>2</v>
      </c>
      <c r="AU35" s="57">
        <v>2164</v>
      </c>
      <c r="AV35" s="57">
        <v>13.510999999999999</v>
      </c>
      <c r="AW35" s="57">
        <v>13.510999999999999</v>
      </c>
      <c r="AX35" s="57">
        <v>13.510999999999999</v>
      </c>
      <c r="AY35" s="57">
        <v>13.510999999999999</v>
      </c>
      <c r="AZ35" s="57">
        <v>13.510999999999999</v>
      </c>
      <c r="BA35" s="37"/>
      <c r="BB35" s="37"/>
      <c r="BC35" s="37"/>
      <c r="BD35" s="56"/>
      <c r="BE35" s="37" t="s">
        <v>2</v>
      </c>
      <c r="BF35" s="57">
        <v>17126</v>
      </c>
      <c r="BG35" s="57">
        <v>106.92</v>
      </c>
      <c r="BH35" s="57">
        <v>106.92</v>
      </c>
      <c r="BI35" s="57">
        <v>106.92</v>
      </c>
      <c r="BJ35" s="57">
        <v>106.92</v>
      </c>
      <c r="BK35" s="57">
        <v>106.92</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579360</v>
      </c>
      <c r="AL36" s="57">
        <v>3579.8</v>
      </c>
      <c r="AM36" s="57">
        <v>3179.6</v>
      </c>
      <c r="AN36" s="57">
        <v>954.58</v>
      </c>
      <c r="AO36" s="57">
        <v>4.2988999999999997</v>
      </c>
      <c r="AP36" s="57">
        <v>2.5562</v>
      </c>
      <c r="AQ36" s="37"/>
      <c r="AR36" s="37"/>
      <c r="AS36" s="56"/>
      <c r="AT36" s="37" t="s">
        <v>3</v>
      </c>
      <c r="AU36" s="57">
        <v>577120</v>
      </c>
      <c r="AV36" s="57">
        <v>3557.4</v>
      </c>
      <c r="AW36" s="57">
        <v>3087</v>
      </c>
      <c r="AX36" s="57">
        <v>522.94000000000005</v>
      </c>
      <c r="AY36" s="57">
        <v>0.58055000000000001</v>
      </c>
      <c r="AZ36" s="57">
        <v>0.50821000000000005</v>
      </c>
      <c r="BA36" s="37"/>
      <c r="BB36" s="37"/>
      <c r="BC36" s="37"/>
      <c r="BD36" s="56"/>
      <c r="BE36" s="37" t="s">
        <v>3</v>
      </c>
      <c r="BF36" s="57">
        <v>562080</v>
      </c>
      <c r="BG36" s="57">
        <v>3452.5</v>
      </c>
      <c r="BH36" s="57">
        <v>2868.9</v>
      </c>
      <c r="BI36" s="57">
        <v>211.52</v>
      </c>
      <c r="BJ36" s="57">
        <v>0.19935</v>
      </c>
      <c r="BK36" s="57">
        <v>0.17247000000000001</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37.387999999999998</v>
      </c>
      <c r="AM38" s="57">
        <v>437.51</v>
      </c>
      <c r="AN38" s="57">
        <v>2662.6</v>
      </c>
      <c r="AO38" s="57">
        <v>3612.9</v>
      </c>
      <c r="AP38" s="57">
        <v>3614.6</v>
      </c>
      <c r="AQ38" s="37"/>
      <c r="AR38" s="37"/>
      <c r="AS38" s="56"/>
      <c r="AT38" s="37" t="s">
        <v>5</v>
      </c>
      <c r="AU38" s="57">
        <v>0</v>
      </c>
      <c r="AV38" s="57">
        <v>45.771000000000001</v>
      </c>
      <c r="AW38" s="57">
        <v>516.03</v>
      </c>
      <c r="AX38" s="57">
        <v>3080.3</v>
      </c>
      <c r="AY38" s="57">
        <v>3602.6</v>
      </c>
      <c r="AZ38" s="57">
        <v>3602.7</v>
      </c>
      <c r="BA38" s="37"/>
      <c r="BB38" s="37"/>
      <c r="BC38" s="37"/>
      <c r="BD38" s="56"/>
      <c r="BE38" s="37" t="s">
        <v>5</v>
      </c>
      <c r="BF38" s="57">
        <v>0</v>
      </c>
      <c r="BG38" s="57">
        <v>56.688000000000002</v>
      </c>
      <c r="BH38" s="57">
        <v>640.11</v>
      </c>
      <c r="BI38" s="57">
        <v>3297.7</v>
      </c>
      <c r="BJ38" s="57">
        <v>3509</v>
      </c>
      <c r="BK38" s="57">
        <v>3509</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579480</v>
      </c>
      <c r="AL40" s="57">
        <v>3617.9</v>
      </c>
      <c r="AM40" s="57">
        <v>3617.9</v>
      </c>
      <c r="AN40" s="57">
        <v>3617.9</v>
      </c>
      <c r="AO40" s="57">
        <v>3617.9</v>
      </c>
      <c r="AP40" s="57">
        <v>3617.9</v>
      </c>
      <c r="AQ40" s="37"/>
      <c r="AR40" s="37"/>
      <c r="AS40" s="56">
        <v>1</v>
      </c>
      <c r="AT40" s="37" t="s">
        <v>0</v>
      </c>
      <c r="AU40" s="57">
        <v>579480</v>
      </c>
      <c r="AV40" s="57">
        <v>3617.9</v>
      </c>
      <c r="AW40" s="57">
        <v>3617.9</v>
      </c>
      <c r="AX40" s="57">
        <v>3617.9</v>
      </c>
      <c r="AY40" s="57">
        <v>3617.9</v>
      </c>
      <c r="AZ40" s="57">
        <v>3617.9</v>
      </c>
      <c r="BA40" s="37"/>
      <c r="BB40" s="37"/>
      <c r="BC40" s="37"/>
      <c r="BD40" s="56">
        <v>1</v>
      </c>
      <c r="BE40" s="37" t="s">
        <v>0</v>
      </c>
      <c r="BF40" s="57">
        <v>579480</v>
      </c>
      <c r="BG40" s="57">
        <v>3617.9</v>
      </c>
      <c r="BH40" s="57">
        <v>3617.9</v>
      </c>
      <c r="BI40" s="57">
        <v>3617.9</v>
      </c>
      <c r="BJ40" s="57">
        <v>3617.9</v>
      </c>
      <c r="BK40" s="57">
        <v>3617.9</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579480</v>
      </c>
      <c r="AL41" s="57">
        <v>3617.9</v>
      </c>
      <c r="AM41" s="57">
        <v>3617.9</v>
      </c>
      <c r="AN41" s="57">
        <v>3617.9</v>
      </c>
      <c r="AO41" s="57">
        <v>3617.9</v>
      </c>
      <c r="AP41" s="57">
        <v>3617.9</v>
      </c>
      <c r="AQ41" s="37"/>
      <c r="AR41" s="37"/>
      <c r="AS41" s="56"/>
      <c r="AT41" s="37" t="s">
        <v>1</v>
      </c>
      <c r="AU41" s="57">
        <v>578870</v>
      </c>
      <c r="AV41" s="57">
        <v>3614</v>
      </c>
      <c r="AW41" s="57">
        <v>3614</v>
      </c>
      <c r="AX41" s="57">
        <v>3614</v>
      </c>
      <c r="AY41" s="57">
        <v>3614</v>
      </c>
      <c r="AZ41" s="57">
        <v>3614</v>
      </c>
      <c r="BA41" s="37"/>
      <c r="BB41" s="37"/>
      <c r="BC41" s="37"/>
      <c r="BD41" s="56"/>
      <c r="BE41" s="37" t="s">
        <v>1</v>
      </c>
      <c r="BF41" s="57">
        <v>574130</v>
      </c>
      <c r="BG41" s="57">
        <v>3584.5</v>
      </c>
      <c r="BH41" s="57">
        <v>3584.5</v>
      </c>
      <c r="BI41" s="57">
        <v>3584.5</v>
      </c>
      <c r="BJ41" s="57">
        <v>3584.5</v>
      </c>
      <c r="BK41" s="57">
        <v>3584.5</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0</v>
      </c>
      <c r="AL42" s="57">
        <v>0</v>
      </c>
      <c r="AM42" s="57">
        <v>0</v>
      </c>
      <c r="AN42" s="57">
        <v>0</v>
      </c>
      <c r="AO42" s="57">
        <v>0</v>
      </c>
      <c r="AP42" s="57">
        <v>0</v>
      </c>
      <c r="AQ42" s="37"/>
      <c r="AR42" s="37"/>
      <c r="AS42" s="56"/>
      <c r="AT42" s="37" t="s">
        <v>2</v>
      </c>
      <c r="AU42" s="57">
        <v>617.02</v>
      </c>
      <c r="AV42" s="57">
        <v>3.8523000000000001</v>
      </c>
      <c r="AW42" s="57">
        <v>3.8523000000000001</v>
      </c>
      <c r="AX42" s="57">
        <v>3.8523000000000001</v>
      </c>
      <c r="AY42" s="57">
        <v>3.8523000000000001</v>
      </c>
      <c r="AZ42" s="57">
        <v>3.8523000000000001</v>
      </c>
      <c r="BA42" s="37"/>
      <c r="BB42" s="37"/>
      <c r="BC42" s="37"/>
      <c r="BD42" s="56"/>
      <c r="BE42" s="37" t="s">
        <v>2</v>
      </c>
      <c r="BF42" s="57">
        <v>5352.5</v>
      </c>
      <c r="BG42" s="57">
        <v>33.417000000000002</v>
      </c>
      <c r="BH42" s="57">
        <v>33.417000000000002</v>
      </c>
      <c r="BI42" s="57">
        <v>33.417000000000002</v>
      </c>
      <c r="BJ42" s="57">
        <v>33.417000000000002</v>
      </c>
      <c r="BK42" s="57">
        <v>33.417000000000002</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579350</v>
      </c>
      <c r="AL43" s="57">
        <v>3570.9</v>
      </c>
      <c r="AM43" s="57">
        <v>3099.5</v>
      </c>
      <c r="AN43" s="57">
        <v>793.92</v>
      </c>
      <c r="AO43" s="57">
        <v>3.7686999999999999</v>
      </c>
      <c r="AP43" s="57">
        <v>2.3311999999999999</v>
      </c>
      <c r="AQ43" s="37"/>
      <c r="AR43" s="37"/>
      <c r="AS43" s="56"/>
      <c r="AT43" s="37" t="s">
        <v>3</v>
      </c>
      <c r="AU43" s="57">
        <v>578690</v>
      </c>
      <c r="AV43" s="57">
        <v>3558.9</v>
      </c>
      <c r="AW43" s="57">
        <v>3025.3</v>
      </c>
      <c r="AX43" s="57">
        <v>464.95</v>
      </c>
      <c r="AY43" s="57">
        <v>0.72970999999999997</v>
      </c>
      <c r="AZ43" s="57">
        <v>0.62802000000000002</v>
      </c>
      <c r="BA43" s="37"/>
      <c r="BB43" s="37"/>
      <c r="BC43" s="37"/>
      <c r="BD43" s="56"/>
      <c r="BE43" s="37" t="s">
        <v>3</v>
      </c>
      <c r="BF43" s="57">
        <v>573850</v>
      </c>
      <c r="BG43" s="57">
        <v>3514.3</v>
      </c>
      <c r="BH43" s="57">
        <v>2848.6</v>
      </c>
      <c r="BI43" s="57">
        <v>184.49</v>
      </c>
      <c r="BJ43" s="57">
        <v>0.19327</v>
      </c>
      <c r="BK43" s="57">
        <v>0.17558000000000001</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46.158999999999999</v>
      </c>
      <c r="AM45" s="57">
        <v>517.52</v>
      </c>
      <c r="AN45" s="57">
        <v>2823.2</v>
      </c>
      <c r="AO45" s="57">
        <v>3613.4</v>
      </c>
      <c r="AP45" s="57">
        <v>3614.8</v>
      </c>
      <c r="AQ45" s="37"/>
      <c r="AR45" s="37"/>
      <c r="AS45" s="56"/>
      <c r="AT45" s="37" t="s">
        <v>5</v>
      </c>
      <c r="AU45" s="57">
        <v>0</v>
      </c>
      <c r="AV45" s="57">
        <v>53.963999999999999</v>
      </c>
      <c r="AW45" s="57">
        <v>587.52</v>
      </c>
      <c r="AX45" s="57">
        <v>3148</v>
      </c>
      <c r="AY45" s="57">
        <v>3612.2</v>
      </c>
      <c r="AZ45" s="57">
        <v>3612.3</v>
      </c>
      <c r="BA45" s="37"/>
      <c r="BB45" s="37"/>
      <c r="BC45" s="37"/>
      <c r="BD45" s="56"/>
      <c r="BE45" s="37" t="s">
        <v>5</v>
      </c>
      <c r="BF45" s="57">
        <v>0</v>
      </c>
      <c r="BG45" s="57">
        <v>68.381</v>
      </c>
      <c r="BH45" s="57">
        <v>733.92</v>
      </c>
      <c r="BI45" s="57">
        <v>3398.2</v>
      </c>
      <c r="BJ45" s="57">
        <v>3582.5</v>
      </c>
      <c r="BK45" s="57">
        <v>3582.5</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579480</v>
      </c>
      <c r="AL47" s="57">
        <v>3617.9</v>
      </c>
      <c r="AM47" s="57">
        <v>3617.9</v>
      </c>
      <c r="AN47" s="57">
        <v>3617.9</v>
      </c>
      <c r="AO47" s="57">
        <v>3617.9</v>
      </c>
      <c r="AP47" s="57">
        <v>3617.9</v>
      </c>
      <c r="AQ47" s="37"/>
      <c r="AR47" s="37"/>
      <c r="AS47" s="56">
        <v>1.2</v>
      </c>
      <c r="AT47" s="37" t="s">
        <v>0</v>
      </c>
      <c r="AU47" s="57">
        <v>579480</v>
      </c>
      <c r="AV47" s="57">
        <v>3617.9</v>
      </c>
      <c r="AW47" s="57">
        <v>3617.9</v>
      </c>
      <c r="AX47" s="57">
        <v>3617.9</v>
      </c>
      <c r="AY47" s="57">
        <v>3617.9</v>
      </c>
      <c r="AZ47" s="57">
        <v>3617.9</v>
      </c>
      <c r="BA47" s="37"/>
      <c r="BB47" s="37"/>
      <c r="BC47" s="37"/>
      <c r="BD47" s="56">
        <v>1.2</v>
      </c>
      <c r="BE47" s="37" t="s">
        <v>0</v>
      </c>
      <c r="BF47" s="57">
        <v>579480</v>
      </c>
      <c r="BG47" s="57">
        <v>3617.9</v>
      </c>
      <c r="BH47" s="57">
        <v>3617.9</v>
      </c>
      <c r="BI47" s="57">
        <v>3617.9</v>
      </c>
      <c r="BJ47" s="57">
        <v>3617.9</v>
      </c>
      <c r="BK47" s="57">
        <v>3617.9</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579480</v>
      </c>
      <c r="AL48" s="57">
        <v>3617.9</v>
      </c>
      <c r="AM48" s="57">
        <v>3617.9</v>
      </c>
      <c r="AN48" s="57">
        <v>3617.9</v>
      </c>
      <c r="AO48" s="57">
        <v>3617.9</v>
      </c>
      <c r="AP48" s="57">
        <v>3617.9</v>
      </c>
      <c r="AQ48" s="37"/>
      <c r="AR48" s="37"/>
      <c r="AS48" s="56"/>
      <c r="AT48" s="37" t="s">
        <v>1</v>
      </c>
      <c r="AU48" s="57">
        <v>579480</v>
      </c>
      <c r="AV48" s="57">
        <v>3617.9</v>
      </c>
      <c r="AW48" s="57">
        <v>3617.9</v>
      </c>
      <c r="AX48" s="57">
        <v>3617.9</v>
      </c>
      <c r="AY48" s="57">
        <v>3617.9</v>
      </c>
      <c r="AZ48" s="57">
        <v>3617.9</v>
      </c>
      <c r="BA48" s="37"/>
      <c r="BB48" s="37"/>
      <c r="BC48" s="37"/>
      <c r="BD48" s="56"/>
      <c r="BE48" s="37" t="s">
        <v>1</v>
      </c>
      <c r="BF48" s="57">
        <v>578240</v>
      </c>
      <c r="BG48" s="57">
        <v>3610.1</v>
      </c>
      <c r="BH48" s="57">
        <v>3610.1</v>
      </c>
      <c r="BI48" s="57">
        <v>3610.1</v>
      </c>
      <c r="BJ48" s="57">
        <v>3610.1</v>
      </c>
      <c r="BK48" s="57">
        <v>3610.1</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0</v>
      </c>
      <c r="AV49" s="57">
        <v>0</v>
      </c>
      <c r="AW49" s="57">
        <v>0</v>
      </c>
      <c r="AX49" s="57">
        <v>0</v>
      </c>
      <c r="AY49" s="57">
        <v>0</v>
      </c>
      <c r="AZ49" s="57">
        <v>0</v>
      </c>
      <c r="BA49" s="37"/>
      <c r="BB49" s="37"/>
      <c r="BC49" s="37"/>
      <c r="BD49" s="56"/>
      <c r="BE49" s="37" t="s">
        <v>2</v>
      </c>
      <c r="BF49" s="57">
        <v>1245.9000000000001</v>
      </c>
      <c r="BG49" s="57">
        <v>7.7785000000000002</v>
      </c>
      <c r="BH49" s="57">
        <v>7.7785000000000002</v>
      </c>
      <c r="BI49" s="57">
        <v>7.7785000000000002</v>
      </c>
      <c r="BJ49" s="57">
        <v>7.7785000000000002</v>
      </c>
      <c r="BK49" s="57">
        <v>7.7785000000000002</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579360</v>
      </c>
      <c r="AL50" s="57">
        <v>3562.4</v>
      </c>
      <c r="AM50" s="57">
        <v>3024.5</v>
      </c>
      <c r="AN50" s="57">
        <v>672.42</v>
      </c>
      <c r="AO50" s="57">
        <v>3.5468000000000002</v>
      </c>
      <c r="AP50" s="57">
        <v>2.4586999999999999</v>
      </c>
      <c r="AQ50" s="37"/>
      <c r="AR50" s="37"/>
      <c r="AS50" s="56"/>
      <c r="AT50" s="37" t="s">
        <v>3</v>
      </c>
      <c r="AU50" s="57">
        <v>579300</v>
      </c>
      <c r="AV50" s="57">
        <v>3552</v>
      </c>
      <c r="AW50" s="57">
        <v>2943.6</v>
      </c>
      <c r="AX50" s="57">
        <v>387.16</v>
      </c>
      <c r="AY50" s="57">
        <v>0.66546000000000005</v>
      </c>
      <c r="AZ50" s="57">
        <v>0.59130000000000005</v>
      </c>
      <c r="BA50" s="37"/>
      <c r="BB50" s="37"/>
      <c r="BC50" s="37"/>
      <c r="BD50" s="56"/>
      <c r="BE50" s="37" t="s">
        <v>3</v>
      </c>
      <c r="BF50" s="57">
        <v>577960</v>
      </c>
      <c r="BG50" s="57">
        <v>3528.2</v>
      </c>
      <c r="BH50" s="57">
        <v>2787.4</v>
      </c>
      <c r="BI50" s="57">
        <v>153.44999999999999</v>
      </c>
      <c r="BJ50" s="57">
        <v>0.19259999999999999</v>
      </c>
      <c r="BK50" s="57">
        <v>0.18118999999999999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54.704999999999998</v>
      </c>
      <c r="AM52" s="57">
        <v>592.58000000000004</v>
      </c>
      <c r="AN52" s="57">
        <v>2944.8</v>
      </c>
      <c r="AO52" s="57">
        <v>3613.7</v>
      </c>
      <c r="AP52" s="57">
        <v>3614.8</v>
      </c>
      <c r="AQ52" s="37"/>
      <c r="AR52" s="37"/>
      <c r="AS52" s="56"/>
      <c r="AT52" s="37" t="s">
        <v>5</v>
      </c>
      <c r="AU52" s="57">
        <v>0</v>
      </c>
      <c r="AV52" s="57">
        <v>64.668999999999997</v>
      </c>
      <c r="AW52" s="57">
        <v>672.98</v>
      </c>
      <c r="AX52" s="57">
        <v>3229.5</v>
      </c>
      <c r="AY52" s="57">
        <v>3616</v>
      </c>
      <c r="AZ52" s="57">
        <v>3616.1</v>
      </c>
      <c r="BA52" s="37"/>
      <c r="BB52" s="37"/>
      <c r="BC52" s="37"/>
      <c r="BD52" s="56"/>
      <c r="BE52" s="37" t="s">
        <v>5</v>
      </c>
      <c r="BF52" s="57">
        <v>0</v>
      </c>
      <c r="BG52" s="57">
        <v>80.094999999999999</v>
      </c>
      <c r="BH52" s="57">
        <v>820.79</v>
      </c>
      <c r="BI52" s="57">
        <v>3454.9</v>
      </c>
      <c r="BJ52" s="57">
        <v>3608.2</v>
      </c>
      <c r="BK52" s="57">
        <v>3608.2</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579480</v>
      </c>
      <c r="AL54" s="57">
        <v>3617.9</v>
      </c>
      <c r="AM54" s="57">
        <v>3617.9</v>
      </c>
      <c r="AN54" s="57">
        <v>3617.9</v>
      </c>
      <c r="AO54" s="57">
        <v>3617.9</v>
      </c>
      <c r="AP54" s="57">
        <v>3617.9</v>
      </c>
      <c r="AQ54" s="37"/>
      <c r="AR54" s="37"/>
      <c r="AS54" s="56">
        <v>1.6</v>
      </c>
      <c r="AT54" s="37" t="s">
        <v>0</v>
      </c>
      <c r="AU54" s="57">
        <v>579480</v>
      </c>
      <c r="AV54" s="57">
        <v>3617.9</v>
      </c>
      <c r="AW54" s="57">
        <v>3617.9</v>
      </c>
      <c r="AX54" s="57">
        <v>3617.9</v>
      </c>
      <c r="AY54" s="57">
        <v>3617.9</v>
      </c>
      <c r="AZ54" s="57">
        <v>3617.9</v>
      </c>
      <c r="BA54" s="37"/>
      <c r="BB54" s="37"/>
      <c r="BC54" s="37"/>
      <c r="BD54" s="56">
        <v>1.6</v>
      </c>
      <c r="BE54" s="37" t="s">
        <v>0</v>
      </c>
      <c r="BF54" s="57">
        <v>579480</v>
      </c>
      <c r="BG54" s="57">
        <v>3617.9</v>
      </c>
      <c r="BH54" s="57">
        <v>3617.9</v>
      </c>
      <c r="BI54" s="57">
        <v>3617.9</v>
      </c>
      <c r="BJ54" s="57">
        <v>3617.9</v>
      </c>
      <c r="BK54" s="57">
        <v>3617.9</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579480</v>
      </c>
      <c r="AL55" s="57">
        <v>3617.9</v>
      </c>
      <c r="AM55" s="57">
        <v>3617.9</v>
      </c>
      <c r="AN55" s="57">
        <v>3617.9</v>
      </c>
      <c r="AO55" s="57">
        <v>3617.9</v>
      </c>
      <c r="AP55" s="57">
        <v>3617.9</v>
      </c>
      <c r="AQ55" s="37"/>
      <c r="AR55" s="37"/>
      <c r="AS55" s="56"/>
      <c r="AT55" s="37" t="s">
        <v>1</v>
      </c>
      <c r="AU55" s="57">
        <v>579480</v>
      </c>
      <c r="AV55" s="57">
        <v>3617.9</v>
      </c>
      <c r="AW55" s="57">
        <v>3617.9</v>
      </c>
      <c r="AX55" s="57">
        <v>3617.9</v>
      </c>
      <c r="AY55" s="57">
        <v>3617.9</v>
      </c>
      <c r="AZ55" s="57">
        <v>3617.9</v>
      </c>
      <c r="BA55" s="37"/>
      <c r="BB55" s="37"/>
      <c r="BC55" s="37"/>
      <c r="BD55" s="56"/>
      <c r="BE55" s="37" t="s">
        <v>1</v>
      </c>
      <c r="BF55" s="57">
        <v>579480</v>
      </c>
      <c r="BG55" s="57">
        <v>3617.9</v>
      </c>
      <c r="BH55" s="57">
        <v>3617.9</v>
      </c>
      <c r="BI55" s="57">
        <v>3617.9</v>
      </c>
      <c r="BJ55" s="57">
        <v>3617.9</v>
      </c>
      <c r="BK55" s="57">
        <v>3617.9</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0</v>
      </c>
      <c r="BG56" s="57">
        <v>0</v>
      </c>
      <c r="BH56" s="57">
        <v>0</v>
      </c>
      <c r="BI56" s="57">
        <v>0</v>
      </c>
      <c r="BJ56" s="57">
        <v>0</v>
      </c>
      <c r="BK56" s="57">
        <v>0</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579360</v>
      </c>
      <c r="AL57" s="57">
        <v>3546.1</v>
      </c>
      <c r="AM57" s="57">
        <v>2889.7</v>
      </c>
      <c r="AN57" s="57">
        <v>507.35</v>
      </c>
      <c r="AO57" s="57">
        <v>3.2604000000000002</v>
      </c>
      <c r="AP57" s="57">
        <v>2.6648000000000001</v>
      </c>
      <c r="AQ57" s="37"/>
      <c r="AR57" s="37"/>
      <c r="AS57" s="56"/>
      <c r="AT57" s="37" t="s">
        <v>3</v>
      </c>
      <c r="AU57" s="57">
        <v>579300</v>
      </c>
      <c r="AV57" s="57">
        <v>3533.5</v>
      </c>
      <c r="AW57" s="57">
        <v>2803</v>
      </c>
      <c r="AX57" s="57">
        <v>289.02</v>
      </c>
      <c r="AY57" s="57">
        <v>0.68606999999999996</v>
      </c>
      <c r="AZ57" s="57">
        <v>0.64388000000000001</v>
      </c>
      <c r="BA57" s="37"/>
      <c r="BB57" s="37"/>
      <c r="BC57" s="37"/>
      <c r="BD57" s="56"/>
      <c r="BE57" s="37" t="s">
        <v>3</v>
      </c>
      <c r="BF57" s="57">
        <v>579190</v>
      </c>
      <c r="BG57" s="57">
        <v>3511.5</v>
      </c>
      <c r="BH57" s="57">
        <v>2631.2</v>
      </c>
      <c r="BI57" s="57">
        <v>114.31</v>
      </c>
      <c r="BJ57" s="57">
        <v>0.17745</v>
      </c>
      <c r="BK57" s="57">
        <v>0.17283000000000001</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71.031999999999996</v>
      </c>
      <c r="AM59" s="57">
        <v>727.35</v>
      </c>
      <c r="AN59" s="57">
        <v>3109.8</v>
      </c>
      <c r="AO59" s="57">
        <v>3613.9</v>
      </c>
      <c r="AP59" s="57">
        <v>3614.5</v>
      </c>
      <c r="AQ59" s="37"/>
      <c r="AR59" s="37"/>
      <c r="AS59" s="56"/>
      <c r="AT59" s="37" t="s">
        <v>5</v>
      </c>
      <c r="AU59" s="57">
        <v>0</v>
      </c>
      <c r="AV59" s="57">
        <v>83.173000000000002</v>
      </c>
      <c r="AW59" s="57">
        <v>813.62</v>
      </c>
      <c r="AX59" s="57">
        <v>3327.7</v>
      </c>
      <c r="AY59" s="57">
        <v>3616.1</v>
      </c>
      <c r="AZ59" s="57">
        <v>3616.1</v>
      </c>
      <c r="BA59" s="37"/>
      <c r="BB59" s="37"/>
      <c r="BC59" s="37"/>
      <c r="BD59" s="56"/>
      <c r="BE59" s="37" t="s">
        <v>5</v>
      </c>
      <c r="BF59" s="57">
        <v>0</v>
      </c>
      <c r="BG59" s="57">
        <v>104.41</v>
      </c>
      <c r="BH59" s="57">
        <v>984.71</v>
      </c>
      <c r="BI59" s="57">
        <v>3501.8</v>
      </c>
      <c r="BJ59" s="57">
        <v>3615.9</v>
      </c>
      <c r="BK59" s="57">
        <v>3615.9</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579480</v>
      </c>
      <c r="AL61" s="57">
        <v>3617.9</v>
      </c>
      <c r="AM61" s="57">
        <v>3617.9</v>
      </c>
      <c r="AN61" s="57">
        <v>3617.9</v>
      </c>
      <c r="AO61" s="57">
        <v>3617.9</v>
      </c>
      <c r="AP61" s="57">
        <v>3617.9</v>
      </c>
      <c r="AQ61" s="37"/>
      <c r="AR61" s="37"/>
      <c r="AS61" s="56">
        <v>2</v>
      </c>
      <c r="AT61" s="37" t="s">
        <v>0</v>
      </c>
      <c r="AU61" s="57">
        <v>579480</v>
      </c>
      <c r="AV61" s="57">
        <v>3617.9</v>
      </c>
      <c r="AW61" s="57">
        <v>3617.9</v>
      </c>
      <c r="AX61" s="57">
        <v>3617.9</v>
      </c>
      <c r="AY61" s="57">
        <v>3617.9</v>
      </c>
      <c r="AZ61" s="57">
        <v>3617.9</v>
      </c>
      <c r="BA61" s="37"/>
      <c r="BB61" s="37"/>
      <c r="BC61" s="37"/>
      <c r="BD61" s="56">
        <v>2</v>
      </c>
      <c r="BE61" s="37" t="s">
        <v>0</v>
      </c>
      <c r="BF61" s="57">
        <v>579480</v>
      </c>
      <c r="BG61" s="57">
        <v>3617.9</v>
      </c>
      <c r="BH61" s="57">
        <v>3617.9</v>
      </c>
      <c r="BI61" s="57">
        <v>3617.9</v>
      </c>
      <c r="BJ61" s="57">
        <v>3617.9</v>
      </c>
      <c r="BK61" s="57">
        <v>3617.9</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579480</v>
      </c>
      <c r="AL62" s="57">
        <v>3617.9</v>
      </c>
      <c r="AM62" s="57">
        <v>3617.9</v>
      </c>
      <c r="AN62" s="57">
        <v>3617.9</v>
      </c>
      <c r="AO62" s="57">
        <v>3617.9</v>
      </c>
      <c r="AP62" s="57">
        <v>3617.9</v>
      </c>
      <c r="AQ62" s="37"/>
      <c r="AR62" s="37"/>
      <c r="AS62" s="37"/>
      <c r="AT62" s="37" t="s">
        <v>1</v>
      </c>
      <c r="AU62" s="57">
        <v>579480</v>
      </c>
      <c r="AV62" s="57">
        <v>3617.9</v>
      </c>
      <c r="AW62" s="57">
        <v>3617.9</v>
      </c>
      <c r="AX62" s="57">
        <v>3617.9</v>
      </c>
      <c r="AY62" s="57">
        <v>3617.9</v>
      </c>
      <c r="AZ62" s="57">
        <v>3617.9</v>
      </c>
      <c r="BA62" s="37"/>
      <c r="BB62" s="37"/>
      <c r="BC62" s="37"/>
      <c r="BD62" s="37"/>
      <c r="BE62" s="37" t="s">
        <v>1</v>
      </c>
      <c r="BF62" s="57">
        <v>579480</v>
      </c>
      <c r="BG62" s="57">
        <v>3617.9</v>
      </c>
      <c r="BH62" s="57">
        <v>3617.9</v>
      </c>
      <c r="BI62" s="57">
        <v>3617.9</v>
      </c>
      <c r="BJ62" s="57">
        <v>3617.9</v>
      </c>
      <c r="BK62" s="57">
        <v>3617.9</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579360</v>
      </c>
      <c r="AL64" s="57">
        <v>3529.7</v>
      </c>
      <c r="AM64" s="57">
        <v>2764.8</v>
      </c>
      <c r="AN64" s="57">
        <v>393.87</v>
      </c>
      <c r="AO64" s="57">
        <v>2.9125999999999999</v>
      </c>
      <c r="AP64" s="57">
        <v>2.5855999999999999</v>
      </c>
      <c r="AQ64" s="37"/>
      <c r="AR64" s="37"/>
      <c r="AS64" s="37"/>
      <c r="AT64" s="37" t="s">
        <v>3</v>
      </c>
      <c r="AU64" s="57">
        <v>579290</v>
      </c>
      <c r="AV64" s="57">
        <v>3513.8</v>
      </c>
      <c r="AW64" s="57">
        <v>2664.2</v>
      </c>
      <c r="AX64" s="57">
        <v>217.79</v>
      </c>
      <c r="AY64" s="57">
        <v>0.61468999999999996</v>
      </c>
      <c r="AZ64" s="57">
        <v>0.59423999999999999</v>
      </c>
      <c r="BA64" s="37"/>
      <c r="BB64" s="37"/>
      <c r="BC64" s="37"/>
      <c r="BD64" s="37"/>
      <c r="BE64" s="37" t="s">
        <v>3</v>
      </c>
      <c r="BF64" s="57">
        <v>579210</v>
      </c>
      <c r="BG64" s="57">
        <v>3493.7</v>
      </c>
      <c r="BH64" s="57">
        <v>2518.4</v>
      </c>
      <c r="BI64" s="57">
        <v>93.072999999999993</v>
      </c>
      <c r="BJ64" s="57">
        <v>0.21834000000000001</v>
      </c>
      <c r="BK64" s="57">
        <v>0.21632999999999999</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87.382000000000005</v>
      </c>
      <c r="AM66" s="57">
        <v>852.29</v>
      </c>
      <c r="AN66" s="57">
        <v>3223.3</v>
      </c>
      <c r="AO66" s="57">
        <v>3614.2</v>
      </c>
      <c r="AP66" s="57">
        <v>3614.6</v>
      </c>
      <c r="AQ66" s="37"/>
      <c r="AR66" s="37"/>
      <c r="AS66" s="37"/>
      <c r="AT66" s="37" t="s">
        <v>5</v>
      </c>
      <c r="AU66" s="57">
        <v>0</v>
      </c>
      <c r="AV66" s="57">
        <v>102.81</v>
      </c>
      <c r="AW66" s="57">
        <v>952.4</v>
      </c>
      <c r="AX66" s="57">
        <v>3398.9</v>
      </c>
      <c r="AY66" s="57">
        <v>3616.1</v>
      </c>
      <c r="AZ66" s="57">
        <v>3616.1</v>
      </c>
      <c r="BA66" s="37"/>
      <c r="BB66" s="37"/>
      <c r="BC66" s="37"/>
      <c r="BD66" s="37"/>
      <c r="BE66" s="37" t="s">
        <v>5</v>
      </c>
      <c r="BF66" s="57">
        <v>0</v>
      </c>
      <c r="BG66" s="57">
        <v>122.38</v>
      </c>
      <c r="BH66" s="57">
        <v>1097.7</v>
      </c>
      <c r="BI66" s="57">
        <v>3523.1</v>
      </c>
      <c r="BJ66" s="57">
        <v>3616</v>
      </c>
      <c r="BK66" s="57">
        <v>3616</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sheetPr codeName="Sheet27"/>
  <dimension ref="A1:BP150"/>
  <sheetViews>
    <sheetView topLeftCell="A35" workbookViewId="0">
      <pane xSplit="8" topLeftCell="BK1" activePane="topRight" state="frozen"/>
      <selection pane="topRight" activeCell="A36" sqref="A36:G57"/>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1.3504361799816345</v>
      </c>
      <c r="E2" t="s">
        <v>119</v>
      </c>
      <c r="G2" s="103">
        <f>C2*12</f>
        <v>16.205234159779614</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588250</v>
      </c>
      <c r="N4" s="10">
        <v>100</v>
      </c>
      <c r="O4" s="2">
        <f>L5/$L$4</f>
        <v>0.14492817679558012</v>
      </c>
      <c r="P4" s="32">
        <v>2.4407000000000001E-3</v>
      </c>
      <c r="Q4" s="9">
        <f t="shared" ref="Q4:Q9" si="0">2/((P4/(N4*0.35))*3600)</f>
        <v>7.9667490656141453</v>
      </c>
      <c r="S4" s="7"/>
      <c r="T4" s="26">
        <v>100</v>
      </c>
      <c r="U4" s="4" t="s">
        <v>0</v>
      </c>
      <c r="V4" s="5">
        <v>588250</v>
      </c>
      <c r="X4" s="24">
        <v>100</v>
      </c>
      <c r="Y4" s="22">
        <f>V5/$V$4</f>
        <v>0.3237739056523587</v>
      </c>
      <c r="Z4" s="33">
        <v>8.1460000000000005E-3</v>
      </c>
      <c r="AA4" s="9">
        <f t="shared" ref="AA4:AA9" si="1">2/((Z4/(X4*0.35))*3600)</f>
        <v>2.3869929345009138</v>
      </c>
      <c r="AD4" s="26">
        <v>100</v>
      </c>
      <c r="AE4" s="4" t="s">
        <v>0</v>
      </c>
      <c r="AF4" s="5">
        <v>588250</v>
      </c>
      <c r="AH4" s="10">
        <v>100</v>
      </c>
      <c r="AI4" s="2">
        <f>AF5/$AF$4</f>
        <v>0.86544836379090517</v>
      </c>
      <c r="AJ4" s="32">
        <v>2.239E-2</v>
      </c>
      <c r="AK4" s="9">
        <f t="shared" ref="AK4:AK9" si="2">2/((AJ4/(AH4*0.35))*3600)</f>
        <v>0.86844325343655404</v>
      </c>
      <c r="AN4" s="26">
        <v>100</v>
      </c>
      <c r="AO4" s="4" t="s">
        <v>0</v>
      </c>
      <c r="AP4" s="5">
        <v>588250</v>
      </c>
      <c r="AR4" s="10">
        <v>100</v>
      </c>
      <c r="AS4" s="2">
        <f>AP5/AP$4</f>
        <v>0.32569485762855926</v>
      </c>
      <c r="AT4" s="32">
        <v>3.3346000000000001E-3</v>
      </c>
      <c r="AU4" s="9">
        <f t="shared" ref="AU4:AU9" si="3">2/((AT4/(AR4*0.35))*3600)</f>
        <v>5.831117508680034</v>
      </c>
      <c r="AW4" s="7"/>
      <c r="AX4" s="26">
        <v>100</v>
      </c>
      <c r="AY4" s="4" t="s">
        <v>0</v>
      </c>
      <c r="AZ4" s="5">
        <v>588250</v>
      </c>
      <c r="BB4" s="24">
        <v>100</v>
      </c>
      <c r="BC4" s="2">
        <f>AZ5/AZ$4</f>
        <v>0.58160645983850401</v>
      </c>
      <c r="BD4" s="33">
        <v>1.1487000000000001E-2</v>
      </c>
      <c r="BE4" s="9">
        <f t="shared" ref="BE4:BE9" si="4">2/((BD4/(BB4*0.35))*3600)</f>
        <v>1.6927347823143069</v>
      </c>
      <c r="BH4" s="26">
        <v>100</v>
      </c>
      <c r="BI4" s="4" t="s">
        <v>0</v>
      </c>
      <c r="BJ4" s="5">
        <v>588250</v>
      </c>
      <c r="BL4" s="10">
        <v>100</v>
      </c>
      <c r="BM4" s="2">
        <f>BJ5/BJ$4</f>
        <v>0.97774755631109223</v>
      </c>
      <c r="BN4" s="32">
        <v>2.5031000000000001E-2</v>
      </c>
      <c r="BO4" s="9">
        <f t="shared" ref="BO4:BO7" si="5">2/((BN4/(BL4*0.35))*3600)</f>
        <v>0.77681452776335125</v>
      </c>
      <c r="BP4" s="12"/>
    </row>
    <row r="5" spans="1:68">
      <c r="J5" s="26"/>
      <c r="K5" s="4" t="s">
        <v>1</v>
      </c>
      <c r="L5" s="5">
        <v>85254</v>
      </c>
      <c r="N5" s="10">
        <v>200</v>
      </c>
      <c r="O5" s="2">
        <f>L12/$L$4</f>
        <v>0.25795155121121971</v>
      </c>
      <c r="P5" s="32">
        <v>4.2553000000000001E-3</v>
      </c>
      <c r="Q5" s="9">
        <f t="shared" si="0"/>
        <v>9.1389300140739529</v>
      </c>
      <c r="S5" s="7"/>
      <c r="T5" s="26"/>
      <c r="U5" s="4" t="s">
        <v>1</v>
      </c>
      <c r="V5" s="5">
        <v>190460</v>
      </c>
      <c r="X5" s="24">
        <v>200</v>
      </c>
      <c r="Y5" s="22">
        <f>V12/$V$4</f>
        <v>0.5172120696982575</v>
      </c>
      <c r="Z5" s="33">
        <v>1.2945999999999999E-2</v>
      </c>
      <c r="AA5" s="9">
        <f t="shared" si="1"/>
        <v>3.0039308580943063</v>
      </c>
      <c r="AD5" s="26"/>
      <c r="AE5" s="4" t="s">
        <v>1</v>
      </c>
      <c r="AF5" s="5">
        <v>509100</v>
      </c>
      <c r="AH5" s="10">
        <v>200</v>
      </c>
      <c r="AI5" s="2">
        <f>AF12/$AF$4</f>
        <v>0.97176370590735228</v>
      </c>
      <c r="AJ5" s="32">
        <v>2.4801E-2</v>
      </c>
      <c r="AK5" s="9">
        <f t="shared" si="2"/>
        <v>1.5680371311192649</v>
      </c>
      <c r="AN5" s="26"/>
      <c r="AO5" s="4" t="s">
        <v>1</v>
      </c>
      <c r="AP5" s="5">
        <v>191590</v>
      </c>
      <c r="AR5" s="10">
        <v>200</v>
      </c>
      <c r="AS5" s="2">
        <f>AP12/AP$4</f>
        <v>0.53635359116022097</v>
      </c>
      <c r="AT5" s="32">
        <v>5.6268000000000004E-3</v>
      </c>
      <c r="AU5" s="9">
        <f t="shared" si="3"/>
        <v>6.9113686089587141</v>
      </c>
      <c r="AW5" s="7"/>
      <c r="AX5" s="26"/>
      <c r="AY5" s="4" t="s">
        <v>1</v>
      </c>
      <c r="AZ5" s="5">
        <v>342130</v>
      </c>
      <c r="BB5" s="24">
        <v>200</v>
      </c>
      <c r="BC5" s="2">
        <f>AZ12/AZ$4</f>
        <v>0.80637484062898424</v>
      </c>
      <c r="BD5" s="33">
        <v>1.6493000000000001E-2</v>
      </c>
      <c r="BE5" s="9">
        <f t="shared" si="4"/>
        <v>2.3579026792511302</v>
      </c>
      <c r="BH5" s="26"/>
      <c r="BI5" s="4" t="s">
        <v>1</v>
      </c>
      <c r="BJ5" s="5">
        <v>575160</v>
      </c>
      <c r="BL5" s="10">
        <v>200</v>
      </c>
      <c r="BM5" s="2">
        <f>BJ12/BJ$4</f>
        <v>0.9994900127496813</v>
      </c>
      <c r="BN5" s="32">
        <v>2.5529E-2</v>
      </c>
      <c r="BO5" s="9">
        <f t="shared" si="5"/>
        <v>1.5233220607500839</v>
      </c>
      <c r="BP5" s="12"/>
    </row>
    <row r="6" spans="1:68">
      <c r="J6" s="26"/>
      <c r="K6" s="4" t="s">
        <v>2</v>
      </c>
      <c r="L6" s="5">
        <v>503000</v>
      </c>
      <c r="N6" s="10">
        <v>400</v>
      </c>
      <c r="O6" s="2">
        <f>L19/L$4</f>
        <v>0.43384615384615383</v>
      </c>
      <c r="P6" s="32">
        <v>7.1060999999999997E-3</v>
      </c>
      <c r="Q6" s="9">
        <f t="shared" si="0"/>
        <v>10.945212954754053</v>
      </c>
      <c r="S6" s="7"/>
      <c r="T6" s="26"/>
      <c r="U6" s="4" t="s">
        <v>2</v>
      </c>
      <c r="V6" s="5">
        <v>397780</v>
      </c>
      <c r="X6" s="24">
        <v>400</v>
      </c>
      <c r="Y6" s="22">
        <f>V19/$V$4</f>
        <v>0.74638334041648957</v>
      </c>
      <c r="Z6" s="33">
        <v>1.8733E-2</v>
      </c>
      <c r="AA6" s="9">
        <f t="shared" si="1"/>
        <v>4.151912548859114</v>
      </c>
      <c r="AD6" s="26"/>
      <c r="AE6" s="4" t="s">
        <v>2</v>
      </c>
      <c r="AF6" s="5">
        <v>79164</v>
      </c>
      <c r="AH6" s="10">
        <v>400</v>
      </c>
      <c r="AI6" s="2">
        <f>AF19/$AF$4</f>
        <v>0.99843603909902257</v>
      </c>
      <c r="AJ6" s="32">
        <v>2.5463E-2</v>
      </c>
      <c r="AK6" s="9">
        <f t="shared" si="2"/>
        <v>3.0545410115767102</v>
      </c>
      <c r="AN6" s="26"/>
      <c r="AO6" s="4" t="s">
        <v>2</v>
      </c>
      <c r="AP6" s="5">
        <v>396680</v>
      </c>
      <c r="AR6" s="10">
        <v>400</v>
      </c>
      <c r="AS6" s="2">
        <f>AP19/AP$4</f>
        <v>0.77079473013174671</v>
      </c>
      <c r="AT6" s="32">
        <v>8.7405E-3</v>
      </c>
      <c r="AU6" s="9">
        <f t="shared" si="3"/>
        <v>8.8985501719327029</v>
      </c>
      <c r="AW6" s="7"/>
      <c r="AX6" s="26"/>
      <c r="AY6" s="4" t="s">
        <v>2</v>
      </c>
      <c r="AZ6" s="5">
        <v>246120</v>
      </c>
      <c r="BB6" s="24">
        <v>400</v>
      </c>
      <c r="BC6" s="2">
        <f>AZ19/AZ$4</f>
        <v>0.94825329366765831</v>
      </c>
      <c r="BD6" s="33">
        <v>2.1014000000000001E-2</v>
      </c>
      <c r="BE6" s="9">
        <f t="shared" si="4"/>
        <v>3.7012362128951066</v>
      </c>
      <c r="BH6" s="26"/>
      <c r="BI6" s="4" t="s">
        <v>2</v>
      </c>
      <c r="BJ6" s="5">
        <v>13089</v>
      </c>
      <c r="BL6" s="10">
        <v>400</v>
      </c>
      <c r="BM6" s="2">
        <f>BJ19/BJ$4</f>
        <v>1</v>
      </c>
      <c r="BN6" s="32">
        <v>2.5531999999999999E-2</v>
      </c>
      <c r="BO6" s="9">
        <f t="shared" si="5"/>
        <v>3.0462861420091563</v>
      </c>
      <c r="BP6" s="12"/>
    </row>
    <row r="7" spans="1:68">
      <c r="J7" s="26"/>
      <c r="K7" s="4" t="s">
        <v>3</v>
      </c>
      <c r="L7" s="5">
        <v>84975</v>
      </c>
      <c r="N7" s="10">
        <v>600</v>
      </c>
      <c r="O7" s="2">
        <f>L26/$L$4</f>
        <v>0.56628984275393113</v>
      </c>
      <c r="P7" s="32">
        <v>9.4578000000000006E-3</v>
      </c>
      <c r="Q7" s="9">
        <f t="shared" si="0"/>
        <v>12.335497332008147</v>
      </c>
      <c r="S7" s="7"/>
      <c r="T7" s="26"/>
      <c r="U7" s="4" t="s">
        <v>3</v>
      </c>
      <c r="V7" s="5">
        <v>190340</v>
      </c>
      <c r="X7" s="24">
        <v>600</v>
      </c>
      <c r="Y7" s="22">
        <f>V26/$V$4</f>
        <v>0.8642243943901402</v>
      </c>
      <c r="Z7" s="33">
        <v>2.1808999999999999E-2</v>
      </c>
      <c r="AA7" s="9">
        <f t="shared" si="1"/>
        <v>5.3494734589695385</v>
      </c>
      <c r="AD7" s="26"/>
      <c r="AE7" s="4" t="s">
        <v>3</v>
      </c>
      <c r="AF7" s="5">
        <v>509000</v>
      </c>
      <c r="AH7" s="10">
        <v>600</v>
      </c>
      <c r="AI7" s="2">
        <f>AF26/$AF$4</f>
        <v>1</v>
      </c>
      <c r="AJ7" s="32">
        <v>2.5523000000000001E-2</v>
      </c>
      <c r="AK7" s="9">
        <f t="shared" si="2"/>
        <v>4.5710404994188245</v>
      </c>
      <c r="AN7" s="26"/>
      <c r="AO7" s="4" t="s">
        <v>3</v>
      </c>
      <c r="AP7" s="5">
        <v>191170</v>
      </c>
      <c r="AR7" s="10">
        <v>600</v>
      </c>
      <c r="AS7" s="2">
        <f>AP26/AP$4</f>
        <v>0.87714407139821504</v>
      </c>
      <c r="AT7" s="32">
        <v>1.0923E-2</v>
      </c>
      <c r="AU7" s="9">
        <f t="shared" si="3"/>
        <v>10.680826390796179</v>
      </c>
      <c r="AW7" s="7"/>
      <c r="AX7" s="26"/>
      <c r="AY7" s="4" t="s">
        <v>3</v>
      </c>
      <c r="AZ7" s="5">
        <v>341970</v>
      </c>
      <c r="BB7" s="24">
        <v>600</v>
      </c>
      <c r="BC7" s="2">
        <f>AZ26/AZ$4</f>
        <v>0.99121121971950699</v>
      </c>
      <c r="BD7" s="33">
        <v>2.3106000000000002E-2</v>
      </c>
      <c r="BE7" s="9">
        <f t="shared" si="4"/>
        <v>5.0491935716552696</v>
      </c>
      <c r="BH7" s="26"/>
      <c r="BI7" s="4" t="s">
        <v>3</v>
      </c>
      <c r="BJ7" s="5">
        <v>575060</v>
      </c>
      <c r="BL7" s="10">
        <v>600</v>
      </c>
      <c r="BM7" s="2">
        <f>BJ26/BJ$4</f>
        <v>1</v>
      </c>
      <c r="BN7" s="32">
        <v>2.5523000000000001E-2</v>
      </c>
      <c r="BO7" s="9">
        <f t="shared" si="5"/>
        <v>4.5710404994188245</v>
      </c>
      <c r="BP7" s="12"/>
    </row>
    <row r="8" spans="1:68">
      <c r="J8" s="26"/>
      <c r="K8" s="4" t="s">
        <v>4</v>
      </c>
      <c r="L8" s="5">
        <v>0</v>
      </c>
      <c r="N8" s="10">
        <v>800</v>
      </c>
      <c r="O8" s="2">
        <f>L33/$L$4</f>
        <v>0.66386740331491711</v>
      </c>
      <c r="P8" s="32">
        <v>1.1374E-2</v>
      </c>
      <c r="Q8" s="9">
        <f t="shared" si="0"/>
        <v>13.676415997499168</v>
      </c>
      <c r="S8" s="7"/>
      <c r="T8" s="26"/>
      <c r="U8" s="4" t="s">
        <v>4</v>
      </c>
      <c r="V8" s="5">
        <v>0</v>
      </c>
      <c r="X8" s="24">
        <v>800</v>
      </c>
      <c r="Y8" s="22">
        <f>V33/$V$4</f>
        <v>0.92409689757756053</v>
      </c>
      <c r="Z8" s="33">
        <v>2.3362999999999998E-2</v>
      </c>
      <c r="AA8" s="9">
        <f t="shared" si="1"/>
        <v>6.6582012393766021</v>
      </c>
      <c r="AD8" s="26"/>
      <c r="AE8" s="4" t="s">
        <v>4</v>
      </c>
      <c r="AF8" s="5">
        <v>0</v>
      </c>
      <c r="AH8" s="10">
        <v>800</v>
      </c>
      <c r="AI8" s="2">
        <f>AF33/$AF$4</f>
        <v>1</v>
      </c>
      <c r="AJ8" s="32">
        <v>2.5513000000000001E-2</v>
      </c>
      <c r="AK8" s="9">
        <f t="shared" si="2"/>
        <v>6.0971095345727884</v>
      </c>
      <c r="AN8" s="26"/>
      <c r="AO8" s="4" t="s">
        <v>4</v>
      </c>
      <c r="AP8" s="5">
        <v>0</v>
      </c>
      <c r="AR8" s="10">
        <v>800</v>
      </c>
      <c r="AS8" s="2">
        <f>AP33/AP$4</f>
        <v>0.93120271993200165</v>
      </c>
      <c r="AT8" s="32">
        <v>1.2626E-2</v>
      </c>
      <c r="AU8" s="9">
        <f t="shared" si="3"/>
        <v>12.320256261330236</v>
      </c>
      <c r="AW8" s="7"/>
      <c r="AX8" s="26"/>
      <c r="AY8" s="4" t="s">
        <v>4</v>
      </c>
      <c r="AZ8" s="5">
        <v>0</v>
      </c>
      <c r="BB8" s="24">
        <v>800</v>
      </c>
      <c r="BC8" s="2">
        <f>AZ33/AZ$4</f>
        <v>0.99811304717382066</v>
      </c>
      <c r="BD8" s="33">
        <v>2.4202000000000001E-2</v>
      </c>
      <c r="BE8" s="9">
        <f t="shared" si="4"/>
        <v>6.4273843300370039</v>
      </c>
      <c r="BH8" s="26"/>
      <c r="BI8" s="4" t="s">
        <v>4</v>
      </c>
      <c r="BJ8" s="5">
        <v>0</v>
      </c>
      <c r="BL8" s="10">
        <v>800</v>
      </c>
      <c r="BM8" s="2">
        <f>BJ33/BJ$4</f>
        <v>1</v>
      </c>
      <c r="BN8" s="32">
        <v>2.5513000000000001E-2</v>
      </c>
      <c r="BO8" s="9">
        <f>2/((BN8/(BL8*0.35))*3600)</f>
        <v>6.0971095345727884</v>
      </c>
      <c r="BP8" s="12"/>
    </row>
    <row r="9" spans="1:68">
      <c r="J9" s="26"/>
      <c r="K9" s="4" t="s">
        <v>5</v>
      </c>
      <c r="L9" s="5">
        <v>0</v>
      </c>
      <c r="M9" s="1"/>
      <c r="N9" s="10">
        <v>1000</v>
      </c>
      <c r="O9" s="2">
        <f>L40/$L$4</f>
        <v>0.73956651083722902</v>
      </c>
      <c r="P9" s="32">
        <v>1.2984000000000001E-2</v>
      </c>
      <c r="Q9" s="9">
        <f t="shared" si="0"/>
        <v>14.97569658382967</v>
      </c>
      <c r="S9" s="7"/>
      <c r="T9" s="26"/>
      <c r="U9" s="4" t="s">
        <v>5</v>
      </c>
      <c r="V9" s="5">
        <v>0</v>
      </c>
      <c r="W9" s="1"/>
      <c r="X9" s="24">
        <v>1000</v>
      </c>
      <c r="Y9" s="22">
        <f>V40/$V$4</f>
        <v>0.95743306417339569</v>
      </c>
      <c r="Z9" s="33">
        <v>2.4164999999999999E-2</v>
      </c>
      <c r="AA9" s="9">
        <f t="shared" si="1"/>
        <v>8.0465319447318198</v>
      </c>
      <c r="AD9" s="26"/>
      <c r="AE9" s="4" t="s">
        <v>5</v>
      </c>
      <c r="AF9" s="5">
        <v>0</v>
      </c>
      <c r="AG9" s="1"/>
      <c r="AH9" s="10">
        <v>1000</v>
      </c>
      <c r="AI9" s="2">
        <f>AF40/$AF$4</f>
        <v>1</v>
      </c>
      <c r="AJ9" s="32">
        <v>2.5505E-2</v>
      </c>
      <c r="AK9" s="9">
        <f t="shared" si="2"/>
        <v>7.6237774728266778</v>
      </c>
      <c r="AN9" s="26"/>
      <c r="AO9" s="4" t="s">
        <v>5</v>
      </c>
      <c r="AP9" s="5">
        <v>0</v>
      </c>
      <c r="AQ9" s="1"/>
      <c r="AR9" s="10">
        <v>1000</v>
      </c>
      <c r="AS9" s="2">
        <f>AP40/AP$4</f>
        <v>0.96339991500212496</v>
      </c>
      <c r="AT9" s="32">
        <v>1.4069999999999999E-2</v>
      </c>
      <c r="AU9" s="9">
        <f t="shared" si="3"/>
        <v>13.819789939192926</v>
      </c>
      <c r="AW9" s="7"/>
      <c r="AX9" s="26"/>
      <c r="AY9" s="4" t="s">
        <v>5</v>
      </c>
      <c r="AZ9" s="5">
        <v>0</v>
      </c>
      <c r="BA9" s="1"/>
      <c r="BB9" s="24">
        <v>1000</v>
      </c>
      <c r="BC9" s="2">
        <f>AZ40/AZ$4</f>
        <v>1</v>
      </c>
      <c r="BD9" s="33">
        <v>2.4636000000000002E-2</v>
      </c>
      <c r="BE9" s="9">
        <f t="shared" si="4"/>
        <v>7.8926954231386768</v>
      </c>
      <c r="BH9" s="26"/>
      <c r="BI9" s="4" t="s">
        <v>5</v>
      </c>
      <c r="BJ9" s="5">
        <v>0</v>
      </c>
      <c r="BK9" s="1"/>
      <c r="BL9" s="10">
        <v>1000</v>
      </c>
      <c r="BM9" s="2">
        <f>BJ40/BJ$4</f>
        <v>1</v>
      </c>
      <c r="BN9" s="32">
        <v>2.5505E-2</v>
      </c>
      <c r="BO9" s="9">
        <f t="shared" ref="BO9" si="6">2/((BN9/(BL9*0.35))*3600)</f>
        <v>7.6237774728266778</v>
      </c>
      <c r="BP9" s="12"/>
    </row>
    <row r="10" spans="1:68">
      <c r="J10" s="26"/>
      <c r="K10" s="4"/>
      <c r="L10" s="4"/>
      <c r="S10" s="7"/>
      <c r="T10" s="26"/>
      <c r="U10" s="4"/>
      <c r="V10" s="4"/>
      <c r="AD10" s="26"/>
      <c r="AE10" s="4"/>
      <c r="AF10" s="4"/>
      <c r="AN10" s="26"/>
      <c r="AO10" s="4"/>
      <c r="AP10" s="5"/>
      <c r="AW10" s="7"/>
      <c r="AX10" s="26"/>
      <c r="AY10" s="4"/>
      <c r="AZ10" s="5"/>
      <c r="BH10" s="26"/>
      <c r="BI10" s="4"/>
      <c r="BJ10" s="5"/>
      <c r="BP10" s="12"/>
    </row>
    <row r="11" spans="1:68">
      <c r="J11" s="26">
        <v>200</v>
      </c>
      <c r="K11" s="4" t="s">
        <v>0</v>
      </c>
      <c r="L11" s="5">
        <v>588250</v>
      </c>
      <c r="S11" s="7"/>
      <c r="T11" s="26">
        <v>200</v>
      </c>
      <c r="U11" s="4" t="s">
        <v>0</v>
      </c>
      <c r="V11" s="5">
        <v>588250</v>
      </c>
      <c r="AD11" s="26">
        <v>200</v>
      </c>
      <c r="AE11" s="4" t="s">
        <v>0</v>
      </c>
      <c r="AF11" s="5">
        <v>588250</v>
      </c>
      <c r="AN11" s="26">
        <v>200</v>
      </c>
      <c r="AO11" s="4" t="s">
        <v>0</v>
      </c>
      <c r="AP11" s="5">
        <v>588250</v>
      </c>
      <c r="AW11" s="7"/>
      <c r="AX11" s="26">
        <v>200</v>
      </c>
      <c r="AY11" s="4" t="s">
        <v>0</v>
      </c>
      <c r="AZ11" s="5">
        <v>588250</v>
      </c>
      <c r="BH11" s="26">
        <v>200</v>
      </c>
      <c r="BI11" s="4" t="s">
        <v>0</v>
      </c>
      <c r="BJ11" s="5">
        <v>588250</v>
      </c>
      <c r="BP11" s="12"/>
    </row>
    <row r="12" spans="1:68">
      <c r="J12" s="26"/>
      <c r="K12" s="4" t="s">
        <v>1</v>
      </c>
      <c r="L12" s="5">
        <v>151740</v>
      </c>
      <c r="S12" s="7"/>
      <c r="T12" s="26"/>
      <c r="U12" s="4" t="s">
        <v>1</v>
      </c>
      <c r="V12" s="5">
        <v>304250</v>
      </c>
      <c r="AD12" s="26"/>
      <c r="AE12" s="4" t="s">
        <v>1</v>
      </c>
      <c r="AF12" s="5">
        <v>571640</v>
      </c>
      <c r="AN12" s="26"/>
      <c r="AO12" s="4" t="s">
        <v>1</v>
      </c>
      <c r="AP12" s="5">
        <v>315510</v>
      </c>
      <c r="AW12" s="7"/>
      <c r="AX12" s="26"/>
      <c r="AY12" s="4" t="s">
        <v>1</v>
      </c>
      <c r="AZ12" s="5">
        <v>474350</v>
      </c>
      <c r="BH12" s="26"/>
      <c r="BI12" s="4" t="s">
        <v>1</v>
      </c>
      <c r="BJ12" s="5">
        <v>587950</v>
      </c>
      <c r="BP12" s="12"/>
    </row>
    <row r="13" spans="1:68">
      <c r="J13" s="26"/>
      <c r="K13" s="4" t="s">
        <v>2</v>
      </c>
      <c r="L13" s="5">
        <v>436520</v>
      </c>
      <c r="T13" s="26"/>
      <c r="U13" s="4" t="s">
        <v>2</v>
      </c>
      <c r="V13" s="5">
        <v>284000</v>
      </c>
      <c r="AD13" s="26"/>
      <c r="AE13" s="4" t="s">
        <v>2</v>
      </c>
      <c r="AF13" s="5">
        <v>16611</v>
      </c>
      <c r="AN13" s="26"/>
      <c r="AO13" s="4" t="s">
        <v>2</v>
      </c>
      <c r="AP13" s="5">
        <v>272750</v>
      </c>
      <c r="AX13" s="26"/>
      <c r="AY13" s="4" t="s">
        <v>2</v>
      </c>
      <c r="AZ13" s="5">
        <v>113890</v>
      </c>
      <c r="BH13" s="26"/>
      <c r="BI13" s="4" t="s">
        <v>2</v>
      </c>
      <c r="BJ13" s="5">
        <v>299.13</v>
      </c>
    </row>
    <row r="14" spans="1:68">
      <c r="J14" s="26"/>
      <c r="K14" s="4" t="s">
        <v>3</v>
      </c>
      <c r="L14" s="5">
        <v>151250</v>
      </c>
      <c r="T14" s="26"/>
      <c r="U14" s="4" t="s">
        <v>3</v>
      </c>
      <c r="V14" s="5">
        <v>304010</v>
      </c>
      <c r="AD14" s="26"/>
      <c r="AE14" s="4" t="s">
        <v>3</v>
      </c>
      <c r="AF14" s="5">
        <v>571460</v>
      </c>
      <c r="AN14" s="26"/>
      <c r="AO14" s="4" t="s">
        <v>3</v>
      </c>
      <c r="AP14" s="5">
        <v>314840</v>
      </c>
      <c r="AX14" s="26"/>
      <c r="AY14" s="4" t="s">
        <v>3</v>
      </c>
      <c r="AZ14" s="5">
        <v>474090</v>
      </c>
      <c r="BH14" s="26"/>
      <c r="BI14" s="4" t="s">
        <v>3</v>
      </c>
      <c r="BJ14" s="5">
        <v>587780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5"/>
      <c r="AX17" s="26"/>
      <c r="AY17" s="4"/>
      <c r="AZ17" s="5"/>
      <c r="BH17" s="26"/>
      <c r="BI17" s="4"/>
      <c r="BJ17" s="5"/>
    </row>
    <row r="18" spans="1:62">
      <c r="J18" s="26">
        <v>400</v>
      </c>
      <c r="K18" s="4" t="s">
        <v>0</v>
      </c>
      <c r="L18" s="5">
        <v>588250</v>
      </c>
      <c r="T18" s="26">
        <v>400</v>
      </c>
      <c r="U18" s="4" t="s">
        <v>0</v>
      </c>
      <c r="V18" s="5">
        <v>588250</v>
      </c>
      <c r="AD18" s="26">
        <v>400</v>
      </c>
      <c r="AE18" s="4" t="s">
        <v>0</v>
      </c>
      <c r="AF18" s="5">
        <v>588250</v>
      </c>
      <c r="AN18" s="26">
        <v>400</v>
      </c>
      <c r="AO18" s="4" t="s">
        <v>0</v>
      </c>
      <c r="AP18" s="5">
        <v>588250</v>
      </c>
      <c r="AX18" s="26">
        <v>400</v>
      </c>
      <c r="AY18" s="4" t="s">
        <v>0</v>
      </c>
      <c r="AZ18" s="5">
        <v>588250</v>
      </c>
      <c r="BH18" s="26">
        <v>400</v>
      </c>
      <c r="BI18" s="4" t="s">
        <v>0</v>
      </c>
      <c r="BJ18" s="5">
        <v>588250</v>
      </c>
    </row>
    <row r="19" spans="1:62">
      <c r="J19" s="26"/>
      <c r="K19" s="4" t="s">
        <v>1</v>
      </c>
      <c r="L19" s="5">
        <v>255210</v>
      </c>
      <c r="T19" s="26"/>
      <c r="U19" s="4" t="s">
        <v>1</v>
      </c>
      <c r="V19" s="5">
        <v>439060</v>
      </c>
      <c r="AD19" s="26"/>
      <c r="AE19" s="4" t="s">
        <v>1</v>
      </c>
      <c r="AF19" s="5">
        <v>587330</v>
      </c>
      <c r="AN19" s="26"/>
      <c r="AO19" s="4" t="s">
        <v>1</v>
      </c>
      <c r="AP19" s="5">
        <v>453420</v>
      </c>
      <c r="AX19" s="26"/>
      <c r="AY19" s="4" t="s">
        <v>1</v>
      </c>
      <c r="AZ19" s="5">
        <v>557810</v>
      </c>
      <c r="BH19" s="26"/>
      <c r="BI19" s="4" t="s">
        <v>1</v>
      </c>
      <c r="BJ19" s="5">
        <v>588250</v>
      </c>
    </row>
    <row r="20" spans="1:62">
      <c r="J20" s="26"/>
      <c r="K20" s="4" t="s">
        <v>2</v>
      </c>
      <c r="L20" s="5">
        <v>333040</v>
      </c>
      <c r="T20" s="26"/>
      <c r="U20" s="4" t="s">
        <v>2</v>
      </c>
      <c r="V20" s="5">
        <v>149190</v>
      </c>
      <c r="AD20" s="26"/>
      <c r="AE20" s="4" t="s">
        <v>2</v>
      </c>
      <c r="AF20" s="5">
        <v>917.68</v>
      </c>
      <c r="AN20" s="26"/>
      <c r="AO20" s="4" t="s">
        <v>2</v>
      </c>
      <c r="AP20" s="5">
        <v>134830</v>
      </c>
      <c r="AX20" s="26"/>
      <c r="AY20" s="4" t="s">
        <v>2</v>
      </c>
      <c r="AZ20" s="5">
        <v>30443</v>
      </c>
      <c r="BH20" s="26"/>
      <c r="BI20" s="4" t="s">
        <v>2</v>
      </c>
      <c r="BJ20" s="5">
        <v>0</v>
      </c>
    </row>
    <row r="21" spans="1:62">
      <c r="J21" s="26"/>
      <c r="K21" s="4" t="s">
        <v>3</v>
      </c>
      <c r="L21" s="5">
        <v>254410</v>
      </c>
      <c r="T21" s="26"/>
      <c r="U21" s="4" t="s">
        <v>3</v>
      </c>
      <c r="V21" s="5">
        <v>438640</v>
      </c>
      <c r="AD21" s="26"/>
      <c r="AE21" s="4" t="s">
        <v>3</v>
      </c>
      <c r="AF21" s="5">
        <v>587000</v>
      </c>
      <c r="AN21" s="26"/>
      <c r="AO21" s="4" t="s">
        <v>3</v>
      </c>
      <c r="AP21" s="5">
        <v>452390</v>
      </c>
      <c r="AX21" s="26"/>
      <c r="AY21" s="4" t="s">
        <v>3</v>
      </c>
      <c r="AZ21" s="5">
        <v>557380</v>
      </c>
      <c r="BH21" s="26"/>
      <c r="BI21" s="4" t="s">
        <v>3</v>
      </c>
      <c r="BJ21" s="5">
        <v>587920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5"/>
      <c r="AX24" s="26"/>
      <c r="AY24" s="4"/>
      <c r="AZ24" s="5"/>
      <c r="BH24" s="26"/>
      <c r="BI24" s="4"/>
      <c r="BJ24" s="5"/>
    </row>
    <row r="25" spans="1:62">
      <c r="A25">
        <f>'Media filter'!C11</f>
        <v>4</v>
      </c>
      <c r="B25" s="21"/>
      <c r="J25" s="26">
        <v>600</v>
      </c>
      <c r="K25" s="4" t="s">
        <v>0</v>
      </c>
      <c r="L25" s="5">
        <v>588250</v>
      </c>
      <c r="T25" s="26">
        <v>600</v>
      </c>
      <c r="U25" s="4" t="s">
        <v>0</v>
      </c>
      <c r="V25" s="5">
        <v>588250</v>
      </c>
      <c r="AD25" s="26">
        <v>600</v>
      </c>
      <c r="AE25" s="4" t="s">
        <v>0</v>
      </c>
      <c r="AF25" s="5">
        <v>588250</v>
      </c>
      <c r="AN25" s="26">
        <v>600</v>
      </c>
      <c r="AO25" s="4" t="s">
        <v>0</v>
      </c>
      <c r="AP25" s="5">
        <v>588250</v>
      </c>
      <c r="AX25" s="26">
        <v>600</v>
      </c>
      <c r="AY25" s="4" t="s">
        <v>0</v>
      </c>
      <c r="AZ25" s="5">
        <v>588250</v>
      </c>
      <c r="BH25" s="26">
        <v>600</v>
      </c>
      <c r="BI25" s="4" t="s">
        <v>0</v>
      </c>
      <c r="BJ25" s="5">
        <v>588250</v>
      </c>
    </row>
    <row r="26" spans="1:62">
      <c r="J26" s="26"/>
      <c r="K26" s="4" t="s">
        <v>1</v>
      </c>
      <c r="L26" s="5">
        <v>333120</v>
      </c>
      <c r="T26" s="26"/>
      <c r="U26" s="4" t="s">
        <v>1</v>
      </c>
      <c r="V26" s="5">
        <v>508380</v>
      </c>
      <c r="AD26" s="26"/>
      <c r="AE26" s="4" t="s">
        <v>1</v>
      </c>
      <c r="AF26" s="5">
        <v>588250</v>
      </c>
      <c r="AN26" s="26"/>
      <c r="AO26" s="4" t="s">
        <v>1</v>
      </c>
      <c r="AP26" s="5">
        <v>515980</v>
      </c>
      <c r="AX26" s="26"/>
      <c r="AY26" s="4" t="s">
        <v>1</v>
      </c>
      <c r="AZ26" s="5">
        <v>583080</v>
      </c>
      <c r="BH26" s="26"/>
      <c r="BI26" s="4" t="s">
        <v>1</v>
      </c>
      <c r="BJ26" s="5">
        <v>588250</v>
      </c>
    </row>
    <row r="27" spans="1:62">
      <c r="A27" s="120" t="s">
        <v>145</v>
      </c>
      <c r="J27" s="26"/>
      <c r="K27" s="4" t="s">
        <v>2</v>
      </c>
      <c r="L27" s="5">
        <v>255130</v>
      </c>
      <c r="T27" s="26"/>
      <c r="U27" s="4" t="s">
        <v>2</v>
      </c>
      <c r="V27" s="5">
        <v>79878</v>
      </c>
      <c r="AD27" s="26"/>
      <c r="AE27" s="4" t="s">
        <v>2</v>
      </c>
      <c r="AF27" s="5">
        <v>0</v>
      </c>
      <c r="AN27" s="26"/>
      <c r="AO27" s="4" t="s">
        <v>2</v>
      </c>
      <c r="AP27" s="5">
        <v>72279</v>
      </c>
      <c r="AX27" s="26"/>
      <c r="AY27" s="4" t="s">
        <v>2</v>
      </c>
      <c r="AZ27" s="5">
        <v>5176.5</v>
      </c>
      <c r="BH27" s="26"/>
      <c r="BI27" s="4" t="s">
        <v>2</v>
      </c>
      <c r="BJ27" s="5">
        <v>0</v>
      </c>
    </row>
    <row r="28" spans="1:62">
      <c r="A28" s="199" t="str">
        <f>AH3</f>
        <v>Filter Area (ft2)</v>
      </c>
      <c r="B28" s="200" t="s">
        <v>11</v>
      </c>
      <c r="C28" s="200"/>
      <c r="D28" s="200"/>
      <c r="E28" s="200" t="s">
        <v>12</v>
      </c>
      <c r="F28" s="200"/>
      <c r="G28" s="200"/>
      <c r="H28" s="6"/>
      <c r="J28" s="26"/>
      <c r="K28" s="4" t="s">
        <v>3</v>
      </c>
      <c r="L28" s="5">
        <v>332000</v>
      </c>
      <c r="T28" s="26"/>
      <c r="U28" s="4" t="s">
        <v>3</v>
      </c>
      <c r="V28" s="5">
        <v>507790</v>
      </c>
      <c r="AD28" s="26"/>
      <c r="AE28" s="4" t="s">
        <v>3</v>
      </c>
      <c r="AF28" s="5">
        <v>587770</v>
      </c>
      <c r="AN28" s="26"/>
      <c r="AO28" s="4" t="s">
        <v>3</v>
      </c>
      <c r="AP28" s="5">
        <v>514650</v>
      </c>
      <c r="AX28" s="26"/>
      <c r="AY28" s="4" t="s">
        <v>3</v>
      </c>
      <c r="AZ28" s="5">
        <v>582490</v>
      </c>
      <c r="BH28" s="26"/>
      <c r="BI28" s="4" t="s">
        <v>3</v>
      </c>
      <c r="BJ28" s="5">
        <v>587770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0.14492817679558012</v>
      </c>
      <c r="C30" s="2">
        <f t="shared" ref="C30:C35" si="8">Y4</f>
        <v>0.3237739056523587</v>
      </c>
      <c r="D30" s="2">
        <f t="shared" ref="D30:D35" si="9">AI4</f>
        <v>0.86544836379090517</v>
      </c>
      <c r="E30" s="11">
        <f t="shared" ref="E30:E35" si="10">Q4</f>
        <v>7.9667490656141453</v>
      </c>
      <c r="F30" s="11">
        <f t="shared" ref="F30:F35" si="11">AA4</f>
        <v>2.3869929345009138</v>
      </c>
      <c r="G30" s="9">
        <f t="shared" ref="G30:G35" si="12">AK4</f>
        <v>0.86844325343655404</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0.25795155121121971</v>
      </c>
      <c r="C31" s="2">
        <f t="shared" si="8"/>
        <v>0.5172120696982575</v>
      </c>
      <c r="D31" s="2">
        <f t="shared" si="9"/>
        <v>0.97176370590735228</v>
      </c>
      <c r="E31" s="11">
        <f t="shared" si="10"/>
        <v>9.1389300140739529</v>
      </c>
      <c r="F31" s="11">
        <f t="shared" si="11"/>
        <v>3.0039308580943063</v>
      </c>
      <c r="G31" s="9">
        <f t="shared" si="12"/>
        <v>1.5680371311192649</v>
      </c>
      <c r="H31" s="12"/>
      <c r="J31" s="26"/>
      <c r="K31" s="4"/>
      <c r="L31" s="4"/>
      <c r="T31" s="26"/>
      <c r="U31" s="4"/>
      <c r="V31" s="4"/>
      <c r="AD31" s="26"/>
      <c r="AE31" s="4"/>
      <c r="AF31" s="4"/>
      <c r="AN31" s="26"/>
      <c r="AO31" s="4"/>
      <c r="AP31" s="5"/>
      <c r="AX31" s="26"/>
      <c r="AY31" s="4"/>
      <c r="AZ31" s="5"/>
      <c r="BH31" s="26"/>
      <c r="BI31" s="4"/>
      <c r="BJ31" s="5"/>
    </row>
    <row r="32" spans="1:62">
      <c r="A32" s="10">
        <v>400</v>
      </c>
      <c r="B32" s="2">
        <f t="shared" si="7"/>
        <v>0.43384615384615383</v>
      </c>
      <c r="C32" s="2">
        <f t="shared" si="8"/>
        <v>0.74638334041648957</v>
      </c>
      <c r="D32" s="2">
        <f t="shared" si="9"/>
        <v>0.99843603909902257</v>
      </c>
      <c r="E32" s="11">
        <f t="shared" si="10"/>
        <v>10.945212954754053</v>
      </c>
      <c r="F32" s="11">
        <f t="shared" si="11"/>
        <v>4.151912548859114</v>
      </c>
      <c r="G32" s="9">
        <f t="shared" si="12"/>
        <v>3.0545410115767102</v>
      </c>
      <c r="H32" s="12"/>
      <c r="J32" s="26">
        <v>800</v>
      </c>
      <c r="K32" s="4" t="s">
        <v>0</v>
      </c>
      <c r="L32" s="5">
        <v>588250</v>
      </c>
      <c r="T32" s="26">
        <v>800</v>
      </c>
      <c r="U32" s="4" t="s">
        <v>0</v>
      </c>
      <c r="V32" s="5">
        <v>588250</v>
      </c>
      <c r="AD32" s="26">
        <v>800</v>
      </c>
      <c r="AE32" s="4" t="s">
        <v>0</v>
      </c>
      <c r="AF32" s="5">
        <v>588250</v>
      </c>
      <c r="AN32" s="26">
        <v>800</v>
      </c>
      <c r="AO32" s="4" t="s">
        <v>0</v>
      </c>
      <c r="AP32" s="5">
        <v>588250</v>
      </c>
      <c r="AX32" s="26">
        <v>800</v>
      </c>
      <c r="AY32" s="4" t="s">
        <v>0</v>
      </c>
      <c r="AZ32" s="5">
        <v>588250</v>
      </c>
      <c r="BH32" s="26">
        <v>800</v>
      </c>
      <c r="BI32" s="4" t="s">
        <v>0</v>
      </c>
      <c r="BJ32" s="5">
        <v>588250</v>
      </c>
    </row>
    <row r="33" spans="1:62">
      <c r="A33" s="10">
        <v>600</v>
      </c>
      <c r="B33" s="2">
        <f t="shared" si="7"/>
        <v>0.56628984275393113</v>
      </c>
      <c r="C33" s="2">
        <f t="shared" si="8"/>
        <v>0.8642243943901402</v>
      </c>
      <c r="D33" s="2">
        <f t="shared" si="9"/>
        <v>1</v>
      </c>
      <c r="E33" s="11">
        <f t="shared" si="10"/>
        <v>12.335497332008147</v>
      </c>
      <c r="F33" s="11">
        <f t="shared" si="11"/>
        <v>5.3494734589695385</v>
      </c>
      <c r="G33" s="9">
        <f t="shared" si="12"/>
        <v>4.5710404994188245</v>
      </c>
      <c r="H33" s="12"/>
      <c r="J33" s="26"/>
      <c r="K33" s="4" t="s">
        <v>1</v>
      </c>
      <c r="L33" s="5">
        <v>390520</v>
      </c>
      <c r="T33" s="26"/>
      <c r="U33" s="4" t="s">
        <v>1</v>
      </c>
      <c r="V33" s="5">
        <v>543600</v>
      </c>
      <c r="AD33" s="26"/>
      <c r="AE33" s="4" t="s">
        <v>1</v>
      </c>
      <c r="AF33" s="5">
        <v>588250</v>
      </c>
      <c r="AN33" s="26"/>
      <c r="AO33" s="4" t="s">
        <v>1</v>
      </c>
      <c r="AP33" s="5">
        <v>547780</v>
      </c>
      <c r="AX33" s="26"/>
      <c r="AY33" s="4" t="s">
        <v>1</v>
      </c>
      <c r="AZ33" s="5">
        <v>587140</v>
      </c>
      <c r="BH33" s="26"/>
      <c r="BI33" s="4" t="s">
        <v>1</v>
      </c>
      <c r="BJ33" s="5">
        <v>588250</v>
      </c>
    </row>
    <row r="34" spans="1:62">
      <c r="A34" s="10">
        <v>800</v>
      </c>
      <c r="B34" s="2">
        <f t="shared" si="7"/>
        <v>0.66386740331491711</v>
      </c>
      <c r="C34" s="2">
        <f t="shared" si="8"/>
        <v>0.92409689757756053</v>
      </c>
      <c r="D34" s="2">
        <f t="shared" si="9"/>
        <v>1</v>
      </c>
      <c r="E34" s="11">
        <f t="shared" si="10"/>
        <v>13.676415997499168</v>
      </c>
      <c r="F34" s="11">
        <f t="shared" si="11"/>
        <v>6.6582012393766021</v>
      </c>
      <c r="G34" s="9">
        <f t="shared" si="12"/>
        <v>6.0971095345727884</v>
      </c>
      <c r="H34" s="12"/>
      <c r="J34" s="26"/>
      <c r="K34" s="4" t="s">
        <v>2</v>
      </c>
      <c r="L34" s="5">
        <v>197740</v>
      </c>
      <c r="T34" s="26"/>
      <c r="U34" s="4" t="s">
        <v>2</v>
      </c>
      <c r="V34" s="5">
        <v>44658</v>
      </c>
      <c r="AD34" s="26"/>
      <c r="AE34" s="4" t="s">
        <v>2</v>
      </c>
      <c r="AF34" s="5">
        <v>0</v>
      </c>
      <c r="AN34" s="26"/>
      <c r="AO34" s="4" t="s">
        <v>2</v>
      </c>
      <c r="AP34" s="5">
        <v>40467</v>
      </c>
      <c r="AX34" s="26"/>
      <c r="AY34" s="4" t="s">
        <v>2</v>
      </c>
      <c r="AZ34" s="5">
        <v>1109.8</v>
      </c>
      <c r="BH34" s="26"/>
      <c r="BI34" s="4" t="s">
        <v>2</v>
      </c>
      <c r="BJ34" s="5">
        <v>0</v>
      </c>
    </row>
    <row r="35" spans="1:62">
      <c r="A35" s="10">
        <v>1000</v>
      </c>
      <c r="B35" s="2">
        <f t="shared" si="7"/>
        <v>0.73956651083722902</v>
      </c>
      <c r="C35" s="2">
        <f t="shared" si="8"/>
        <v>0.95743306417339569</v>
      </c>
      <c r="D35" s="2">
        <f t="shared" si="9"/>
        <v>1</v>
      </c>
      <c r="E35" s="11">
        <f t="shared" si="10"/>
        <v>14.97569658382967</v>
      </c>
      <c r="F35" s="11">
        <f t="shared" si="11"/>
        <v>8.0465319447318198</v>
      </c>
      <c r="G35" s="9">
        <f t="shared" si="12"/>
        <v>7.6237774728266778</v>
      </c>
      <c r="H35" s="12"/>
      <c r="J35" s="26"/>
      <c r="K35" s="4" t="s">
        <v>3</v>
      </c>
      <c r="L35" s="5">
        <v>389160</v>
      </c>
      <c r="T35" s="26"/>
      <c r="U35" s="4" t="s">
        <v>3</v>
      </c>
      <c r="V35" s="5">
        <v>542840</v>
      </c>
      <c r="AD35" s="26"/>
      <c r="AE35" s="4" t="s">
        <v>3</v>
      </c>
      <c r="AF35" s="5">
        <v>587630</v>
      </c>
      <c r="AN35" s="26"/>
      <c r="AO35" s="4" t="s">
        <v>3</v>
      </c>
      <c r="AP35" s="5">
        <v>546240</v>
      </c>
      <c r="AX35" s="26"/>
      <c r="AY35" s="4" t="s">
        <v>3</v>
      </c>
      <c r="AZ35" s="5">
        <v>586390</v>
      </c>
      <c r="BH35" s="26"/>
      <c r="BI35" s="4" t="s">
        <v>3</v>
      </c>
      <c r="BJ35" s="5">
        <v>587630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5"/>
      <c r="AX38" s="26"/>
      <c r="AY38" s="4"/>
      <c r="AZ38" s="5"/>
      <c r="BH38" s="26"/>
      <c r="BI38" s="4"/>
      <c r="BJ38" s="5"/>
    </row>
    <row r="39" spans="1:62">
      <c r="A39" s="199">
        <f>AH14</f>
        <v>0</v>
      </c>
      <c r="B39" s="200" t="s">
        <v>11</v>
      </c>
      <c r="C39" s="200"/>
      <c r="D39" s="200"/>
      <c r="E39" s="200" t="s">
        <v>12</v>
      </c>
      <c r="F39" s="200"/>
      <c r="G39" s="200"/>
      <c r="J39" s="26">
        <v>1000</v>
      </c>
      <c r="K39" s="4" t="s">
        <v>0</v>
      </c>
      <c r="L39" s="5">
        <v>588250</v>
      </c>
      <c r="T39" s="26">
        <v>1000</v>
      </c>
      <c r="U39" s="4" t="s">
        <v>0</v>
      </c>
      <c r="V39" s="5">
        <v>588250</v>
      </c>
      <c r="AD39" s="26">
        <v>1000</v>
      </c>
      <c r="AE39" s="4" t="s">
        <v>0</v>
      </c>
      <c r="AF39" s="5">
        <v>588250</v>
      </c>
      <c r="AN39" s="26">
        <v>1000</v>
      </c>
      <c r="AO39" s="4" t="s">
        <v>0</v>
      </c>
      <c r="AP39" s="5">
        <v>588250</v>
      </c>
      <c r="AX39" s="26">
        <v>1000</v>
      </c>
      <c r="AY39" s="4" t="s">
        <v>0</v>
      </c>
      <c r="AZ39" s="5">
        <v>588250</v>
      </c>
      <c r="BH39" s="26">
        <v>1000</v>
      </c>
      <c r="BI39" s="4" t="s">
        <v>0</v>
      </c>
      <c r="BJ39" s="5">
        <v>588250</v>
      </c>
    </row>
    <row r="40" spans="1:62">
      <c r="A40" s="199"/>
      <c r="B40" s="15" t="s">
        <v>15</v>
      </c>
      <c r="C40" s="15" t="s">
        <v>14</v>
      </c>
      <c r="D40" s="15" t="s">
        <v>13</v>
      </c>
      <c r="E40" s="15" t="s">
        <v>15</v>
      </c>
      <c r="F40" s="15" t="s">
        <v>14</v>
      </c>
      <c r="G40" s="15" t="s">
        <v>13</v>
      </c>
      <c r="J40" s="26"/>
      <c r="K40" s="4" t="s">
        <v>1</v>
      </c>
      <c r="L40" s="5">
        <v>435050</v>
      </c>
      <c r="T40" s="26"/>
      <c r="U40" s="4" t="s">
        <v>1</v>
      </c>
      <c r="V40" s="5">
        <v>563210</v>
      </c>
      <c r="AD40" s="26"/>
      <c r="AE40" s="4" t="s">
        <v>1</v>
      </c>
      <c r="AF40" s="5">
        <v>588250</v>
      </c>
      <c r="AN40" s="26"/>
      <c r="AO40" s="4" t="s">
        <v>1</v>
      </c>
      <c r="AP40" s="5">
        <v>566720</v>
      </c>
      <c r="AX40" s="26"/>
      <c r="AY40" s="4" t="s">
        <v>1</v>
      </c>
      <c r="AZ40" s="5">
        <v>588250</v>
      </c>
      <c r="BH40" s="26"/>
      <c r="BI40" s="4" t="s">
        <v>1</v>
      </c>
      <c r="BJ40" s="5">
        <v>588250</v>
      </c>
    </row>
    <row r="41" spans="1:62">
      <c r="A41" s="10">
        <v>100</v>
      </c>
      <c r="B41" s="2">
        <f>AS4</f>
        <v>0.32569485762855926</v>
      </c>
      <c r="C41" s="2">
        <f>BC4</f>
        <v>0.58160645983850401</v>
      </c>
      <c r="D41" s="2">
        <f>BM4</f>
        <v>0.97774755631109223</v>
      </c>
      <c r="E41" s="11">
        <f>AU4</f>
        <v>5.831117508680034</v>
      </c>
      <c r="F41" s="11">
        <f>BE4</f>
        <v>1.6927347823143069</v>
      </c>
      <c r="G41" s="9">
        <f>BO4</f>
        <v>0.77681452776335125</v>
      </c>
      <c r="J41" s="26"/>
      <c r="K41" s="4" t="s">
        <v>2</v>
      </c>
      <c r="L41" s="5">
        <v>153210</v>
      </c>
      <c r="T41" s="26"/>
      <c r="U41" s="4" t="s">
        <v>2</v>
      </c>
      <c r="V41" s="5">
        <v>25047</v>
      </c>
      <c r="AD41" s="26"/>
      <c r="AE41" s="4" t="s">
        <v>2</v>
      </c>
      <c r="AF41" s="5">
        <v>0</v>
      </c>
      <c r="AN41" s="26"/>
      <c r="AO41" s="4" t="s">
        <v>2</v>
      </c>
      <c r="AP41" s="5">
        <v>21538</v>
      </c>
      <c r="AX41" s="26"/>
      <c r="AY41" s="4" t="s">
        <v>2</v>
      </c>
      <c r="AZ41" s="5">
        <v>0</v>
      </c>
      <c r="BH41" s="26"/>
      <c r="BI41" s="4" t="s">
        <v>2</v>
      </c>
      <c r="BJ41" s="5">
        <v>0</v>
      </c>
    </row>
    <row r="42" spans="1:62">
      <c r="A42" s="10">
        <v>200</v>
      </c>
      <c r="B42" s="2">
        <f t="shared" ref="B42:B46" si="13">AS5</f>
        <v>0.53635359116022097</v>
      </c>
      <c r="C42" s="2">
        <f t="shared" ref="C42:C46" si="14">BC5</f>
        <v>0.80637484062898424</v>
      </c>
      <c r="D42" s="2">
        <f t="shared" ref="D42:D46" si="15">BM5</f>
        <v>0.9994900127496813</v>
      </c>
      <c r="E42" s="11">
        <f t="shared" ref="E42:E46" si="16">AU5</f>
        <v>6.9113686089587141</v>
      </c>
      <c r="F42" s="11">
        <f t="shared" ref="F42:F46" si="17">BE5</f>
        <v>2.3579026792511302</v>
      </c>
      <c r="G42" s="9">
        <f t="shared" ref="G42:G46" si="18">BO5</f>
        <v>1.5233220607500839</v>
      </c>
      <c r="J42" s="26"/>
      <c r="K42" s="4" t="s">
        <v>3</v>
      </c>
      <c r="L42" s="5">
        <v>433430</v>
      </c>
      <c r="T42" s="26"/>
      <c r="U42" s="4" t="s">
        <v>3</v>
      </c>
      <c r="V42" s="5">
        <v>562290</v>
      </c>
      <c r="AD42" s="26"/>
      <c r="AE42" s="4" t="s">
        <v>3</v>
      </c>
      <c r="AF42" s="5">
        <v>587500</v>
      </c>
      <c r="AN42" s="26"/>
      <c r="AO42" s="4" t="s">
        <v>3</v>
      </c>
      <c r="AP42" s="5">
        <v>564970</v>
      </c>
      <c r="AX42" s="26"/>
      <c r="AY42" s="4" t="s">
        <v>3</v>
      </c>
      <c r="AZ42" s="5">
        <v>587330</v>
      </c>
      <c r="BH42" s="26"/>
      <c r="BI42" s="4" t="s">
        <v>3</v>
      </c>
      <c r="BJ42" s="5">
        <v>587500</v>
      </c>
    </row>
    <row r="43" spans="1:62">
      <c r="A43" s="10">
        <v>400</v>
      </c>
      <c r="B43" s="2">
        <f t="shared" si="13"/>
        <v>0.77079473013174671</v>
      </c>
      <c r="C43" s="2">
        <f t="shared" si="14"/>
        <v>0.94825329366765831</v>
      </c>
      <c r="D43" s="2">
        <f t="shared" si="15"/>
        <v>1</v>
      </c>
      <c r="E43" s="11">
        <f t="shared" si="16"/>
        <v>8.8985501719327029</v>
      </c>
      <c r="F43" s="11">
        <f t="shared" si="17"/>
        <v>3.7012362128951066</v>
      </c>
      <c r="G43" s="9">
        <f t="shared" si="18"/>
        <v>3.0462861420091563</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0.87714407139821504</v>
      </c>
      <c r="C44" s="2">
        <f t="shared" si="14"/>
        <v>0.99121121971950699</v>
      </c>
      <c r="D44" s="2">
        <f t="shared" si="15"/>
        <v>1</v>
      </c>
      <c r="E44" s="11">
        <f t="shared" si="16"/>
        <v>10.680826390796179</v>
      </c>
      <c r="F44" s="11">
        <f t="shared" si="17"/>
        <v>5.0491935716552696</v>
      </c>
      <c r="G44" s="9">
        <f t="shared" si="18"/>
        <v>4.5710404994188245</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0.93120271993200165</v>
      </c>
      <c r="C45" s="2">
        <f t="shared" si="14"/>
        <v>0.99811304717382066</v>
      </c>
      <c r="D45" s="2">
        <f t="shared" si="15"/>
        <v>1</v>
      </c>
      <c r="E45" s="11">
        <f t="shared" si="16"/>
        <v>12.320256261330236</v>
      </c>
      <c r="F45" s="11">
        <f t="shared" si="17"/>
        <v>6.4273843300370039</v>
      </c>
      <c r="G45" s="9">
        <f t="shared" si="18"/>
        <v>6.0971095345727884</v>
      </c>
      <c r="Y45"/>
      <c r="Z45"/>
      <c r="AA45"/>
      <c r="AB45"/>
      <c r="BC45"/>
      <c r="BD45"/>
      <c r="BE45"/>
      <c r="BF45"/>
    </row>
    <row r="46" spans="1:62">
      <c r="A46" s="10">
        <v>1000</v>
      </c>
      <c r="B46" s="2">
        <f t="shared" si="13"/>
        <v>0.96339991500212496</v>
      </c>
      <c r="C46" s="2">
        <f t="shared" si="14"/>
        <v>1</v>
      </c>
      <c r="D46" s="2">
        <f t="shared" si="15"/>
        <v>1</v>
      </c>
      <c r="E46" s="11">
        <f t="shared" si="16"/>
        <v>13.819789939192926</v>
      </c>
      <c r="F46" s="11">
        <f t="shared" si="17"/>
        <v>7.8926954231386768</v>
      </c>
      <c r="G46" s="9">
        <f t="shared" si="18"/>
        <v>7.6237774728266778</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0.32569485762855926</v>
      </c>
      <c r="C52" s="2">
        <f>C30+(($A$25-1)/3)*(C41-C30)</f>
        <v>0.58160645983850401</v>
      </c>
      <c r="D52" s="2">
        <f>D30+(($A$25-1)/3)*(D41-D30)</f>
        <v>0.97774755631109223</v>
      </c>
      <c r="E52" s="9">
        <f>E30+(($A$25-1)/3)*(E41-E30)</f>
        <v>5.831117508680034</v>
      </c>
      <c r="F52" s="9">
        <f t="shared" ref="F52:G57" si="19">F30+(($A$25-1)/3)*(F41-F30)</f>
        <v>1.6927347823143069</v>
      </c>
      <c r="G52" s="9">
        <f t="shared" si="19"/>
        <v>0.77681452776335125</v>
      </c>
      <c r="Y52"/>
      <c r="Z52"/>
      <c r="AA52"/>
      <c r="AB52"/>
      <c r="BC52"/>
      <c r="BD52"/>
      <c r="BE52"/>
      <c r="BF52"/>
    </row>
    <row r="53" spans="1:58">
      <c r="A53" s="10">
        <v>200</v>
      </c>
      <c r="B53" s="2">
        <f t="shared" ref="B53:E57" si="20">B31+(($A$25-1)/3)*(B42-B31)</f>
        <v>0.53635359116022097</v>
      </c>
      <c r="C53" s="2">
        <f t="shared" si="20"/>
        <v>0.80637484062898424</v>
      </c>
      <c r="D53" s="2">
        <f t="shared" si="20"/>
        <v>0.9994900127496813</v>
      </c>
      <c r="E53" s="9">
        <f t="shared" si="20"/>
        <v>6.9113686089587141</v>
      </c>
      <c r="F53" s="9">
        <f t="shared" si="19"/>
        <v>2.3579026792511302</v>
      </c>
      <c r="G53" s="9">
        <f t="shared" si="19"/>
        <v>1.5233220607500839</v>
      </c>
      <c r="Y53"/>
      <c r="Z53"/>
      <c r="AA53"/>
      <c r="AB53"/>
      <c r="BC53"/>
      <c r="BD53"/>
      <c r="BE53"/>
      <c r="BF53"/>
    </row>
    <row r="54" spans="1:58">
      <c r="A54" s="10">
        <v>400</v>
      </c>
      <c r="B54" s="2">
        <f t="shared" si="20"/>
        <v>0.77079473013174671</v>
      </c>
      <c r="C54" s="2">
        <f t="shared" si="20"/>
        <v>0.94825329366765831</v>
      </c>
      <c r="D54" s="2">
        <f t="shared" si="20"/>
        <v>1</v>
      </c>
      <c r="E54" s="9">
        <f t="shared" si="20"/>
        <v>8.8985501719327029</v>
      </c>
      <c r="F54" s="9">
        <f t="shared" si="19"/>
        <v>3.7012362128951066</v>
      </c>
      <c r="G54" s="9">
        <f t="shared" si="19"/>
        <v>3.0462861420091563</v>
      </c>
      <c r="Y54"/>
      <c r="Z54"/>
      <c r="AA54"/>
      <c r="AB54"/>
      <c r="BC54"/>
      <c r="BD54"/>
      <c r="BE54"/>
      <c r="BF54"/>
    </row>
    <row r="55" spans="1:58">
      <c r="A55" s="10">
        <v>600</v>
      </c>
      <c r="B55" s="2">
        <f t="shared" si="20"/>
        <v>0.87714407139821504</v>
      </c>
      <c r="C55" s="2">
        <f t="shared" si="20"/>
        <v>0.99121121971950699</v>
      </c>
      <c r="D55" s="2">
        <f t="shared" si="20"/>
        <v>1</v>
      </c>
      <c r="E55" s="9">
        <f t="shared" si="20"/>
        <v>10.680826390796179</v>
      </c>
      <c r="F55" s="9">
        <f t="shared" si="19"/>
        <v>5.0491935716552696</v>
      </c>
      <c r="G55" s="9">
        <f t="shared" si="19"/>
        <v>4.5710404994188245</v>
      </c>
      <c r="Y55"/>
      <c r="Z55"/>
      <c r="AA55"/>
      <c r="AB55"/>
      <c r="BC55"/>
      <c r="BD55"/>
      <c r="BE55"/>
      <c r="BF55"/>
    </row>
    <row r="56" spans="1:58">
      <c r="A56" s="10">
        <v>800</v>
      </c>
      <c r="B56" s="2">
        <f t="shared" si="20"/>
        <v>0.93120271993200165</v>
      </c>
      <c r="C56" s="2">
        <f t="shared" si="20"/>
        <v>0.99811304717382066</v>
      </c>
      <c r="D56" s="2">
        <f t="shared" si="20"/>
        <v>1</v>
      </c>
      <c r="E56" s="9">
        <f t="shared" si="20"/>
        <v>12.320256261330236</v>
      </c>
      <c r="F56" s="9">
        <f t="shared" si="19"/>
        <v>6.4273843300370039</v>
      </c>
      <c r="G56" s="9">
        <f t="shared" si="19"/>
        <v>6.0971095345727884</v>
      </c>
      <c r="Y56"/>
      <c r="Z56"/>
      <c r="AA56"/>
      <c r="AB56"/>
      <c r="BC56"/>
      <c r="BD56"/>
      <c r="BE56"/>
      <c r="BF56"/>
    </row>
    <row r="57" spans="1:58">
      <c r="A57" s="10">
        <v>1000</v>
      </c>
      <c r="B57" s="2">
        <f t="shared" si="20"/>
        <v>0.96339991500212496</v>
      </c>
      <c r="C57" s="2">
        <f t="shared" si="20"/>
        <v>1</v>
      </c>
      <c r="D57" s="2">
        <f t="shared" si="20"/>
        <v>1</v>
      </c>
      <c r="E57" s="9">
        <f t="shared" si="20"/>
        <v>13.819789939192926</v>
      </c>
      <c r="F57" s="9">
        <f t="shared" si="19"/>
        <v>7.8926954231386768</v>
      </c>
      <c r="G57" s="9">
        <f t="shared" si="19"/>
        <v>7.6237774728266778</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codeName="Sheet37"/>
  <dimension ref="A1:DD96"/>
  <sheetViews>
    <sheetView topLeftCell="W1" zoomScale="80" zoomScaleNormal="80" workbookViewId="0">
      <pane xSplit="8040" topLeftCell="BA1"/>
      <selection activeCell="AF40" sqref="AF40"/>
      <selection pane="topRight" activeCell="BF5" sqref="BF5"/>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1687400</v>
      </c>
      <c r="AL5" s="57">
        <v>10535</v>
      </c>
      <c r="AM5" s="57">
        <v>10535</v>
      </c>
      <c r="AN5" s="57">
        <v>10535</v>
      </c>
      <c r="AO5" s="57">
        <v>10535</v>
      </c>
      <c r="AP5" s="57">
        <v>10535</v>
      </c>
      <c r="AQ5" s="37"/>
      <c r="AR5" s="37"/>
      <c r="AS5" s="56">
        <v>0.1</v>
      </c>
      <c r="AT5" s="37" t="s">
        <v>0</v>
      </c>
      <c r="AU5" s="57">
        <v>1687400</v>
      </c>
      <c r="AV5" s="57">
        <v>10535</v>
      </c>
      <c r="AW5" s="57">
        <v>10535</v>
      </c>
      <c r="AX5" s="57">
        <v>10535</v>
      </c>
      <c r="AY5" s="57">
        <v>10535</v>
      </c>
      <c r="AZ5" s="57">
        <v>10535</v>
      </c>
      <c r="BA5" s="37"/>
      <c r="BB5" s="37"/>
      <c r="BC5" s="37"/>
      <c r="BD5" s="56">
        <v>0.1</v>
      </c>
      <c r="BE5" s="37" t="s">
        <v>0</v>
      </c>
      <c r="BF5" s="57">
        <v>1687400</v>
      </c>
      <c r="BG5" s="57">
        <v>10535</v>
      </c>
      <c r="BH5" s="57">
        <v>10535</v>
      </c>
      <c r="BI5" s="57">
        <v>10535</v>
      </c>
      <c r="BJ5" s="57">
        <v>10535</v>
      </c>
      <c r="BK5" s="57">
        <v>10535</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1132500</v>
      </c>
      <c r="AL6" s="57">
        <v>7070.3</v>
      </c>
      <c r="AM6" s="57">
        <v>7070.3</v>
      </c>
      <c r="AN6" s="57">
        <v>7070.3</v>
      </c>
      <c r="AO6" s="57">
        <v>7070.3</v>
      </c>
      <c r="AP6" s="57">
        <v>7070.3</v>
      </c>
      <c r="AQ6" s="37"/>
      <c r="AR6" s="37"/>
      <c r="AS6" s="56"/>
      <c r="AT6" s="37" t="s">
        <v>1</v>
      </c>
      <c r="AU6" s="57">
        <v>879330</v>
      </c>
      <c r="AV6" s="57">
        <v>5489.6</v>
      </c>
      <c r="AW6" s="57">
        <v>5489.6</v>
      </c>
      <c r="AX6" s="57">
        <v>5489.6</v>
      </c>
      <c r="AY6" s="57">
        <v>5489.6</v>
      </c>
      <c r="AZ6" s="57">
        <v>5489.6</v>
      </c>
      <c r="BA6" s="37"/>
      <c r="BB6" s="37"/>
      <c r="BC6" s="37"/>
      <c r="BD6" s="56"/>
      <c r="BE6" s="37" t="s">
        <v>1</v>
      </c>
      <c r="BF6" s="57">
        <v>646700</v>
      </c>
      <c r="BG6" s="57">
        <v>4037.6</v>
      </c>
      <c r="BH6" s="57">
        <v>4037.6</v>
      </c>
      <c r="BI6" s="57">
        <v>4037.6</v>
      </c>
      <c r="BJ6" s="57">
        <v>4037.6</v>
      </c>
      <c r="BK6" s="57">
        <v>4037.6</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3.8737373737373737</v>
      </c>
      <c r="D7"/>
      <c r="E7" t="s">
        <v>119</v>
      </c>
      <c r="F7"/>
      <c r="G7" s="103">
        <f>C7*12</f>
        <v>46.484848484848484</v>
      </c>
      <c r="H7"/>
      <c r="I7"/>
      <c r="J7"/>
      <c r="K7"/>
      <c r="L7"/>
      <c r="M7"/>
      <c r="N7"/>
      <c r="O7"/>
      <c r="P7"/>
      <c r="Q7"/>
      <c r="R7"/>
      <c r="S7"/>
      <c r="T7"/>
      <c r="U7"/>
      <c r="V7"/>
      <c r="W7"/>
      <c r="X7"/>
      <c r="Y7"/>
      <c r="Z7"/>
      <c r="AA7"/>
      <c r="AB7"/>
      <c r="AC7"/>
      <c r="AD7"/>
      <c r="AE7"/>
      <c r="AF7"/>
      <c r="AG7"/>
      <c r="AH7" s="37"/>
      <c r="AI7" s="56"/>
      <c r="AJ7" s="37" t="s">
        <v>2</v>
      </c>
      <c r="AK7" s="57">
        <v>554940</v>
      </c>
      <c r="AL7" s="57">
        <v>3464.7</v>
      </c>
      <c r="AM7" s="57">
        <v>3464.7</v>
      </c>
      <c r="AN7" s="57">
        <v>3464.7</v>
      </c>
      <c r="AO7" s="57">
        <v>3464.7</v>
      </c>
      <c r="AP7" s="57">
        <v>3464.7</v>
      </c>
      <c r="AQ7" s="37"/>
      <c r="AR7" s="37"/>
      <c r="AS7" s="56"/>
      <c r="AT7" s="37" t="s">
        <v>2</v>
      </c>
      <c r="AU7" s="57">
        <v>808110</v>
      </c>
      <c r="AV7" s="57">
        <v>5045.3</v>
      </c>
      <c r="AW7" s="57">
        <v>5045.3</v>
      </c>
      <c r="AX7" s="57">
        <v>5045.3</v>
      </c>
      <c r="AY7" s="57">
        <v>5045.3</v>
      </c>
      <c r="AZ7" s="57">
        <v>5045.3</v>
      </c>
      <c r="BA7" s="37"/>
      <c r="BB7" s="37"/>
      <c r="BC7" s="37"/>
      <c r="BD7" s="56"/>
      <c r="BE7" s="37" t="s">
        <v>2</v>
      </c>
      <c r="BF7" s="57">
        <v>1040600</v>
      </c>
      <c r="BG7" s="57">
        <v>6496.7</v>
      </c>
      <c r="BH7" s="57">
        <v>6496.7</v>
      </c>
      <c r="BI7" s="57">
        <v>6496.7</v>
      </c>
      <c r="BJ7" s="57">
        <v>6496.7</v>
      </c>
      <c r="BK7" s="57">
        <v>6496.7</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1132200</v>
      </c>
      <c r="AL8" s="57">
        <v>7056.6</v>
      </c>
      <c r="AM8" s="57">
        <v>6863.3</v>
      </c>
      <c r="AN8" s="57">
        <v>4526.1000000000004</v>
      </c>
      <c r="AO8" s="57">
        <v>15.395</v>
      </c>
      <c r="AP8" s="57">
        <v>1.9087000000000001</v>
      </c>
      <c r="AQ8" s="37"/>
      <c r="AR8" s="37"/>
      <c r="AS8" s="56"/>
      <c r="AT8" s="37" t="s">
        <v>3</v>
      </c>
      <c r="AU8" s="57">
        <v>879100</v>
      </c>
      <c r="AV8" s="57">
        <v>5473.9</v>
      </c>
      <c r="AW8" s="57">
        <v>5242.7</v>
      </c>
      <c r="AX8" s="57">
        <v>2366.5</v>
      </c>
      <c r="AY8" s="57">
        <v>3.0356999999999998</v>
      </c>
      <c r="AZ8" s="57">
        <v>1.3680000000000001</v>
      </c>
      <c r="BA8" s="37"/>
      <c r="BB8" s="37"/>
      <c r="BC8" s="37"/>
      <c r="BD8" s="56"/>
      <c r="BE8" s="37" t="s">
        <v>3</v>
      </c>
      <c r="BF8" s="57">
        <v>646080</v>
      </c>
      <c r="BG8" s="57">
        <v>4013.1</v>
      </c>
      <c r="BH8" s="57">
        <v>3697.8</v>
      </c>
      <c r="BI8" s="57">
        <v>648.33000000000004</v>
      </c>
      <c r="BJ8" s="57">
        <v>0.53215000000000001</v>
      </c>
      <c r="BK8" s="57">
        <v>0.23691999999999999</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13.18</v>
      </c>
      <c r="AM10" s="57">
        <v>205.27</v>
      </c>
      <c r="AN10" s="57">
        <v>2542.1</v>
      </c>
      <c r="AO10" s="57">
        <v>7053.2</v>
      </c>
      <c r="AP10" s="57">
        <v>7066.6</v>
      </c>
      <c r="AQ10" s="37"/>
      <c r="AR10" s="37"/>
      <c r="AS10" s="56"/>
      <c r="AT10" s="37" t="s">
        <v>5</v>
      </c>
      <c r="AU10" s="57">
        <v>0</v>
      </c>
      <c r="AV10" s="57">
        <v>15.51</v>
      </c>
      <c r="AW10" s="57">
        <v>245.52</v>
      </c>
      <c r="AX10" s="57">
        <v>3121.6</v>
      </c>
      <c r="AY10" s="57">
        <v>5484.8</v>
      </c>
      <c r="AZ10" s="57">
        <v>5486.5</v>
      </c>
      <c r="BA10" s="37"/>
      <c r="BB10" s="37"/>
      <c r="BC10" s="37"/>
      <c r="BD10" s="56"/>
      <c r="BE10" s="37" t="s">
        <v>5</v>
      </c>
      <c r="BF10" s="57">
        <v>0.39559</v>
      </c>
      <c r="BG10" s="57">
        <v>21.85</v>
      </c>
      <c r="BH10" s="57">
        <v>337.02</v>
      </c>
      <c r="BI10" s="57">
        <v>3386.6</v>
      </c>
      <c r="BJ10" s="57">
        <v>4034.4</v>
      </c>
      <c r="BK10" s="57">
        <v>4034.7</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0.6711508830152898</v>
      </c>
      <c r="C11" s="75">
        <f t="shared" ref="C11:C19" si="0">(($C$4*D11)+($D$4*E11)+($E$4*F11)+($F$4*G11)+($G$4*I11))</f>
        <v>0.47499235880398671</v>
      </c>
      <c r="D11" s="75">
        <f>AL10/$AL$5</f>
        <v>1.2510678690080682E-3</v>
      </c>
      <c r="E11" s="75">
        <f>AM$10/AM$5</f>
        <v>1.9484575225439015E-2</v>
      </c>
      <c r="F11" s="75">
        <f>AN$10/AN$5</f>
        <v>0.24130042714760322</v>
      </c>
      <c r="G11" s="75">
        <f>AO$10/AO$5</f>
        <v>0.6695016611295681</v>
      </c>
      <c r="H11" s="76">
        <f t="shared" ref="H11:H19" si="1">($D$4*E11+$E$4*F11+$F$4*G11)/(SUM($D$4:$F$4))</f>
        <v>0.31009555450087012</v>
      </c>
      <c r="I11" s="75">
        <f>AP10/$AP$5</f>
        <v>0.67077361177028949</v>
      </c>
      <c r="J11" s="75">
        <f>(($C$5*D11)+($D$5*E11)+($E$5*F11)+($F$5*G11)+($G$5*I11))</f>
        <v>0.30151988609397251</v>
      </c>
      <c r="K11"/>
      <c r="L11" s="68">
        <v>0.1</v>
      </c>
      <c r="M11" s="69">
        <f>AU6/$AK$5</f>
        <v>0.52111532535261351</v>
      </c>
      <c r="N11" s="69">
        <f t="shared" ref="N11:N19" si="2">(($C$4*O11)+($D$4*P11)+($E$4*Q11)+($F$4*R11)+($G$4*T11))</f>
        <v>0.38650341718082581</v>
      </c>
      <c r="O11" s="69">
        <f>AV10/$AL$5</f>
        <v>1.4722354057902229E-3</v>
      </c>
      <c r="P11" s="69">
        <f>AW$10/AW$5</f>
        <v>2.3305173232083531E-2</v>
      </c>
      <c r="Q11" s="69">
        <f>AX$10/AX$5</f>
        <v>0.29630754627432365</v>
      </c>
      <c r="R11" s="69">
        <f>AY$10/AY$5</f>
        <v>0.52062648315140014</v>
      </c>
      <c r="S11" s="70">
        <f t="shared" ref="S11:S19" si="3">($D$4*P11+$E$4*Q11+$F$4*R11)/(SUM($D$4:$F$4))</f>
        <v>0.28007973421926913</v>
      </c>
      <c r="T11" s="69">
        <f>AZ10/$AP$5</f>
        <v>0.5207878500237304</v>
      </c>
      <c r="U11" s="69">
        <f>(($C$5*O11)+($D$5*P11)+($E$5*Q11)+($F$5*R11)+($G$5*T11))</f>
        <v>0.27953535832937826</v>
      </c>
      <c r="V11"/>
      <c r="W11" s="84">
        <v>0.1</v>
      </c>
      <c r="X11" s="85">
        <f>BF6/$AK$5</f>
        <v>0.38325234087945953</v>
      </c>
      <c r="Y11" s="85">
        <f t="shared" ref="Y11:Y19" si="4">(($C$4*Z11)+($D$4*AA11)+($E$4*AB11)+($F$4*AC11)+($G$4*AE11))</f>
        <v>0.30205462743236827</v>
      </c>
      <c r="Z11" s="85">
        <f>BG10/$AL$5</f>
        <v>2.0740389178927386E-3</v>
      </c>
      <c r="AA11" s="85">
        <f>BH$10/BH$5</f>
        <v>3.1990507831039391E-2</v>
      </c>
      <c r="AB11" s="85">
        <f>BI$10/BI$5</f>
        <v>0.32146179401993352</v>
      </c>
      <c r="AC11" s="85">
        <f>BJ$10/BJ$5</f>
        <v>0.38295206454674896</v>
      </c>
      <c r="AD11" s="86">
        <f t="shared" ref="AD11:AD19" si="5">($D$4*AA11+$E$4*AB11+$F$4*AC11)/(SUM($D$4:$F$4))</f>
        <v>0.24546812213257396</v>
      </c>
      <c r="AE11" s="85">
        <f>BK10/$AP$5</f>
        <v>0.38298054105363072</v>
      </c>
      <c r="AF11" s="85">
        <f>(($C$5*Z11)+($D$5*AA11)+($E$5*AB11)+($F$5*AC11)+($G$5*AE11))</f>
        <v>0.25007869008068345</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0.88147445774564415</v>
      </c>
      <c r="C12" s="75">
        <f t="shared" si="0"/>
        <v>0.63678863312766976</v>
      </c>
      <c r="D12" s="75">
        <f>AL17/$AL$5</f>
        <v>2.426672994779307E-3</v>
      </c>
      <c r="E12" s="75">
        <f>AM17/AM$5</f>
        <v>3.6193640246796395E-2</v>
      </c>
      <c r="F12" s="75">
        <f>AN17/AN$5</f>
        <v>0.39171333649738965</v>
      </c>
      <c r="G12" s="75">
        <f>AO17/AO$5</f>
        <v>0.88007593735168488</v>
      </c>
      <c r="H12" s="76">
        <f t="shared" si="1"/>
        <v>0.43599430469862366</v>
      </c>
      <c r="I12" s="75">
        <f>AP17/$AP$5</f>
        <v>0.88093972472710025</v>
      </c>
      <c r="J12" s="75">
        <f t="shared" ref="J12:J18" si="6">(($C$5*D12)+($D$5*E12)+($E$5*F12)+($F$5*G12)+($G$5*I12))</f>
        <v>0.42827588989084009</v>
      </c>
      <c r="K12"/>
      <c r="L12" s="68">
        <v>0.2</v>
      </c>
      <c r="M12" s="69">
        <f>AU13/$AK$5</f>
        <v>0.75358539765319421</v>
      </c>
      <c r="N12" s="69">
        <f t="shared" si="2"/>
        <v>0.56938302800189844</v>
      </c>
      <c r="O12" s="69">
        <f>AV17/$AL$5</f>
        <v>3.2182249644043667E-3</v>
      </c>
      <c r="P12" s="69">
        <f>AW17/AW$5</f>
        <v>4.6416706217370672E-2</v>
      </c>
      <c r="Q12" s="69">
        <f>AX17/AX$5</f>
        <v>0.48448979591836738</v>
      </c>
      <c r="R12" s="69">
        <f>AY17/AY$5</f>
        <v>0.75316563834836259</v>
      </c>
      <c r="S12" s="70">
        <f t="shared" si="3"/>
        <v>0.42802404682803358</v>
      </c>
      <c r="T12" s="69">
        <f>AZ17/$AP$5</f>
        <v>0.75322259136212621</v>
      </c>
      <c r="U12" s="69">
        <f t="shared" ref="U12:U18" si="7">(($C$5*O12)+($D$5*P12)+($E$5*Q12)+($F$5*R12)+($G$5*T12))</f>
        <v>0.42935646891314672</v>
      </c>
      <c r="V12"/>
      <c r="W12" s="84">
        <v>0.2</v>
      </c>
      <c r="X12" s="85">
        <f>BF13/$AK$5</f>
        <v>0.6223776223776224</v>
      </c>
      <c r="Y12" s="85">
        <f t="shared" si="4"/>
        <v>0.49358999050783109</v>
      </c>
      <c r="Z12" s="85">
        <f>BG17/$AL$5</f>
        <v>3.9915519696250594E-3</v>
      </c>
      <c r="AA12" s="85">
        <f>BH17/BH$5</f>
        <v>5.8672994779307069E-2</v>
      </c>
      <c r="AB12" s="85">
        <f>BI17/BI$5</f>
        <v>0.53554817275747513</v>
      </c>
      <c r="AC12" s="85">
        <f>BJ17/BJ$5</f>
        <v>0.62192691029900338</v>
      </c>
      <c r="AD12" s="86">
        <f t="shared" si="5"/>
        <v>0.4053826926119285</v>
      </c>
      <c r="AE12" s="85">
        <f>BK17/$AP$5</f>
        <v>0.621936402467964</v>
      </c>
      <c r="AF12" s="85">
        <f t="shared" ref="AF12:AF18" si="8">(($C$5*Z12)+($D$5*AA12)+($E$5*AB12)+($F$5*AC12)+($G$5*AE12))</f>
        <v>0.41293204556241103</v>
      </c>
      <c r="AG12"/>
      <c r="AH12" s="37"/>
      <c r="AI12" s="56">
        <v>0.2</v>
      </c>
      <c r="AJ12" s="37" t="s">
        <v>0</v>
      </c>
      <c r="AK12" s="57">
        <v>1687400</v>
      </c>
      <c r="AL12" s="57">
        <v>10535</v>
      </c>
      <c r="AM12" s="57">
        <v>10535</v>
      </c>
      <c r="AN12" s="57">
        <v>10535</v>
      </c>
      <c r="AO12" s="57">
        <v>10535</v>
      </c>
      <c r="AP12" s="57">
        <v>10535</v>
      </c>
      <c r="AQ12" s="37"/>
      <c r="AR12" s="37"/>
      <c r="AS12" s="56">
        <v>0.2</v>
      </c>
      <c r="AT12" s="37" t="s">
        <v>0</v>
      </c>
      <c r="AU12" s="57">
        <v>1687400</v>
      </c>
      <c r="AV12" s="57">
        <v>10535</v>
      </c>
      <c r="AW12" s="57">
        <v>10535</v>
      </c>
      <c r="AX12" s="57">
        <v>10535</v>
      </c>
      <c r="AY12" s="57">
        <v>10535</v>
      </c>
      <c r="AZ12" s="57">
        <v>10535</v>
      </c>
      <c r="BA12" s="37"/>
      <c r="BB12" s="37"/>
      <c r="BC12" s="37"/>
      <c r="BD12" s="56">
        <v>0.2</v>
      </c>
      <c r="BE12" s="37" t="s">
        <v>0</v>
      </c>
      <c r="BF12" s="57">
        <v>1687400</v>
      </c>
      <c r="BG12" s="57">
        <v>10535</v>
      </c>
      <c r="BH12" s="57">
        <v>10535</v>
      </c>
      <c r="BI12" s="57">
        <v>10535</v>
      </c>
      <c r="BJ12" s="57">
        <v>10535</v>
      </c>
      <c r="BK12" s="57">
        <v>10535</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0.97457627118644063</v>
      </c>
      <c r="C13" s="75">
        <f t="shared" si="0"/>
        <v>0.72471603227337444</v>
      </c>
      <c r="D13" s="75">
        <f>AL24/$AL$5</f>
        <v>4.6699572852396771E-3</v>
      </c>
      <c r="E13" s="75">
        <f>AM24/AM$5</f>
        <v>6.3966777408637876E-2</v>
      </c>
      <c r="F13" s="75">
        <f>AN24/AN$5</f>
        <v>0.5462363550071192</v>
      </c>
      <c r="G13" s="75">
        <f>AO24/AO$5</f>
        <v>0.97304224015187468</v>
      </c>
      <c r="H13" s="76">
        <f t="shared" si="1"/>
        <v>0.52774845752254396</v>
      </c>
      <c r="I13" s="75">
        <f>AP24/$AP$5</f>
        <v>0.97399145704793544</v>
      </c>
      <c r="J13" s="75">
        <f t="shared" si="6"/>
        <v>0.52376248694826777</v>
      </c>
      <c r="K13"/>
      <c r="L13" s="68">
        <v>0.4</v>
      </c>
      <c r="M13" s="69">
        <f>AU20/$AK$5</f>
        <v>0.92041009837620003</v>
      </c>
      <c r="N13" s="69">
        <f t="shared" si="2"/>
        <v>0.70767127195064072</v>
      </c>
      <c r="O13" s="69">
        <f>AV24/$AL$5</f>
        <v>5.4093023255813956E-3</v>
      </c>
      <c r="P13" s="69">
        <f>AW24/AW$5</f>
        <v>7.4005695301376365E-2</v>
      </c>
      <c r="Q13" s="69">
        <f>AX24/AX$5</f>
        <v>0.6554912197437115</v>
      </c>
      <c r="R13" s="69">
        <f>AY24/AY$5</f>
        <v>0.91990507831039403</v>
      </c>
      <c r="S13" s="70">
        <f t="shared" si="3"/>
        <v>0.5498006644518274</v>
      </c>
      <c r="T13" s="69">
        <f>AZ24/$AP$5</f>
        <v>0.91998101566207879</v>
      </c>
      <c r="U13" s="69">
        <f t="shared" si="7"/>
        <v>0.55351767441860478</v>
      </c>
      <c r="V13"/>
      <c r="W13" s="84">
        <v>0.4</v>
      </c>
      <c r="X13" s="85">
        <f>BF20/$AK$5</f>
        <v>0.82357473035439133</v>
      </c>
      <c r="Y13" s="85">
        <f t="shared" si="4"/>
        <v>0.66096648789748458</v>
      </c>
      <c r="Z13" s="85">
        <f>BG24/$AL$5</f>
        <v>7.1987660180351208E-3</v>
      </c>
      <c r="AA13" s="85">
        <f>BH24/BH$5</f>
        <v>9.7437114380635972E-2</v>
      </c>
      <c r="AB13" s="85">
        <f>BI24/BI$5</f>
        <v>0.73954437588989086</v>
      </c>
      <c r="AC13" s="85">
        <f>BJ24/BJ$5</f>
        <v>0.82316089226388234</v>
      </c>
      <c r="AD13" s="86">
        <f t="shared" si="5"/>
        <v>0.55338079417813635</v>
      </c>
      <c r="AE13" s="85">
        <f>BK24/$AP$5</f>
        <v>0.82317038443284296</v>
      </c>
      <c r="AF13" s="85">
        <f t="shared" si="8"/>
        <v>0.56297426672994788</v>
      </c>
      <c r="AG13"/>
      <c r="AH13" s="37"/>
      <c r="AI13" s="56"/>
      <c r="AJ13" s="37" t="s">
        <v>1</v>
      </c>
      <c r="AK13" s="57">
        <v>1487400</v>
      </c>
      <c r="AL13" s="57">
        <v>9286</v>
      </c>
      <c r="AM13" s="57">
        <v>9286</v>
      </c>
      <c r="AN13" s="57">
        <v>9286</v>
      </c>
      <c r="AO13" s="57">
        <v>9286</v>
      </c>
      <c r="AP13" s="57">
        <v>9286</v>
      </c>
      <c r="AQ13" s="37"/>
      <c r="AR13" s="37"/>
      <c r="AS13" s="56"/>
      <c r="AT13" s="37" t="s">
        <v>1</v>
      </c>
      <c r="AU13" s="57">
        <v>1271600</v>
      </c>
      <c r="AV13" s="57">
        <v>7938.9</v>
      </c>
      <c r="AW13" s="57">
        <v>7938.9</v>
      </c>
      <c r="AX13" s="57">
        <v>7938.9</v>
      </c>
      <c r="AY13" s="57">
        <v>7938.9</v>
      </c>
      <c r="AZ13" s="57">
        <v>7938.9</v>
      </c>
      <c r="BA13" s="37"/>
      <c r="BB13" s="37"/>
      <c r="BC13" s="37"/>
      <c r="BD13" s="56"/>
      <c r="BE13" s="37" t="s">
        <v>1</v>
      </c>
      <c r="BF13" s="57">
        <v>1050200</v>
      </c>
      <c r="BG13" s="57">
        <v>6556.8</v>
      </c>
      <c r="BH13" s="57">
        <v>6556.8</v>
      </c>
      <c r="BI13" s="57">
        <v>6556.8</v>
      </c>
      <c r="BJ13" s="57">
        <v>6556.8</v>
      </c>
      <c r="BK13" s="57">
        <v>6556.8</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0.99105132155979614</v>
      </c>
      <c r="C14" s="75">
        <f t="shared" si="0"/>
        <v>0.75439702895111527</v>
      </c>
      <c r="D14" s="75">
        <f>AL31/$AL$5</f>
        <v>6.9135263407688659E-3</v>
      </c>
      <c r="E14" s="75">
        <f>AM31/AM$5</f>
        <v>8.9439012814428093E-2</v>
      </c>
      <c r="F14" s="75">
        <f>AN31/AN$5</f>
        <v>0.64682486948267681</v>
      </c>
      <c r="G14" s="75">
        <f>AO31/AO$5</f>
        <v>0.98936877076411955</v>
      </c>
      <c r="H14" s="76">
        <f t="shared" si="1"/>
        <v>0.57521088435374146</v>
      </c>
      <c r="I14" s="75">
        <f>AP31/$AP$5</f>
        <v>0.99041290934978643</v>
      </c>
      <c r="J14" s="75">
        <f t="shared" si="6"/>
        <v>0.57422414807783584</v>
      </c>
      <c r="K14"/>
      <c r="L14" s="68">
        <v>0.6</v>
      </c>
      <c r="M14" s="69">
        <f>AU27/$AK$5</f>
        <v>0.9700723005807752</v>
      </c>
      <c r="N14" s="69">
        <f t="shared" si="2"/>
        <v>0.75948404366397715</v>
      </c>
      <c r="O14" s="69">
        <f>AV31/$AL$5</f>
        <v>8.1526340768865689E-3</v>
      </c>
      <c r="P14" s="69">
        <f>AW31/AW$5</f>
        <v>0.10314190792596108</v>
      </c>
      <c r="Q14" s="69">
        <f>AX31/AX$5</f>
        <v>0.75607024205030848</v>
      </c>
      <c r="R14" s="69">
        <f>AY31/AY$5</f>
        <v>0.96953013763644991</v>
      </c>
      <c r="S14" s="70">
        <f t="shared" si="3"/>
        <v>0.60958076253757321</v>
      </c>
      <c r="T14" s="69">
        <f>AZ31/$AP$5</f>
        <v>0.96953013763644991</v>
      </c>
      <c r="U14" s="69">
        <f t="shared" si="7"/>
        <v>0.61473078310393925</v>
      </c>
      <c r="V14"/>
      <c r="W14" s="84">
        <v>0.6</v>
      </c>
      <c r="X14" s="85">
        <f>BF27/$AK$5</f>
        <v>0.91572833945715304</v>
      </c>
      <c r="Y14" s="85">
        <f t="shared" si="4"/>
        <v>0.74158248694826767</v>
      </c>
      <c r="Z14" s="85">
        <f>BG31/$AL$5</f>
        <v>1.0320835310868534E-2</v>
      </c>
      <c r="AA14" s="85">
        <f>BH31/BH$5</f>
        <v>0.13027052681537732</v>
      </c>
      <c r="AB14" s="85">
        <f>BI31/BI$5</f>
        <v>0.84407214048410051</v>
      </c>
      <c r="AC14" s="85">
        <f>BJ31/BJ$5</f>
        <v>0.91525391551969637</v>
      </c>
      <c r="AD14" s="86">
        <f t="shared" si="5"/>
        <v>0.62986552760639147</v>
      </c>
      <c r="AE14" s="85">
        <f>BK31/$AP$5</f>
        <v>0.91525391551969637</v>
      </c>
      <c r="AF14" s="85">
        <f t="shared" si="8"/>
        <v>0.6392912197437115</v>
      </c>
      <c r="AG14"/>
      <c r="AH14" s="37"/>
      <c r="AI14" s="56"/>
      <c r="AJ14" s="37" t="s">
        <v>2</v>
      </c>
      <c r="AK14" s="57">
        <v>200040</v>
      </c>
      <c r="AL14" s="57">
        <v>1248.9000000000001</v>
      </c>
      <c r="AM14" s="57">
        <v>1248.9000000000001</v>
      </c>
      <c r="AN14" s="57">
        <v>1248.9000000000001</v>
      </c>
      <c r="AO14" s="57">
        <v>1248.9000000000001</v>
      </c>
      <c r="AP14" s="57">
        <v>1248.9000000000001</v>
      </c>
      <c r="AQ14" s="37"/>
      <c r="AR14" s="37"/>
      <c r="AS14" s="56"/>
      <c r="AT14" s="37" t="s">
        <v>2</v>
      </c>
      <c r="AU14" s="57">
        <v>415840</v>
      </c>
      <c r="AV14" s="57">
        <v>2596.3000000000002</v>
      </c>
      <c r="AW14" s="57">
        <v>2596.3000000000002</v>
      </c>
      <c r="AX14" s="57">
        <v>2596.3000000000002</v>
      </c>
      <c r="AY14" s="57">
        <v>2596.3000000000002</v>
      </c>
      <c r="AZ14" s="57">
        <v>2596.3000000000002</v>
      </c>
      <c r="BA14" s="37"/>
      <c r="BB14" s="37"/>
      <c r="BC14" s="37"/>
      <c r="BD14" s="56"/>
      <c r="BE14" s="37" t="s">
        <v>2</v>
      </c>
      <c r="BF14" s="57">
        <v>637330</v>
      </c>
      <c r="BG14" s="57">
        <v>3979.1</v>
      </c>
      <c r="BH14" s="57">
        <v>3979.1</v>
      </c>
      <c r="BI14" s="57">
        <v>3979.1</v>
      </c>
      <c r="BJ14" s="57">
        <v>3979.1</v>
      </c>
      <c r="BK14" s="57">
        <v>3979.1</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0.99573308047884324</v>
      </c>
      <c r="C15" s="75">
        <f t="shared" si="0"/>
        <v>0.7701458234456573</v>
      </c>
      <c r="D15" s="75">
        <f>AL38/$AL$5</f>
        <v>9.1053630754627437E-3</v>
      </c>
      <c r="E15" s="75">
        <f>AM38/AM$5</f>
        <v>0.11243474133839583</v>
      </c>
      <c r="F15" s="75">
        <f>AN38/AN$5</f>
        <v>0.70793545325106788</v>
      </c>
      <c r="G15" s="75">
        <f>AO38/AO$5</f>
        <v>0.99401993355481733</v>
      </c>
      <c r="H15" s="76">
        <f t="shared" si="1"/>
        <v>0.60479670938142704</v>
      </c>
      <c r="I15" s="75">
        <f>AP38/$AP$5</f>
        <v>0.99506407214048409</v>
      </c>
      <c r="J15" s="75">
        <f t="shared" si="6"/>
        <v>0.60488205980066456</v>
      </c>
      <c r="K15"/>
      <c r="L15" s="68">
        <v>0.8</v>
      </c>
      <c r="M15" s="69">
        <f>AU34/$AK$5</f>
        <v>0.98482873059144249</v>
      </c>
      <c r="N15" s="69">
        <f t="shared" si="2"/>
        <v>0.78370645467489319</v>
      </c>
      <c r="O15" s="69">
        <f>AV38/$AL$5</f>
        <v>1.0863787375415282E-2</v>
      </c>
      <c r="P15" s="69">
        <f>AW38/AW$5</f>
        <v>0.12978642619838632</v>
      </c>
      <c r="Q15" s="69">
        <f>AX38/AX$5</f>
        <v>0.82583768391077372</v>
      </c>
      <c r="R15" s="69">
        <f>AY38/AY$5</f>
        <v>0.98433792121499764</v>
      </c>
      <c r="S15" s="70">
        <f t="shared" si="3"/>
        <v>0.64665401044138593</v>
      </c>
      <c r="T15" s="69">
        <f>AZ38/$AP$5</f>
        <v>0.98433792121499764</v>
      </c>
      <c r="U15" s="69">
        <f t="shared" si="7"/>
        <v>0.65268011390602765</v>
      </c>
      <c r="V15"/>
      <c r="W15" s="84">
        <v>0.8</v>
      </c>
      <c r="X15" s="85">
        <f>BF34/$AK$5</f>
        <v>0.95733080478843191</v>
      </c>
      <c r="Y15" s="85">
        <f t="shared" si="4"/>
        <v>0.78070066445182729</v>
      </c>
      <c r="Z15" s="85">
        <f>BG38/$AL$5</f>
        <v>1.3282392026578074E-2</v>
      </c>
      <c r="AA15" s="85">
        <f>BH38/BH$5</f>
        <v>0.1580825818699573</v>
      </c>
      <c r="AB15" s="85">
        <f>BI38/BI$5</f>
        <v>0.89639297579496913</v>
      </c>
      <c r="AC15" s="85">
        <f>BJ38/BJ$5</f>
        <v>0.95671570953962981</v>
      </c>
      <c r="AD15" s="86">
        <f t="shared" si="5"/>
        <v>0.67039708906818551</v>
      </c>
      <c r="AE15" s="85">
        <f>BK38/$AP$5</f>
        <v>0.95671570953962981</v>
      </c>
      <c r="AF15" s="85">
        <f t="shared" si="8"/>
        <v>0.67851665875652589</v>
      </c>
      <c r="AG15"/>
      <c r="AH15" s="37"/>
      <c r="AI15" s="56"/>
      <c r="AJ15" s="37" t="s">
        <v>3</v>
      </c>
      <c r="AK15" s="57">
        <v>1487200</v>
      </c>
      <c r="AL15" s="57">
        <v>9259</v>
      </c>
      <c r="AM15" s="57">
        <v>8903</v>
      </c>
      <c r="AN15" s="57">
        <v>5157.8</v>
      </c>
      <c r="AO15" s="57">
        <v>12.62</v>
      </c>
      <c r="AP15" s="57">
        <v>3.6709999999999998</v>
      </c>
      <c r="AQ15" s="37"/>
      <c r="AR15" s="37"/>
      <c r="AS15" s="56"/>
      <c r="AT15" s="37" t="s">
        <v>3</v>
      </c>
      <c r="AU15" s="57">
        <v>1271100</v>
      </c>
      <c r="AV15" s="57">
        <v>7902</v>
      </c>
      <c r="AW15" s="57">
        <v>7446.2</v>
      </c>
      <c r="AX15" s="57">
        <v>2831.5</v>
      </c>
      <c r="AY15" s="57">
        <v>1.2131000000000001</v>
      </c>
      <c r="AZ15" s="57">
        <v>0.64563999999999999</v>
      </c>
      <c r="BA15" s="37"/>
      <c r="BB15" s="37"/>
      <c r="BC15" s="37"/>
      <c r="BD15" s="56"/>
      <c r="BE15" s="37" t="s">
        <v>3</v>
      </c>
      <c r="BF15" s="57">
        <v>1049800</v>
      </c>
      <c r="BG15" s="57">
        <v>6510.6</v>
      </c>
      <c r="BH15" s="57">
        <v>5933.7</v>
      </c>
      <c r="BI15" s="57">
        <v>910.6</v>
      </c>
      <c r="BJ15" s="57">
        <v>0.40107999999999999</v>
      </c>
      <c r="BK15" s="57">
        <v>0.30608000000000002</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0.99851843072182056</v>
      </c>
      <c r="C16" s="75">
        <f t="shared" si="0"/>
        <v>0.78210118652112004</v>
      </c>
      <c r="D16" s="75">
        <f>AL45/$AL$5</f>
        <v>1.1259610821072616E-2</v>
      </c>
      <c r="E16" s="75">
        <f>AM45/AM$5</f>
        <v>0.13358329378262931</v>
      </c>
      <c r="F16" s="75">
        <f>AN45/AN$5</f>
        <v>0.75333649738965347</v>
      </c>
      <c r="G16" s="75">
        <f>AO45/AO$5</f>
        <v>0.9969625059326056</v>
      </c>
      <c r="H16" s="76">
        <f t="shared" si="1"/>
        <v>0.62796076570162962</v>
      </c>
      <c r="I16" s="75">
        <f>AP45/$AP$5</f>
        <v>0.99791172282866636</v>
      </c>
      <c r="J16" s="75">
        <f t="shared" si="6"/>
        <v>0.62836089226388225</v>
      </c>
      <c r="K16"/>
      <c r="L16" s="68">
        <v>1</v>
      </c>
      <c r="M16" s="69">
        <f>AU41/$AK$5</f>
        <v>0.99093279601754181</v>
      </c>
      <c r="N16" s="69">
        <f t="shared" si="2"/>
        <v>0.79380047460844805</v>
      </c>
      <c r="O16" s="69">
        <f>AV45/$AL$5</f>
        <v>1.288656858092074E-2</v>
      </c>
      <c r="P16" s="69">
        <f>AW45/AW$5</f>
        <v>0.14901756051257714</v>
      </c>
      <c r="Q16" s="69">
        <f>AX45/AX$5</f>
        <v>0.84690080683436164</v>
      </c>
      <c r="R16" s="69">
        <f>AY45/AY$5</f>
        <v>0.99041290934978643</v>
      </c>
      <c r="S16" s="70">
        <f t="shared" si="3"/>
        <v>0.66211042556557509</v>
      </c>
      <c r="T16" s="69">
        <f>AZ45/$AP$5</f>
        <v>0.99041290934978643</v>
      </c>
      <c r="U16" s="69">
        <f t="shared" si="7"/>
        <v>0.6669763644992881</v>
      </c>
      <c r="V16"/>
      <c r="W16" s="84">
        <v>1</v>
      </c>
      <c r="X16" s="85">
        <f>BF41/$AK$5</f>
        <v>0.97279838805262531</v>
      </c>
      <c r="Y16" s="85">
        <f t="shared" si="4"/>
        <v>0.79831158044613193</v>
      </c>
      <c r="Z16" s="85">
        <f>BG45/$AL$5</f>
        <v>1.60749881347888E-2</v>
      </c>
      <c r="AA16" s="85">
        <f>BH45/BH$5</f>
        <v>0.18215472235405791</v>
      </c>
      <c r="AB16" s="85">
        <f>BI45/BI$5</f>
        <v>0.92133839582344557</v>
      </c>
      <c r="AC16" s="85">
        <f>BJ45/BJ$5</f>
        <v>0.97228286663502606</v>
      </c>
      <c r="AD16" s="86">
        <f t="shared" si="5"/>
        <v>0.6919253282708433</v>
      </c>
      <c r="AE16" s="85">
        <f>BK45/$AP$5</f>
        <v>0.97228286663502606</v>
      </c>
      <c r="AF16" s="85">
        <f t="shared" si="8"/>
        <v>0.69825866160417649</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0.79131139060275268</v>
      </c>
      <c r="D17" s="75">
        <f>AL52/$AL$5</f>
        <v>1.3384907451352634E-2</v>
      </c>
      <c r="E17" s="75">
        <f>AM52/AM$5</f>
        <v>0.15362126245847177</v>
      </c>
      <c r="F17" s="75">
        <f>AN52/AN$5</f>
        <v>0.78763170384432846</v>
      </c>
      <c r="G17" s="75">
        <f>AO52/AO$5</f>
        <v>0.99857617465590887</v>
      </c>
      <c r="H17" s="76">
        <f t="shared" si="1"/>
        <v>0.6466097136529031</v>
      </c>
      <c r="I17" s="75">
        <f>AP52/$AP$5</f>
        <v>0.99933554817275749</v>
      </c>
      <c r="J17" s="75">
        <f t="shared" si="6"/>
        <v>0.64676421452301858</v>
      </c>
      <c r="K17"/>
      <c r="L17" s="68">
        <v>1.2</v>
      </c>
      <c r="M17" s="69">
        <f>AU48/$AK$5</f>
        <v>0.99407372288728224</v>
      </c>
      <c r="N17" s="69">
        <f t="shared" si="2"/>
        <v>0.80312154722354057</v>
      </c>
      <c r="O17" s="69">
        <f>AV52/$AL$5</f>
        <v>1.54921689606075E-2</v>
      </c>
      <c r="P17" s="69">
        <f>AW52/AW$5</f>
        <v>0.1716468913146654</v>
      </c>
      <c r="Q17" s="69">
        <f>AX52/AX$5</f>
        <v>0.87196962505932607</v>
      </c>
      <c r="R17" s="69">
        <f>AY52/AY$5</f>
        <v>0.99354532510678695</v>
      </c>
      <c r="S17" s="70">
        <f t="shared" si="3"/>
        <v>0.67905394716025946</v>
      </c>
      <c r="T17" s="69">
        <f>AZ52/$AP$5</f>
        <v>0.99354532510678695</v>
      </c>
      <c r="U17" s="69">
        <f t="shared" si="7"/>
        <v>0.68273004271476045</v>
      </c>
      <c r="V17"/>
      <c r="W17" s="84">
        <v>1.2</v>
      </c>
      <c r="X17" s="85">
        <f>BF48/$AK$5</f>
        <v>0.98115443878155739</v>
      </c>
      <c r="Y17" s="85">
        <f t="shared" si="4"/>
        <v>0.80955633602278132</v>
      </c>
      <c r="Z17" s="85">
        <f>BG52/$AL$5</f>
        <v>1.8900806834361652E-2</v>
      </c>
      <c r="AA17" s="85">
        <f>BH52/BH$5</f>
        <v>0.20485049833887042</v>
      </c>
      <c r="AB17" s="85">
        <f>BI52/BI$5</f>
        <v>0.93656383483626016</v>
      </c>
      <c r="AC17" s="85">
        <f>BJ52/BJ$5</f>
        <v>0.98054105363075461</v>
      </c>
      <c r="AD17" s="86">
        <f t="shared" si="5"/>
        <v>0.70731846226862849</v>
      </c>
      <c r="AE17" s="85">
        <f>BK52/$AP$5</f>
        <v>0.98063597532036073</v>
      </c>
      <c r="AF17" s="85">
        <f t="shared" si="8"/>
        <v>0.71165752254390136</v>
      </c>
      <c r="AG17"/>
      <c r="AH17" s="37"/>
      <c r="AI17" s="56"/>
      <c r="AJ17" s="37" t="s">
        <v>5</v>
      </c>
      <c r="AK17" s="57">
        <v>0</v>
      </c>
      <c r="AL17" s="57">
        <v>25.565000000000001</v>
      </c>
      <c r="AM17" s="57">
        <v>381.3</v>
      </c>
      <c r="AN17" s="57">
        <v>4126.7</v>
      </c>
      <c r="AO17" s="57">
        <v>9271.6</v>
      </c>
      <c r="AP17" s="57">
        <v>9280.7000000000007</v>
      </c>
      <c r="AQ17" s="37"/>
      <c r="AR17" s="37"/>
      <c r="AS17" s="56"/>
      <c r="AT17" s="37" t="s">
        <v>5</v>
      </c>
      <c r="AU17" s="57">
        <v>5.8371999999999999E-3</v>
      </c>
      <c r="AV17" s="57">
        <v>33.904000000000003</v>
      </c>
      <c r="AW17" s="57">
        <v>489</v>
      </c>
      <c r="AX17" s="57">
        <v>5104.1000000000004</v>
      </c>
      <c r="AY17" s="57">
        <v>7934.6</v>
      </c>
      <c r="AZ17" s="57">
        <v>7935.2</v>
      </c>
      <c r="BA17" s="37"/>
      <c r="BB17" s="37"/>
      <c r="BC17" s="37"/>
      <c r="BD17" s="56"/>
      <c r="BE17" s="37" t="s">
        <v>5</v>
      </c>
      <c r="BF17" s="57">
        <v>0.12962000000000001</v>
      </c>
      <c r="BG17" s="57">
        <v>42.051000000000002</v>
      </c>
      <c r="BH17" s="57">
        <v>618.12</v>
      </c>
      <c r="BI17" s="57">
        <v>5642</v>
      </c>
      <c r="BJ17" s="57">
        <v>6552</v>
      </c>
      <c r="BK17" s="57">
        <v>6552.1</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0.80395690555291888</v>
      </c>
      <c r="D18" s="75">
        <f>AL59/$AL$5</f>
        <v>1.7467489321309919E-2</v>
      </c>
      <c r="E18" s="75">
        <f>AM59/AM$5</f>
        <v>0.18969150450878028</v>
      </c>
      <c r="F18" s="75">
        <f>AN59/AN$5</f>
        <v>0.83431419079259606</v>
      </c>
      <c r="G18" s="75">
        <f>AO59/AO$5</f>
        <v>0.99876601803512099</v>
      </c>
      <c r="H18" s="76">
        <f t="shared" si="1"/>
        <v>0.67425723777883262</v>
      </c>
      <c r="I18" s="75">
        <f>AP59/$AP$5</f>
        <v>0.99933554817275749</v>
      </c>
      <c r="J18" s="75">
        <f t="shared" si="6"/>
        <v>0.67309748457522534</v>
      </c>
      <c r="K18"/>
      <c r="L18" s="68">
        <v>1.6</v>
      </c>
      <c r="M18" s="69">
        <f>AU55/$AK$5</f>
        <v>0.99828137963731189</v>
      </c>
      <c r="N18" s="69">
        <f t="shared" si="2"/>
        <v>0.8163228286663502</v>
      </c>
      <c r="O18" s="69">
        <f>AV59/$AL$5</f>
        <v>2.0068343616516372E-2</v>
      </c>
      <c r="P18" s="69">
        <f>AW59/AW$5</f>
        <v>0.20949216896060749</v>
      </c>
      <c r="Q18" s="69">
        <f>AX59/AX$5</f>
        <v>0.90209776934029429</v>
      </c>
      <c r="R18" s="69">
        <f>AY59/AY$5</f>
        <v>0.99781680113906024</v>
      </c>
      <c r="S18" s="70">
        <f t="shared" si="3"/>
        <v>0.70313557981332064</v>
      </c>
      <c r="T18" s="69">
        <f>AZ59/$AP$5</f>
        <v>0.99781680113906024</v>
      </c>
      <c r="U18" s="69">
        <f t="shared" si="7"/>
        <v>0.70408941623160892</v>
      </c>
      <c r="V18"/>
      <c r="W18" s="84">
        <v>1.6</v>
      </c>
      <c r="X18" s="85">
        <f>BF55/$AK$5</f>
        <v>0.99063648216190592</v>
      </c>
      <c r="Y18" s="85">
        <f t="shared" si="4"/>
        <v>0.82518618889416229</v>
      </c>
      <c r="Z18" s="85">
        <f>BG59/$AL$5</f>
        <v>2.4805885144755575E-2</v>
      </c>
      <c r="AA18" s="85">
        <f>BH59/BH$5</f>
        <v>0.24810631229235883</v>
      </c>
      <c r="AB18" s="85">
        <f>BI59/BI$5</f>
        <v>0.95472235405790218</v>
      </c>
      <c r="AC18" s="85">
        <f>BJ59/BJ$5</f>
        <v>0.99003322259136217</v>
      </c>
      <c r="AD18" s="86">
        <f t="shared" si="5"/>
        <v>0.73095396298054116</v>
      </c>
      <c r="AE18" s="85">
        <f>BK59/$AP$5</f>
        <v>0.99003322259136217</v>
      </c>
      <c r="AF18" s="85">
        <f t="shared" si="8"/>
        <v>0.73100075937351683</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0.47499235880398671</v>
      </c>
      <c r="CH18" s="62">
        <f t="shared" ref="CH18:CH26" si="10">N11</f>
        <v>0.38650341718082581</v>
      </c>
      <c r="CI18" s="62">
        <f t="shared" ref="CI18:CI26" si="11">Y11</f>
        <v>0.30205462743236827</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0.81430123398196486</v>
      </c>
      <c r="D19" s="75">
        <f>AL66/$AL$5</f>
        <v>2.1563360227812054E-2</v>
      </c>
      <c r="E19" s="75">
        <f>AM66/AM$5</f>
        <v>0.22310393925011865</v>
      </c>
      <c r="F19" s="75">
        <f>AN66/AN$5</f>
        <v>0.86789748457522542</v>
      </c>
      <c r="G19" s="75">
        <f>AO66/AO$5</f>
        <v>0.99905078310393924</v>
      </c>
      <c r="H19" s="76">
        <f t="shared" si="1"/>
        <v>0.69668406897642787</v>
      </c>
      <c r="I19" s="75">
        <f>AP66/$AP$5</f>
        <v>0.9994304698623635</v>
      </c>
      <c r="J19" s="75">
        <f>(($C$5*D19)+($D$5*E19)+($E$5*F19)+($F$5*G19)+($G$5*I19))</f>
        <v>0.69368932130991934</v>
      </c>
      <c r="K19"/>
      <c r="L19" s="68">
        <v>2</v>
      </c>
      <c r="M19" s="69">
        <f>AU62/$AK$5</f>
        <v>1</v>
      </c>
      <c r="N19" s="69">
        <f t="shared" si="2"/>
        <v>0.82673141907925962</v>
      </c>
      <c r="O19" s="69">
        <f>AV66/$AL$5</f>
        <v>2.4917892738490745E-2</v>
      </c>
      <c r="P19" s="69">
        <f>AW66/AW$5</f>
        <v>0.24649264356905554</v>
      </c>
      <c r="Q19" s="69">
        <f>AX66/AX$5</f>
        <v>0.92546748932130984</v>
      </c>
      <c r="R19" s="69">
        <f>AY66/AY$5</f>
        <v>0.99952539155196962</v>
      </c>
      <c r="S19" s="70">
        <f t="shared" si="3"/>
        <v>0.72382850814744504</v>
      </c>
      <c r="T19" s="69">
        <f>AZ66/$AP$5</f>
        <v>0.99952539155196962</v>
      </c>
      <c r="U19" s="69">
        <f>(($C$5*O19)+($D$5*P19)+($E$5*Q19)+($F$5*R19)+($G$5*T19))</f>
        <v>0.72183493118177511</v>
      </c>
      <c r="V19"/>
      <c r="W19" s="84">
        <v>2</v>
      </c>
      <c r="X19" s="85">
        <f>BF62/$AK$5</f>
        <v>0.99490340168306268</v>
      </c>
      <c r="Y19" s="85">
        <f t="shared" si="4"/>
        <v>0.83427664926435685</v>
      </c>
      <c r="Z19" s="85">
        <f>BG66/$AL$5</f>
        <v>2.9263407688656859E-2</v>
      </c>
      <c r="AA19" s="85">
        <f>BH66/BH$5</f>
        <v>0.27922164214523015</v>
      </c>
      <c r="AB19" s="85">
        <f>BI66/BI$5</f>
        <v>0.96421452301850974</v>
      </c>
      <c r="AC19" s="85">
        <f>BJ66/BJ$5</f>
        <v>0.99430469862363546</v>
      </c>
      <c r="AD19" s="86">
        <f t="shared" si="5"/>
        <v>0.74591362126245853</v>
      </c>
      <c r="AE19" s="85">
        <f>BK66/$AP$5</f>
        <v>0.99430469862363546</v>
      </c>
      <c r="AF19" s="85">
        <f>(($C$5*Z19)+($D$5*AA19)+($E$5*AB19)+($F$5*AC19)+($G$5*AE19))</f>
        <v>0.74274788799240632</v>
      </c>
      <c r="AG19"/>
      <c r="AH19" s="37"/>
      <c r="AI19" s="56">
        <v>0.4</v>
      </c>
      <c r="AJ19" s="37" t="s">
        <v>0</v>
      </c>
      <c r="AK19" s="57">
        <v>1687400</v>
      </c>
      <c r="AL19" s="57">
        <v>10535</v>
      </c>
      <c r="AM19" s="57">
        <v>10535</v>
      </c>
      <c r="AN19" s="57">
        <v>10535</v>
      </c>
      <c r="AO19" s="57">
        <v>10535</v>
      </c>
      <c r="AP19" s="57">
        <v>10535</v>
      </c>
      <c r="AQ19" s="37"/>
      <c r="AR19" s="37"/>
      <c r="AS19" s="56">
        <v>0.4</v>
      </c>
      <c r="AT19" s="37" t="s">
        <v>0</v>
      </c>
      <c r="AU19" s="57">
        <v>1687400</v>
      </c>
      <c r="AV19" s="57">
        <v>10535</v>
      </c>
      <c r="AW19" s="57">
        <v>10535</v>
      </c>
      <c r="AX19" s="57">
        <v>10535</v>
      </c>
      <c r="AY19" s="57">
        <v>10535</v>
      </c>
      <c r="AZ19" s="57">
        <v>10535</v>
      </c>
      <c r="BA19" s="37"/>
      <c r="BB19" s="37"/>
      <c r="BC19" s="37"/>
      <c r="BD19" s="56">
        <v>0.4</v>
      </c>
      <c r="BE19" s="37" t="s">
        <v>0</v>
      </c>
      <c r="BF19" s="57">
        <v>1687400</v>
      </c>
      <c r="BG19" s="57">
        <v>10535</v>
      </c>
      <c r="BH19" s="57">
        <v>10535</v>
      </c>
      <c r="BI19" s="57">
        <v>10535</v>
      </c>
      <c r="BJ19" s="57">
        <v>10535</v>
      </c>
      <c r="BK19" s="57">
        <v>10535</v>
      </c>
      <c r="BL19" s="37"/>
      <c r="BM19" s="37"/>
      <c r="BN19" s="37"/>
      <c r="BO19" s="37"/>
      <c r="BY19" s="37"/>
      <c r="BZ19" s="37"/>
      <c r="CA19" s="37"/>
      <c r="CB19" s="37"/>
      <c r="CC19" s="61">
        <v>0.2</v>
      </c>
      <c r="CD19" s="62">
        <v>0.77280172734718189</v>
      </c>
      <c r="CE19" s="62">
        <v>0.62134241679696223</v>
      </c>
      <c r="CF19" s="62">
        <v>0.48760330578512395</v>
      </c>
      <c r="CG19" s="62">
        <f t="shared" si="9"/>
        <v>0.63678863312766976</v>
      </c>
      <c r="CH19" s="62">
        <f t="shared" si="10"/>
        <v>0.56938302800189844</v>
      </c>
      <c r="CI19" s="62">
        <f t="shared" si="11"/>
        <v>0.49358999050783109</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1644500</v>
      </c>
      <c r="AL20" s="57">
        <v>10267</v>
      </c>
      <c r="AM20" s="57">
        <v>10267</v>
      </c>
      <c r="AN20" s="57">
        <v>10267</v>
      </c>
      <c r="AO20" s="57">
        <v>10267</v>
      </c>
      <c r="AP20" s="57">
        <v>10267</v>
      </c>
      <c r="AQ20" s="37"/>
      <c r="AR20" s="37"/>
      <c r="AS20" s="56"/>
      <c r="AT20" s="37" t="s">
        <v>1</v>
      </c>
      <c r="AU20" s="57">
        <v>1553100</v>
      </c>
      <c r="AV20" s="57">
        <v>9696.4</v>
      </c>
      <c r="AW20" s="57">
        <v>9696.4</v>
      </c>
      <c r="AX20" s="57">
        <v>9696.4</v>
      </c>
      <c r="AY20" s="57">
        <v>9696.4</v>
      </c>
      <c r="AZ20" s="57">
        <v>9696.4</v>
      </c>
      <c r="BA20" s="37"/>
      <c r="BB20" s="37"/>
      <c r="BC20" s="37"/>
      <c r="BD20" s="56"/>
      <c r="BE20" s="37" t="s">
        <v>1</v>
      </c>
      <c r="BF20" s="57">
        <v>1389700</v>
      </c>
      <c r="BG20" s="57">
        <v>8676.4</v>
      </c>
      <c r="BH20" s="57">
        <v>8676.4</v>
      </c>
      <c r="BI20" s="57">
        <v>8676.4</v>
      </c>
      <c r="BJ20" s="57">
        <v>8676.4</v>
      </c>
      <c r="BK20" s="57">
        <v>8676.4</v>
      </c>
      <c r="BL20" s="37"/>
      <c r="BM20" s="37"/>
      <c r="BN20" s="37"/>
      <c r="BO20" s="37"/>
      <c r="BY20" s="37"/>
      <c r="BZ20" s="37"/>
      <c r="CA20" s="37"/>
      <c r="CB20" s="37"/>
      <c r="CC20" s="61">
        <v>0.4</v>
      </c>
      <c r="CD20" s="62">
        <v>0.93740227831136924</v>
      </c>
      <c r="CE20" s="62">
        <v>0.83551113096567642</v>
      </c>
      <c r="CF20" s="62">
        <v>0.7119350755714392</v>
      </c>
      <c r="CG20" s="62">
        <f t="shared" si="9"/>
        <v>0.72471603227337444</v>
      </c>
      <c r="CH20" s="62">
        <f t="shared" si="10"/>
        <v>0.70767127195064072</v>
      </c>
      <c r="CI20" s="62">
        <f t="shared" si="11"/>
        <v>0.66096648789748458</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42942</v>
      </c>
      <c r="AL21" s="57">
        <v>268.10000000000002</v>
      </c>
      <c r="AM21" s="57">
        <v>268.10000000000002</v>
      </c>
      <c r="AN21" s="57">
        <v>268.10000000000002</v>
      </c>
      <c r="AO21" s="57">
        <v>268.10000000000002</v>
      </c>
      <c r="AP21" s="57">
        <v>268.10000000000002</v>
      </c>
      <c r="AQ21" s="57"/>
      <c r="AR21" s="37"/>
      <c r="AS21" s="56"/>
      <c r="AT21" s="37" t="s">
        <v>2</v>
      </c>
      <c r="AU21" s="57">
        <v>134300</v>
      </c>
      <c r="AV21" s="57">
        <v>838.51</v>
      </c>
      <c r="AW21" s="57">
        <v>838.51</v>
      </c>
      <c r="AX21" s="57">
        <v>838.51</v>
      </c>
      <c r="AY21" s="57">
        <v>838.51</v>
      </c>
      <c r="AZ21" s="57">
        <v>838.51</v>
      </c>
      <c r="BA21" s="57"/>
      <c r="BB21" s="37"/>
      <c r="BC21" s="37"/>
      <c r="BD21" s="56"/>
      <c r="BE21" s="37" t="s">
        <v>2</v>
      </c>
      <c r="BF21" s="57">
        <v>297690</v>
      </c>
      <c r="BG21" s="57">
        <v>1858.6</v>
      </c>
      <c r="BH21" s="57">
        <v>1858.6</v>
      </c>
      <c r="BI21" s="57">
        <v>1858.6</v>
      </c>
      <c r="BJ21" s="57">
        <v>1858.6</v>
      </c>
      <c r="BK21" s="57">
        <v>1858.6</v>
      </c>
      <c r="BL21" s="57"/>
      <c r="BM21" s="57"/>
      <c r="BN21" s="57"/>
      <c r="BO21" s="37"/>
      <c r="BY21" s="37"/>
      <c r="BZ21" s="37"/>
      <c r="CA21" s="37"/>
      <c r="CB21" s="37"/>
      <c r="CC21" s="61">
        <v>0.6</v>
      </c>
      <c r="CD21" s="62">
        <v>0.98157248157248156</v>
      </c>
      <c r="CE21" s="62">
        <v>0.93494527585436671</v>
      </c>
      <c r="CF21" s="62">
        <v>0.84556250465341376</v>
      </c>
      <c r="CG21" s="62">
        <f t="shared" si="9"/>
        <v>0.75439702895111527</v>
      </c>
      <c r="CH21" s="62">
        <f t="shared" si="10"/>
        <v>0.75948404366397715</v>
      </c>
      <c r="CI21" s="62">
        <f t="shared" si="11"/>
        <v>0.74158248694826767</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1644200</v>
      </c>
      <c r="AL22" s="57">
        <v>10216</v>
      </c>
      <c r="AM22" s="57">
        <v>9591</v>
      </c>
      <c r="AN22" s="57">
        <v>4510.3</v>
      </c>
      <c r="AO22" s="57">
        <v>13.427</v>
      </c>
      <c r="AP22" s="57">
        <v>3.2726000000000002</v>
      </c>
      <c r="AQ22" s="37"/>
      <c r="AR22" s="37"/>
      <c r="AS22" s="56"/>
      <c r="AT22" s="37" t="s">
        <v>3</v>
      </c>
      <c r="AU22" s="57">
        <v>1552700</v>
      </c>
      <c r="AV22" s="57">
        <v>9635.7999999999993</v>
      </c>
      <c r="AW22" s="57">
        <v>8913.7000000000007</v>
      </c>
      <c r="AX22" s="57">
        <v>2788.5</v>
      </c>
      <c r="AY22" s="57">
        <v>1.929</v>
      </c>
      <c r="AZ22" s="57">
        <v>1.2263999999999999</v>
      </c>
      <c r="BA22" s="37"/>
      <c r="BB22" s="37"/>
      <c r="BC22" s="37"/>
      <c r="BD22" s="56"/>
      <c r="BE22" s="37" t="s">
        <v>3</v>
      </c>
      <c r="BF22" s="57">
        <v>1389100</v>
      </c>
      <c r="BG22" s="57">
        <v>8596.6</v>
      </c>
      <c r="BH22" s="57">
        <v>7645.2</v>
      </c>
      <c r="BI22" s="57">
        <v>881.77</v>
      </c>
      <c r="BJ22" s="57">
        <v>0.41160999999999998</v>
      </c>
      <c r="BK22" s="57">
        <v>0.32479000000000002</v>
      </c>
      <c r="BL22" s="37"/>
      <c r="BM22" s="37"/>
      <c r="BN22" s="37"/>
      <c r="BO22" s="37"/>
      <c r="BY22" s="37"/>
      <c r="BZ22" s="37"/>
      <c r="CA22" s="37"/>
      <c r="CB22" s="37"/>
      <c r="CC22" s="61">
        <v>0.8</v>
      </c>
      <c r="CD22" s="62">
        <v>0.99348522075794798</v>
      </c>
      <c r="CE22" s="62">
        <v>0.97371751917206462</v>
      </c>
      <c r="CF22" s="62">
        <v>0.92195294468021738</v>
      </c>
      <c r="CG22" s="62">
        <f t="shared" si="9"/>
        <v>0.7701458234456573</v>
      </c>
      <c r="CH22" s="62">
        <f t="shared" si="10"/>
        <v>0.78370645467489319</v>
      </c>
      <c r="CI22" s="62">
        <f t="shared" si="11"/>
        <v>0.78070066445182729</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0.78210118652112004</v>
      </c>
      <c r="CH23" s="62">
        <f t="shared" si="10"/>
        <v>0.79380047460844805</v>
      </c>
      <c r="CI23" s="62">
        <f t="shared" si="11"/>
        <v>0.79831158044613193</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49.198</v>
      </c>
      <c r="AM24" s="57">
        <v>673.89</v>
      </c>
      <c r="AN24" s="57">
        <v>5754.6</v>
      </c>
      <c r="AO24" s="57">
        <v>10251</v>
      </c>
      <c r="AP24" s="57">
        <v>10261</v>
      </c>
      <c r="AQ24" s="37"/>
      <c r="AR24" s="37"/>
      <c r="AS24" s="56"/>
      <c r="AT24" s="37" t="s">
        <v>5</v>
      </c>
      <c r="AU24" s="57">
        <v>0</v>
      </c>
      <c r="AV24" s="57">
        <v>56.987000000000002</v>
      </c>
      <c r="AW24" s="57">
        <v>779.65</v>
      </c>
      <c r="AX24" s="57">
        <v>6905.6</v>
      </c>
      <c r="AY24" s="57">
        <v>9691.2000000000007</v>
      </c>
      <c r="AZ24" s="57">
        <v>9692</v>
      </c>
      <c r="BA24" s="37"/>
      <c r="BB24" s="37"/>
      <c r="BC24" s="37"/>
      <c r="BD24" s="56"/>
      <c r="BE24" s="37" t="s">
        <v>5</v>
      </c>
      <c r="BF24" s="57">
        <v>0.14973</v>
      </c>
      <c r="BG24" s="57">
        <v>75.838999999999999</v>
      </c>
      <c r="BH24" s="57">
        <v>1026.5</v>
      </c>
      <c r="BI24" s="57">
        <v>7791.1</v>
      </c>
      <c r="BJ24" s="57">
        <v>8672</v>
      </c>
      <c r="BK24" s="57">
        <v>8672.1</v>
      </c>
      <c r="BL24" s="37"/>
      <c r="BM24" s="37"/>
      <c r="BN24" s="37"/>
      <c r="BO24" s="37"/>
      <c r="BY24" s="37"/>
      <c r="BZ24" s="37"/>
      <c r="CA24" s="37"/>
      <c r="CB24" s="37"/>
      <c r="CC24" s="61">
        <v>1.2</v>
      </c>
      <c r="CD24" s="62">
        <v>0.9987156578065669</v>
      </c>
      <c r="CE24" s="62">
        <v>0.99434144888690346</v>
      </c>
      <c r="CF24" s="62">
        <v>0.97799865981684164</v>
      </c>
      <c r="CG24" s="62">
        <f t="shared" si="9"/>
        <v>0.79131139060275268</v>
      </c>
      <c r="CH24" s="62">
        <f t="shared" si="10"/>
        <v>0.80312154722354057</v>
      </c>
      <c r="CI24" s="62">
        <f t="shared" si="11"/>
        <v>0.80955633602278132</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0.80395690555291888</v>
      </c>
      <c r="CH25" s="62">
        <f t="shared" si="10"/>
        <v>0.8163228286663502</v>
      </c>
      <c r="CI25" s="62">
        <f t="shared" si="11"/>
        <v>0.82518618889416229</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1687400</v>
      </c>
      <c r="AL26" s="57">
        <v>10535</v>
      </c>
      <c r="AM26" s="57">
        <v>10535</v>
      </c>
      <c r="AN26" s="57">
        <v>10535</v>
      </c>
      <c r="AO26" s="57">
        <v>10535</v>
      </c>
      <c r="AP26" s="57">
        <v>10535</v>
      </c>
      <c r="AQ26" s="37"/>
      <c r="AR26" s="37"/>
      <c r="AS26" s="56">
        <v>0.6</v>
      </c>
      <c r="AT26" s="37" t="s">
        <v>0</v>
      </c>
      <c r="AU26" s="57">
        <v>1687400</v>
      </c>
      <c r="AV26" s="57">
        <v>10535</v>
      </c>
      <c r="AW26" s="57">
        <v>10535</v>
      </c>
      <c r="AX26" s="57">
        <v>10535</v>
      </c>
      <c r="AY26" s="57">
        <v>10535</v>
      </c>
      <c r="AZ26" s="57">
        <v>10535</v>
      </c>
      <c r="BA26" s="37"/>
      <c r="BB26" s="37"/>
      <c r="BC26" s="37"/>
      <c r="BD26" s="56">
        <v>0.6</v>
      </c>
      <c r="BE26" s="37" t="s">
        <v>0</v>
      </c>
      <c r="BF26" s="57">
        <v>1687400</v>
      </c>
      <c r="BG26" s="57">
        <v>10535</v>
      </c>
      <c r="BH26" s="57">
        <v>10535</v>
      </c>
      <c r="BI26" s="57">
        <v>10535</v>
      </c>
      <c r="BJ26" s="57">
        <v>10535</v>
      </c>
      <c r="BK26" s="57">
        <v>10535</v>
      </c>
      <c r="BL26" s="37"/>
      <c r="BM26" s="37"/>
      <c r="BN26" s="37"/>
      <c r="BO26" s="37"/>
      <c r="BY26" s="37"/>
      <c r="BZ26" s="37"/>
      <c r="CA26" s="37"/>
      <c r="CB26" s="37"/>
      <c r="CC26" s="61">
        <v>2</v>
      </c>
      <c r="CD26" s="62">
        <v>1</v>
      </c>
      <c r="CE26" s="62">
        <v>1</v>
      </c>
      <c r="CF26" s="62">
        <v>1</v>
      </c>
      <c r="CG26" s="62">
        <f t="shared" si="9"/>
        <v>0.81430123398196486</v>
      </c>
      <c r="CH26" s="62">
        <f t="shared" si="10"/>
        <v>0.82673141907925962</v>
      </c>
      <c r="CI26" s="62">
        <f t="shared" si="11"/>
        <v>0.83427664926435685</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1672300</v>
      </c>
      <c r="AL27" s="57">
        <v>10440</v>
      </c>
      <c r="AM27" s="57">
        <v>10440</v>
      </c>
      <c r="AN27" s="57">
        <v>10440</v>
      </c>
      <c r="AO27" s="57">
        <v>10440</v>
      </c>
      <c r="AP27" s="57">
        <v>10440</v>
      </c>
      <c r="AQ27" s="37"/>
      <c r="AR27" s="37"/>
      <c r="AS27" s="56"/>
      <c r="AT27" s="37" t="s">
        <v>1</v>
      </c>
      <c r="AU27" s="57">
        <v>1636900</v>
      </c>
      <c r="AV27" s="57">
        <v>10219</v>
      </c>
      <c r="AW27" s="57">
        <v>10219</v>
      </c>
      <c r="AX27" s="57">
        <v>10219</v>
      </c>
      <c r="AY27" s="57">
        <v>10219</v>
      </c>
      <c r="AZ27" s="57">
        <v>10219</v>
      </c>
      <c r="BA27" s="37"/>
      <c r="BB27" s="37"/>
      <c r="BC27" s="37"/>
      <c r="BD27" s="56"/>
      <c r="BE27" s="37" t="s">
        <v>1</v>
      </c>
      <c r="BF27" s="57">
        <v>1545200</v>
      </c>
      <c r="BG27" s="57">
        <v>9647.2000000000007</v>
      </c>
      <c r="BH27" s="57">
        <v>9647.2000000000007</v>
      </c>
      <c r="BI27" s="57">
        <v>9647.2000000000007</v>
      </c>
      <c r="BJ27" s="57">
        <v>9647.2000000000007</v>
      </c>
      <c r="BK27" s="57">
        <v>9647.2000000000007</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15144</v>
      </c>
      <c r="AL28" s="57">
        <v>94.551000000000002</v>
      </c>
      <c r="AM28" s="57">
        <v>94.551000000000002</v>
      </c>
      <c r="AN28" s="57">
        <v>94.551000000000002</v>
      </c>
      <c r="AO28" s="57">
        <v>94.551000000000002</v>
      </c>
      <c r="AP28" s="57">
        <v>94.551000000000002</v>
      </c>
      <c r="AQ28" s="37"/>
      <c r="AR28" s="37"/>
      <c r="AS28" s="56"/>
      <c r="AT28" s="37" t="s">
        <v>2</v>
      </c>
      <c r="AU28" s="57">
        <v>50556</v>
      </c>
      <c r="AV28" s="57">
        <v>315.64</v>
      </c>
      <c r="AW28" s="57">
        <v>315.64</v>
      </c>
      <c r="AX28" s="57">
        <v>315.64</v>
      </c>
      <c r="AY28" s="57">
        <v>315.64</v>
      </c>
      <c r="AZ28" s="57">
        <v>315.64</v>
      </c>
      <c r="BA28" s="37"/>
      <c r="BB28" s="37"/>
      <c r="BC28" s="37"/>
      <c r="BD28" s="56"/>
      <c r="BE28" s="37" t="s">
        <v>2</v>
      </c>
      <c r="BF28" s="57">
        <v>142190</v>
      </c>
      <c r="BG28" s="57">
        <v>887.72</v>
      </c>
      <c r="BH28" s="57">
        <v>887.72</v>
      </c>
      <c r="BI28" s="57">
        <v>887.72</v>
      </c>
      <c r="BJ28" s="57">
        <v>887.72</v>
      </c>
      <c r="BK28" s="57">
        <v>887.72</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1671900</v>
      </c>
      <c r="AL29" s="57">
        <v>10366</v>
      </c>
      <c r="AM29" s="57">
        <v>9495.7000000000007</v>
      </c>
      <c r="AN29" s="57">
        <v>3624.4</v>
      </c>
      <c r="AO29" s="57">
        <v>14.662000000000001</v>
      </c>
      <c r="AP29" s="57">
        <v>3.7679999999999998</v>
      </c>
      <c r="AQ29" s="37"/>
      <c r="AR29" s="37"/>
      <c r="AS29" s="56"/>
      <c r="AT29" s="37" t="s">
        <v>3</v>
      </c>
      <c r="AU29" s="57">
        <v>1636500</v>
      </c>
      <c r="AV29" s="57">
        <v>10130</v>
      </c>
      <c r="AW29" s="57">
        <v>9129.1</v>
      </c>
      <c r="AX29" s="57">
        <v>2251.6999999999998</v>
      </c>
      <c r="AY29" s="57">
        <v>1.7459</v>
      </c>
      <c r="AZ29" s="57">
        <v>1.0770999999999999</v>
      </c>
      <c r="BA29" s="37"/>
      <c r="BB29" s="37"/>
      <c r="BC29" s="37"/>
      <c r="BD29" s="56"/>
      <c r="BE29" s="37" t="s">
        <v>3</v>
      </c>
      <c r="BF29" s="57">
        <v>1544500</v>
      </c>
      <c r="BG29" s="57">
        <v>9533.5</v>
      </c>
      <c r="BH29" s="57">
        <v>8269.7999999999993</v>
      </c>
      <c r="BI29" s="57">
        <v>750.97</v>
      </c>
      <c r="BJ29" s="57">
        <v>0.41743999999999998</v>
      </c>
      <c r="BK29" s="57">
        <v>0.34793000000000002</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72.834000000000003</v>
      </c>
      <c r="AM31" s="57">
        <v>942.24</v>
      </c>
      <c r="AN31" s="57">
        <v>6814.3</v>
      </c>
      <c r="AO31" s="57">
        <v>10423</v>
      </c>
      <c r="AP31" s="57">
        <v>10434</v>
      </c>
      <c r="AQ31" s="37"/>
      <c r="AR31" s="37"/>
      <c r="AS31" s="56"/>
      <c r="AT31" s="37" t="s">
        <v>5</v>
      </c>
      <c r="AU31" s="57">
        <v>0</v>
      </c>
      <c r="AV31" s="57">
        <v>85.888000000000005</v>
      </c>
      <c r="AW31" s="57">
        <v>1086.5999999999999</v>
      </c>
      <c r="AX31" s="57">
        <v>7965.2</v>
      </c>
      <c r="AY31" s="57">
        <v>10214</v>
      </c>
      <c r="AZ31" s="57">
        <v>10214</v>
      </c>
      <c r="BA31" s="37"/>
      <c r="BB31" s="37"/>
      <c r="BC31" s="37"/>
      <c r="BD31" s="56"/>
      <c r="BE31" s="37" t="s">
        <v>5</v>
      </c>
      <c r="BF31" s="57">
        <v>0.13732</v>
      </c>
      <c r="BG31" s="57">
        <v>108.73</v>
      </c>
      <c r="BH31" s="57">
        <v>1372.4</v>
      </c>
      <c r="BI31" s="57">
        <v>8892.2999999999993</v>
      </c>
      <c r="BJ31" s="57">
        <v>9642.2000000000007</v>
      </c>
      <c r="BK31" s="57">
        <v>9642.2000000000007</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1687400</v>
      </c>
      <c r="AL33" s="57">
        <v>10535</v>
      </c>
      <c r="AM33" s="57">
        <v>10535</v>
      </c>
      <c r="AN33" s="57">
        <v>10535</v>
      </c>
      <c r="AO33" s="57">
        <v>10535</v>
      </c>
      <c r="AP33" s="57">
        <v>10535</v>
      </c>
      <c r="AQ33" s="37"/>
      <c r="AR33" s="37"/>
      <c r="AS33" s="56">
        <v>0.8</v>
      </c>
      <c r="AT33" s="37" t="s">
        <v>0</v>
      </c>
      <c r="AU33" s="57">
        <v>1687400</v>
      </c>
      <c r="AV33" s="57">
        <v>10535</v>
      </c>
      <c r="AW33" s="57">
        <v>10535</v>
      </c>
      <c r="AX33" s="57">
        <v>10535</v>
      </c>
      <c r="AY33" s="57">
        <v>10535</v>
      </c>
      <c r="AZ33" s="57">
        <v>10535</v>
      </c>
      <c r="BA33" s="37"/>
      <c r="BB33" s="37"/>
      <c r="BC33" s="37"/>
      <c r="BD33" s="56">
        <v>0.8</v>
      </c>
      <c r="BE33" s="37" t="s">
        <v>0</v>
      </c>
      <c r="BF33" s="57">
        <v>1687400</v>
      </c>
      <c r="BG33" s="57">
        <v>10535</v>
      </c>
      <c r="BH33" s="57">
        <v>10535</v>
      </c>
      <c r="BI33" s="57">
        <v>10535</v>
      </c>
      <c r="BJ33" s="57">
        <v>10535</v>
      </c>
      <c r="BK33" s="57">
        <v>10535</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1680200</v>
      </c>
      <c r="AL34" s="57">
        <v>10490</v>
      </c>
      <c r="AM34" s="57">
        <v>10490</v>
      </c>
      <c r="AN34" s="57">
        <v>10490</v>
      </c>
      <c r="AO34" s="57">
        <v>10490</v>
      </c>
      <c r="AP34" s="57">
        <v>10490</v>
      </c>
      <c r="AQ34" s="37"/>
      <c r="AR34" s="37"/>
      <c r="AS34" s="56"/>
      <c r="AT34" s="37" t="s">
        <v>1</v>
      </c>
      <c r="AU34" s="57">
        <v>1661800</v>
      </c>
      <c r="AV34" s="57">
        <v>10375</v>
      </c>
      <c r="AW34" s="57">
        <v>10375</v>
      </c>
      <c r="AX34" s="57">
        <v>10375</v>
      </c>
      <c r="AY34" s="57">
        <v>10375</v>
      </c>
      <c r="AZ34" s="57">
        <v>10375</v>
      </c>
      <c r="BA34" s="37"/>
      <c r="BB34" s="37"/>
      <c r="BC34" s="37"/>
      <c r="BD34" s="56"/>
      <c r="BE34" s="37" t="s">
        <v>1</v>
      </c>
      <c r="BF34" s="57">
        <v>1615400</v>
      </c>
      <c r="BG34" s="57">
        <v>10085</v>
      </c>
      <c r="BH34" s="57">
        <v>10085</v>
      </c>
      <c r="BI34" s="57">
        <v>10085</v>
      </c>
      <c r="BJ34" s="57">
        <v>10085</v>
      </c>
      <c r="BK34" s="57">
        <v>10085</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7223.5</v>
      </c>
      <c r="AL35" s="57">
        <v>45.098999999999997</v>
      </c>
      <c r="AM35" s="57">
        <v>45.098999999999997</v>
      </c>
      <c r="AN35" s="57">
        <v>45.098999999999997</v>
      </c>
      <c r="AO35" s="57">
        <v>45.098999999999997</v>
      </c>
      <c r="AP35" s="57">
        <v>45.098999999999997</v>
      </c>
      <c r="AQ35" s="37"/>
      <c r="AR35" s="37"/>
      <c r="AS35" s="56"/>
      <c r="AT35" s="37" t="s">
        <v>2</v>
      </c>
      <c r="AU35" s="57">
        <v>25575</v>
      </c>
      <c r="AV35" s="57">
        <v>159.68</v>
      </c>
      <c r="AW35" s="57">
        <v>159.68</v>
      </c>
      <c r="AX35" s="57">
        <v>159.68</v>
      </c>
      <c r="AY35" s="57">
        <v>159.68</v>
      </c>
      <c r="AZ35" s="57">
        <v>159.68</v>
      </c>
      <c r="BA35" s="37"/>
      <c r="BB35" s="37"/>
      <c r="BC35" s="37"/>
      <c r="BD35" s="56"/>
      <c r="BE35" s="37" t="s">
        <v>2</v>
      </c>
      <c r="BF35" s="57">
        <v>72049</v>
      </c>
      <c r="BG35" s="57">
        <v>449.83</v>
      </c>
      <c r="BH35" s="57">
        <v>449.83</v>
      </c>
      <c r="BI35" s="57">
        <v>449.83</v>
      </c>
      <c r="BJ35" s="57">
        <v>449.83</v>
      </c>
      <c r="BK35" s="57">
        <v>449.83</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1679900</v>
      </c>
      <c r="AL36" s="57">
        <v>10392</v>
      </c>
      <c r="AM36" s="57">
        <v>9303.1</v>
      </c>
      <c r="AN36" s="57">
        <v>3030.2</v>
      </c>
      <c r="AO36" s="57">
        <v>15.221</v>
      </c>
      <c r="AP36" s="57">
        <v>4.1447000000000003</v>
      </c>
      <c r="AQ36" s="37"/>
      <c r="AR36" s="37"/>
      <c r="AS36" s="56"/>
      <c r="AT36" s="37" t="s">
        <v>3</v>
      </c>
      <c r="AU36" s="57">
        <v>1661400</v>
      </c>
      <c r="AV36" s="57">
        <v>10257</v>
      </c>
      <c r="AW36" s="57">
        <v>9004.2000000000007</v>
      </c>
      <c r="AX36" s="57">
        <v>1672.3</v>
      </c>
      <c r="AY36" s="57">
        <v>1.2395</v>
      </c>
      <c r="AZ36" s="57">
        <v>0.98011999999999999</v>
      </c>
      <c r="BA36" s="37"/>
      <c r="BB36" s="37"/>
      <c r="BC36" s="37"/>
      <c r="BD36" s="56"/>
      <c r="BE36" s="37" t="s">
        <v>3</v>
      </c>
      <c r="BF36" s="57">
        <v>1614700</v>
      </c>
      <c r="BG36" s="57">
        <v>9939.7999999999993</v>
      </c>
      <c r="BH36" s="57">
        <v>8414.7000000000007</v>
      </c>
      <c r="BI36" s="57">
        <v>636.95000000000005</v>
      </c>
      <c r="BJ36" s="57">
        <v>0.41896</v>
      </c>
      <c r="BK36" s="57">
        <v>0.36086000000000001</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95.924999999999997</v>
      </c>
      <c r="AM38" s="57">
        <v>1184.5</v>
      </c>
      <c r="AN38" s="57">
        <v>7458.1</v>
      </c>
      <c r="AO38" s="57">
        <v>10472</v>
      </c>
      <c r="AP38" s="57">
        <v>10483</v>
      </c>
      <c r="AQ38" s="37"/>
      <c r="AR38" s="37"/>
      <c r="AS38" s="56"/>
      <c r="AT38" s="37" t="s">
        <v>5</v>
      </c>
      <c r="AU38" s="57">
        <v>0</v>
      </c>
      <c r="AV38" s="57">
        <v>114.45</v>
      </c>
      <c r="AW38" s="57">
        <v>1367.3</v>
      </c>
      <c r="AX38" s="57">
        <v>8700.2000000000007</v>
      </c>
      <c r="AY38" s="57">
        <v>10370</v>
      </c>
      <c r="AZ38" s="57">
        <v>10370</v>
      </c>
      <c r="BA38" s="37"/>
      <c r="BB38" s="37"/>
      <c r="BC38" s="37"/>
      <c r="BD38" s="56"/>
      <c r="BE38" s="37" t="s">
        <v>5</v>
      </c>
      <c r="BF38" s="57">
        <v>0.13042999999999999</v>
      </c>
      <c r="BG38" s="57">
        <v>139.93</v>
      </c>
      <c r="BH38" s="57">
        <v>1665.4</v>
      </c>
      <c r="BI38" s="57">
        <v>9443.5</v>
      </c>
      <c r="BJ38" s="57">
        <v>10079</v>
      </c>
      <c r="BK38" s="57">
        <v>10079</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1687400</v>
      </c>
      <c r="AL40" s="57">
        <v>10535</v>
      </c>
      <c r="AM40" s="57">
        <v>10535</v>
      </c>
      <c r="AN40" s="57">
        <v>10535</v>
      </c>
      <c r="AO40" s="57">
        <v>10535</v>
      </c>
      <c r="AP40" s="57">
        <v>10535</v>
      </c>
      <c r="AQ40" s="37"/>
      <c r="AR40" s="37"/>
      <c r="AS40" s="56">
        <v>1</v>
      </c>
      <c r="AT40" s="37" t="s">
        <v>0</v>
      </c>
      <c r="AU40" s="57">
        <v>1687400</v>
      </c>
      <c r="AV40" s="57">
        <v>10535</v>
      </c>
      <c r="AW40" s="57">
        <v>10535</v>
      </c>
      <c r="AX40" s="57">
        <v>10535</v>
      </c>
      <c r="AY40" s="57">
        <v>10535</v>
      </c>
      <c r="AZ40" s="57">
        <v>10535</v>
      </c>
      <c r="BA40" s="37"/>
      <c r="BB40" s="37"/>
      <c r="BC40" s="37"/>
      <c r="BD40" s="56">
        <v>1</v>
      </c>
      <c r="BE40" s="37" t="s">
        <v>0</v>
      </c>
      <c r="BF40" s="57">
        <v>1687400</v>
      </c>
      <c r="BG40" s="57">
        <v>10535</v>
      </c>
      <c r="BH40" s="57">
        <v>10535</v>
      </c>
      <c r="BI40" s="57">
        <v>10535</v>
      </c>
      <c r="BJ40" s="57">
        <v>10535</v>
      </c>
      <c r="BK40" s="57">
        <v>10535</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1684900</v>
      </c>
      <c r="AL41" s="57">
        <v>10519</v>
      </c>
      <c r="AM41" s="57">
        <v>10519</v>
      </c>
      <c r="AN41" s="57">
        <v>10519</v>
      </c>
      <c r="AO41" s="57">
        <v>10519</v>
      </c>
      <c r="AP41" s="57">
        <v>10519</v>
      </c>
      <c r="AQ41" s="37"/>
      <c r="AR41" s="37"/>
      <c r="AS41" s="56"/>
      <c r="AT41" s="37" t="s">
        <v>1</v>
      </c>
      <c r="AU41" s="57">
        <v>1672100</v>
      </c>
      <c r="AV41" s="57">
        <v>10439</v>
      </c>
      <c r="AW41" s="57">
        <v>10439</v>
      </c>
      <c r="AX41" s="57">
        <v>10439</v>
      </c>
      <c r="AY41" s="57">
        <v>10439</v>
      </c>
      <c r="AZ41" s="57">
        <v>10439</v>
      </c>
      <c r="BA41" s="37"/>
      <c r="BB41" s="37"/>
      <c r="BC41" s="37"/>
      <c r="BD41" s="56"/>
      <c r="BE41" s="37" t="s">
        <v>1</v>
      </c>
      <c r="BF41" s="57">
        <v>1641500</v>
      </c>
      <c r="BG41" s="57">
        <v>10248</v>
      </c>
      <c r="BH41" s="57">
        <v>10248</v>
      </c>
      <c r="BI41" s="57">
        <v>10248</v>
      </c>
      <c r="BJ41" s="57">
        <v>10248</v>
      </c>
      <c r="BK41" s="57">
        <v>10248</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2503</v>
      </c>
      <c r="AL42" s="57">
        <v>15.627000000000001</v>
      </c>
      <c r="AM42" s="57">
        <v>15.627000000000001</v>
      </c>
      <c r="AN42" s="57">
        <v>15.627000000000001</v>
      </c>
      <c r="AO42" s="57">
        <v>15.627000000000001</v>
      </c>
      <c r="AP42" s="57">
        <v>15.627000000000001</v>
      </c>
      <c r="AQ42" s="37"/>
      <c r="AR42" s="37"/>
      <c r="AS42" s="56"/>
      <c r="AT42" s="37" t="s">
        <v>2</v>
      </c>
      <c r="AU42" s="57">
        <v>15342</v>
      </c>
      <c r="AV42" s="57">
        <v>95.783000000000001</v>
      </c>
      <c r="AW42" s="57">
        <v>95.783000000000001</v>
      </c>
      <c r="AX42" s="57">
        <v>95.783000000000001</v>
      </c>
      <c r="AY42" s="57">
        <v>95.783000000000001</v>
      </c>
      <c r="AZ42" s="57">
        <v>95.783000000000001</v>
      </c>
      <c r="BA42" s="37"/>
      <c r="BB42" s="37"/>
      <c r="BC42" s="37"/>
      <c r="BD42" s="56"/>
      <c r="BE42" s="37" t="s">
        <v>2</v>
      </c>
      <c r="BF42" s="57">
        <v>45918</v>
      </c>
      <c r="BG42" s="57">
        <v>286.69</v>
      </c>
      <c r="BH42" s="57">
        <v>286.69</v>
      </c>
      <c r="BI42" s="57">
        <v>286.69</v>
      </c>
      <c r="BJ42" s="57">
        <v>286.69</v>
      </c>
      <c r="BK42" s="57">
        <v>286.69</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1684500</v>
      </c>
      <c r="AL43" s="57">
        <v>10398</v>
      </c>
      <c r="AM43" s="57">
        <v>9109.6</v>
      </c>
      <c r="AN43" s="57">
        <v>2581.1</v>
      </c>
      <c r="AO43" s="57">
        <v>13.374000000000001</v>
      </c>
      <c r="AP43" s="57">
        <v>3.8106</v>
      </c>
      <c r="AQ43" s="37"/>
      <c r="AR43" s="37"/>
      <c r="AS43" s="56"/>
      <c r="AT43" s="37" t="s">
        <v>3</v>
      </c>
      <c r="AU43" s="57">
        <v>1671600</v>
      </c>
      <c r="AV43" s="57">
        <v>10300</v>
      </c>
      <c r="AW43" s="57">
        <v>8865.7999999999993</v>
      </c>
      <c r="AX43" s="57">
        <v>1514.3</v>
      </c>
      <c r="AY43" s="57">
        <v>1.7165999999999999</v>
      </c>
      <c r="AZ43" s="57">
        <v>1.2173</v>
      </c>
      <c r="BA43" s="37"/>
      <c r="BB43" s="37"/>
      <c r="BC43" s="37"/>
      <c r="BD43" s="56"/>
      <c r="BE43" s="37" t="s">
        <v>3</v>
      </c>
      <c r="BF43" s="57">
        <v>1640800</v>
      </c>
      <c r="BG43" s="57">
        <v>10073</v>
      </c>
      <c r="BH43" s="57">
        <v>8324.5</v>
      </c>
      <c r="BI43" s="57">
        <v>537</v>
      </c>
      <c r="BJ43" s="57">
        <v>0.40538999999999997</v>
      </c>
      <c r="BK43" s="57">
        <v>0.35832000000000003</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118.62</v>
      </c>
      <c r="AM45" s="57">
        <v>1407.3</v>
      </c>
      <c r="AN45" s="57">
        <v>7936.4</v>
      </c>
      <c r="AO45" s="57">
        <v>10503</v>
      </c>
      <c r="AP45" s="57">
        <v>10513</v>
      </c>
      <c r="AQ45" s="37"/>
      <c r="AR45" s="37"/>
      <c r="AS45" s="56"/>
      <c r="AT45" s="37" t="s">
        <v>5</v>
      </c>
      <c r="AU45" s="57">
        <v>0</v>
      </c>
      <c r="AV45" s="57">
        <v>135.76</v>
      </c>
      <c r="AW45" s="57">
        <v>1569.9</v>
      </c>
      <c r="AX45" s="57">
        <v>8922.1</v>
      </c>
      <c r="AY45" s="57">
        <v>10434</v>
      </c>
      <c r="AZ45" s="57">
        <v>10434</v>
      </c>
      <c r="BA45" s="37"/>
      <c r="BB45" s="37"/>
      <c r="BC45" s="37"/>
      <c r="BD45" s="56"/>
      <c r="BE45" s="37" t="s">
        <v>5</v>
      </c>
      <c r="BF45" s="57">
        <v>0.14212</v>
      </c>
      <c r="BG45" s="57">
        <v>169.35</v>
      </c>
      <c r="BH45" s="57">
        <v>1919</v>
      </c>
      <c r="BI45" s="57">
        <v>9706.2999999999993</v>
      </c>
      <c r="BJ45" s="57">
        <v>10243</v>
      </c>
      <c r="BK45" s="57">
        <v>10243</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1687400</v>
      </c>
      <c r="AL47" s="57">
        <v>10535</v>
      </c>
      <c r="AM47" s="57">
        <v>10535</v>
      </c>
      <c r="AN47" s="57">
        <v>10535</v>
      </c>
      <c r="AO47" s="57">
        <v>10535</v>
      </c>
      <c r="AP47" s="57">
        <v>10535</v>
      </c>
      <c r="AQ47" s="37"/>
      <c r="AR47" s="37"/>
      <c r="AS47" s="56">
        <v>1.2</v>
      </c>
      <c r="AT47" s="37" t="s">
        <v>0</v>
      </c>
      <c r="AU47" s="57">
        <v>1687400</v>
      </c>
      <c r="AV47" s="57">
        <v>10535</v>
      </c>
      <c r="AW47" s="57">
        <v>10535</v>
      </c>
      <c r="AX47" s="57">
        <v>10535</v>
      </c>
      <c r="AY47" s="57">
        <v>10535</v>
      </c>
      <c r="AZ47" s="57">
        <v>10535</v>
      </c>
      <c r="BA47" s="37"/>
      <c r="BB47" s="37"/>
      <c r="BC47" s="37"/>
      <c r="BD47" s="56">
        <v>1.2</v>
      </c>
      <c r="BE47" s="37" t="s">
        <v>0</v>
      </c>
      <c r="BF47" s="57">
        <v>1687400</v>
      </c>
      <c r="BG47" s="57">
        <v>10535</v>
      </c>
      <c r="BH47" s="57">
        <v>10535</v>
      </c>
      <c r="BI47" s="57">
        <v>10535</v>
      </c>
      <c r="BJ47" s="57">
        <v>10535</v>
      </c>
      <c r="BK47" s="57">
        <v>10535</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1687400</v>
      </c>
      <c r="AL48" s="57">
        <v>10534</v>
      </c>
      <c r="AM48" s="57">
        <v>10534</v>
      </c>
      <c r="AN48" s="57">
        <v>10534</v>
      </c>
      <c r="AO48" s="57">
        <v>10534</v>
      </c>
      <c r="AP48" s="57">
        <v>10534</v>
      </c>
      <c r="AQ48" s="37"/>
      <c r="AR48" s="37"/>
      <c r="AS48" s="56"/>
      <c r="AT48" s="37" t="s">
        <v>1</v>
      </c>
      <c r="AU48" s="57">
        <v>1677400</v>
      </c>
      <c r="AV48" s="57">
        <v>10472</v>
      </c>
      <c r="AW48" s="57">
        <v>10472</v>
      </c>
      <c r="AX48" s="57">
        <v>10472</v>
      </c>
      <c r="AY48" s="57">
        <v>10472</v>
      </c>
      <c r="AZ48" s="57">
        <v>10472</v>
      </c>
      <c r="BA48" s="37"/>
      <c r="BB48" s="37"/>
      <c r="BC48" s="37"/>
      <c r="BD48" s="56"/>
      <c r="BE48" s="37" t="s">
        <v>1</v>
      </c>
      <c r="BF48" s="57">
        <v>1655600</v>
      </c>
      <c r="BG48" s="57">
        <v>10336</v>
      </c>
      <c r="BH48" s="57">
        <v>10336</v>
      </c>
      <c r="BI48" s="57">
        <v>10336</v>
      </c>
      <c r="BJ48" s="57">
        <v>10336</v>
      </c>
      <c r="BK48" s="57">
        <v>10336</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64.405000000000001</v>
      </c>
      <c r="AL49" s="57">
        <v>0.40211000000000002</v>
      </c>
      <c r="AM49" s="57">
        <v>0.40211000000000002</v>
      </c>
      <c r="AN49" s="57">
        <v>0.40211000000000002</v>
      </c>
      <c r="AO49" s="57">
        <v>0.40211000000000002</v>
      </c>
      <c r="AP49" s="57">
        <v>0.40211000000000002</v>
      </c>
      <c r="AQ49" s="37"/>
      <c r="AR49" s="37"/>
      <c r="AS49" s="56"/>
      <c r="AT49" s="37" t="s">
        <v>2</v>
      </c>
      <c r="AU49" s="57">
        <v>10070</v>
      </c>
      <c r="AV49" s="57">
        <v>62.871000000000002</v>
      </c>
      <c r="AW49" s="57">
        <v>62.871000000000002</v>
      </c>
      <c r="AX49" s="57">
        <v>62.871000000000002</v>
      </c>
      <c r="AY49" s="57">
        <v>62.871000000000002</v>
      </c>
      <c r="AZ49" s="57">
        <v>62.871000000000002</v>
      </c>
      <c r="BA49" s="37"/>
      <c r="BB49" s="37"/>
      <c r="BC49" s="37"/>
      <c r="BD49" s="56"/>
      <c r="BE49" s="37" t="s">
        <v>2</v>
      </c>
      <c r="BF49" s="57">
        <v>31823</v>
      </c>
      <c r="BG49" s="57">
        <v>198.69</v>
      </c>
      <c r="BH49" s="57">
        <v>198.69</v>
      </c>
      <c r="BI49" s="57">
        <v>198.69</v>
      </c>
      <c r="BJ49" s="57">
        <v>198.69</v>
      </c>
      <c r="BK49" s="57">
        <v>198.69</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1687000</v>
      </c>
      <c r="AL50" s="57">
        <v>10392</v>
      </c>
      <c r="AM50" s="57">
        <v>8914.1</v>
      </c>
      <c r="AN50" s="57">
        <v>2235.1999999999998</v>
      </c>
      <c r="AO50" s="57">
        <v>11.881</v>
      </c>
      <c r="AP50" s="57">
        <v>4.0121000000000002</v>
      </c>
      <c r="AQ50" s="37"/>
      <c r="AR50" s="37"/>
      <c r="AS50" s="56"/>
      <c r="AT50" s="37" t="s">
        <v>3</v>
      </c>
      <c r="AU50" s="57">
        <v>1676900</v>
      </c>
      <c r="AV50" s="57">
        <v>10305</v>
      </c>
      <c r="AW50" s="57">
        <v>8660.5</v>
      </c>
      <c r="AX50" s="57">
        <v>1282.9000000000001</v>
      </c>
      <c r="AY50" s="57">
        <v>1.5444</v>
      </c>
      <c r="AZ50" s="57">
        <v>1.1194999999999999</v>
      </c>
      <c r="BA50" s="37"/>
      <c r="BB50" s="37"/>
      <c r="BC50" s="37"/>
      <c r="BD50" s="56"/>
      <c r="BE50" s="37" t="s">
        <v>3</v>
      </c>
      <c r="BF50" s="57">
        <v>1654900</v>
      </c>
      <c r="BG50" s="57">
        <v>10131</v>
      </c>
      <c r="BH50" s="57">
        <v>8173.5</v>
      </c>
      <c r="BI50" s="57">
        <v>464.67</v>
      </c>
      <c r="BJ50" s="57">
        <v>0.40068999999999999</v>
      </c>
      <c r="BK50" s="57">
        <v>0.36297000000000001</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141.01</v>
      </c>
      <c r="AM52" s="57">
        <v>1618.4</v>
      </c>
      <c r="AN52" s="57">
        <v>8297.7000000000007</v>
      </c>
      <c r="AO52" s="57">
        <v>10520</v>
      </c>
      <c r="AP52" s="57">
        <v>10528</v>
      </c>
      <c r="AQ52" s="37"/>
      <c r="AR52" s="37"/>
      <c r="AS52" s="56"/>
      <c r="AT52" s="37" t="s">
        <v>5</v>
      </c>
      <c r="AU52" s="57">
        <v>0</v>
      </c>
      <c r="AV52" s="57">
        <v>163.21</v>
      </c>
      <c r="AW52" s="57">
        <v>1808.3</v>
      </c>
      <c r="AX52" s="57">
        <v>9186.2000000000007</v>
      </c>
      <c r="AY52" s="57">
        <v>10467</v>
      </c>
      <c r="AZ52" s="57">
        <v>10467</v>
      </c>
      <c r="BA52" s="37"/>
      <c r="BB52" s="37"/>
      <c r="BC52" s="37"/>
      <c r="BD52" s="56"/>
      <c r="BE52" s="37" t="s">
        <v>5</v>
      </c>
      <c r="BF52" s="57">
        <v>0.13650000000000001</v>
      </c>
      <c r="BG52" s="57">
        <v>199.12</v>
      </c>
      <c r="BH52" s="57">
        <v>2158.1</v>
      </c>
      <c r="BI52" s="57">
        <v>9866.7000000000007</v>
      </c>
      <c r="BJ52" s="57">
        <v>10330</v>
      </c>
      <c r="BK52" s="57">
        <v>10331</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1687400</v>
      </c>
      <c r="AL54" s="57">
        <v>10535</v>
      </c>
      <c r="AM54" s="57">
        <v>10535</v>
      </c>
      <c r="AN54" s="57">
        <v>10535</v>
      </c>
      <c r="AO54" s="57">
        <v>10535</v>
      </c>
      <c r="AP54" s="57">
        <v>10535</v>
      </c>
      <c r="AQ54" s="37"/>
      <c r="AR54" s="37"/>
      <c r="AS54" s="56">
        <v>1.6</v>
      </c>
      <c r="AT54" s="37" t="s">
        <v>0</v>
      </c>
      <c r="AU54" s="57">
        <v>1687400</v>
      </c>
      <c r="AV54" s="57">
        <v>10535</v>
      </c>
      <c r="AW54" s="57">
        <v>10535</v>
      </c>
      <c r="AX54" s="57">
        <v>10535</v>
      </c>
      <c r="AY54" s="57">
        <v>10535</v>
      </c>
      <c r="AZ54" s="57">
        <v>10535</v>
      </c>
      <c r="BA54" s="37"/>
      <c r="BB54" s="37"/>
      <c r="BC54" s="37"/>
      <c r="BD54" s="56">
        <v>1.6</v>
      </c>
      <c r="BE54" s="37" t="s">
        <v>0</v>
      </c>
      <c r="BF54" s="57">
        <v>1687400</v>
      </c>
      <c r="BG54" s="57">
        <v>10535</v>
      </c>
      <c r="BH54" s="57">
        <v>10535</v>
      </c>
      <c r="BI54" s="57">
        <v>10535</v>
      </c>
      <c r="BJ54" s="57">
        <v>10535</v>
      </c>
      <c r="BK54" s="57">
        <v>10535</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1687400</v>
      </c>
      <c r="AL55" s="57">
        <v>10535</v>
      </c>
      <c r="AM55" s="57">
        <v>10535</v>
      </c>
      <c r="AN55" s="57">
        <v>10535</v>
      </c>
      <c r="AO55" s="57">
        <v>10535</v>
      </c>
      <c r="AP55" s="57">
        <v>10535</v>
      </c>
      <c r="AQ55" s="37"/>
      <c r="AR55" s="37"/>
      <c r="AS55" s="56"/>
      <c r="AT55" s="37" t="s">
        <v>1</v>
      </c>
      <c r="AU55" s="57">
        <v>1684500</v>
      </c>
      <c r="AV55" s="57">
        <v>10517</v>
      </c>
      <c r="AW55" s="57">
        <v>10517</v>
      </c>
      <c r="AX55" s="57">
        <v>10517</v>
      </c>
      <c r="AY55" s="57">
        <v>10517</v>
      </c>
      <c r="AZ55" s="57">
        <v>10517</v>
      </c>
      <c r="BA55" s="37"/>
      <c r="BB55" s="37"/>
      <c r="BC55" s="37"/>
      <c r="BD55" s="56"/>
      <c r="BE55" s="37" t="s">
        <v>1</v>
      </c>
      <c r="BF55" s="57">
        <v>1671600</v>
      </c>
      <c r="BG55" s="57">
        <v>10436</v>
      </c>
      <c r="BH55" s="57">
        <v>10436</v>
      </c>
      <c r="BI55" s="57">
        <v>10436</v>
      </c>
      <c r="BJ55" s="57">
        <v>10436</v>
      </c>
      <c r="BK55" s="57">
        <v>10436</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2876.8</v>
      </c>
      <c r="AV56" s="57">
        <v>17.960999999999999</v>
      </c>
      <c r="AW56" s="57">
        <v>17.960999999999999</v>
      </c>
      <c r="AX56" s="57">
        <v>17.960999999999999</v>
      </c>
      <c r="AY56" s="57">
        <v>17.960999999999999</v>
      </c>
      <c r="AZ56" s="57">
        <v>17.960999999999999</v>
      </c>
      <c r="BA56" s="37"/>
      <c r="BB56" s="37"/>
      <c r="BC56" s="37"/>
      <c r="BD56" s="56"/>
      <c r="BE56" s="37" t="s">
        <v>2</v>
      </c>
      <c r="BF56" s="57">
        <v>15807</v>
      </c>
      <c r="BG56" s="57">
        <v>98.686999999999998</v>
      </c>
      <c r="BH56" s="57">
        <v>98.686999999999998</v>
      </c>
      <c r="BI56" s="57">
        <v>98.686999999999998</v>
      </c>
      <c r="BJ56" s="57">
        <v>98.686999999999998</v>
      </c>
      <c r="BK56" s="57">
        <v>98.686999999999998</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1687100</v>
      </c>
      <c r="AL57" s="57">
        <v>10349</v>
      </c>
      <c r="AM57" s="57">
        <v>8534.6</v>
      </c>
      <c r="AN57" s="57">
        <v>1743.8</v>
      </c>
      <c r="AO57" s="57">
        <v>9.7264999999999997</v>
      </c>
      <c r="AP57" s="57">
        <v>4.3089000000000004</v>
      </c>
      <c r="AQ57" s="37"/>
      <c r="AR57" s="37"/>
      <c r="AS57" s="56"/>
      <c r="AT57" s="37" t="s">
        <v>3</v>
      </c>
      <c r="AU57" s="57">
        <v>1684100</v>
      </c>
      <c r="AV57" s="57">
        <v>10302</v>
      </c>
      <c r="AW57" s="57">
        <v>8306.9</v>
      </c>
      <c r="AX57" s="57">
        <v>1010.1</v>
      </c>
      <c r="AY57" s="57">
        <v>1.4908999999999999</v>
      </c>
      <c r="AZ57" s="57">
        <v>1.1765000000000001</v>
      </c>
      <c r="BA57" s="37"/>
      <c r="BB57" s="37"/>
      <c r="BC57" s="37"/>
      <c r="BD57" s="56"/>
      <c r="BE57" s="37" t="s">
        <v>3</v>
      </c>
      <c r="BF57" s="57">
        <v>1670900</v>
      </c>
      <c r="BG57" s="57">
        <v>10169</v>
      </c>
      <c r="BH57" s="57">
        <v>7817.8</v>
      </c>
      <c r="BI57" s="57">
        <v>372.99</v>
      </c>
      <c r="BJ57" s="57">
        <v>0.35303000000000001</v>
      </c>
      <c r="BK57" s="57">
        <v>0.32923999999999998</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184.02</v>
      </c>
      <c r="AM59" s="57">
        <v>1998.4</v>
      </c>
      <c r="AN59" s="57">
        <v>8789.5</v>
      </c>
      <c r="AO59" s="57">
        <v>10522</v>
      </c>
      <c r="AP59" s="57">
        <v>10528</v>
      </c>
      <c r="AQ59" s="37"/>
      <c r="AR59" s="37"/>
      <c r="AS59" s="56"/>
      <c r="AT59" s="37" t="s">
        <v>5</v>
      </c>
      <c r="AU59" s="57">
        <v>0</v>
      </c>
      <c r="AV59" s="57">
        <v>211.42</v>
      </c>
      <c r="AW59" s="57">
        <v>2207</v>
      </c>
      <c r="AX59" s="57">
        <v>9503.6</v>
      </c>
      <c r="AY59" s="57">
        <v>10512</v>
      </c>
      <c r="AZ59" s="57">
        <v>10512</v>
      </c>
      <c r="BA59" s="37"/>
      <c r="BB59" s="37"/>
      <c r="BC59" s="37"/>
      <c r="BD59" s="56"/>
      <c r="BE59" s="37" t="s">
        <v>5</v>
      </c>
      <c r="BF59" s="57">
        <v>0.20635999999999999</v>
      </c>
      <c r="BG59" s="57">
        <v>261.33</v>
      </c>
      <c r="BH59" s="57">
        <v>2613.8000000000002</v>
      </c>
      <c r="BI59" s="57">
        <v>10058</v>
      </c>
      <c r="BJ59" s="57">
        <v>10430</v>
      </c>
      <c r="BK59" s="57">
        <v>10430</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1687400</v>
      </c>
      <c r="AL61" s="57">
        <v>10535</v>
      </c>
      <c r="AM61" s="57">
        <v>10535</v>
      </c>
      <c r="AN61" s="57">
        <v>10535</v>
      </c>
      <c r="AO61" s="57">
        <v>10535</v>
      </c>
      <c r="AP61" s="57">
        <v>10535</v>
      </c>
      <c r="AQ61" s="37"/>
      <c r="AR61" s="37"/>
      <c r="AS61" s="56">
        <v>2</v>
      </c>
      <c r="AT61" s="37" t="s">
        <v>0</v>
      </c>
      <c r="AU61" s="57">
        <v>1687400</v>
      </c>
      <c r="AV61" s="57">
        <v>10535</v>
      </c>
      <c r="AW61" s="57">
        <v>10535</v>
      </c>
      <c r="AX61" s="57">
        <v>10535</v>
      </c>
      <c r="AY61" s="57">
        <v>10535</v>
      </c>
      <c r="AZ61" s="57">
        <v>10535</v>
      </c>
      <c r="BA61" s="37"/>
      <c r="BB61" s="37"/>
      <c r="BC61" s="37"/>
      <c r="BD61" s="56">
        <v>2</v>
      </c>
      <c r="BE61" s="37" t="s">
        <v>0</v>
      </c>
      <c r="BF61" s="57">
        <v>1687400</v>
      </c>
      <c r="BG61" s="57">
        <v>10535</v>
      </c>
      <c r="BH61" s="57">
        <v>10535</v>
      </c>
      <c r="BI61" s="57">
        <v>10535</v>
      </c>
      <c r="BJ61" s="57">
        <v>10535</v>
      </c>
      <c r="BK61" s="57">
        <v>10535</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1687400</v>
      </c>
      <c r="AL62" s="57">
        <v>10535</v>
      </c>
      <c r="AM62" s="57">
        <v>10535</v>
      </c>
      <c r="AN62" s="57">
        <v>10535</v>
      </c>
      <c r="AO62" s="57">
        <v>10535</v>
      </c>
      <c r="AP62" s="57">
        <v>10535</v>
      </c>
      <c r="AQ62" s="37"/>
      <c r="AR62" s="37"/>
      <c r="AS62" s="37"/>
      <c r="AT62" s="37" t="s">
        <v>1</v>
      </c>
      <c r="AU62" s="57">
        <v>1687400</v>
      </c>
      <c r="AV62" s="57">
        <v>10535</v>
      </c>
      <c r="AW62" s="57">
        <v>10535</v>
      </c>
      <c r="AX62" s="57">
        <v>10535</v>
      </c>
      <c r="AY62" s="57">
        <v>10535</v>
      </c>
      <c r="AZ62" s="57">
        <v>10535</v>
      </c>
      <c r="BA62" s="37"/>
      <c r="BB62" s="37"/>
      <c r="BC62" s="37"/>
      <c r="BD62" s="37"/>
      <c r="BE62" s="37" t="s">
        <v>1</v>
      </c>
      <c r="BF62" s="57">
        <v>1678800</v>
      </c>
      <c r="BG62" s="57">
        <v>10481</v>
      </c>
      <c r="BH62" s="57">
        <v>10481</v>
      </c>
      <c r="BI62" s="57">
        <v>10481</v>
      </c>
      <c r="BJ62" s="57">
        <v>10481</v>
      </c>
      <c r="BK62" s="57">
        <v>10481</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8671.7999999999993</v>
      </c>
      <c r="BG63" s="57">
        <v>54.140999999999998</v>
      </c>
      <c r="BH63" s="57">
        <v>54.140999999999998</v>
      </c>
      <c r="BI63" s="57">
        <v>54.140999999999998</v>
      </c>
      <c r="BJ63" s="57">
        <v>54.140999999999998</v>
      </c>
      <c r="BK63" s="57">
        <v>54.140999999999998</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1687100</v>
      </c>
      <c r="AL64" s="57">
        <v>10305</v>
      </c>
      <c r="AM64" s="57">
        <v>8182.7</v>
      </c>
      <c r="AN64" s="57">
        <v>1389.9</v>
      </c>
      <c r="AO64" s="57">
        <v>8.0185999999999993</v>
      </c>
      <c r="AP64" s="57">
        <v>4.1470000000000002</v>
      </c>
      <c r="AQ64" s="37"/>
      <c r="AR64" s="37"/>
      <c r="AS64" s="37"/>
      <c r="AT64" s="37" t="s">
        <v>3</v>
      </c>
      <c r="AU64" s="57">
        <v>1686900</v>
      </c>
      <c r="AV64" s="57">
        <v>10269</v>
      </c>
      <c r="AW64" s="57">
        <v>7935.1</v>
      </c>
      <c r="AX64" s="57">
        <v>781.62</v>
      </c>
      <c r="AY64" s="57">
        <v>1.2645999999999999</v>
      </c>
      <c r="AZ64" s="57">
        <v>1.0768</v>
      </c>
      <c r="BA64" s="37"/>
      <c r="BB64" s="37"/>
      <c r="BC64" s="37"/>
      <c r="BD64" s="37"/>
      <c r="BE64" s="37" t="s">
        <v>3</v>
      </c>
      <c r="BF64" s="57">
        <v>1678000</v>
      </c>
      <c r="BG64" s="57">
        <v>10167</v>
      </c>
      <c r="BH64" s="57">
        <v>7534.7</v>
      </c>
      <c r="BI64" s="57">
        <v>317.35000000000002</v>
      </c>
      <c r="BJ64" s="57">
        <v>0.40677999999999997</v>
      </c>
      <c r="BK64" s="57">
        <v>0.39145000000000002</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227.17</v>
      </c>
      <c r="AM66" s="57">
        <v>2350.4</v>
      </c>
      <c r="AN66" s="57">
        <v>9143.2999999999993</v>
      </c>
      <c r="AO66" s="57">
        <v>10525</v>
      </c>
      <c r="AP66" s="57">
        <v>10529</v>
      </c>
      <c r="AQ66" s="37"/>
      <c r="AR66" s="37"/>
      <c r="AS66" s="37"/>
      <c r="AT66" s="37" t="s">
        <v>5</v>
      </c>
      <c r="AU66" s="57">
        <v>0</v>
      </c>
      <c r="AV66" s="57">
        <v>262.51</v>
      </c>
      <c r="AW66" s="57">
        <v>2596.8000000000002</v>
      </c>
      <c r="AX66" s="57">
        <v>9749.7999999999993</v>
      </c>
      <c r="AY66" s="57">
        <v>10530</v>
      </c>
      <c r="AZ66" s="57">
        <v>10530</v>
      </c>
      <c r="BA66" s="37"/>
      <c r="BB66" s="37"/>
      <c r="BC66" s="37"/>
      <c r="BD66" s="37"/>
      <c r="BE66" s="37" t="s">
        <v>5</v>
      </c>
      <c r="BF66" s="57">
        <v>9.8805000000000004E-2</v>
      </c>
      <c r="BG66" s="57">
        <v>308.29000000000002</v>
      </c>
      <c r="BH66" s="57">
        <v>2941.6</v>
      </c>
      <c r="BI66" s="57">
        <v>10158</v>
      </c>
      <c r="BJ66" s="57">
        <v>10475</v>
      </c>
      <c r="BK66" s="57">
        <v>10475</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sheetPr codeName="Sheet28"/>
  <dimension ref="A1:BP150"/>
  <sheetViews>
    <sheetView topLeftCell="A19" workbookViewId="0">
      <pane xSplit="8" topLeftCell="AE1" activePane="topRight" state="frozen"/>
      <selection pane="topRight" activeCell="AH1" sqref="AH1"/>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3.8916437098255279</v>
      </c>
      <c r="E2" t="s">
        <v>119</v>
      </c>
      <c r="G2" s="103">
        <f>C2*12</f>
        <v>46.699724517906333</v>
      </c>
      <c r="I2" s="121" t="s">
        <v>145</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1695200</v>
      </c>
      <c r="N4" s="10">
        <v>100</v>
      </c>
      <c r="O4" s="2">
        <f>L5/$L$4</f>
        <v>0.13329990561585653</v>
      </c>
      <c r="P4" s="32">
        <v>2.5560000000000001E-3</v>
      </c>
      <c r="Q4" s="9">
        <f t="shared" ref="Q4:Q9" si="0">2/((P4/(N4*0.35))*3600)</f>
        <v>7.6073726308468084</v>
      </c>
      <c r="S4" s="7"/>
      <c r="T4" s="26">
        <v>100</v>
      </c>
      <c r="U4" s="4" t="s">
        <v>0</v>
      </c>
      <c r="V4" s="5">
        <v>1695200</v>
      </c>
      <c r="X4" s="24">
        <v>100</v>
      </c>
      <c r="Y4" s="22">
        <f>V5/$V$4</f>
        <v>0.3167708824917414</v>
      </c>
      <c r="Z4" s="33">
        <v>9.1857999999999992E-3</v>
      </c>
      <c r="AA4" s="9">
        <f t="shared" ref="AA4:AA9" si="1">2/((Z4/(X4*0.35))*3600)</f>
        <v>2.1167937952540279</v>
      </c>
      <c r="AD4" s="26">
        <v>100</v>
      </c>
      <c r="AE4" s="4" t="s">
        <v>0</v>
      </c>
      <c r="AF4" s="5">
        <v>1695200</v>
      </c>
      <c r="AH4" s="10">
        <v>100</v>
      </c>
      <c r="AI4" s="2">
        <f>AF5/$AF$4</f>
        <v>0.83848513449740447</v>
      </c>
      <c r="AJ4" s="32">
        <v>2.4458000000000001E-2</v>
      </c>
      <c r="AK4" s="9">
        <f t="shared" ref="AK4:AK9" si="2">2/((AJ4/(AH4*0.35))*3600)</f>
        <v>0.79501367423519698</v>
      </c>
      <c r="AN4" s="26">
        <v>100</v>
      </c>
      <c r="AO4" s="4" t="s">
        <v>0</v>
      </c>
      <c r="AP4" s="5">
        <v>1695200</v>
      </c>
      <c r="AR4" s="10">
        <v>100</v>
      </c>
      <c r="AS4" s="2">
        <f>AP5/AP$4</f>
        <v>0.29639570552147237</v>
      </c>
      <c r="AT4" s="32">
        <v>3.4983000000000002E-3</v>
      </c>
      <c r="AU4" s="9">
        <f t="shared" ref="AU4:AU9" si="3">2/((AT4/(AR4*0.35))*3600)</f>
        <v>5.5582552795484785</v>
      </c>
      <c r="AW4" s="7"/>
      <c r="AX4" s="26">
        <v>100</v>
      </c>
      <c r="AY4" s="4" t="s">
        <v>0</v>
      </c>
      <c r="AZ4" s="5">
        <v>1695200</v>
      </c>
      <c r="BB4" s="24">
        <v>100</v>
      </c>
      <c r="BC4" s="2">
        <f>AZ5/AZ$4</f>
        <v>0.56618688060405853</v>
      </c>
      <c r="BD4" s="33">
        <v>1.2692999999999999E-2</v>
      </c>
      <c r="BE4" s="9">
        <f t="shared" ref="BE4:BE9" si="4">2/((BD4/(BB4*0.35))*3600)</f>
        <v>1.5319029736425152</v>
      </c>
      <c r="BH4" s="26">
        <v>100</v>
      </c>
      <c r="BI4" s="4" t="s">
        <v>0</v>
      </c>
      <c r="BJ4" s="5">
        <v>1695200</v>
      </c>
      <c r="BL4" s="10">
        <v>100</v>
      </c>
      <c r="BM4" s="2">
        <f>BJ5/BJ$4</f>
        <v>0.9623643227937706</v>
      </c>
      <c r="BN4" s="32">
        <v>2.7512999999999999E-2</v>
      </c>
      <c r="BO4" s="9">
        <f t="shared" ref="BO4:BO7" si="5">2/((BN4/(BL4*0.35))*3600)</f>
        <v>0.70673661339891847</v>
      </c>
      <c r="BP4" s="12"/>
    </row>
    <row r="5" spans="1:68">
      <c r="J5" s="26"/>
      <c r="K5" s="4" t="s">
        <v>1</v>
      </c>
      <c r="L5" s="5">
        <v>225970</v>
      </c>
      <c r="N5" s="10">
        <v>200</v>
      </c>
      <c r="O5" s="2">
        <f>L12/$L$4</f>
        <v>0.2389747522416234</v>
      </c>
      <c r="P5" s="32">
        <v>4.5392000000000002E-3</v>
      </c>
      <c r="Q5" s="9">
        <f t="shared" si="0"/>
        <v>8.5673442212039319</v>
      </c>
      <c r="S5" s="7"/>
      <c r="T5" s="26"/>
      <c r="U5" s="4" t="s">
        <v>1</v>
      </c>
      <c r="V5" s="5">
        <v>536990</v>
      </c>
      <c r="X5" s="24">
        <v>200</v>
      </c>
      <c r="Y5" s="22">
        <f>V12/$V$4</f>
        <v>0.51144997640396417</v>
      </c>
      <c r="Z5" s="33">
        <v>1.4732E-2</v>
      </c>
      <c r="AA5" s="9">
        <f t="shared" si="1"/>
        <v>2.639756237366881</v>
      </c>
      <c r="AD5" s="26"/>
      <c r="AE5" s="4" t="s">
        <v>1</v>
      </c>
      <c r="AF5" s="5">
        <v>1421400</v>
      </c>
      <c r="AH5" s="10">
        <v>200</v>
      </c>
      <c r="AI5" s="2">
        <f>AF12/$AF$4</f>
        <v>0.94626002831524303</v>
      </c>
      <c r="AJ5" s="32">
        <v>2.7109000000000001E-2</v>
      </c>
      <c r="AK5" s="9">
        <f t="shared" si="2"/>
        <v>1.4345379353310299</v>
      </c>
      <c r="AN5" s="26"/>
      <c r="AO5" s="4" t="s">
        <v>1</v>
      </c>
      <c r="AP5" s="5">
        <v>502450</v>
      </c>
      <c r="AR5" s="10">
        <v>200</v>
      </c>
      <c r="AS5" s="2">
        <f>AP12/AP$4</f>
        <v>0.48849693251533743</v>
      </c>
      <c r="AT5" s="32">
        <v>5.8494000000000003E-3</v>
      </c>
      <c r="AU5" s="9">
        <f t="shared" si="3"/>
        <v>6.6483551969242809</v>
      </c>
      <c r="AW5" s="7"/>
      <c r="AX5" s="26"/>
      <c r="AY5" s="4" t="s">
        <v>1</v>
      </c>
      <c r="AZ5" s="5">
        <v>959800</v>
      </c>
      <c r="BB5" s="24">
        <v>200</v>
      </c>
      <c r="BC5" s="2">
        <f>AZ12/AZ$4</f>
        <v>0.78745870693723452</v>
      </c>
      <c r="BD5" s="33">
        <v>1.8456E-2</v>
      </c>
      <c r="BE5" s="9">
        <f t="shared" si="4"/>
        <v>2.107113615566151</v>
      </c>
      <c r="BH5" s="26"/>
      <c r="BI5" s="4" t="s">
        <v>1</v>
      </c>
      <c r="BJ5" s="5">
        <v>1631400</v>
      </c>
      <c r="BL5" s="10">
        <v>200</v>
      </c>
      <c r="BM5" s="2">
        <f>BJ12/BJ$4</f>
        <v>0.99233128834355833</v>
      </c>
      <c r="BN5" s="32">
        <v>2.8114E-2</v>
      </c>
      <c r="BO5" s="9">
        <f t="shared" si="5"/>
        <v>1.3832570565870701</v>
      </c>
      <c r="BP5" s="12"/>
    </row>
    <row r="6" spans="1:68">
      <c r="J6" s="26"/>
      <c r="K6" s="4" t="s">
        <v>2</v>
      </c>
      <c r="L6" s="5">
        <v>1469200</v>
      </c>
      <c r="N6" s="10">
        <v>400</v>
      </c>
      <c r="O6" s="2">
        <f>L19/L$4</f>
        <v>0.40814653138272772</v>
      </c>
      <c r="P6" s="32">
        <v>7.6889000000000002E-3</v>
      </c>
      <c r="Q6" s="9">
        <f t="shared" si="0"/>
        <v>10.11559231850821</v>
      </c>
      <c r="S6" s="7"/>
      <c r="T6" s="26"/>
      <c r="U6" s="4" t="s">
        <v>2</v>
      </c>
      <c r="V6" s="5">
        <v>1158100</v>
      </c>
      <c r="X6" s="24">
        <v>400</v>
      </c>
      <c r="Y6" s="22">
        <f>V19/$V$4</f>
        <v>0.73873289287399713</v>
      </c>
      <c r="Z6" s="33">
        <v>2.1194000000000001E-2</v>
      </c>
      <c r="AA6" s="9">
        <f t="shared" si="1"/>
        <v>3.6698017258553257</v>
      </c>
      <c r="AD6" s="26"/>
      <c r="AE6" s="4" t="s">
        <v>2</v>
      </c>
      <c r="AF6" s="5">
        <v>273840</v>
      </c>
      <c r="AH6" s="10">
        <v>400</v>
      </c>
      <c r="AI6" s="2">
        <f>AF19/$AF$4</f>
        <v>0.98749410099103352</v>
      </c>
      <c r="AJ6" s="32">
        <v>2.8003E-2</v>
      </c>
      <c r="AK6" s="9">
        <f t="shared" si="2"/>
        <v>2.7774801906144977</v>
      </c>
      <c r="AN6" s="26"/>
      <c r="AO6" s="4" t="s">
        <v>2</v>
      </c>
      <c r="AP6" s="5">
        <v>1192700</v>
      </c>
      <c r="AR6" s="10">
        <v>400</v>
      </c>
      <c r="AS6" s="2">
        <f>AP19/AP$4</f>
        <v>0.71490089664936296</v>
      </c>
      <c r="AT6" s="32">
        <v>9.0843E-3</v>
      </c>
      <c r="AU6" s="9">
        <f t="shared" si="3"/>
        <v>8.5617799695934504</v>
      </c>
      <c r="AW6" s="7"/>
      <c r="AX6" s="26"/>
      <c r="AY6" s="4" t="s">
        <v>2</v>
      </c>
      <c r="AZ6" s="5">
        <v>735540</v>
      </c>
      <c r="BB6" s="24">
        <v>400</v>
      </c>
      <c r="BC6" s="2">
        <f>AZ19/AZ$4</f>
        <v>0.94006606890042477</v>
      </c>
      <c r="BD6" s="33">
        <v>2.3743E-2</v>
      </c>
      <c r="BE6" s="9">
        <f t="shared" si="4"/>
        <v>3.2758193058070919</v>
      </c>
      <c r="BH6" s="26"/>
      <c r="BI6" s="4" t="s">
        <v>2</v>
      </c>
      <c r="BJ6" s="5">
        <v>63784</v>
      </c>
      <c r="BL6" s="10">
        <v>400</v>
      </c>
      <c r="BM6" s="2">
        <f>BJ19/BJ$4</f>
        <v>0.99887918829636624</v>
      </c>
      <c r="BN6" s="32">
        <v>2.8246E-2</v>
      </c>
      <c r="BO6" s="9">
        <f t="shared" si="5"/>
        <v>2.7535855617707914</v>
      </c>
      <c r="BP6" s="12"/>
    </row>
    <row r="7" spans="1:68">
      <c r="J7" s="26"/>
      <c r="K7" s="4" t="s">
        <v>3</v>
      </c>
      <c r="L7" s="5">
        <v>225110</v>
      </c>
      <c r="N7" s="10">
        <v>600</v>
      </c>
      <c r="O7" s="2">
        <f>L26/$L$4</f>
        <v>0.53303445021236429</v>
      </c>
      <c r="P7" s="32">
        <v>1.0241E-2</v>
      </c>
      <c r="Q7" s="9">
        <f t="shared" si="0"/>
        <v>11.392116655274551</v>
      </c>
      <c r="S7" s="7"/>
      <c r="T7" s="26"/>
      <c r="U7" s="4" t="s">
        <v>3</v>
      </c>
      <c r="V7" s="5">
        <v>536650</v>
      </c>
      <c r="X7" s="24">
        <v>600</v>
      </c>
      <c r="Y7" s="22">
        <f>V26/$V$4</f>
        <v>0.85453043888626712</v>
      </c>
      <c r="Z7" s="33">
        <v>2.4399000000000001E-2</v>
      </c>
      <c r="AA7" s="9">
        <f t="shared" si="1"/>
        <v>4.7816167329262127</v>
      </c>
      <c r="AD7" s="26"/>
      <c r="AE7" s="4" t="s">
        <v>3</v>
      </c>
      <c r="AF7" s="5">
        <v>1421100</v>
      </c>
      <c r="AH7" s="10">
        <v>600</v>
      </c>
      <c r="AI7" s="2">
        <f>AF26/$AF$4</f>
        <v>0.9949268522888155</v>
      </c>
      <c r="AJ7" s="32">
        <v>2.8149E-2</v>
      </c>
      <c r="AK7" s="9">
        <f t="shared" si="2"/>
        <v>4.1446114130756566</v>
      </c>
      <c r="AN7" s="26"/>
      <c r="AO7" s="4" t="s">
        <v>3</v>
      </c>
      <c r="AP7" s="5">
        <v>501060</v>
      </c>
      <c r="AR7" s="10">
        <v>600</v>
      </c>
      <c r="AS7" s="2">
        <f>AP26/AP$4</f>
        <v>0.83246814535158098</v>
      </c>
      <c r="AT7" s="32">
        <v>1.1464999999999999E-2</v>
      </c>
      <c r="AU7" s="9">
        <f t="shared" si="3"/>
        <v>10.175897659543539</v>
      </c>
      <c r="AW7" s="7"/>
      <c r="AX7" s="26"/>
      <c r="AY7" s="4" t="s">
        <v>3</v>
      </c>
      <c r="AZ7" s="5">
        <v>959360</v>
      </c>
      <c r="BB7" s="24">
        <v>600</v>
      </c>
      <c r="BC7" s="2">
        <f>AZ26/AZ$4</f>
        <v>0.97675790467201506</v>
      </c>
      <c r="BD7" s="33">
        <v>2.5776E-2</v>
      </c>
      <c r="BE7" s="9">
        <f t="shared" si="4"/>
        <v>4.5261742189116489</v>
      </c>
      <c r="BH7" s="26"/>
      <c r="BI7" s="4" t="s">
        <v>3</v>
      </c>
      <c r="BJ7" s="5">
        <v>1631100</v>
      </c>
      <c r="BL7" s="10">
        <v>600</v>
      </c>
      <c r="BM7" s="2">
        <f>BJ26/BJ$4</f>
        <v>0.99994100991033508</v>
      </c>
      <c r="BN7" s="32">
        <v>2.8301E-2</v>
      </c>
      <c r="BO7" s="9">
        <f t="shared" si="5"/>
        <v>4.122351389232418</v>
      </c>
      <c r="BP7" s="12"/>
    </row>
    <row r="8" spans="1:68">
      <c r="J8" s="26"/>
      <c r="K8" s="4" t="s">
        <v>4</v>
      </c>
      <c r="L8" s="5">
        <v>0</v>
      </c>
      <c r="N8" s="10">
        <v>800</v>
      </c>
      <c r="O8" s="2">
        <f>L33/$L$4</f>
        <v>0.62859839546956109</v>
      </c>
      <c r="P8" s="32">
        <v>1.2368000000000001E-2</v>
      </c>
      <c r="Q8" s="9">
        <f t="shared" si="0"/>
        <v>12.577260313353458</v>
      </c>
      <c r="S8" s="7"/>
      <c r="T8" s="26"/>
      <c r="U8" s="4" t="s">
        <v>4</v>
      </c>
      <c r="V8" s="5">
        <v>0</v>
      </c>
      <c r="X8" s="24">
        <v>800</v>
      </c>
      <c r="Y8" s="22">
        <f>V33/$V$4</f>
        <v>0.91593912222746576</v>
      </c>
      <c r="Z8" s="33">
        <v>2.6103000000000001E-2</v>
      </c>
      <c r="AA8" s="9">
        <f t="shared" si="1"/>
        <v>5.9592979946962243</v>
      </c>
      <c r="AD8" s="26"/>
      <c r="AE8" s="4" t="s">
        <v>4</v>
      </c>
      <c r="AF8" s="5">
        <v>0</v>
      </c>
      <c r="AH8" s="10">
        <v>800</v>
      </c>
      <c r="AI8" s="2">
        <f>AF33/$AF$4</f>
        <v>0.99769938650306744</v>
      </c>
      <c r="AJ8" s="32">
        <v>2.8199999999999999E-2</v>
      </c>
      <c r="AK8" s="9">
        <f>2/((AJ8/(AH8*0.35))*3600)</f>
        <v>5.5161544523246651</v>
      </c>
      <c r="AN8" s="26"/>
      <c r="AO8" s="4" t="s">
        <v>4</v>
      </c>
      <c r="AP8" s="5">
        <v>0</v>
      </c>
      <c r="AR8" s="10">
        <v>800</v>
      </c>
      <c r="AS8" s="2">
        <f>AP33/AP$4</f>
        <v>0.89659037281736664</v>
      </c>
      <c r="AT8" s="32">
        <v>1.3391999999999999E-2</v>
      </c>
      <c r="AU8" s="9">
        <f t="shared" si="3"/>
        <v>11.615558210540289</v>
      </c>
      <c r="AW8" s="7"/>
      <c r="AX8" s="26"/>
      <c r="AY8" s="4" t="s">
        <v>4</v>
      </c>
      <c r="AZ8" s="5">
        <v>0</v>
      </c>
      <c r="BB8" s="24">
        <v>800</v>
      </c>
      <c r="BC8" s="2">
        <f>AZ33/AZ$4</f>
        <v>0.98773006134969321</v>
      </c>
      <c r="BD8" s="33">
        <v>2.6886E-2</v>
      </c>
      <c r="BE8" s="9">
        <f t="shared" si="4"/>
        <v>5.7857455759709726</v>
      </c>
      <c r="BH8" s="26"/>
      <c r="BI8" s="4" t="s">
        <v>4</v>
      </c>
      <c r="BJ8" s="5">
        <v>0</v>
      </c>
      <c r="BL8" s="10">
        <v>800</v>
      </c>
      <c r="BM8" s="2">
        <f>BJ33/BJ$4</f>
        <v>1</v>
      </c>
      <c r="BN8" s="32">
        <v>2.8294E-2</v>
      </c>
      <c r="BO8" s="9">
        <f>2/((BN8/(BL8*0.35))*3600)</f>
        <v>5.49782835779867</v>
      </c>
      <c r="BP8" s="12"/>
    </row>
    <row r="9" spans="1:68">
      <c r="J9" s="26"/>
      <c r="K9" s="4" t="s">
        <v>5</v>
      </c>
      <c r="L9" s="5">
        <v>0.19344</v>
      </c>
      <c r="M9" s="1"/>
      <c r="N9" s="10">
        <v>1000</v>
      </c>
      <c r="O9" s="2">
        <f>L40/$L$4</f>
        <v>0.70310287871637567</v>
      </c>
      <c r="P9" s="32">
        <v>1.4138E-2</v>
      </c>
      <c r="Q9" s="9">
        <f t="shared" si="0"/>
        <v>13.753320444507318</v>
      </c>
      <c r="S9" s="7"/>
      <c r="T9" s="26"/>
      <c r="U9" s="4" t="s">
        <v>5</v>
      </c>
      <c r="V9" s="5">
        <v>0</v>
      </c>
      <c r="W9" s="1"/>
      <c r="X9" s="24">
        <v>1000</v>
      </c>
      <c r="Y9" s="22">
        <f>V40/$V$4</f>
        <v>0.94944549315714954</v>
      </c>
      <c r="Z9" s="33">
        <v>2.7021E-2</v>
      </c>
      <c r="AA9" s="9">
        <f t="shared" si="1"/>
        <v>7.1960491634078849</v>
      </c>
      <c r="AD9" s="26"/>
      <c r="AE9" s="4" t="s">
        <v>5</v>
      </c>
      <c r="AF9" s="5">
        <v>0</v>
      </c>
      <c r="AG9" s="1"/>
      <c r="AH9" s="10">
        <v>1000</v>
      </c>
      <c r="AI9" s="2">
        <f>AF40/$AF$4</f>
        <v>0.99870221802737136</v>
      </c>
      <c r="AJ9" s="32">
        <v>2.8213999999999999E-2</v>
      </c>
      <c r="AK9" s="9">
        <f t="shared" si="2"/>
        <v>6.8917716185030296</v>
      </c>
      <c r="AN9" s="26"/>
      <c r="AO9" s="4" t="s">
        <v>5</v>
      </c>
      <c r="AP9" s="5">
        <v>118.09</v>
      </c>
      <c r="AQ9" s="1"/>
      <c r="AR9" s="10">
        <v>1000</v>
      </c>
      <c r="AS9" s="2">
        <f>AP40/AP$4</f>
        <v>0.93511090136857011</v>
      </c>
      <c r="AT9" s="32">
        <v>1.5037E-2</v>
      </c>
      <c r="AU9" s="9">
        <f t="shared" si="3"/>
        <v>12.931066332675694</v>
      </c>
      <c r="AW9" s="7"/>
      <c r="AX9" s="26"/>
      <c r="AY9" s="4" t="s">
        <v>5</v>
      </c>
      <c r="AZ9" s="5">
        <v>0</v>
      </c>
      <c r="BA9" s="1"/>
      <c r="BB9" s="24">
        <v>1000</v>
      </c>
      <c r="BC9" s="2">
        <f>AZ40/AZ$4</f>
        <v>0.99303916941953752</v>
      </c>
      <c r="BD9" s="33">
        <v>2.7576E-2</v>
      </c>
      <c r="BE9" s="9">
        <f t="shared" si="4"/>
        <v>7.0512200625342487</v>
      </c>
      <c r="BH9" s="26"/>
      <c r="BI9" s="4" t="s">
        <v>5</v>
      </c>
      <c r="BJ9" s="5">
        <v>0</v>
      </c>
      <c r="BK9" s="1"/>
      <c r="BL9" s="10">
        <v>1000</v>
      </c>
      <c r="BM9" s="2">
        <f>BJ40/BJ$4</f>
        <v>1</v>
      </c>
      <c r="BN9" s="32">
        <v>2.8284E-2</v>
      </c>
      <c r="BO9" s="9">
        <f t="shared" ref="BO9" si="6">2/((BN9/(BL9*0.35))*3600)</f>
        <v>6.8747151903706838</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1695200</v>
      </c>
      <c r="S11" s="7"/>
      <c r="T11" s="26">
        <v>200</v>
      </c>
      <c r="U11" s="4" t="s">
        <v>0</v>
      </c>
      <c r="V11" s="5">
        <v>1695200</v>
      </c>
      <c r="AD11" s="26">
        <v>200</v>
      </c>
      <c r="AE11" s="4" t="s">
        <v>0</v>
      </c>
      <c r="AF11" s="5">
        <v>1695200</v>
      </c>
      <c r="AN11" s="26">
        <v>200</v>
      </c>
      <c r="AO11" s="4" t="s">
        <v>0</v>
      </c>
      <c r="AP11" s="5">
        <v>1695200</v>
      </c>
      <c r="AW11" s="7"/>
      <c r="AX11" s="26">
        <v>200</v>
      </c>
      <c r="AY11" s="4" t="s">
        <v>0</v>
      </c>
      <c r="AZ11" s="5">
        <v>1695200</v>
      </c>
      <c r="BH11" s="26">
        <v>200</v>
      </c>
      <c r="BI11" s="4" t="s">
        <v>0</v>
      </c>
      <c r="BJ11" s="5">
        <v>1695200</v>
      </c>
      <c r="BP11" s="12"/>
    </row>
    <row r="12" spans="1:68">
      <c r="J12" s="26"/>
      <c r="K12" s="4" t="s">
        <v>1</v>
      </c>
      <c r="L12" s="5">
        <v>405110</v>
      </c>
      <c r="S12" s="7"/>
      <c r="T12" s="26"/>
      <c r="U12" s="4" t="s">
        <v>1</v>
      </c>
      <c r="V12" s="5">
        <v>867010</v>
      </c>
      <c r="AD12" s="26"/>
      <c r="AE12" s="4" t="s">
        <v>1</v>
      </c>
      <c r="AF12" s="5">
        <v>1604100</v>
      </c>
      <c r="AN12" s="26"/>
      <c r="AO12" s="4" t="s">
        <v>1</v>
      </c>
      <c r="AP12" s="5">
        <v>828100</v>
      </c>
      <c r="AW12" s="7"/>
      <c r="AX12" s="26"/>
      <c r="AY12" s="4" t="s">
        <v>1</v>
      </c>
      <c r="AZ12" s="5">
        <v>1334900</v>
      </c>
      <c r="BH12" s="26"/>
      <c r="BI12" s="4" t="s">
        <v>1</v>
      </c>
      <c r="BJ12" s="5">
        <v>1682200</v>
      </c>
      <c r="BP12" s="12"/>
    </row>
    <row r="13" spans="1:68">
      <c r="J13" s="26"/>
      <c r="K13" s="4" t="s">
        <v>2</v>
      </c>
      <c r="L13" s="5">
        <v>1290000</v>
      </c>
      <c r="T13" s="26"/>
      <c r="U13" s="4" t="s">
        <v>2</v>
      </c>
      <c r="V13" s="5">
        <v>828300</v>
      </c>
      <c r="AD13" s="26"/>
      <c r="AE13" s="4" t="s">
        <v>2</v>
      </c>
      <c r="AF13" s="5">
        <v>91136</v>
      </c>
      <c r="AN13" s="26"/>
      <c r="AO13" s="4" t="s">
        <v>2</v>
      </c>
      <c r="AP13" s="5">
        <v>867280</v>
      </c>
      <c r="AX13" s="26"/>
      <c r="AY13" s="4" t="s">
        <v>2</v>
      </c>
      <c r="AZ13" s="5">
        <v>360270</v>
      </c>
      <c r="BH13" s="26"/>
      <c r="BI13" s="4" t="s">
        <v>2</v>
      </c>
      <c r="BJ13" s="5">
        <v>13040</v>
      </c>
    </row>
    <row r="14" spans="1:68">
      <c r="J14" s="26"/>
      <c r="K14" s="4" t="s">
        <v>3</v>
      </c>
      <c r="L14" s="5">
        <v>403490</v>
      </c>
      <c r="T14" s="26"/>
      <c r="U14" s="4" t="s">
        <v>3</v>
      </c>
      <c r="V14" s="5">
        <v>866330</v>
      </c>
      <c r="AD14" s="26"/>
      <c r="AE14" s="4" t="s">
        <v>3</v>
      </c>
      <c r="AF14" s="5">
        <v>1603500</v>
      </c>
      <c r="AN14" s="26"/>
      <c r="AO14" s="4" t="s">
        <v>3</v>
      </c>
      <c r="AP14" s="5">
        <v>826050</v>
      </c>
      <c r="AX14" s="26"/>
      <c r="AY14" s="4" t="s">
        <v>3</v>
      </c>
      <c r="AZ14" s="5">
        <v>1334200</v>
      </c>
      <c r="BH14" s="26"/>
      <c r="BI14" s="4" t="s">
        <v>3</v>
      </c>
      <c r="BJ14" s="5">
        <v>1681600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0.29136000000000001</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1695200</v>
      </c>
      <c r="T18" s="26">
        <v>400</v>
      </c>
      <c r="U18" s="4" t="s">
        <v>0</v>
      </c>
      <c r="V18" s="5">
        <v>1695200</v>
      </c>
      <c r="AD18" s="26">
        <v>400</v>
      </c>
      <c r="AE18" s="4" t="s">
        <v>0</v>
      </c>
      <c r="AF18" s="5">
        <v>1695200</v>
      </c>
      <c r="AN18" s="26">
        <v>400</v>
      </c>
      <c r="AO18" s="4" t="s">
        <v>0</v>
      </c>
      <c r="AP18" s="5">
        <v>1695200</v>
      </c>
      <c r="AX18" s="26">
        <v>400</v>
      </c>
      <c r="AY18" s="4" t="s">
        <v>0</v>
      </c>
      <c r="AZ18" s="5">
        <v>1695200</v>
      </c>
      <c r="BH18" s="26">
        <v>400</v>
      </c>
      <c r="BI18" s="4" t="s">
        <v>0</v>
      </c>
      <c r="BJ18" s="5">
        <v>1695200</v>
      </c>
    </row>
    <row r="19" spans="1:62">
      <c r="J19" s="26"/>
      <c r="K19" s="4" t="s">
        <v>1</v>
      </c>
      <c r="L19" s="5">
        <v>691890</v>
      </c>
      <c r="T19" s="26"/>
      <c r="U19" s="4" t="s">
        <v>1</v>
      </c>
      <c r="V19" s="5">
        <v>1252300</v>
      </c>
      <c r="AD19" s="26"/>
      <c r="AE19" s="4" t="s">
        <v>1</v>
      </c>
      <c r="AF19" s="5">
        <v>1674000</v>
      </c>
      <c r="AN19" s="26"/>
      <c r="AO19" s="4" t="s">
        <v>1</v>
      </c>
      <c r="AP19" s="5">
        <v>1211900</v>
      </c>
      <c r="AX19" s="26"/>
      <c r="AY19" s="4" t="s">
        <v>1</v>
      </c>
      <c r="AZ19" s="5">
        <v>1593600</v>
      </c>
      <c r="BH19" s="26"/>
      <c r="BI19" s="4" t="s">
        <v>1</v>
      </c>
      <c r="BJ19" s="5">
        <v>1693300</v>
      </c>
    </row>
    <row r="20" spans="1:62">
      <c r="J20" s="26"/>
      <c r="K20" s="4" t="s">
        <v>2</v>
      </c>
      <c r="L20" s="5">
        <v>1003400</v>
      </c>
      <c r="T20" s="26"/>
      <c r="U20" s="4" t="s">
        <v>2</v>
      </c>
      <c r="V20" s="5">
        <v>442920</v>
      </c>
      <c r="AD20" s="26"/>
      <c r="AE20" s="4" t="s">
        <v>2</v>
      </c>
      <c r="AF20" s="5">
        <v>21164</v>
      </c>
      <c r="AN20" s="26"/>
      <c r="AO20" s="4" t="s">
        <v>2</v>
      </c>
      <c r="AP20" s="5">
        <v>483400</v>
      </c>
      <c r="AX20" s="26"/>
      <c r="AY20" s="4" t="s">
        <v>2</v>
      </c>
      <c r="AZ20" s="5">
        <v>101550</v>
      </c>
      <c r="BH20" s="26"/>
      <c r="BI20" s="4" t="s">
        <v>2</v>
      </c>
      <c r="BJ20" s="5">
        <v>1902.5</v>
      </c>
    </row>
    <row r="21" spans="1:62">
      <c r="J21" s="26"/>
      <c r="K21" s="4" t="s">
        <v>3</v>
      </c>
      <c r="L21" s="5">
        <v>689170</v>
      </c>
      <c r="T21" s="26"/>
      <c r="U21" s="4" t="s">
        <v>3</v>
      </c>
      <c r="V21" s="5">
        <v>1251000</v>
      </c>
      <c r="AD21" s="26"/>
      <c r="AE21" s="4" t="s">
        <v>3</v>
      </c>
      <c r="AF21" s="5">
        <v>1673000</v>
      </c>
      <c r="AN21" s="26"/>
      <c r="AO21" s="4" t="s">
        <v>3</v>
      </c>
      <c r="AP21" s="5">
        <v>1208500</v>
      </c>
      <c r="AX21" s="26"/>
      <c r="AY21" s="4" t="s">
        <v>3</v>
      </c>
      <c r="AZ21" s="5">
        <v>1592300</v>
      </c>
      <c r="BH21" s="26"/>
      <c r="BI21" s="4" t="s">
        <v>3</v>
      </c>
      <c r="BJ21" s="5">
        <v>1692300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1695200</v>
      </c>
      <c r="T25" s="26">
        <v>600</v>
      </c>
      <c r="U25" s="4" t="s">
        <v>0</v>
      </c>
      <c r="V25" s="5">
        <v>1695200</v>
      </c>
      <c r="AD25" s="26">
        <v>600</v>
      </c>
      <c r="AE25" s="4" t="s">
        <v>0</v>
      </c>
      <c r="AF25" s="5">
        <v>1695200</v>
      </c>
      <c r="AN25" s="26">
        <v>600</v>
      </c>
      <c r="AO25" s="4" t="s">
        <v>0</v>
      </c>
      <c r="AP25" s="5">
        <v>1695200</v>
      </c>
      <c r="AX25" s="26">
        <v>600</v>
      </c>
      <c r="AY25" s="4" t="s">
        <v>0</v>
      </c>
      <c r="AZ25" s="5">
        <v>1695200</v>
      </c>
      <c r="BH25" s="26">
        <v>600</v>
      </c>
      <c r="BI25" s="4" t="s">
        <v>0</v>
      </c>
      <c r="BJ25" s="5">
        <v>1695200</v>
      </c>
    </row>
    <row r="26" spans="1:62">
      <c r="J26" s="26"/>
      <c r="K26" s="4" t="s">
        <v>1</v>
      </c>
      <c r="L26" s="5">
        <v>903600</v>
      </c>
      <c r="T26" s="26"/>
      <c r="U26" s="4" t="s">
        <v>1</v>
      </c>
      <c r="V26" s="5">
        <v>1448600</v>
      </c>
      <c r="AD26" s="26"/>
      <c r="AE26" s="4" t="s">
        <v>1</v>
      </c>
      <c r="AF26" s="5">
        <v>1686600</v>
      </c>
      <c r="AN26" s="26"/>
      <c r="AO26" s="4" t="s">
        <v>1</v>
      </c>
      <c r="AP26" s="5">
        <v>1411200</v>
      </c>
      <c r="AX26" s="26"/>
      <c r="AY26" s="4" t="s">
        <v>1</v>
      </c>
      <c r="AZ26" s="5">
        <v>1655800</v>
      </c>
      <c r="BH26" s="26"/>
      <c r="BI26" s="4" t="s">
        <v>1</v>
      </c>
      <c r="BJ26" s="5">
        <v>1695100</v>
      </c>
    </row>
    <row r="27" spans="1:62">
      <c r="A27" s="120" t="s">
        <v>145</v>
      </c>
      <c r="J27" s="26"/>
      <c r="K27" s="4" t="s">
        <v>2</v>
      </c>
      <c r="L27" s="5">
        <v>791560</v>
      </c>
      <c r="T27" s="26"/>
      <c r="U27" s="4" t="s">
        <v>2</v>
      </c>
      <c r="V27" s="5">
        <v>246530</v>
      </c>
      <c r="AD27" s="26"/>
      <c r="AE27" s="4" t="s">
        <v>2</v>
      </c>
      <c r="AF27" s="5">
        <v>8576.5</v>
      </c>
      <c r="AN27" s="26"/>
      <c r="AO27" s="4" t="s">
        <v>2</v>
      </c>
      <c r="AP27" s="5">
        <v>283890</v>
      </c>
      <c r="AX27" s="26"/>
      <c r="AY27" s="4" t="s">
        <v>2</v>
      </c>
      <c r="AZ27" s="5">
        <v>39441</v>
      </c>
      <c r="BH27" s="26"/>
      <c r="BI27" s="4" t="s">
        <v>2</v>
      </c>
      <c r="BJ27" s="5">
        <v>85.215999999999994</v>
      </c>
    </row>
    <row r="28" spans="1:62">
      <c r="A28" s="199" t="str">
        <f>AH3</f>
        <v>Filter Area (ft2)</v>
      </c>
      <c r="B28" s="200" t="s">
        <v>11</v>
      </c>
      <c r="C28" s="200"/>
      <c r="D28" s="200"/>
      <c r="E28" s="200" t="s">
        <v>12</v>
      </c>
      <c r="F28" s="200"/>
      <c r="G28" s="200"/>
      <c r="H28" s="6"/>
      <c r="J28" s="26"/>
      <c r="K28" s="4" t="s">
        <v>3</v>
      </c>
      <c r="L28" s="5">
        <v>900320</v>
      </c>
      <c r="T28" s="26"/>
      <c r="U28" s="4" t="s">
        <v>3</v>
      </c>
      <c r="V28" s="5">
        <v>1446800</v>
      </c>
      <c r="AD28" s="26"/>
      <c r="AE28" s="4" t="s">
        <v>3</v>
      </c>
      <c r="AF28" s="5">
        <v>1685200</v>
      </c>
      <c r="AN28" s="26"/>
      <c r="AO28" s="4" t="s">
        <v>3</v>
      </c>
      <c r="AP28" s="5">
        <v>1407100</v>
      </c>
      <c r="AX28" s="26"/>
      <c r="AY28" s="4" t="s">
        <v>3</v>
      </c>
      <c r="AZ28" s="5">
        <v>1653900</v>
      </c>
      <c r="BH28" s="26"/>
      <c r="BI28" s="4" t="s">
        <v>3</v>
      </c>
      <c r="BJ28" s="5">
        <v>1693700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0.13329990561585653</v>
      </c>
      <c r="C30" s="2">
        <f t="shared" ref="C30:C35" si="8">Y4</f>
        <v>0.3167708824917414</v>
      </c>
      <c r="D30" s="2">
        <f t="shared" ref="D30:D35" si="9">AI4</f>
        <v>0.83848513449740447</v>
      </c>
      <c r="E30" s="11">
        <f t="shared" ref="E30:E35" si="10">Q4</f>
        <v>7.6073726308468084</v>
      </c>
      <c r="F30" s="11">
        <f t="shared" ref="F30:F35" si="11">AA4</f>
        <v>2.1167937952540279</v>
      </c>
      <c r="G30" s="9">
        <f t="shared" ref="G30:G35" si="12">AK4</f>
        <v>0.79501367423519698</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0.2389747522416234</v>
      </c>
      <c r="C31" s="2">
        <f t="shared" si="8"/>
        <v>0.51144997640396417</v>
      </c>
      <c r="D31" s="2">
        <f t="shared" si="9"/>
        <v>0.94626002831524303</v>
      </c>
      <c r="E31" s="11">
        <f t="shared" si="10"/>
        <v>8.5673442212039319</v>
      </c>
      <c r="F31" s="11">
        <f t="shared" si="11"/>
        <v>2.639756237366881</v>
      </c>
      <c r="G31" s="9">
        <f t="shared" si="12"/>
        <v>1.4345379353310299</v>
      </c>
      <c r="H31" s="12"/>
      <c r="J31" s="26"/>
      <c r="K31" s="4"/>
      <c r="L31" s="4"/>
      <c r="T31" s="26"/>
      <c r="U31" s="4"/>
      <c r="V31" s="4"/>
      <c r="AD31" s="26"/>
      <c r="AE31" s="4"/>
      <c r="AF31" s="4"/>
      <c r="AN31" s="26"/>
      <c r="AO31" s="4"/>
      <c r="AP31" s="4"/>
      <c r="AX31" s="26"/>
      <c r="AY31" s="4"/>
      <c r="AZ31" s="4"/>
      <c r="BH31" s="26"/>
      <c r="BI31" s="4"/>
      <c r="BJ31" s="4"/>
    </row>
    <row r="32" spans="1:62">
      <c r="A32" s="10">
        <v>400</v>
      </c>
      <c r="B32" s="2">
        <f t="shared" si="7"/>
        <v>0.40814653138272772</v>
      </c>
      <c r="C32" s="2">
        <f t="shared" si="8"/>
        <v>0.73873289287399713</v>
      </c>
      <c r="D32" s="2">
        <f t="shared" si="9"/>
        <v>0.98749410099103352</v>
      </c>
      <c r="E32" s="11">
        <f t="shared" si="10"/>
        <v>10.11559231850821</v>
      </c>
      <c r="F32" s="11">
        <f t="shared" si="11"/>
        <v>3.6698017258553257</v>
      </c>
      <c r="G32" s="9">
        <f t="shared" si="12"/>
        <v>2.7774801906144977</v>
      </c>
      <c r="H32" s="12"/>
      <c r="J32" s="26">
        <v>800</v>
      </c>
      <c r="K32" s="4" t="s">
        <v>0</v>
      </c>
      <c r="L32" s="5">
        <v>1695200</v>
      </c>
      <c r="T32" s="26">
        <v>800</v>
      </c>
      <c r="U32" s="4" t="s">
        <v>0</v>
      </c>
      <c r="V32" s="5">
        <v>1695200</v>
      </c>
      <c r="AD32" s="26">
        <v>800</v>
      </c>
      <c r="AE32" s="4" t="s">
        <v>0</v>
      </c>
      <c r="AF32" s="5">
        <v>1695200</v>
      </c>
      <c r="AN32" s="26">
        <v>800</v>
      </c>
      <c r="AO32" s="4" t="s">
        <v>0</v>
      </c>
      <c r="AP32" s="5">
        <v>1695200</v>
      </c>
      <c r="AX32" s="26">
        <v>800</v>
      </c>
      <c r="AY32" s="4" t="s">
        <v>0</v>
      </c>
      <c r="AZ32" s="5">
        <v>1695200</v>
      </c>
      <c r="BH32" s="26">
        <v>800</v>
      </c>
      <c r="BI32" s="4" t="s">
        <v>0</v>
      </c>
      <c r="BJ32" s="5">
        <v>1695200</v>
      </c>
    </row>
    <row r="33" spans="1:62">
      <c r="A33" s="10">
        <v>600</v>
      </c>
      <c r="B33" s="2">
        <f t="shared" si="7"/>
        <v>0.53303445021236429</v>
      </c>
      <c r="C33" s="2">
        <f t="shared" si="8"/>
        <v>0.85453043888626712</v>
      </c>
      <c r="D33" s="2">
        <f t="shared" si="9"/>
        <v>0.9949268522888155</v>
      </c>
      <c r="E33" s="11">
        <f t="shared" si="10"/>
        <v>11.392116655274551</v>
      </c>
      <c r="F33" s="11">
        <f t="shared" si="11"/>
        <v>4.7816167329262127</v>
      </c>
      <c r="G33" s="9">
        <f t="shared" si="12"/>
        <v>4.1446114130756566</v>
      </c>
      <c r="H33" s="12"/>
      <c r="J33" s="26"/>
      <c r="K33" s="4" t="s">
        <v>1</v>
      </c>
      <c r="L33" s="5">
        <v>1065600</v>
      </c>
      <c r="T33" s="26"/>
      <c r="U33" s="4" t="s">
        <v>1</v>
      </c>
      <c r="V33" s="5">
        <v>1552700</v>
      </c>
      <c r="AD33" s="26"/>
      <c r="AE33" s="4" t="s">
        <v>1</v>
      </c>
      <c r="AF33" s="5">
        <v>1691300</v>
      </c>
      <c r="AN33" s="26"/>
      <c r="AO33" s="4" t="s">
        <v>1</v>
      </c>
      <c r="AP33" s="5">
        <v>1519900</v>
      </c>
      <c r="AX33" s="26"/>
      <c r="AY33" s="4" t="s">
        <v>1</v>
      </c>
      <c r="AZ33" s="5">
        <v>1674400</v>
      </c>
      <c r="BH33" s="26"/>
      <c r="BI33" s="4" t="s">
        <v>1</v>
      </c>
      <c r="BJ33" s="5">
        <v>1695200</v>
      </c>
    </row>
    <row r="34" spans="1:62">
      <c r="A34" s="10">
        <v>800</v>
      </c>
      <c r="B34" s="2">
        <f t="shared" si="7"/>
        <v>0.62859839546956109</v>
      </c>
      <c r="C34" s="2">
        <f t="shared" si="8"/>
        <v>0.91593912222746576</v>
      </c>
      <c r="D34" s="2">
        <f t="shared" si="9"/>
        <v>0.99769938650306744</v>
      </c>
      <c r="E34" s="11">
        <f t="shared" si="10"/>
        <v>12.577260313353458</v>
      </c>
      <c r="F34" s="11">
        <f t="shared" si="11"/>
        <v>5.9592979946962243</v>
      </c>
      <c r="G34" s="9">
        <f t="shared" si="12"/>
        <v>5.5161544523246651</v>
      </c>
      <c r="H34" s="12"/>
      <c r="J34" s="26"/>
      <c r="K34" s="4" t="s">
        <v>2</v>
      </c>
      <c r="L34" s="5">
        <v>629640</v>
      </c>
      <c r="T34" s="26"/>
      <c r="U34" s="4" t="s">
        <v>2</v>
      </c>
      <c r="V34" s="5">
        <v>142510</v>
      </c>
      <c r="AD34" s="26"/>
      <c r="AE34" s="4" t="s">
        <v>2</v>
      </c>
      <c r="AF34" s="5">
        <v>3931.7</v>
      </c>
      <c r="AN34" s="26"/>
      <c r="AO34" s="4" t="s">
        <v>2</v>
      </c>
      <c r="AP34" s="5">
        <v>175280</v>
      </c>
      <c r="AX34" s="26"/>
      <c r="AY34" s="4" t="s">
        <v>2</v>
      </c>
      <c r="AZ34" s="5">
        <v>20776</v>
      </c>
      <c r="BH34" s="26"/>
      <c r="BI34" s="4" t="s">
        <v>2</v>
      </c>
      <c r="BJ34" s="5">
        <v>0</v>
      </c>
    </row>
    <row r="35" spans="1:62">
      <c r="A35" s="10">
        <v>1000</v>
      </c>
      <c r="B35" s="2">
        <f t="shared" si="7"/>
        <v>0.70310287871637567</v>
      </c>
      <c r="C35" s="2">
        <f t="shared" si="8"/>
        <v>0.94944549315714954</v>
      </c>
      <c r="D35" s="2">
        <f t="shared" si="9"/>
        <v>0.99870221802737136</v>
      </c>
      <c r="E35" s="11">
        <f t="shared" si="10"/>
        <v>13.753320444507318</v>
      </c>
      <c r="F35" s="11">
        <f t="shared" si="11"/>
        <v>7.1960491634078849</v>
      </c>
      <c r="G35" s="9">
        <f t="shared" si="12"/>
        <v>6.8917716185030296</v>
      </c>
      <c r="H35" s="12"/>
      <c r="J35" s="26"/>
      <c r="K35" s="4" t="s">
        <v>3</v>
      </c>
      <c r="L35" s="5">
        <v>1061100</v>
      </c>
      <c r="T35" s="26"/>
      <c r="U35" s="4" t="s">
        <v>3</v>
      </c>
      <c r="V35" s="5">
        <v>1550300</v>
      </c>
      <c r="AD35" s="26"/>
      <c r="AE35" s="4" t="s">
        <v>3</v>
      </c>
      <c r="AF35" s="5">
        <v>1689400</v>
      </c>
      <c r="AN35" s="26"/>
      <c r="AO35" s="4" t="s">
        <v>3</v>
      </c>
      <c r="AP35" s="5">
        <v>1515000</v>
      </c>
      <c r="AX35" s="26"/>
      <c r="AY35" s="4" t="s">
        <v>3</v>
      </c>
      <c r="AZ35" s="5">
        <v>1672000</v>
      </c>
      <c r="BH35" s="26"/>
      <c r="BI35" s="4" t="s">
        <v>3</v>
      </c>
      <c r="BJ35" s="5">
        <v>1693300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1695200</v>
      </c>
      <c r="T39" s="26">
        <v>1000</v>
      </c>
      <c r="U39" s="4" t="s">
        <v>0</v>
      </c>
      <c r="V39" s="5">
        <v>1695200</v>
      </c>
      <c r="AD39" s="26">
        <v>1000</v>
      </c>
      <c r="AE39" s="4" t="s">
        <v>0</v>
      </c>
      <c r="AF39" s="5">
        <v>1695200</v>
      </c>
      <c r="AN39" s="26">
        <v>1000</v>
      </c>
      <c r="AO39" s="4" t="s">
        <v>0</v>
      </c>
      <c r="AP39" s="5">
        <v>1695200</v>
      </c>
      <c r="AX39" s="26">
        <v>1000</v>
      </c>
      <c r="AY39" s="4" t="s">
        <v>0</v>
      </c>
      <c r="AZ39" s="5">
        <v>1695200</v>
      </c>
      <c r="BH39" s="26">
        <v>1000</v>
      </c>
      <c r="BI39" s="4" t="s">
        <v>0</v>
      </c>
      <c r="BJ39" s="5">
        <v>1695200</v>
      </c>
    </row>
    <row r="40" spans="1:62">
      <c r="A40" s="199"/>
      <c r="B40" s="15" t="s">
        <v>15</v>
      </c>
      <c r="C40" s="15" t="s">
        <v>14</v>
      </c>
      <c r="D40" s="15" t="s">
        <v>13</v>
      </c>
      <c r="E40" s="15" t="s">
        <v>15</v>
      </c>
      <c r="F40" s="15" t="s">
        <v>14</v>
      </c>
      <c r="G40" s="15" t="s">
        <v>13</v>
      </c>
      <c r="J40" s="26"/>
      <c r="K40" s="4" t="s">
        <v>1</v>
      </c>
      <c r="L40" s="5">
        <v>1191900</v>
      </c>
      <c r="T40" s="26"/>
      <c r="U40" s="4" t="s">
        <v>1</v>
      </c>
      <c r="V40" s="5">
        <v>1609500</v>
      </c>
      <c r="AD40" s="26"/>
      <c r="AE40" s="4" t="s">
        <v>1</v>
      </c>
      <c r="AF40" s="5">
        <v>1693000</v>
      </c>
      <c r="AN40" s="26"/>
      <c r="AO40" s="4" t="s">
        <v>1</v>
      </c>
      <c r="AP40" s="5">
        <v>1585200</v>
      </c>
      <c r="AX40" s="26"/>
      <c r="AY40" s="4" t="s">
        <v>1</v>
      </c>
      <c r="AZ40" s="5">
        <v>1683400</v>
      </c>
      <c r="BH40" s="26"/>
      <c r="BI40" s="4" t="s">
        <v>1</v>
      </c>
      <c r="BJ40" s="5">
        <v>1695200</v>
      </c>
    </row>
    <row r="41" spans="1:62">
      <c r="A41" s="10">
        <v>100</v>
      </c>
      <c r="B41" s="2">
        <f>AS4</f>
        <v>0.29639570552147237</v>
      </c>
      <c r="C41" s="2">
        <f>BC4</f>
        <v>0.56618688060405853</v>
      </c>
      <c r="D41" s="2">
        <f>BM4</f>
        <v>0.9623643227937706</v>
      </c>
      <c r="E41" s="11">
        <f>AU4</f>
        <v>5.5582552795484785</v>
      </c>
      <c r="F41" s="11">
        <f>BE4</f>
        <v>1.5319029736425152</v>
      </c>
      <c r="G41" s="9">
        <f>BO4</f>
        <v>0.70673661339891847</v>
      </c>
      <c r="J41" s="26"/>
      <c r="K41" s="4" t="s">
        <v>2</v>
      </c>
      <c r="L41" s="5">
        <v>503330</v>
      </c>
      <c r="T41" s="26"/>
      <c r="U41" s="4" t="s">
        <v>2</v>
      </c>
      <c r="V41" s="5">
        <v>85681</v>
      </c>
      <c r="AD41" s="26"/>
      <c r="AE41" s="4" t="s">
        <v>2</v>
      </c>
      <c r="AF41" s="5">
        <v>2227.1</v>
      </c>
      <c r="AN41" s="26"/>
      <c r="AO41" s="4" t="s">
        <v>2</v>
      </c>
      <c r="AP41" s="5">
        <v>110040</v>
      </c>
      <c r="AX41" s="26"/>
      <c r="AY41" s="4" t="s">
        <v>2</v>
      </c>
      <c r="AZ41" s="5">
        <v>11811</v>
      </c>
      <c r="BH41" s="26"/>
      <c r="BI41" s="4" t="s">
        <v>2</v>
      </c>
      <c r="BJ41" s="5">
        <v>0</v>
      </c>
    </row>
    <row r="42" spans="1:62">
      <c r="A42" s="10">
        <v>200</v>
      </c>
      <c r="B42" s="2">
        <f t="shared" ref="B42:B46" si="13">AS5</f>
        <v>0.48849693251533743</v>
      </c>
      <c r="C42" s="2">
        <f t="shared" ref="C42:C46" si="14">BC5</f>
        <v>0.78745870693723452</v>
      </c>
      <c r="D42" s="2">
        <f t="shared" ref="D42:D46" si="15">BM5</f>
        <v>0.99233128834355833</v>
      </c>
      <c r="E42" s="11">
        <f t="shared" ref="E42:E46" si="16">AU5</f>
        <v>6.6483551969242809</v>
      </c>
      <c r="F42" s="11">
        <f t="shared" ref="F42:F46" si="17">BE5</f>
        <v>2.107113615566151</v>
      </c>
      <c r="G42" s="9">
        <f t="shared" ref="G42:G46" si="18">BO5</f>
        <v>1.3832570565870701</v>
      </c>
      <c r="J42" s="26"/>
      <c r="K42" s="4" t="s">
        <v>3</v>
      </c>
      <c r="L42" s="5">
        <v>1186900</v>
      </c>
      <c r="T42" s="26"/>
      <c r="U42" s="4" t="s">
        <v>3</v>
      </c>
      <c r="V42" s="5">
        <v>1606600</v>
      </c>
      <c r="AD42" s="26"/>
      <c r="AE42" s="4" t="s">
        <v>3</v>
      </c>
      <c r="AF42" s="5">
        <v>1690600</v>
      </c>
      <c r="AN42" s="26"/>
      <c r="AO42" s="4" t="s">
        <v>3</v>
      </c>
      <c r="AP42" s="5">
        <v>1579600</v>
      </c>
      <c r="AX42" s="26"/>
      <c r="AY42" s="4" t="s">
        <v>3</v>
      </c>
      <c r="AZ42" s="5">
        <v>1680400</v>
      </c>
      <c r="BH42" s="26"/>
      <c r="BI42" s="4" t="s">
        <v>3</v>
      </c>
      <c r="BJ42" s="5">
        <v>1692900</v>
      </c>
    </row>
    <row r="43" spans="1:62">
      <c r="A43" s="10">
        <v>400</v>
      </c>
      <c r="B43" s="2">
        <f t="shared" si="13"/>
        <v>0.71490089664936296</v>
      </c>
      <c r="C43" s="2">
        <f t="shared" si="14"/>
        <v>0.94006606890042477</v>
      </c>
      <c r="D43" s="2">
        <f t="shared" si="15"/>
        <v>0.99887918829636624</v>
      </c>
      <c r="E43" s="11">
        <f t="shared" si="16"/>
        <v>8.5617799695934504</v>
      </c>
      <c r="F43" s="11">
        <f t="shared" si="17"/>
        <v>3.2758193058070919</v>
      </c>
      <c r="G43" s="9">
        <f t="shared" si="18"/>
        <v>2.7535855617707914</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0.83246814535158098</v>
      </c>
      <c r="C44" s="2">
        <f t="shared" si="14"/>
        <v>0.97675790467201506</v>
      </c>
      <c r="D44" s="2">
        <f t="shared" si="15"/>
        <v>0.99994100991033508</v>
      </c>
      <c r="E44" s="11">
        <f t="shared" si="16"/>
        <v>10.175897659543539</v>
      </c>
      <c r="F44" s="11">
        <f t="shared" si="17"/>
        <v>4.5261742189116489</v>
      </c>
      <c r="G44" s="9">
        <f t="shared" si="18"/>
        <v>4.122351389232418</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0.89659037281736664</v>
      </c>
      <c r="C45" s="2">
        <f t="shared" si="14"/>
        <v>0.98773006134969321</v>
      </c>
      <c r="D45" s="2">
        <f t="shared" si="15"/>
        <v>1</v>
      </c>
      <c r="E45" s="11">
        <f t="shared" si="16"/>
        <v>11.615558210540289</v>
      </c>
      <c r="F45" s="11">
        <f t="shared" si="17"/>
        <v>5.7857455759709726</v>
      </c>
      <c r="G45" s="9">
        <f t="shared" si="18"/>
        <v>5.49782835779867</v>
      </c>
      <c r="Y45"/>
      <c r="Z45"/>
      <c r="AA45"/>
      <c r="AB45"/>
      <c r="BC45"/>
      <c r="BD45"/>
      <c r="BE45"/>
      <c r="BF45"/>
    </row>
    <row r="46" spans="1:62">
      <c r="A46" s="10">
        <v>1000</v>
      </c>
      <c r="B46" s="2">
        <f t="shared" si="13"/>
        <v>0.93511090136857011</v>
      </c>
      <c r="C46" s="2">
        <f t="shared" si="14"/>
        <v>0.99303916941953752</v>
      </c>
      <c r="D46" s="2">
        <f t="shared" si="15"/>
        <v>1</v>
      </c>
      <c r="E46" s="11">
        <f t="shared" si="16"/>
        <v>12.931066332675694</v>
      </c>
      <c r="F46" s="11">
        <f t="shared" si="17"/>
        <v>7.0512200625342487</v>
      </c>
      <c r="G46" s="9">
        <f t="shared" si="18"/>
        <v>6.8747151903706838</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0.29639570552147237</v>
      </c>
      <c r="C52" s="2">
        <f>C30+(($A$25-1)/3)*(C41-C30)</f>
        <v>0.56618688060405853</v>
      </c>
      <c r="D52" s="2">
        <f>D30+(($A$25-1)/3)*(D41-D30)</f>
        <v>0.9623643227937706</v>
      </c>
      <c r="E52" s="9">
        <f>E30+(($A$25-1)/3)*(E41-E30)</f>
        <v>5.5582552795484785</v>
      </c>
      <c r="F52" s="9">
        <f t="shared" ref="F52:G52" si="19">F30+(($A$25-1)/3)*(F41-F30)</f>
        <v>1.5319029736425152</v>
      </c>
      <c r="G52" s="9">
        <f t="shared" si="19"/>
        <v>0.70673661339891847</v>
      </c>
      <c r="Y52"/>
      <c r="Z52"/>
      <c r="AA52"/>
      <c r="AB52"/>
      <c r="BC52"/>
      <c r="BD52"/>
      <c r="BE52"/>
      <c r="BF52"/>
    </row>
    <row r="53" spans="1:58">
      <c r="A53" s="10">
        <v>200</v>
      </c>
      <c r="B53" s="2">
        <f t="shared" ref="B53:E57" si="20">B31+(($A$25-1)/3)*(B42-B31)</f>
        <v>0.48849693251533743</v>
      </c>
      <c r="C53" s="2">
        <f t="shared" si="20"/>
        <v>0.78745870693723452</v>
      </c>
      <c r="D53" s="2">
        <f t="shared" si="20"/>
        <v>0.99233128834355833</v>
      </c>
      <c r="E53" s="9">
        <f t="shared" si="20"/>
        <v>6.6483551969242809</v>
      </c>
      <c r="F53" s="9">
        <f t="shared" ref="F53:G53" si="21">F31+(($A$25-1)/3)*(F42-F31)</f>
        <v>2.107113615566151</v>
      </c>
      <c r="G53" s="9">
        <f t="shared" si="21"/>
        <v>1.3832570565870701</v>
      </c>
      <c r="Y53"/>
      <c r="Z53"/>
      <c r="AA53"/>
      <c r="AB53"/>
      <c r="BC53"/>
      <c r="BD53"/>
      <c r="BE53"/>
      <c r="BF53"/>
    </row>
    <row r="54" spans="1:58">
      <c r="A54" s="10">
        <v>400</v>
      </c>
      <c r="B54" s="2">
        <f t="shared" si="20"/>
        <v>0.71490089664936296</v>
      </c>
      <c r="C54" s="2">
        <f t="shared" si="20"/>
        <v>0.94006606890042477</v>
      </c>
      <c r="D54" s="2">
        <f t="shared" si="20"/>
        <v>0.99887918829636624</v>
      </c>
      <c r="E54" s="9">
        <f t="shared" si="20"/>
        <v>8.5617799695934504</v>
      </c>
      <c r="F54" s="9">
        <f t="shared" ref="F54:G54" si="22">F32+(($A$25-1)/3)*(F43-F32)</f>
        <v>3.2758193058070919</v>
      </c>
      <c r="G54" s="9">
        <f t="shared" si="22"/>
        <v>2.7535855617707914</v>
      </c>
      <c r="Y54"/>
      <c r="Z54"/>
      <c r="AA54"/>
      <c r="AB54"/>
      <c r="BC54"/>
      <c r="BD54"/>
      <c r="BE54"/>
      <c r="BF54"/>
    </row>
    <row r="55" spans="1:58">
      <c r="A55" s="10">
        <v>600</v>
      </c>
      <c r="B55" s="2">
        <f t="shared" si="20"/>
        <v>0.83246814535158098</v>
      </c>
      <c r="C55" s="2">
        <f t="shared" si="20"/>
        <v>0.97675790467201506</v>
      </c>
      <c r="D55" s="2">
        <f t="shared" si="20"/>
        <v>0.99994100991033508</v>
      </c>
      <c r="E55" s="9">
        <f t="shared" si="20"/>
        <v>10.175897659543539</v>
      </c>
      <c r="F55" s="9">
        <f t="shared" ref="F55:G55" si="23">F33+(($A$25-1)/3)*(F44-F33)</f>
        <v>4.5261742189116489</v>
      </c>
      <c r="G55" s="9">
        <f t="shared" si="23"/>
        <v>4.122351389232418</v>
      </c>
      <c r="Y55"/>
      <c r="Z55"/>
      <c r="AA55"/>
      <c r="AB55"/>
      <c r="BC55"/>
      <c r="BD55"/>
      <c r="BE55"/>
      <c r="BF55"/>
    </row>
    <row r="56" spans="1:58">
      <c r="A56" s="10">
        <v>800</v>
      </c>
      <c r="B56" s="2">
        <f t="shared" si="20"/>
        <v>0.89659037281736664</v>
      </c>
      <c r="C56" s="2">
        <f t="shared" si="20"/>
        <v>0.98773006134969321</v>
      </c>
      <c r="D56" s="2">
        <f t="shared" si="20"/>
        <v>1</v>
      </c>
      <c r="E56" s="9">
        <f t="shared" si="20"/>
        <v>11.615558210540289</v>
      </c>
      <c r="F56" s="9">
        <f t="shared" ref="F56:G56" si="24">F34+(($A$25-1)/3)*(F45-F34)</f>
        <v>5.7857455759709726</v>
      </c>
      <c r="G56" s="9">
        <f t="shared" si="24"/>
        <v>5.49782835779867</v>
      </c>
      <c r="Y56"/>
      <c r="Z56"/>
      <c r="AA56"/>
      <c r="AB56"/>
      <c r="BC56"/>
      <c r="BD56"/>
      <c r="BE56"/>
      <c r="BF56"/>
    </row>
    <row r="57" spans="1:58">
      <c r="A57" s="10">
        <v>1000</v>
      </c>
      <c r="B57" s="2">
        <f t="shared" si="20"/>
        <v>0.93511090136857011</v>
      </c>
      <c r="C57" s="2">
        <f t="shared" si="20"/>
        <v>0.99303916941953752</v>
      </c>
      <c r="D57" s="2">
        <f t="shared" si="20"/>
        <v>1</v>
      </c>
      <c r="E57" s="9">
        <f t="shared" si="20"/>
        <v>12.931066332675694</v>
      </c>
      <c r="F57" s="9">
        <f t="shared" ref="F57:G57" si="25">F35+(($A$25-1)/3)*(F46-F35)</f>
        <v>7.0512200625342487</v>
      </c>
      <c r="G57" s="9">
        <f t="shared" si="25"/>
        <v>6.8747151903706838</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sheetPr codeName="Sheet29"/>
  <dimension ref="A1:H20"/>
  <sheetViews>
    <sheetView zoomScale="90" zoomScaleNormal="90" workbookViewId="0">
      <selection activeCell="F33" sqref="F33"/>
    </sheetView>
  </sheetViews>
  <sheetFormatPr defaultRowHeight="14.4"/>
  <cols>
    <col min="1" max="1" width="28.6640625" customWidth="1"/>
    <col min="2" max="2" width="25.6640625" customWidth="1"/>
    <col min="3" max="3" width="14.33203125" customWidth="1"/>
    <col min="4" max="4" width="13.21875" customWidth="1"/>
    <col min="5" max="5" width="13" customWidth="1"/>
    <col min="6" max="6" width="14.109375" customWidth="1"/>
  </cols>
  <sheetData>
    <row r="1" spans="1:8" ht="31.2" customHeight="1" thickBot="1"/>
    <row r="2" spans="1:8" ht="48.6" customHeight="1">
      <c r="A2" s="99" t="s">
        <v>22</v>
      </c>
      <c r="B2" s="100" t="s">
        <v>38</v>
      </c>
      <c r="C2" s="104" t="s">
        <v>120</v>
      </c>
      <c r="D2" s="99" t="s">
        <v>52</v>
      </c>
      <c r="E2" s="99" t="s">
        <v>53</v>
      </c>
      <c r="F2" s="99" t="s">
        <v>54</v>
      </c>
      <c r="G2" s="99" t="s">
        <v>55</v>
      </c>
      <c r="H2" s="98" t="s">
        <v>147</v>
      </c>
    </row>
    <row r="3" spans="1:8">
      <c r="A3" s="119" t="s">
        <v>58</v>
      </c>
      <c r="B3" s="112" t="s">
        <v>39</v>
      </c>
      <c r="C3" s="112" t="s">
        <v>129</v>
      </c>
      <c r="D3" s="109">
        <v>73</v>
      </c>
      <c r="E3" s="109">
        <v>10.6</v>
      </c>
      <c r="F3" s="110">
        <v>0.40699999999999997</v>
      </c>
      <c r="G3" s="109">
        <v>5.5E-2</v>
      </c>
      <c r="H3" s="108">
        <v>29.6</v>
      </c>
    </row>
    <row r="4" spans="1:8">
      <c r="A4" s="118" t="s">
        <v>23</v>
      </c>
      <c r="B4" s="112" t="s">
        <v>59</v>
      </c>
      <c r="C4" s="112" t="s">
        <v>128</v>
      </c>
      <c r="D4" s="109">
        <v>64</v>
      </c>
      <c r="E4" s="109">
        <v>11.1</v>
      </c>
      <c r="F4" s="110">
        <v>0.56299999999999994</v>
      </c>
      <c r="G4" s="109">
        <v>6.7000000000000004E-2</v>
      </c>
      <c r="H4" s="108">
        <v>35.837000000000003</v>
      </c>
    </row>
    <row r="5" spans="1:8">
      <c r="A5" s="118" t="s">
        <v>24</v>
      </c>
      <c r="B5" s="112" t="s">
        <v>40</v>
      </c>
      <c r="C5" s="112" t="s">
        <v>121</v>
      </c>
      <c r="D5" s="109">
        <v>58</v>
      </c>
      <c r="E5" s="111">
        <v>10.124000000000001</v>
      </c>
      <c r="F5" s="109">
        <v>0.62</v>
      </c>
      <c r="G5" s="109">
        <v>9.4E-2</v>
      </c>
      <c r="H5" s="108">
        <v>35.97</v>
      </c>
    </row>
    <row r="6" spans="1:8">
      <c r="A6" s="118" t="s">
        <v>25</v>
      </c>
      <c r="B6" s="112" t="s">
        <v>130</v>
      </c>
      <c r="C6" s="112" t="s">
        <v>131</v>
      </c>
      <c r="D6" s="109">
        <v>66</v>
      </c>
      <c r="E6" s="111">
        <v>8.7690000000000001</v>
      </c>
      <c r="F6" s="110">
        <v>0.627</v>
      </c>
      <c r="G6" s="109">
        <v>0.107</v>
      </c>
      <c r="H6" s="108">
        <v>41.308999999999997</v>
      </c>
    </row>
    <row r="7" spans="1:8">
      <c r="A7" s="118" t="s">
        <v>26</v>
      </c>
      <c r="B7" s="112" t="s">
        <v>41</v>
      </c>
      <c r="C7" s="112" t="s">
        <v>122</v>
      </c>
      <c r="D7" s="109">
        <v>56</v>
      </c>
      <c r="E7" s="111">
        <v>9.3640000000000008</v>
      </c>
      <c r="F7" s="110">
        <v>0.59799999999999998</v>
      </c>
      <c r="G7" s="109">
        <v>9.4E-2</v>
      </c>
      <c r="H7" s="108">
        <v>33.496000000000002</v>
      </c>
    </row>
    <row r="8" spans="1:8">
      <c r="A8" s="118" t="s">
        <v>27</v>
      </c>
      <c r="B8" s="112" t="s">
        <v>42</v>
      </c>
      <c r="C8" s="112" t="s">
        <v>123</v>
      </c>
      <c r="D8" s="109">
        <v>61</v>
      </c>
      <c r="E8" s="111">
        <v>8.9979999999999993</v>
      </c>
      <c r="F8" s="110">
        <v>0.67900000000000005</v>
      </c>
      <c r="G8" s="109">
        <v>0.109</v>
      </c>
      <c r="H8" s="108">
        <v>41.685000000000002</v>
      </c>
    </row>
    <row r="9" spans="1:8">
      <c r="A9" s="118" t="s">
        <v>28</v>
      </c>
      <c r="B9" s="112" t="s">
        <v>43</v>
      </c>
      <c r="C9" s="112" t="s">
        <v>132</v>
      </c>
      <c r="D9" s="109">
        <v>74</v>
      </c>
      <c r="E9" s="111">
        <v>6.33</v>
      </c>
      <c r="F9" s="110">
        <v>0.70299999999999996</v>
      </c>
      <c r="G9" s="109">
        <v>0.16600000000000001</v>
      </c>
      <c r="H9" s="108">
        <v>52.27</v>
      </c>
    </row>
    <row r="10" spans="1:8">
      <c r="A10" s="118" t="s">
        <v>29</v>
      </c>
      <c r="B10" s="112" t="s">
        <v>44</v>
      </c>
      <c r="C10" s="112" t="s">
        <v>133</v>
      </c>
      <c r="D10" s="109">
        <v>41</v>
      </c>
      <c r="E10" s="111">
        <v>8.8140000000000001</v>
      </c>
      <c r="F10" s="110">
        <v>0.72499999999999998</v>
      </c>
      <c r="G10" s="109">
        <v>0.125</v>
      </c>
      <c r="H10" s="108">
        <v>29.88</v>
      </c>
    </row>
    <row r="11" spans="1:8">
      <c r="A11" s="118" t="s">
        <v>30</v>
      </c>
      <c r="B11" s="112" t="s">
        <v>45</v>
      </c>
      <c r="C11" s="112" t="s">
        <v>134</v>
      </c>
      <c r="D11" s="109">
        <v>29</v>
      </c>
      <c r="E11" s="111">
        <v>7.1539999999999999</v>
      </c>
      <c r="F11" s="110">
        <v>0.54400000000000004</v>
      </c>
      <c r="G11" s="109">
        <v>0.11799999999999999</v>
      </c>
      <c r="H11" s="108">
        <v>15.561</v>
      </c>
    </row>
    <row r="12" spans="1:8">
      <c r="A12" s="101" t="s">
        <v>31</v>
      </c>
      <c r="B12" s="112" t="s">
        <v>46</v>
      </c>
      <c r="C12" s="112" t="s">
        <v>135</v>
      </c>
      <c r="D12" s="109">
        <v>15</v>
      </c>
      <c r="E12" s="111">
        <v>7.26</v>
      </c>
      <c r="F12" s="110">
        <v>0.52200000000000002</v>
      </c>
      <c r="G12" s="109">
        <v>0.104</v>
      </c>
      <c r="H12" s="108">
        <v>7.8310000000000004</v>
      </c>
    </row>
    <row r="13" spans="1:8">
      <c r="A13" s="101" t="s">
        <v>32</v>
      </c>
      <c r="B13" s="112" t="s">
        <v>47</v>
      </c>
      <c r="C13" s="112" t="s">
        <v>138</v>
      </c>
      <c r="D13" s="109">
        <v>11</v>
      </c>
      <c r="E13" s="111">
        <v>7.8230000000000004</v>
      </c>
      <c r="F13" s="110">
        <v>0.55200000000000005</v>
      </c>
      <c r="G13" s="109">
        <v>0.109</v>
      </c>
      <c r="H13" s="108">
        <v>6.234</v>
      </c>
    </row>
    <row r="14" spans="1:8">
      <c r="A14" s="101" t="s">
        <v>33</v>
      </c>
      <c r="B14" s="112" t="s">
        <v>48</v>
      </c>
      <c r="C14" s="112" t="s">
        <v>136</v>
      </c>
      <c r="D14" s="109">
        <v>15</v>
      </c>
      <c r="E14" s="111">
        <v>11.260999999999999</v>
      </c>
      <c r="F14" s="110">
        <v>0.61899999999999999</v>
      </c>
      <c r="G14" s="109">
        <v>7.4999999999999997E-2</v>
      </c>
      <c r="H14" s="108">
        <v>9.4930000000000003</v>
      </c>
    </row>
    <row r="15" spans="1:8">
      <c r="A15" s="101" t="s">
        <v>34</v>
      </c>
      <c r="B15" s="112" t="s">
        <v>49</v>
      </c>
      <c r="C15" s="112" t="s">
        <v>139</v>
      </c>
      <c r="D15" s="109">
        <v>43</v>
      </c>
      <c r="E15" s="111">
        <v>8.3840000000000003</v>
      </c>
      <c r="F15" s="110">
        <v>0.42299999999999999</v>
      </c>
      <c r="G15" s="109">
        <v>6.2E-2</v>
      </c>
      <c r="H15" s="108">
        <v>18.07</v>
      </c>
    </row>
    <row r="16" spans="1:8">
      <c r="A16" s="101" t="s">
        <v>35</v>
      </c>
      <c r="B16" s="102" t="s">
        <v>50</v>
      </c>
      <c r="C16" s="102" t="s">
        <v>140</v>
      </c>
      <c r="D16" s="109">
        <v>31</v>
      </c>
      <c r="E16" s="111">
        <v>13.19</v>
      </c>
      <c r="F16" s="110">
        <v>0.55500000000000005</v>
      </c>
      <c r="G16" s="109">
        <v>4.5999999999999999E-2</v>
      </c>
      <c r="H16" s="108">
        <v>17.22</v>
      </c>
    </row>
    <row r="17" spans="1:8">
      <c r="A17" s="101" t="s">
        <v>36</v>
      </c>
      <c r="B17" s="102" t="s">
        <v>51</v>
      </c>
      <c r="C17" s="102" t="s">
        <v>137</v>
      </c>
      <c r="D17" s="109">
        <v>78</v>
      </c>
      <c r="E17" s="111">
        <v>12.94</v>
      </c>
      <c r="F17" s="110">
        <v>0.61599999999999999</v>
      </c>
      <c r="G17" s="109">
        <v>5.0999999999999997E-2</v>
      </c>
      <c r="H17" s="108">
        <v>48.276000000000003</v>
      </c>
    </row>
    <row r="19" spans="1:8" s="113" customFormat="1">
      <c r="A19" s="114"/>
      <c r="B19" s="115"/>
      <c r="C19" s="115"/>
      <c r="D19" s="115" t="s">
        <v>155</v>
      </c>
      <c r="E19" s="116"/>
      <c r="F19" s="116"/>
      <c r="G19" s="116"/>
      <c r="H19" s="117"/>
    </row>
    <row r="20" spans="1:8" s="113" customFormat="1"/>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dimension ref="A2:L147"/>
  <sheetViews>
    <sheetView topLeftCell="A19" workbookViewId="0">
      <selection activeCell="N28" sqref="N28"/>
    </sheetView>
  </sheetViews>
  <sheetFormatPr defaultRowHeight="14.4"/>
  <sheetData>
    <row r="2" spans="1:12" ht="15.6">
      <c r="A2" s="177" t="s">
        <v>160</v>
      </c>
      <c r="B2" s="36"/>
      <c r="C2" s="36"/>
      <c r="D2" s="36"/>
      <c r="E2" s="36"/>
      <c r="F2" s="36"/>
      <c r="G2" s="36"/>
      <c r="H2" s="36"/>
      <c r="I2" s="36"/>
      <c r="J2" s="36"/>
      <c r="K2" s="36"/>
      <c r="L2" s="36"/>
    </row>
    <row r="3" spans="1:12" ht="23.4" customHeight="1">
      <c r="A3" s="201" t="s">
        <v>192</v>
      </c>
      <c r="B3" s="201"/>
      <c r="C3" s="201"/>
      <c r="D3" s="201"/>
      <c r="E3" s="201"/>
      <c r="F3" s="201"/>
      <c r="G3" s="201"/>
      <c r="H3" s="201"/>
      <c r="I3" s="201"/>
      <c r="J3" s="201"/>
      <c r="K3" s="201"/>
      <c r="L3" s="201"/>
    </row>
    <row r="5" spans="1:12">
      <c r="A5" t="s">
        <v>193</v>
      </c>
    </row>
    <row r="31" spans="1:1">
      <c r="A31" t="s">
        <v>194</v>
      </c>
    </row>
    <row r="71" spans="1:1">
      <c r="A71" t="s">
        <v>195</v>
      </c>
    </row>
    <row r="147" spans="1:1">
      <c r="A147" t="s">
        <v>196</v>
      </c>
    </row>
  </sheetData>
  <mergeCells count="1">
    <mergeCell ref="A3:L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7"/>
  <dimension ref="A1:DD96"/>
  <sheetViews>
    <sheetView topLeftCell="V22" zoomScale="80" zoomScaleNormal="80" workbookViewId="0">
      <selection activeCell="I40" sqref="I40"/>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998630</v>
      </c>
      <c r="AL5" s="57">
        <v>6234.9</v>
      </c>
      <c r="AM5" s="57">
        <v>6234.9</v>
      </c>
      <c r="AN5" s="57">
        <v>6234.9</v>
      </c>
      <c r="AO5" s="57">
        <v>6234.9</v>
      </c>
      <c r="AP5" s="57">
        <v>6234.9</v>
      </c>
      <c r="AQ5" s="37"/>
      <c r="AR5" s="37"/>
      <c r="AS5" s="56">
        <v>0.1</v>
      </c>
      <c r="AT5" s="37" t="s">
        <v>0</v>
      </c>
      <c r="AU5" s="57">
        <v>998630</v>
      </c>
      <c r="AV5" s="57">
        <v>6234.9</v>
      </c>
      <c r="AW5" s="57">
        <v>6234.9</v>
      </c>
      <c r="AX5" s="57">
        <v>6234.9</v>
      </c>
      <c r="AY5" s="57">
        <v>6234.9</v>
      </c>
      <c r="AZ5" s="57">
        <v>6234.9</v>
      </c>
      <c r="BA5" s="37"/>
      <c r="BB5" s="37"/>
      <c r="BC5" s="37"/>
      <c r="BD5" s="56">
        <v>0.1</v>
      </c>
      <c r="BE5" s="37" t="s">
        <v>0</v>
      </c>
      <c r="BF5" s="57">
        <v>998630</v>
      </c>
      <c r="BG5" s="57">
        <v>6234.9</v>
      </c>
      <c r="BH5" s="57">
        <v>6234.9</v>
      </c>
      <c r="BI5" s="57">
        <v>6234.9</v>
      </c>
      <c r="BJ5" s="57">
        <v>6234.9</v>
      </c>
      <c r="BK5" s="57">
        <v>6234.9</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720620</v>
      </c>
      <c r="AL6" s="57">
        <v>4498.8999999999996</v>
      </c>
      <c r="AM6" s="57">
        <v>4498.8999999999996</v>
      </c>
      <c r="AN6" s="57">
        <v>4498.8999999999996</v>
      </c>
      <c r="AO6" s="57">
        <v>4498.8999999999996</v>
      </c>
      <c r="AP6" s="57">
        <v>4498.8999999999996</v>
      </c>
      <c r="AQ6" s="37"/>
      <c r="AR6" s="37"/>
      <c r="AS6" s="56"/>
      <c r="AT6" s="37" t="s">
        <v>1</v>
      </c>
      <c r="AU6" s="57">
        <v>600950</v>
      </c>
      <c r="AV6" s="57">
        <v>3751.7</v>
      </c>
      <c r="AW6" s="57">
        <v>3751.7</v>
      </c>
      <c r="AX6" s="57">
        <v>3751.7</v>
      </c>
      <c r="AY6" s="57">
        <v>3751.7</v>
      </c>
      <c r="AZ6" s="57">
        <v>3751.7</v>
      </c>
      <c r="BA6" s="37"/>
      <c r="BB6" s="37"/>
      <c r="BC6" s="37"/>
      <c r="BD6" s="56"/>
      <c r="BE6" s="37" t="s">
        <v>1</v>
      </c>
      <c r="BF6" s="57">
        <v>481460</v>
      </c>
      <c r="BG6" s="57">
        <v>3006</v>
      </c>
      <c r="BH6" s="57">
        <v>3006</v>
      </c>
      <c r="BI6" s="57">
        <v>3006</v>
      </c>
      <c r="BJ6" s="57">
        <v>3006</v>
      </c>
      <c r="BK6" s="57">
        <v>3006</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2.2925390266299357</v>
      </c>
      <c r="D7"/>
      <c r="E7" t="s">
        <v>119</v>
      </c>
      <c r="F7"/>
      <c r="G7" s="103">
        <f>C7*12</f>
        <v>27.51046831955923</v>
      </c>
      <c r="H7"/>
      <c r="I7"/>
      <c r="J7"/>
      <c r="K7"/>
      <c r="L7"/>
      <c r="M7"/>
      <c r="N7"/>
      <c r="O7"/>
      <c r="P7"/>
      <c r="Q7"/>
      <c r="R7"/>
      <c r="S7"/>
      <c r="T7"/>
      <c r="U7"/>
      <c r="V7"/>
      <c r="W7"/>
      <c r="X7"/>
      <c r="Y7"/>
      <c r="Z7"/>
      <c r="AA7"/>
      <c r="AB7"/>
      <c r="AC7"/>
      <c r="AD7"/>
      <c r="AE7"/>
      <c r="AF7"/>
      <c r="AG7"/>
      <c r="AH7" s="37"/>
      <c r="AI7" s="56"/>
      <c r="AJ7" s="37" t="s">
        <v>2</v>
      </c>
      <c r="AK7" s="57">
        <v>278010</v>
      </c>
      <c r="AL7" s="57">
        <v>1735.7</v>
      </c>
      <c r="AM7" s="57">
        <v>1735.7</v>
      </c>
      <c r="AN7" s="57">
        <v>1735.7</v>
      </c>
      <c r="AO7" s="57">
        <v>1735.7</v>
      </c>
      <c r="AP7" s="57">
        <v>1735.7</v>
      </c>
      <c r="AQ7" s="37"/>
      <c r="AR7" s="37"/>
      <c r="AS7" s="56"/>
      <c r="AT7" s="37" t="s">
        <v>2</v>
      </c>
      <c r="AU7" s="57">
        <v>397680</v>
      </c>
      <c r="AV7" s="57">
        <v>2482.9</v>
      </c>
      <c r="AW7" s="57">
        <v>2482.9</v>
      </c>
      <c r="AX7" s="57">
        <v>2482.9</v>
      </c>
      <c r="AY7" s="57">
        <v>2482.9</v>
      </c>
      <c r="AZ7" s="57">
        <v>2482.9</v>
      </c>
      <c r="BA7" s="37"/>
      <c r="BB7" s="37"/>
      <c r="BC7" s="37"/>
      <c r="BD7" s="56"/>
      <c r="BE7" s="37" t="s">
        <v>2</v>
      </c>
      <c r="BF7" s="57">
        <v>517100</v>
      </c>
      <c r="BG7" s="57">
        <v>3228.5</v>
      </c>
      <c r="BH7" s="57">
        <v>3228.5</v>
      </c>
      <c r="BI7" s="57">
        <v>3228.5</v>
      </c>
      <c r="BJ7" s="57">
        <v>3228.5</v>
      </c>
      <c r="BK7" s="57">
        <v>3228.5</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720300</v>
      </c>
      <c r="AL8" s="57">
        <v>4487.3999999999996</v>
      </c>
      <c r="AM8" s="57">
        <v>4348.2</v>
      </c>
      <c r="AN8" s="57">
        <v>2781.3</v>
      </c>
      <c r="AO8" s="57">
        <v>34.036999999999999</v>
      </c>
      <c r="AP8" s="57">
        <v>4.4974999999999996</v>
      </c>
      <c r="AQ8" s="37"/>
      <c r="AR8" s="37"/>
      <c r="AS8" s="56"/>
      <c r="AT8" s="37" t="s">
        <v>3</v>
      </c>
      <c r="AU8" s="57">
        <v>600580</v>
      </c>
      <c r="AV8" s="57">
        <v>3737.3</v>
      </c>
      <c r="AW8" s="57">
        <v>3567.6</v>
      </c>
      <c r="AX8" s="57">
        <v>1596.9</v>
      </c>
      <c r="AY8" s="57">
        <v>9.0856999999999992</v>
      </c>
      <c r="AZ8" s="57">
        <v>2.3605</v>
      </c>
      <c r="BA8" s="37"/>
      <c r="BB8" s="37"/>
      <c r="BC8" s="37"/>
      <c r="BD8" s="56"/>
      <c r="BE8" s="37" t="s">
        <v>3</v>
      </c>
      <c r="BF8" s="57">
        <v>480460</v>
      </c>
      <c r="BG8" s="57">
        <v>2982.7</v>
      </c>
      <c r="BH8" s="57">
        <v>2734.3</v>
      </c>
      <c r="BI8" s="57">
        <v>596.33000000000004</v>
      </c>
      <c r="BJ8" s="57">
        <v>1.9661</v>
      </c>
      <c r="BK8" s="57">
        <v>0.50073999999999996</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24.859000000000002</v>
      </c>
      <c r="AL10" s="57">
        <v>9.9320000000000004</v>
      </c>
      <c r="AM10" s="57">
        <v>148.76</v>
      </c>
      <c r="AN10" s="57">
        <v>1715.7</v>
      </c>
      <c r="AO10" s="57">
        <v>4462.8999999999996</v>
      </c>
      <c r="AP10" s="57">
        <v>4492.3999999999996</v>
      </c>
      <c r="AQ10" s="37"/>
      <c r="AR10" s="37"/>
      <c r="AS10" s="56"/>
      <c r="AT10" s="37" t="s">
        <v>5</v>
      </c>
      <c r="AU10" s="57">
        <v>82.236999999999995</v>
      </c>
      <c r="AV10" s="57">
        <v>12.225</v>
      </c>
      <c r="AW10" s="57">
        <v>182.43</v>
      </c>
      <c r="AX10" s="57">
        <v>2153.1</v>
      </c>
      <c r="AY10" s="57">
        <v>3740.9</v>
      </c>
      <c r="AZ10" s="57">
        <v>3747.6</v>
      </c>
      <c r="BA10" s="37"/>
      <c r="BB10" s="37"/>
      <c r="BC10" s="37"/>
      <c r="BD10" s="56"/>
      <c r="BE10" s="37" t="s">
        <v>5</v>
      </c>
      <c r="BF10" s="57">
        <v>246.64</v>
      </c>
      <c r="BG10" s="57">
        <v>19.212</v>
      </c>
      <c r="BH10" s="57">
        <v>267.55</v>
      </c>
      <c r="BI10" s="57">
        <v>2405.8000000000002</v>
      </c>
      <c r="BJ10" s="57">
        <v>3000.2</v>
      </c>
      <c r="BK10" s="57">
        <v>3001.6</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0.7216086037871885</v>
      </c>
      <c r="C11" s="75">
        <f t="shared" ref="C11:C19" si="0">(($C$4*D11)+($D$4*E11)+($E$4*F11)+($F$4*G11)+($G$4*I11))</f>
        <v>0.51256645655904665</v>
      </c>
      <c r="D11" s="75">
        <f>AL10/$AL$5</f>
        <v>1.5929686121669956E-3</v>
      </c>
      <c r="E11" s="75">
        <f>AM$10/AM$5</f>
        <v>2.3859243933342957E-2</v>
      </c>
      <c r="F11" s="75">
        <f>AN$10/AN$5</f>
        <v>0.27517682721455039</v>
      </c>
      <c r="G11" s="75">
        <f>AO$10/AO$5</f>
        <v>0.71579335674990774</v>
      </c>
      <c r="H11" s="76">
        <f t="shared" ref="H11:H19" si="1">($D$4*E11+$E$4*F11+$F$4*G11)/(SUM($D$4:$F$4))</f>
        <v>0.33827647596593369</v>
      </c>
      <c r="I11" s="75">
        <f>AP10/$AP$5</f>
        <v>0.72052478788753627</v>
      </c>
      <c r="J11" s="75">
        <f>(($C$5*D11)+($D$5*E11)+($E$5*F11)+($F$5*G11)+($G$5*I11))</f>
        <v>0.33021302667244068</v>
      </c>
      <c r="K11"/>
      <c r="L11" s="68">
        <v>0.1</v>
      </c>
      <c r="M11" s="69">
        <f>AU6/$AK$5</f>
        <v>0.60177443097042949</v>
      </c>
      <c r="N11" s="69">
        <f t="shared" ref="N11:N19" si="2">(($C$4*O11)+($D$4*P11)+($E$4*Q11)+($F$4*R11)+($G$4*T11))</f>
        <v>0.44681963624115867</v>
      </c>
      <c r="O11" s="69">
        <f>AV10/$AL$5</f>
        <v>1.9607371409324928E-3</v>
      </c>
      <c r="P11" s="69">
        <f>AW$10/AW$5</f>
        <v>2.9259490930087093E-2</v>
      </c>
      <c r="Q11" s="69">
        <f>AX$10/AX$5</f>
        <v>0.34533031804840497</v>
      </c>
      <c r="R11" s="69">
        <f>AY$10/AY$5</f>
        <v>0.59999358450015239</v>
      </c>
      <c r="S11" s="70">
        <f t="shared" ref="S11:S19" si="3">($D$4*P11+$E$4*Q11+$F$4*R11)/(SUM($D$4:$F$4))</f>
        <v>0.32486113115954818</v>
      </c>
      <c r="T11" s="69">
        <f>AZ10/$AP$5</f>
        <v>0.60106818072463075</v>
      </c>
      <c r="U11" s="69">
        <f>(($C$5*O11)+($D$5*P11)+($E$5*Q11)+($F$5*R11)+($G$5*T11))</f>
        <v>0.32428563409196626</v>
      </c>
      <c r="V11"/>
      <c r="W11" s="84">
        <v>0.1</v>
      </c>
      <c r="X11" s="85">
        <f>BF6/$AK$5</f>
        <v>0.48212050509197601</v>
      </c>
      <c r="Y11" s="85">
        <f t="shared" ref="Y11:Y19" si="4">(($C$4*Z11)+($D$4*AA11)+($E$4*AB11)+($F$4*AC11)+($G$4*AE11))</f>
        <v>0.37735859436398339</v>
      </c>
      <c r="Z11" s="85">
        <f>BG10/$AL$5</f>
        <v>3.0813645768175916E-3</v>
      </c>
      <c r="AA11" s="85">
        <f>BH$10/BH$5</f>
        <v>4.291167460584773E-2</v>
      </c>
      <c r="AB11" s="85">
        <f>BI$10/BI$5</f>
        <v>0.38586023833581939</v>
      </c>
      <c r="AC11" s="85">
        <f>BJ$10/BJ$5</f>
        <v>0.48119456607162908</v>
      </c>
      <c r="AD11" s="86">
        <f t="shared" ref="AD11:AD19" si="5">($D$4*AA11+$E$4*AB11+$F$4*AC11)/(SUM($D$4:$F$4))</f>
        <v>0.30332215967109877</v>
      </c>
      <c r="AE11" s="85">
        <f>BK10/$AP$5</f>
        <v>0.48141910856629616</v>
      </c>
      <c r="AF11" s="85">
        <f>(($C$5*Z11)+($D$5*AA11)+($E$5*AB11)+($F$5*AC11)+($G$5*AE11))</f>
        <v>0.30761539078413452</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0.88997927160209489</v>
      </c>
      <c r="C12" s="75">
        <f t="shared" si="0"/>
        <v>0.64808613610482924</v>
      </c>
      <c r="D12" s="75">
        <f>AL17/$AL$5</f>
        <v>3.0048597411345811E-3</v>
      </c>
      <c r="E12" s="75">
        <f>AM17/AM$5</f>
        <v>4.3155463600057738E-2</v>
      </c>
      <c r="F12" s="75">
        <f>AN17/AN$5</f>
        <v>0.42943752105085892</v>
      </c>
      <c r="G12" s="75">
        <f>AO17/AO$5</f>
        <v>0.885691831464819</v>
      </c>
      <c r="H12" s="76">
        <f t="shared" si="1"/>
        <v>0.4527616053719119</v>
      </c>
      <c r="I12" s="75">
        <f>AP17/$AP$5</f>
        <v>0.8883863414008244</v>
      </c>
      <c r="J12" s="75">
        <f t="shared" ref="J12:J18" si="6">(($C$5*D12)+($D$5*E12)+($E$5*F12)+($F$5*G12)+($G$5*I12))</f>
        <v>0.4466835875475148</v>
      </c>
      <c r="K12"/>
      <c r="L12" s="68">
        <v>0.2</v>
      </c>
      <c r="M12" s="69">
        <f>AU13/$AK$5</f>
        <v>0.81807075693700371</v>
      </c>
      <c r="N12" s="69">
        <f t="shared" si="2"/>
        <v>0.62106848546087345</v>
      </c>
      <c r="O12" s="69">
        <f>AV17/$AL$5</f>
        <v>4.2451362491780142E-3</v>
      </c>
      <c r="P12" s="69">
        <f>AW17/AW$5</f>
        <v>5.7853373750982373E-2</v>
      </c>
      <c r="Q12" s="69">
        <f>AX17/AX$5</f>
        <v>0.54024924216908055</v>
      </c>
      <c r="R12" s="69">
        <f>AY17/AY$5</f>
        <v>0.81675728560201444</v>
      </c>
      <c r="S12" s="70">
        <f t="shared" si="3"/>
        <v>0.47161996717402582</v>
      </c>
      <c r="T12" s="69">
        <f>AZ17/$AP$5</f>
        <v>0.81725448684020596</v>
      </c>
      <c r="U12" s="69">
        <f t="shared" ref="U12:U18" si="7">(($C$5*O12)+($D$5*P12)+($E$5*Q12)+($F$5*R12)+($G$5*T12))</f>
        <v>0.47317179104717</v>
      </c>
      <c r="V12"/>
      <c r="W12" s="84">
        <v>0.2</v>
      </c>
      <c r="X12" s="85">
        <f>BF13/$AK$5</f>
        <v>0.72706608053032651</v>
      </c>
      <c r="Y12" s="85">
        <f t="shared" si="4"/>
        <v>0.57495549246980715</v>
      </c>
      <c r="Z12" s="85">
        <f>BG17/$AL$5</f>
        <v>5.4916678695728889E-3</v>
      </c>
      <c r="AA12" s="85">
        <f>BH17/BH$5</f>
        <v>7.5850454698551714E-2</v>
      </c>
      <c r="AB12" s="85">
        <f>BI17/BI$5</f>
        <v>0.60841392805016925</v>
      </c>
      <c r="AC12" s="85">
        <f>BJ17/BJ$5</f>
        <v>0.72610627275497608</v>
      </c>
      <c r="AD12" s="86">
        <f t="shared" si="5"/>
        <v>0.47012355183456567</v>
      </c>
      <c r="AE12" s="85">
        <f>BK17/$AP$5</f>
        <v>0.72625062150154784</v>
      </c>
      <c r="AF12" s="85">
        <f t="shared" ref="AF12:AF18" si="8">(($C$5*Z12)+($D$5*AA12)+($E$5*AB12)+($F$5*AC12)+($G$5*AE12))</f>
        <v>0.47693114564788536</v>
      </c>
      <c r="AG12"/>
      <c r="AH12" s="37"/>
      <c r="AI12" s="56">
        <v>0.2</v>
      </c>
      <c r="AJ12" s="37" t="s">
        <v>0</v>
      </c>
      <c r="AK12" s="57">
        <v>998630</v>
      </c>
      <c r="AL12" s="57">
        <v>6234.9</v>
      </c>
      <c r="AM12" s="57">
        <v>6234.9</v>
      </c>
      <c r="AN12" s="57">
        <v>6234.9</v>
      </c>
      <c r="AO12" s="57">
        <v>6234.9</v>
      </c>
      <c r="AP12" s="57">
        <v>6234.9</v>
      </c>
      <c r="AQ12" s="37"/>
      <c r="AR12" s="37"/>
      <c r="AS12" s="56">
        <v>0.2</v>
      </c>
      <c r="AT12" s="37" t="s">
        <v>0</v>
      </c>
      <c r="AU12" s="57">
        <v>998630</v>
      </c>
      <c r="AV12" s="57">
        <v>6234.9</v>
      </c>
      <c r="AW12" s="57">
        <v>6234.9</v>
      </c>
      <c r="AX12" s="57">
        <v>6234.9</v>
      </c>
      <c r="AY12" s="57">
        <v>6234.9</v>
      </c>
      <c r="AZ12" s="57">
        <v>6234.9</v>
      </c>
      <c r="BA12" s="37"/>
      <c r="BB12" s="37"/>
      <c r="BC12" s="37"/>
      <c r="BD12" s="56">
        <v>0.2</v>
      </c>
      <c r="BE12" s="37" t="s">
        <v>0</v>
      </c>
      <c r="BF12" s="57">
        <v>998630</v>
      </c>
      <c r="BG12" s="57">
        <v>6234.9</v>
      </c>
      <c r="BH12" s="57">
        <v>6234.9</v>
      </c>
      <c r="BI12" s="57">
        <v>6234.9</v>
      </c>
      <c r="BJ12" s="57">
        <v>6234.9</v>
      </c>
      <c r="BK12" s="57">
        <v>6234.9</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0.97043950211790153</v>
      </c>
      <c r="C13" s="75">
        <f t="shared" si="0"/>
        <v>0.72784897111421198</v>
      </c>
      <c r="D13" s="75">
        <f>AL24/$AL$5</f>
        <v>5.7580715007458025E-3</v>
      </c>
      <c r="E13" s="75">
        <f>AM24/AM$5</f>
        <v>7.4992381593930943E-2</v>
      </c>
      <c r="F13" s="75">
        <f>AN24/AN$5</f>
        <v>0.58002534122439819</v>
      </c>
      <c r="G13" s="75">
        <f>AO24/AO$5</f>
        <v>0.96657524579383802</v>
      </c>
      <c r="H13" s="76">
        <f t="shared" si="1"/>
        <v>0.54053098953738909</v>
      </c>
      <c r="I13" s="75">
        <f>AP24/$AP$5</f>
        <v>0.96864424449469921</v>
      </c>
      <c r="J13" s="75">
        <f t="shared" si="6"/>
        <v>0.53776389356685761</v>
      </c>
      <c r="K13"/>
      <c r="L13" s="68">
        <v>0.4</v>
      </c>
      <c r="M13" s="69">
        <f>AU20/$AK$5</f>
        <v>0.93662317374803483</v>
      </c>
      <c r="N13" s="69">
        <f t="shared" si="2"/>
        <v>0.72602834848995168</v>
      </c>
      <c r="O13" s="69">
        <f>AV24/$AL$5</f>
        <v>6.9019551235785662E-3</v>
      </c>
      <c r="P13" s="69">
        <f>AW24/AW$5</f>
        <v>8.8991002261463711E-2</v>
      </c>
      <c r="Q13" s="69">
        <f>AX24/AX$5</f>
        <v>0.69475051724967518</v>
      </c>
      <c r="R13" s="69">
        <f>AY24/AY$5</f>
        <v>0.9352515677877753</v>
      </c>
      <c r="S13" s="70">
        <f t="shared" si="3"/>
        <v>0.57299769576630477</v>
      </c>
      <c r="T13" s="69">
        <f>AZ24/$AP$5</f>
        <v>0.93566857527787139</v>
      </c>
      <c r="U13" s="69">
        <f t="shared" si="7"/>
        <v>0.57700577394986285</v>
      </c>
      <c r="V13"/>
      <c r="W13" s="84">
        <v>0.4</v>
      </c>
      <c r="X13" s="85">
        <f>BF20/$AK$5</f>
        <v>0.89483592521754807</v>
      </c>
      <c r="Y13" s="85">
        <f t="shared" si="4"/>
        <v>0.71860575951498817</v>
      </c>
      <c r="Z13" s="85">
        <f>BG24/$AL$5</f>
        <v>9.6522799082583519E-3</v>
      </c>
      <c r="AA13" s="85">
        <f>BH24/BH$5</f>
        <v>0.12186883510561518</v>
      </c>
      <c r="AB13" s="85">
        <f>BI24/BI$5</f>
        <v>0.79180099119472658</v>
      </c>
      <c r="AC13" s="85">
        <f>BJ24/BJ$5</f>
        <v>0.8938715937705497</v>
      </c>
      <c r="AD13" s="86">
        <f t="shared" si="5"/>
        <v>0.60251380669029719</v>
      </c>
      <c r="AE13" s="85">
        <f>BK24/$AP$5</f>
        <v>0.89398386501788318</v>
      </c>
      <c r="AF13" s="85">
        <f t="shared" si="8"/>
        <v>0.61023209674573775</v>
      </c>
      <c r="AG13"/>
      <c r="AH13" s="37"/>
      <c r="AI13" s="56"/>
      <c r="AJ13" s="37" t="s">
        <v>1</v>
      </c>
      <c r="AK13" s="57">
        <v>888760</v>
      </c>
      <c r="AL13" s="57">
        <v>5548.8</v>
      </c>
      <c r="AM13" s="57">
        <v>5548.8</v>
      </c>
      <c r="AN13" s="57">
        <v>5548.8</v>
      </c>
      <c r="AO13" s="57">
        <v>5548.8</v>
      </c>
      <c r="AP13" s="57">
        <v>5548.8</v>
      </c>
      <c r="AQ13" s="37"/>
      <c r="AR13" s="37"/>
      <c r="AS13" s="56"/>
      <c r="AT13" s="37" t="s">
        <v>1</v>
      </c>
      <c r="AU13" s="57">
        <v>816950</v>
      </c>
      <c r="AV13" s="57">
        <v>5100.3999999999996</v>
      </c>
      <c r="AW13" s="57">
        <v>5100.3999999999996</v>
      </c>
      <c r="AX13" s="57">
        <v>5100.3999999999996</v>
      </c>
      <c r="AY13" s="57">
        <v>5100.3999999999996</v>
      </c>
      <c r="AZ13" s="57">
        <v>5100.3999999999996</v>
      </c>
      <c r="BA13" s="37"/>
      <c r="BB13" s="37"/>
      <c r="BC13" s="37"/>
      <c r="BD13" s="56"/>
      <c r="BE13" s="37" t="s">
        <v>1</v>
      </c>
      <c r="BF13" s="57">
        <v>726070</v>
      </c>
      <c r="BG13" s="57">
        <v>4533</v>
      </c>
      <c r="BH13" s="57">
        <v>4533</v>
      </c>
      <c r="BI13" s="57">
        <v>4533</v>
      </c>
      <c r="BJ13" s="57">
        <v>4533</v>
      </c>
      <c r="BK13" s="57">
        <v>4533</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0.99165857224397425</v>
      </c>
      <c r="C14" s="75">
        <f t="shared" si="0"/>
        <v>0.75983502542141823</v>
      </c>
      <c r="D14" s="75">
        <f>AL31/$AL$5</f>
        <v>8.4424770244911716E-3</v>
      </c>
      <c r="E14" s="75">
        <f>AM31/AM$5</f>
        <v>0.10315963367495871</v>
      </c>
      <c r="F14" s="75">
        <f>AN31/AN$5</f>
        <v>0.67290574026848871</v>
      </c>
      <c r="G14" s="75">
        <f>AO31/AO$5</f>
        <v>0.9878907440375948</v>
      </c>
      <c r="H14" s="76">
        <f t="shared" si="1"/>
        <v>0.58798537266034745</v>
      </c>
      <c r="I14" s="75">
        <f>AP31/$AP$5</f>
        <v>0.98963896774607463</v>
      </c>
      <c r="J14" s="75">
        <f t="shared" si="6"/>
        <v>0.58718051612696287</v>
      </c>
      <c r="K14"/>
      <c r="L14" s="68">
        <v>0.6</v>
      </c>
      <c r="M14" s="69">
        <f>AU27/$AK$5</f>
        <v>0.97734896808627825</v>
      </c>
      <c r="N14" s="69">
        <f t="shared" si="2"/>
        <v>0.77072690019086121</v>
      </c>
      <c r="O14" s="69">
        <f>AV31/$AL$5</f>
        <v>1.0375948291071229E-2</v>
      </c>
      <c r="P14" s="69">
        <f>AW31/AW$5</f>
        <v>0.12256331296412132</v>
      </c>
      <c r="Q14" s="69">
        <f>AX31/AX$5</f>
        <v>0.78153619143851549</v>
      </c>
      <c r="R14" s="69">
        <f>AY31/AY$5</f>
        <v>0.97603810806909497</v>
      </c>
      <c r="S14" s="70">
        <f t="shared" si="3"/>
        <v>0.62671253749057731</v>
      </c>
      <c r="T14" s="69">
        <f>AZ31/$AP$5</f>
        <v>0.97637492181109575</v>
      </c>
      <c r="U14" s="69">
        <f t="shared" si="7"/>
        <v>0.63100984779226621</v>
      </c>
      <c r="V14"/>
      <c r="W14" s="84">
        <v>0.6</v>
      </c>
      <c r="X14" s="85">
        <f>BF27/$AK$5</f>
        <v>0.95151357359582633</v>
      </c>
      <c r="Y14" s="85">
        <f t="shared" si="4"/>
        <v>0.77248890920463842</v>
      </c>
      <c r="Z14" s="85">
        <f>BG31/$AL$5</f>
        <v>1.3673354825257823E-2</v>
      </c>
      <c r="AA14" s="85">
        <f>BH31/BH$5</f>
        <v>0.15934337359059489</v>
      </c>
      <c r="AB14" s="85">
        <f>BI31/BI$5</f>
        <v>0.86657364191887609</v>
      </c>
      <c r="AC14" s="85">
        <f>BJ31/BJ$5</f>
        <v>0.95056857367399639</v>
      </c>
      <c r="AD14" s="86">
        <f t="shared" si="5"/>
        <v>0.65882852972782258</v>
      </c>
      <c r="AE14" s="85">
        <f>BK31/$AP$5</f>
        <v>0.9506648061717109</v>
      </c>
      <c r="AF14" s="85">
        <f t="shared" si="8"/>
        <v>0.66504566232016571</v>
      </c>
      <c r="AG14"/>
      <c r="AH14" s="37"/>
      <c r="AI14" s="56"/>
      <c r="AJ14" s="37" t="s">
        <v>2</v>
      </c>
      <c r="AK14" s="57">
        <v>109870</v>
      </c>
      <c r="AL14" s="57">
        <v>685.96</v>
      </c>
      <c r="AM14" s="57">
        <v>685.96</v>
      </c>
      <c r="AN14" s="57">
        <v>685.96</v>
      </c>
      <c r="AO14" s="57">
        <v>685.96</v>
      </c>
      <c r="AP14" s="57">
        <v>685.96</v>
      </c>
      <c r="AQ14" s="37"/>
      <c r="AR14" s="37"/>
      <c r="AS14" s="56"/>
      <c r="AT14" s="37" t="s">
        <v>2</v>
      </c>
      <c r="AU14" s="57">
        <v>181680</v>
      </c>
      <c r="AV14" s="57">
        <v>1134.3</v>
      </c>
      <c r="AW14" s="57">
        <v>1134.3</v>
      </c>
      <c r="AX14" s="57">
        <v>1134.3</v>
      </c>
      <c r="AY14" s="57">
        <v>1134.3</v>
      </c>
      <c r="AZ14" s="57">
        <v>1134.3</v>
      </c>
      <c r="BA14" s="37"/>
      <c r="BB14" s="37"/>
      <c r="BC14" s="37"/>
      <c r="BD14" s="56"/>
      <c r="BE14" s="37" t="s">
        <v>2</v>
      </c>
      <c r="BF14" s="57">
        <v>272600</v>
      </c>
      <c r="BG14" s="57">
        <v>1701.9</v>
      </c>
      <c r="BH14" s="57">
        <v>1701.9</v>
      </c>
      <c r="BI14" s="57">
        <v>1701.9</v>
      </c>
      <c r="BJ14" s="57">
        <v>1701.9</v>
      </c>
      <c r="BK14" s="57">
        <v>1701.9</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0.99692578833001211</v>
      </c>
      <c r="C15" s="75">
        <f t="shared" si="0"/>
        <v>0.77543559640090465</v>
      </c>
      <c r="D15" s="75">
        <f>AL38/$AL$5</f>
        <v>1.1047169962629715E-2</v>
      </c>
      <c r="E15" s="75">
        <f>AM38/AM$5</f>
        <v>0.12809026608285617</v>
      </c>
      <c r="F15" s="75">
        <f>AN38/AN$5</f>
        <v>0.72889701518869598</v>
      </c>
      <c r="G15" s="75">
        <f>AO38/AO$5</f>
        <v>0.99326372515998651</v>
      </c>
      <c r="H15" s="76">
        <f t="shared" si="1"/>
        <v>0.61675033547717961</v>
      </c>
      <c r="I15" s="75">
        <f>AP38/$AP$5</f>
        <v>0.99469117387608474</v>
      </c>
      <c r="J15" s="75">
        <f t="shared" si="6"/>
        <v>0.61640343870791836</v>
      </c>
      <c r="K15"/>
      <c r="L15" s="68">
        <v>0.8</v>
      </c>
      <c r="M15" s="69">
        <f>AU34/$AK$5</f>
        <v>0.99163854480638469</v>
      </c>
      <c r="N15" s="69">
        <f t="shared" si="2"/>
        <v>0.79370628237822594</v>
      </c>
      <c r="O15" s="69">
        <f>AV38/$AL$5</f>
        <v>1.3762209498147524E-2</v>
      </c>
      <c r="P15" s="69">
        <f>AW38/AW$5</f>
        <v>0.1526824808737911</v>
      </c>
      <c r="Q15" s="69">
        <f>AX38/AX$5</f>
        <v>0.84150507626425441</v>
      </c>
      <c r="R15" s="69">
        <f>AY38/AY$5</f>
        <v>0.99048902147588591</v>
      </c>
      <c r="S15" s="70">
        <f t="shared" si="3"/>
        <v>0.66155885953797711</v>
      </c>
      <c r="T15" s="69">
        <f>AZ38/$AP$5</f>
        <v>0.99063337022245757</v>
      </c>
      <c r="U15" s="69">
        <f t="shared" si="7"/>
        <v>0.6656758889476978</v>
      </c>
      <c r="V15"/>
      <c r="W15" s="84">
        <v>0.8</v>
      </c>
      <c r="X15" s="85">
        <f>BF34/$AK$5</f>
        <v>0.97605719836175564</v>
      </c>
      <c r="Y15" s="85">
        <f t="shared" si="4"/>
        <v>0.79908354584676577</v>
      </c>
      <c r="Z15" s="85">
        <f>BG38/$AL$5</f>
        <v>1.7469406085101606E-2</v>
      </c>
      <c r="AA15" s="85">
        <f>BH38/BH$5</f>
        <v>0.1907007329708576</v>
      </c>
      <c r="AB15" s="85">
        <f>BI38/BI$5</f>
        <v>0.90501852475581002</v>
      </c>
      <c r="AC15" s="85">
        <f>BJ38/BJ$5</f>
        <v>0.97510786059118837</v>
      </c>
      <c r="AD15" s="86">
        <f t="shared" si="5"/>
        <v>0.69027570610595201</v>
      </c>
      <c r="AE15" s="85">
        <f>BK38/$AP$5</f>
        <v>0.97517201558966471</v>
      </c>
      <c r="AF15" s="85">
        <f t="shared" si="8"/>
        <v>0.69443327078220984</v>
      </c>
      <c r="AG15"/>
      <c r="AH15" s="37"/>
      <c r="AI15" s="56"/>
      <c r="AJ15" s="37" t="s">
        <v>3</v>
      </c>
      <c r="AK15" s="57">
        <v>888540</v>
      </c>
      <c r="AL15" s="57">
        <v>5528.8</v>
      </c>
      <c r="AM15" s="57">
        <v>5278</v>
      </c>
      <c r="AN15" s="57">
        <v>2869.7</v>
      </c>
      <c r="AO15" s="57">
        <v>24.917999999999999</v>
      </c>
      <c r="AP15" s="57">
        <v>8.1866000000000003</v>
      </c>
      <c r="AQ15" s="37"/>
      <c r="AR15" s="37"/>
      <c r="AS15" s="56"/>
      <c r="AT15" s="37" t="s">
        <v>3</v>
      </c>
      <c r="AU15" s="57">
        <v>816420</v>
      </c>
      <c r="AV15" s="57">
        <v>5070.8999999999996</v>
      </c>
      <c r="AW15" s="57">
        <v>4736.1000000000004</v>
      </c>
      <c r="AX15" s="57">
        <v>1728.7</v>
      </c>
      <c r="AY15" s="57">
        <v>4.7129000000000003</v>
      </c>
      <c r="AZ15" s="57">
        <v>1.6326000000000001</v>
      </c>
      <c r="BA15" s="37"/>
      <c r="BB15" s="37"/>
      <c r="BC15" s="37"/>
      <c r="BD15" s="56"/>
      <c r="BE15" s="37" t="s">
        <v>3</v>
      </c>
      <c r="BF15" s="57">
        <v>725350</v>
      </c>
      <c r="BG15" s="57">
        <v>4494.6000000000004</v>
      </c>
      <c r="BH15" s="57">
        <v>4055.6</v>
      </c>
      <c r="BI15" s="57">
        <v>735.35</v>
      </c>
      <c r="BJ15" s="57">
        <v>1.6456</v>
      </c>
      <c r="BK15" s="57">
        <v>0.72180999999999995</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0.99959945124821004</v>
      </c>
      <c r="C16" s="75">
        <f t="shared" si="0"/>
        <v>0.78705734654926307</v>
      </c>
      <c r="D16" s="75">
        <f>AL45/$AL$5</f>
        <v>1.3635663763652986E-2</v>
      </c>
      <c r="E16" s="75">
        <f>AM45/AM$5</f>
        <v>0.15107219041203548</v>
      </c>
      <c r="F16" s="75">
        <f>AN45/AN$5</f>
        <v>0.77062984169754134</v>
      </c>
      <c r="G16" s="75">
        <f>AO45/AO$5</f>
        <v>0.9961827775906591</v>
      </c>
      <c r="H16" s="76">
        <f t="shared" si="1"/>
        <v>0.6392949365667453</v>
      </c>
      <c r="I16" s="75">
        <f>AP45/$AP$5</f>
        <v>0.99738568381209014</v>
      </c>
      <c r="J16" s="75">
        <f t="shared" si="6"/>
        <v>0.63880506503712975</v>
      </c>
      <c r="K16"/>
      <c r="L16" s="68">
        <v>1</v>
      </c>
      <c r="M16" s="69">
        <f>AU41/$AK$5</f>
        <v>0.9965452670158117</v>
      </c>
      <c r="N16" s="69">
        <f t="shared" si="2"/>
        <v>0.80264326613097259</v>
      </c>
      <c r="O16" s="69">
        <f>AV45/$AL$5</f>
        <v>1.6168663490994245E-2</v>
      </c>
      <c r="P16" s="69">
        <f>AW45/AW$5</f>
        <v>0.17320245713644167</v>
      </c>
      <c r="Q16" s="69">
        <f>AX45/AX$5</f>
        <v>0.85889108085133692</v>
      </c>
      <c r="R16" s="69">
        <f>AY45/AY$5</f>
        <v>0.99526856886237147</v>
      </c>
      <c r="S16" s="70">
        <f t="shared" si="3"/>
        <v>0.67578736895005009</v>
      </c>
      <c r="T16" s="69">
        <f>AZ45/$AP$5</f>
        <v>0.9954610338578006</v>
      </c>
      <c r="U16" s="69">
        <f t="shared" si="7"/>
        <v>0.67841360727517697</v>
      </c>
      <c r="V16"/>
      <c r="W16" s="84">
        <v>1</v>
      </c>
      <c r="X16" s="85">
        <f>BF41/$AK$5</f>
        <v>0.98666172656539464</v>
      </c>
      <c r="Y16" s="85">
        <f t="shared" si="4"/>
        <v>0.81336476928258683</v>
      </c>
      <c r="Z16" s="85">
        <f>BG45/$AL$5</f>
        <v>2.103642400038493E-2</v>
      </c>
      <c r="AA16" s="85">
        <f>BH45/BH$5</f>
        <v>0.2177260260790069</v>
      </c>
      <c r="AB16" s="85">
        <f>BI45/BI$5</f>
        <v>0.92612551925451903</v>
      </c>
      <c r="AC16" s="85">
        <f>BJ45/BJ$5</f>
        <v>0.98570947408940013</v>
      </c>
      <c r="AD16" s="86">
        <f t="shared" si="5"/>
        <v>0.70985367314097547</v>
      </c>
      <c r="AE16" s="85">
        <f>BK45/$AP$5</f>
        <v>0.98575759033825738</v>
      </c>
      <c r="AF16" s="85">
        <f t="shared" si="8"/>
        <v>0.71181670916935336</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1</v>
      </c>
      <c r="C17" s="75">
        <f t="shared" si="0"/>
        <v>0.79530401449902977</v>
      </c>
      <c r="D17" s="75">
        <f>AL52/$AL$5</f>
        <v>1.6138189866717993E-2</v>
      </c>
      <c r="E17" s="75">
        <f>AM52/AM$5</f>
        <v>0.17236844215624952</v>
      </c>
      <c r="F17" s="75">
        <f>AN52/AN$5</f>
        <v>0.80182520970665139</v>
      </c>
      <c r="G17" s="75">
        <f>AO52/AO$5</f>
        <v>0.99671205632808868</v>
      </c>
      <c r="H17" s="76">
        <f t="shared" si="1"/>
        <v>0.65696856939699655</v>
      </c>
      <c r="I17" s="75">
        <f>AP52/$AP$5</f>
        <v>0.9977224975540907</v>
      </c>
      <c r="J17" s="75">
        <f t="shared" si="6"/>
        <v>0.65593225232160912</v>
      </c>
      <c r="K17"/>
      <c r="L17" s="68">
        <v>1.2</v>
      </c>
      <c r="M17" s="69">
        <f>AU48/$AK$5</f>
        <v>0.99913882018365163</v>
      </c>
      <c r="N17" s="69">
        <f t="shared" si="2"/>
        <v>0.81160483728688515</v>
      </c>
      <c r="O17" s="69">
        <f>AV52/$AL$5</f>
        <v>1.9374809539848274E-2</v>
      </c>
      <c r="P17" s="69">
        <f>AW52/AW$5</f>
        <v>0.19806251904601521</v>
      </c>
      <c r="Q17" s="69">
        <f>AX52/AX$5</f>
        <v>0.88136136906766749</v>
      </c>
      <c r="R17" s="69">
        <f>AY52/AY$5</f>
        <v>0.99789892379990064</v>
      </c>
      <c r="S17" s="70">
        <f t="shared" si="3"/>
        <v>0.69244093730452783</v>
      </c>
      <c r="T17" s="69">
        <f>AZ52/$AP$5</f>
        <v>0.99807535004571046</v>
      </c>
      <c r="U17" s="69">
        <f t="shared" si="7"/>
        <v>0.69348185215480607</v>
      </c>
      <c r="V17"/>
      <c r="W17" s="84">
        <v>1.2</v>
      </c>
      <c r="X17" s="85">
        <f>BF48/$AK$5</f>
        <v>0.99431220772458273</v>
      </c>
      <c r="Y17" s="85">
        <f t="shared" si="4"/>
        <v>0.82458555870984318</v>
      </c>
      <c r="Z17" s="85">
        <f>BG52/$AL$5</f>
        <v>2.4598630290782533E-2</v>
      </c>
      <c r="AA17" s="85">
        <f>BH52/BH$5</f>
        <v>0.24281063048324755</v>
      </c>
      <c r="AB17" s="85">
        <f>BI52/BI$5</f>
        <v>0.94149064138959737</v>
      </c>
      <c r="AC17" s="85">
        <f>BJ52/BJ$5</f>
        <v>0.99337599640732022</v>
      </c>
      <c r="AD17" s="86">
        <f t="shared" si="5"/>
        <v>0.72589242276005506</v>
      </c>
      <c r="AE17" s="85">
        <f>BK52/$AP$5</f>
        <v>0.99340807390655839</v>
      </c>
      <c r="AF17" s="85">
        <f t="shared" si="8"/>
        <v>0.72563425235368662</v>
      </c>
      <c r="AG17"/>
      <c r="AH17" s="37"/>
      <c r="AI17" s="56"/>
      <c r="AJ17" s="37" t="s">
        <v>5</v>
      </c>
      <c r="AK17" s="57">
        <v>17.555</v>
      </c>
      <c r="AL17" s="57">
        <v>18.734999999999999</v>
      </c>
      <c r="AM17" s="57">
        <v>269.07</v>
      </c>
      <c r="AN17" s="57">
        <v>2677.5</v>
      </c>
      <c r="AO17" s="57">
        <v>5522.2</v>
      </c>
      <c r="AP17" s="57">
        <v>5539</v>
      </c>
      <c r="AQ17" s="37"/>
      <c r="AR17" s="37"/>
      <c r="AS17" s="56"/>
      <c r="AT17" s="37" t="s">
        <v>5</v>
      </c>
      <c r="AU17" s="57">
        <v>49.158999999999999</v>
      </c>
      <c r="AV17" s="57">
        <v>26.468</v>
      </c>
      <c r="AW17" s="57">
        <v>360.71</v>
      </c>
      <c r="AX17" s="57">
        <v>3368.4</v>
      </c>
      <c r="AY17" s="57">
        <v>5092.3999999999996</v>
      </c>
      <c r="AZ17" s="57">
        <v>5095.5</v>
      </c>
      <c r="BA17" s="37"/>
      <c r="BB17" s="37"/>
      <c r="BC17" s="37"/>
      <c r="BD17" s="56"/>
      <c r="BE17" s="37" t="s">
        <v>5</v>
      </c>
      <c r="BF17" s="57">
        <v>128.36000000000001</v>
      </c>
      <c r="BG17" s="57">
        <v>34.24</v>
      </c>
      <c r="BH17" s="57">
        <v>472.92</v>
      </c>
      <c r="BI17" s="57">
        <v>3793.4</v>
      </c>
      <c r="BJ17" s="57">
        <v>4527.2</v>
      </c>
      <c r="BK17" s="57">
        <v>4528.1000000000004</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0.8075857672135881</v>
      </c>
      <c r="D18" s="75">
        <f>AL59/$AL$5</f>
        <v>2.0919341128165649E-2</v>
      </c>
      <c r="E18" s="75">
        <f>AM59/AM$5</f>
        <v>0.21023593000689667</v>
      </c>
      <c r="F18" s="75">
        <f>AN59/AN$5</f>
        <v>0.84440808994530792</v>
      </c>
      <c r="G18" s="75">
        <f>AO59/AO$5</f>
        <v>0.99692056007313667</v>
      </c>
      <c r="H18" s="76">
        <f t="shared" si="1"/>
        <v>0.68385486000844697</v>
      </c>
      <c r="I18" s="75">
        <f>AP59/$AP$5</f>
        <v>0.99761022630675722</v>
      </c>
      <c r="J18" s="75">
        <f t="shared" si="6"/>
        <v>0.68104749073762227</v>
      </c>
      <c r="K18"/>
      <c r="L18" s="68">
        <v>1.6</v>
      </c>
      <c r="M18" s="69">
        <f>AU55/$AK$5</f>
        <v>1</v>
      </c>
      <c r="N18" s="69">
        <f t="shared" si="2"/>
        <v>0.82237148951867711</v>
      </c>
      <c r="O18" s="69">
        <f>AV59/$AL$5</f>
        <v>2.4856854159649715E-2</v>
      </c>
      <c r="P18" s="69">
        <f>AW59/AW$5</f>
        <v>0.23822354809219073</v>
      </c>
      <c r="Q18" s="69">
        <f>AX59/AX$5</f>
        <v>0.90769699594219633</v>
      </c>
      <c r="R18" s="69">
        <f>AY59/AY$5</f>
        <v>0.99873293878009273</v>
      </c>
      <c r="S18" s="70">
        <f t="shared" si="3"/>
        <v>0.71488449427149325</v>
      </c>
      <c r="T18" s="69">
        <f>AZ59/$AP$5</f>
        <v>0.99886124877704541</v>
      </c>
      <c r="U18" s="69">
        <f t="shared" si="7"/>
        <v>0.71284190604500486</v>
      </c>
      <c r="V18"/>
      <c r="W18" s="84">
        <v>1.6</v>
      </c>
      <c r="X18" s="85">
        <f>BF55/$AK$5</f>
        <v>0.99981975306169457</v>
      </c>
      <c r="Y18" s="85">
        <f t="shared" si="4"/>
        <v>0.83832475260228723</v>
      </c>
      <c r="Z18" s="85">
        <f>BG59/$AL$5</f>
        <v>3.2080706988083213E-2</v>
      </c>
      <c r="AA18" s="85">
        <f>BH59/BH$5</f>
        <v>0.29071837559543856</v>
      </c>
      <c r="AB18" s="85">
        <f>BI59/BI$5</f>
        <v>0.95884456847744159</v>
      </c>
      <c r="AC18" s="85">
        <f>BJ59/BJ$5</f>
        <v>0.99887728752666438</v>
      </c>
      <c r="AD18" s="86">
        <f t="shared" si="5"/>
        <v>0.74948007719984822</v>
      </c>
      <c r="AE18" s="85">
        <f>BK59/$AP$5</f>
        <v>0.99890936502590266</v>
      </c>
      <c r="AF18" s="85">
        <f t="shared" si="8"/>
        <v>0.74455596721679584</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0.51256645655904665</v>
      </c>
      <c r="CH18" s="62">
        <f t="shared" ref="CH18:CH26" si="10">N11</f>
        <v>0.44681963624115867</v>
      </c>
      <c r="CI18" s="62">
        <f t="shared" ref="CI18:CI26" si="11">Y11</f>
        <v>0.37735859436398339</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0.81755184525814362</v>
      </c>
      <c r="D19" s="75">
        <f>AL66/$AL$5</f>
        <v>2.5722946639080018E-2</v>
      </c>
      <c r="E19" s="75">
        <f>AM66/AM$5</f>
        <v>0.2451362491780141</v>
      </c>
      <c r="F19" s="75">
        <f>AN66/AN$5</f>
        <v>0.87419204798793892</v>
      </c>
      <c r="G19" s="75">
        <f>AO66/AO$5</f>
        <v>0.99712906381818478</v>
      </c>
      <c r="H19" s="76">
        <f t="shared" si="1"/>
        <v>0.70548578699471265</v>
      </c>
      <c r="I19" s="75">
        <f>AP66/$AP$5</f>
        <v>0.99759418755713802</v>
      </c>
      <c r="J19" s="75">
        <f>(($C$5*D19)+($D$5*E19)+($E$5*F19)+($F$5*G19)+($G$5*I19))</f>
        <v>0.70046159521403717</v>
      </c>
      <c r="K19"/>
      <c r="L19" s="68">
        <v>2</v>
      </c>
      <c r="M19" s="69">
        <f>AU62/$AK$5</f>
        <v>1</v>
      </c>
      <c r="N19" s="69">
        <f t="shared" si="2"/>
        <v>0.8316779739851482</v>
      </c>
      <c r="O19" s="69">
        <f>AV66/$AL$5</f>
        <v>3.0743075269851965E-2</v>
      </c>
      <c r="P19" s="69">
        <f>AW66/AW$5</f>
        <v>0.27780718215207945</v>
      </c>
      <c r="Q19" s="69">
        <f>AX66/AX$5</f>
        <v>0.92795393671109405</v>
      </c>
      <c r="R19" s="69">
        <f>AY66/AY$5</f>
        <v>0.99881313252818815</v>
      </c>
      <c r="S19" s="70">
        <f t="shared" si="3"/>
        <v>0.73485808379712059</v>
      </c>
      <c r="T19" s="69">
        <f>AZ66/$AP$5</f>
        <v>0.99890936502590266</v>
      </c>
      <c r="U19" s="69">
        <f>(($C$5*O19)+($D$5*P19)+($E$5*Q19)+($F$5*R19)+($G$5*T19))</f>
        <v>0.72947088165006668</v>
      </c>
      <c r="V19"/>
      <c r="W19" s="84">
        <v>2</v>
      </c>
      <c r="X19" s="85">
        <f>BF62/$AK$5</f>
        <v>1</v>
      </c>
      <c r="Y19" s="85">
        <f t="shared" si="4"/>
        <v>0.84456214213539926</v>
      </c>
      <c r="Z19" s="85">
        <f>BG66/$AL$5</f>
        <v>3.7371890487417604E-2</v>
      </c>
      <c r="AA19" s="85">
        <f>BH66/BH$5</f>
        <v>0.32261944858778813</v>
      </c>
      <c r="AB19" s="85">
        <f>BI66/BI$5</f>
        <v>0.9659818120579321</v>
      </c>
      <c r="AC19" s="85">
        <f>BJ66/BJ$5</f>
        <v>0.99906975252209351</v>
      </c>
      <c r="AD19" s="86">
        <f t="shared" si="5"/>
        <v>0.76255700438927121</v>
      </c>
      <c r="AE19" s="85">
        <f>BK66/$AP$5</f>
        <v>0.99908579127171249</v>
      </c>
      <c r="AF19" s="85">
        <f>(($C$5*Z19)+($D$5*AA19)+($E$5*AB19)+($F$5*AC19)+($G$5*AE19))</f>
        <v>0.75437633322106223</v>
      </c>
      <c r="AG19"/>
      <c r="AH19" s="37"/>
      <c r="AI19" s="56">
        <v>0.4</v>
      </c>
      <c r="AJ19" s="37" t="s">
        <v>0</v>
      </c>
      <c r="AK19" s="57">
        <v>998630</v>
      </c>
      <c r="AL19" s="57">
        <v>6234.9</v>
      </c>
      <c r="AM19" s="57">
        <v>6234.9</v>
      </c>
      <c r="AN19" s="57">
        <v>6234.9</v>
      </c>
      <c r="AO19" s="57">
        <v>6234.9</v>
      </c>
      <c r="AP19" s="57">
        <v>6234.9</v>
      </c>
      <c r="AQ19" s="37"/>
      <c r="AR19" s="37"/>
      <c r="AS19" s="56">
        <v>0.4</v>
      </c>
      <c r="AT19" s="37" t="s">
        <v>0</v>
      </c>
      <c r="AU19" s="57">
        <v>998630</v>
      </c>
      <c r="AV19" s="57">
        <v>6234.9</v>
      </c>
      <c r="AW19" s="57">
        <v>6234.9</v>
      </c>
      <c r="AX19" s="57">
        <v>6234.9</v>
      </c>
      <c r="AY19" s="57">
        <v>6234.9</v>
      </c>
      <c r="AZ19" s="57">
        <v>6234.9</v>
      </c>
      <c r="BA19" s="37"/>
      <c r="BB19" s="37"/>
      <c r="BC19" s="37"/>
      <c r="BD19" s="56">
        <v>0.4</v>
      </c>
      <c r="BE19" s="37" t="s">
        <v>0</v>
      </c>
      <c r="BF19" s="57">
        <v>998630</v>
      </c>
      <c r="BG19" s="57">
        <v>6234.9</v>
      </c>
      <c r="BH19" s="57">
        <v>6234.9</v>
      </c>
      <c r="BI19" s="57">
        <v>6234.9</v>
      </c>
      <c r="BJ19" s="57">
        <v>6234.9</v>
      </c>
      <c r="BK19" s="57">
        <v>6234.9</v>
      </c>
      <c r="BL19" s="37"/>
      <c r="BM19" s="37"/>
      <c r="BN19" s="37"/>
      <c r="BO19" s="37"/>
      <c r="BY19" s="37"/>
      <c r="BZ19" s="37"/>
      <c r="CA19" s="37"/>
      <c r="CB19" s="37"/>
      <c r="CC19" s="61">
        <v>0.2</v>
      </c>
      <c r="CD19" s="62">
        <v>0.77280172734718189</v>
      </c>
      <c r="CE19" s="62">
        <v>0.62134241679696223</v>
      </c>
      <c r="CF19" s="62">
        <v>0.48760330578512395</v>
      </c>
      <c r="CG19" s="62">
        <f t="shared" si="9"/>
        <v>0.64808613610482924</v>
      </c>
      <c r="CH19" s="62">
        <f t="shared" si="10"/>
        <v>0.62106848546087345</v>
      </c>
      <c r="CI19" s="62">
        <f t="shared" si="11"/>
        <v>0.57495549246980715</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969110</v>
      </c>
      <c r="AL20" s="57">
        <v>6050.5</v>
      </c>
      <c r="AM20" s="57">
        <v>6050.5</v>
      </c>
      <c r="AN20" s="57">
        <v>6050.5</v>
      </c>
      <c r="AO20" s="57">
        <v>6050.5</v>
      </c>
      <c r="AP20" s="57">
        <v>6050.5</v>
      </c>
      <c r="AQ20" s="37"/>
      <c r="AR20" s="37"/>
      <c r="AS20" s="56"/>
      <c r="AT20" s="37" t="s">
        <v>1</v>
      </c>
      <c r="AU20" s="57">
        <v>935340</v>
      </c>
      <c r="AV20" s="57">
        <v>5839.7</v>
      </c>
      <c r="AW20" s="57">
        <v>5839.7</v>
      </c>
      <c r="AX20" s="57">
        <v>5839.7</v>
      </c>
      <c r="AY20" s="57">
        <v>5839.7</v>
      </c>
      <c r="AZ20" s="57">
        <v>5839.7</v>
      </c>
      <c r="BA20" s="37"/>
      <c r="BB20" s="37"/>
      <c r="BC20" s="37"/>
      <c r="BD20" s="56"/>
      <c r="BE20" s="37" t="s">
        <v>1</v>
      </c>
      <c r="BF20" s="57">
        <v>893610</v>
      </c>
      <c r="BG20" s="57">
        <v>5579.2</v>
      </c>
      <c r="BH20" s="57">
        <v>5579.2</v>
      </c>
      <c r="BI20" s="57">
        <v>5579.2</v>
      </c>
      <c r="BJ20" s="57">
        <v>5579.2</v>
      </c>
      <c r="BK20" s="57">
        <v>5579.2</v>
      </c>
      <c r="BL20" s="37"/>
      <c r="BM20" s="37"/>
      <c r="BN20" s="37"/>
      <c r="BO20" s="37"/>
      <c r="BY20" s="37"/>
      <c r="BZ20" s="37"/>
      <c r="CA20" s="37"/>
      <c r="CB20" s="37"/>
      <c r="CC20" s="61">
        <v>0.4</v>
      </c>
      <c r="CD20" s="62">
        <v>0.93740227831136924</v>
      </c>
      <c r="CE20" s="62">
        <v>0.83551113096567642</v>
      </c>
      <c r="CF20" s="62">
        <v>0.7119350755714392</v>
      </c>
      <c r="CG20" s="62">
        <f t="shared" si="9"/>
        <v>0.72784897111421198</v>
      </c>
      <c r="CH20" s="62">
        <f t="shared" si="10"/>
        <v>0.72602834848995168</v>
      </c>
      <c r="CI20" s="62">
        <f t="shared" si="11"/>
        <v>0.71860575951498817</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29518</v>
      </c>
      <c r="AL21" s="57">
        <v>184.29</v>
      </c>
      <c r="AM21" s="57">
        <v>184.29</v>
      </c>
      <c r="AN21" s="57">
        <v>184.29</v>
      </c>
      <c r="AO21" s="57">
        <v>184.29</v>
      </c>
      <c r="AP21" s="57">
        <v>184.29</v>
      </c>
      <c r="AQ21" s="57"/>
      <c r="AR21" s="37"/>
      <c r="AS21" s="56"/>
      <c r="AT21" s="37" t="s">
        <v>2</v>
      </c>
      <c r="AU21" s="57">
        <v>63287</v>
      </c>
      <c r="AV21" s="57">
        <v>395.12</v>
      </c>
      <c r="AW21" s="57">
        <v>395.12</v>
      </c>
      <c r="AX21" s="57">
        <v>395.12</v>
      </c>
      <c r="AY21" s="57">
        <v>395.12</v>
      </c>
      <c r="AZ21" s="57">
        <v>395.12</v>
      </c>
      <c r="BA21" s="57"/>
      <c r="BB21" s="37"/>
      <c r="BC21" s="37"/>
      <c r="BD21" s="56"/>
      <c r="BE21" s="37" t="s">
        <v>2</v>
      </c>
      <c r="BF21" s="57">
        <v>105000</v>
      </c>
      <c r="BG21" s="57">
        <v>655.58</v>
      </c>
      <c r="BH21" s="57">
        <v>655.58</v>
      </c>
      <c r="BI21" s="57">
        <v>655.58</v>
      </c>
      <c r="BJ21" s="57">
        <v>655.58</v>
      </c>
      <c r="BK21" s="57">
        <v>655.58</v>
      </c>
      <c r="BL21" s="57"/>
      <c r="BM21" s="57"/>
      <c r="BN21" s="57"/>
      <c r="BO21" s="37"/>
      <c r="BY21" s="37"/>
      <c r="BZ21" s="37"/>
      <c r="CA21" s="37"/>
      <c r="CB21" s="37"/>
      <c r="CC21" s="61">
        <v>0.6</v>
      </c>
      <c r="CD21" s="62">
        <v>0.98157248157248156</v>
      </c>
      <c r="CE21" s="62">
        <v>0.93494527585436671</v>
      </c>
      <c r="CF21" s="62">
        <v>0.84556250465341376</v>
      </c>
      <c r="CG21" s="62">
        <f t="shared" si="9"/>
        <v>0.75983502542141823</v>
      </c>
      <c r="CH21" s="62">
        <f t="shared" si="10"/>
        <v>0.77072690019086121</v>
      </c>
      <c r="CI21" s="62">
        <f t="shared" si="11"/>
        <v>0.77248890920463842</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968840</v>
      </c>
      <c r="AL22" s="57">
        <v>6012.9</v>
      </c>
      <c r="AM22" s="57">
        <v>5581</v>
      </c>
      <c r="AN22" s="57">
        <v>2432.1999999999998</v>
      </c>
      <c r="AO22" s="57">
        <v>22.193999999999999</v>
      </c>
      <c r="AP22" s="57">
        <v>9.2197999999999993</v>
      </c>
      <c r="AQ22" s="37"/>
      <c r="AR22" s="37"/>
      <c r="AS22" s="56"/>
      <c r="AT22" s="37" t="s">
        <v>3</v>
      </c>
      <c r="AU22" s="57">
        <v>934960</v>
      </c>
      <c r="AV22" s="57">
        <v>5794</v>
      </c>
      <c r="AW22" s="57">
        <v>5282</v>
      </c>
      <c r="AX22" s="57">
        <v>1505.5</v>
      </c>
      <c r="AY22" s="57">
        <v>5.9085999999999999</v>
      </c>
      <c r="AZ22" s="57">
        <v>3.2743000000000002</v>
      </c>
      <c r="BA22" s="37"/>
      <c r="BB22" s="37"/>
      <c r="BC22" s="37"/>
      <c r="BD22" s="56"/>
      <c r="BE22" s="37" t="s">
        <v>3</v>
      </c>
      <c r="BF22" s="57">
        <v>892910</v>
      </c>
      <c r="BG22" s="57">
        <v>5514.5</v>
      </c>
      <c r="BH22" s="57">
        <v>4814.3999999999996</v>
      </c>
      <c r="BI22" s="57">
        <v>637.97</v>
      </c>
      <c r="BJ22" s="57">
        <v>1.6229</v>
      </c>
      <c r="BK22" s="57">
        <v>0.85829</v>
      </c>
      <c r="BL22" s="37"/>
      <c r="BM22" s="37"/>
      <c r="BN22" s="37"/>
      <c r="BO22" s="37"/>
      <c r="BY22" s="37"/>
      <c r="BZ22" s="37"/>
      <c r="CA22" s="37"/>
      <c r="CB22" s="37"/>
      <c r="CC22" s="61">
        <v>0.8</v>
      </c>
      <c r="CD22" s="62">
        <v>0.99348522075794798</v>
      </c>
      <c r="CE22" s="62">
        <v>0.97371751917206462</v>
      </c>
      <c r="CF22" s="62">
        <v>0.92195294468021738</v>
      </c>
      <c r="CG22" s="62">
        <f t="shared" si="9"/>
        <v>0.77543559640090465</v>
      </c>
      <c r="CH22" s="62">
        <f t="shared" si="10"/>
        <v>0.79370628237822594</v>
      </c>
      <c r="CI22" s="62">
        <f t="shared" si="11"/>
        <v>0.79908354584676577</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0.78705734654926307</v>
      </c>
      <c r="CH23" s="62">
        <f t="shared" si="10"/>
        <v>0.80264326613097259</v>
      </c>
      <c r="CI23" s="62">
        <f t="shared" si="11"/>
        <v>0.81336476928258683</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20.126000000000001</v>
      </c>
      <c r="AL24" s="57">
        <v>35.901000000000003</v>
      </c>
      <c r="AM24" s="57">
        <v>467.57</v>
      </c>
      <c r="AN24" s="57">
        <v>3616.4</v>
      </c>
      <c r="AO24" s="57">
        <v>6026.5</v>
      </c>
      <c r="AP24" s="57">
        <v>6039.4</v>
      </c>
      <c r="AQ24" s="37"/>
      <c r="AR24" s="37"/>
      <c r="AS24" s="56"/>
      <c r="AT24" s="37" t="s">
        <v>5</v>
      </c>
      <c r="AU24" s="57">
        <v>34.427999999999997</v>
      </c>
      <c r="AV24" s="57">
        <v>43.033000000000001</v>
      </c>
      <c r="AW24" s="57">
        <v>554.85</v>
      </c>
      <c r="AX24" s="57">
        <v>4331.7</v>
      </c>
      <c r="AY24" s="57">
        <v>5831.2</v>
      </c>
      <c r="AZ24" s="57">
        <v>5833.8</v>
      </c>
      <c r="BA24" s="37"/>
      <c r="BB24" s="37"/>
      <c r="BC24" s="37"/>
      <c r="BD24" s="56"/>
      <c r="BE24" s="37" t="s">
        <v>5</v>
      </c>
      <c r="BF24" s="57">
        <v>85.162999999999997</v>
      </c>
      <c r="BG24" s="57">
        <v>60.180999999999997</v>
      </c>
      <c r="BH24" s="57">
        <v>759.84</v>
      </c>
      <c r="BI24" s="57">
        <v>4936.8</v>
      </c>
      <c r="BJ24" s="57">
        <v>5573.2</v>
      </c>
      <c r="BK24" s="57">
        <v>5573.9</v>
      </c>
      <c r="BL24" s="37"/>
      <c r="BM24" s="37"/>
      <c r="BN24" s="37"/>
      <c r="BO24" s="37"/>
      <c r="BY24" s="37"/>
      <c r="BZ24" s="37"/>
      <c r="CA24" s="37"/>
      <c r="CB24" s="37"/>
      <c r="CC24" s="61">
        <v>1.2</v>
      </c>
      <c r="CD24" s="62">
        <v>0.9987156578065669</v>
      </c>
      <c r="CE24" s="62">
        <v>0.99434144888690346</v>
      </c>
      <c r="CF24" s="62">
        <v>0.97799865981684164</v>
      </c>
      <c r="CG24" s="62">
        <f t="shared" si="9"/>
        <v>0.79530401449902977</v>
      </c>
      <c r="CH24" s="62">
        <f t="shared" si="10"/>
        <v>0.81160483728688515</v>
      </c>
      <c r="CI24" s="62">
        <f t="shared" si="11"/>
        <v>0.82458555870984318</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0.8075857672135881</v>
      </c>
      <c r="CH25" s="62">
        <f t="shared" si="10"/>
        <v>0.82237148951867711</v>
      </c>
      <c r="CI25" s="62">
        <f t="shared" si="11"/>
        <v>0.83832475260228723</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998630</v>
      </c>
      <c r="AL26" s="57">
        <v>6234.9</v>
      </c>
      <c r="AM26" s="57">
        <v>6234.9</v>
      </c>
      <c r="AN26" s="57">
        <v>6234.9</v>
      </c>
      <c r="AO26" s="57">
        <v>6234.9</v>
      </c>
      <c r="AP26" s="57">
        <v>6234.9</v>
      </c>
      <c r="AQ26" s="37"/>
      <c r="AR26" s="37"/>
      <c r="AS26" s="56">
        <v>0.6</v>
      </c>
      <c r="AT26" s="37" t="s">
        <v>0</v>
      </c>
      <c r="AU26" s="57">
        <v>998630</v>
      </c>
      <c r="AV26" s="57">
        <v>6234.9</v>
      </c>
      <c r="AW26" s="57">
        <v>6234.9</v>
      </c>
      <c r="AX26" s="57">
        <v>6234.9</v>
      </c>
      <c r="AY26" s="57">
        <v>6234.9</v>
      </c>
      <c r="AZ26" s="57">
        <v>6234.9</v>
      </c>
      <c r="BA26" s="37"/>
      <c r="BB26" s="37"/>
      <c r="BC26" s="37"/>
      <c r="BD26" s="56">
        <v>0.6</v>
      </c>
      <c r="BE26" s="37" t="s">
        <v>0</v>
      </c>
      <c r="BF26" s="57">
        <v>998630</v>
      </c>
      <c r="BG26" s="57">
        <v>6234.9</v>
      </c>
      <c r="BH26" s="57">
        <v>6234.9</v>
      </c>
      <c r="BI26" s="57">
        <v>6234.9</v>
      </c>
      <c r="BJ26" s="57">
        <v>6234.9</v>
      </c>
      <c r="BK26" s="57">
        <v>6234.9</v>
      </c>
      <c r="BL26" s="37"/>
      <c r="BM26" s="37"/>
      <c r="BN26" s="37"/>
      <c r="BO26" s="37"/>
      <c r="BY26" s="37"/>
      <c r="BZ26" s="37"/>
      <c r="CA26" s="37"/>
      <c r="CB26" s="37"/>
      <c r="CC26" s="61">
        <v>2</v>
      </c>
      <c r="CD26" s="62">
        <v>1</v>
      </c>
      <c r="CE26" s="62">
        <v>1</v>
      </c>
      <c r="CF26" s="62">
        <v>1</v>
      </c>
      <c r="CG26" s="62">
        <f t="shared" si="9"/>
        <v>0.81755184525814362</v>
      </c>
      <c r="CH26" s="62">
        <f t="shared" si="10"/>
        <v>0.8316779739851482</v>
      </c>
      <c r="CI26" s="62">
        <f t="shared" si="11"/>
        <v>0.84456214213539926</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990300</v>
      </c>
      <c r="AL27" s="57">
        <v>6182.9</v>
      </c>
      <c r="AM27" s="57">
        <v>6182.9</v>
      </c>
      <c r="AN27" s="57">
        <v>6182.9</v>
      </c>
      <c r="AO27" s="57">
        <v>6182.9</v>
      </c>
      <c r="AP27" s="57">
        <v>6182.9</v>
      </c>
      <c r="AQ27" s="37"/>
      <c r="AR27" s="37"/>
      <c r="AS27" s="56"/>
      <c r="AT27" s="37" t="s">
        <v>1</v>
      </c>
      <c r="AU27" s="57">
        <v>976010</v>
      </c>
      <c r="AV27" s="57">
        <v>6093.6</v>
      </c>
      <c r="AW27" s="57">
        <v>6093.6</v>
      </c>
      <c r="AX27" s="57">
        <v>6093.6</v>
      </c>
      <c r="AY27" s="57">
        <v>6093.6</v>
      </c>
      <c r="AZ27" s="57">
        <v>6093.6</v>
      </c>
      <c r="BA27" s="37"/>
      <c r="BB27" s="37"/>
      <c r="BC27" s="37"/>
      <c r="BD27" s="56"/>
      <c r="BE27" s="37" t="s">
        <v>1</v>
      </c>
      <c r="BF27" s="57">
        <v>950210</v>
      </c>
      <c r="BG27" s="57">
        <v>5932.6</v>
      </c>
      <c r="BH27" s="57">
        <v>5932.6</v>
      </c>
      <c r="BI27" s="57">
        <v>5932.6</v>
      </c>
      <c r="BJ27" s="57">
        <v>5932.6</v>
      </c>
      <c r="BK27" s="57">
        <v>5932.6</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8328.4</v>
      </c>
      <c r="AL28" s="57">
        <v>51.997</v>
      </c>
      <c r="AM28" s="57">
        <v>51.997</v>
      </c>
      <c r="AN28" s="57">
        <v>51.997</v>
      </c>
      <c r="AO28" s="57">
        <v>51.997</v>
      </c>
      <c r="AP28" s="57">
        <v>51.997</v>
      </c>
      <c r="AQ28" s="37"/>
      <c r="AR28" s="37"/>
      <c r="AS28" s="56"/>
      <c r="AT28" s="37" t="s">
        <v>2</v>
      </c>
      <c r="AU28" s="57">
        <v>22613</v>
      </c>
      <c r="AV28" s="57">
        <v>141.18</v>
      </c>
      <c r="AW28" s="57">
        <v>141.18</v>
      </c>
      <c r="AX28" s="57">
        <v>141.18</v>
      </c>
      <c r="AY28" s="57">
        <v>141.18</v>
      </c>
      <c r="AZ28" s="57">
        <v>141.18</v>
      </c>
      <c r="BA28" s="37"/>
      <c r="BB28" s="37"/>
      <c r="BC28" s="37"/>
      <c r="BD28" s="56"/>
      <c r="BE28" s="37" t="s">
        <v>2</v>
      </c>
      <c r="BF28" s="57">
        <v>48409</v>
      </c>
      <c r="BG28" s="57">
        <v>302.24</v>
      </c>
      <c r="BH28" s="57">
        <v>302.24</v>
      </c>
      <c r="BI28" s="57">
        <v>302.24</v>
      </c>
      <c r="BJ28" s="57">
        <v>302.24</v>
      </c>
      <c r="BK28" s="57">
        <v>302.24</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990060</v>
      </c>
      <c r="AL29" s="57">
        <v>6128.4</v>
      </c>
      <c r="AM29" s="57">
        <v>5537.7</v>
      </c>
      <c r="AN29" s="57">
        <v>1985.6</v>
      </c>
      <c r="AO29" s="57">
        <v>21.664999999999999</v>
      </c>
      <c r="AP29" s="57">
        <v>10.803000000000001</v>
      </c>
      <c r="AQ29" s="37"/>
      <c r="AR29" s="37"/>
      <c r="AS29" s="56"/>
      <c r="AT29" s="37" t="s">
        <v>3</v>
      </c>
      <c r="AU29" s="57">
        <v>975590</v>
      </c>
      <c r="AV29" s="57">
        <v>6026</v>
      </c>
      <c r="AW29" s="57">
        <v>5326.2</v>
      </c>
      <c r="AX29" s="57">
        <v>1218</v>
      </c>
      <c r="AY29" s="57">
        <v>5.3749000000000002</v>
      </c>
      <c r="AZ29" s="57">
        <v>3.2679999999999998</v>
      </c>
      <c r="BA29" s="37"/>
      <c r="BB29" s="37"/>
      <c r="BC29" s="37"/>
      <c r="BD29" s="56"/>
      <c r="BE29" s="37" t="s">
        <v>3</v>
      </c>
      <c r="BF29" s="57">
        <v>949530</v>
      </c>
      <c r="BG29" s="57">
        <v>5842.7</v>
      </c>
      <c r="BH29" s="57">
        <v>4934</v>
      </c>
      <c r="BI29" s="57">
        <v>525.16999999999996</v>
      </c>
      <c r="BJ29" s="57">
        <v>1.5932999999999999</v>
      </c>
      <c r="BK29" s="57">
        <v>0.96825000000000006</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19.125</v>
      </c>
      <c r="AL31" s="57">
        <v>52.637999999999998</v>
      </c>
      <c r="AM31" s="57">
        <v>643.19000000000005</v>
      </c>
      <c r="AN31" s="57">
        <v>4195.5</v>
      </c>
      <c r="AO31" s="57">
        <v>6159.4</v>
      </c>
      <c r="AP31" s="57">
        <v>6170.3</v>
      </c>
      <c r="AQ31" s="37"/>
      <c r="AR31" s="37"/>
      <c r="AS31" s="56"/>
      <c r="AT31" s="37" t="s">
        <v>5</v>
      </c>
      <c r="AU31" s="57">
        <v>39.542000000000002</v>
      </c>
      <c r="AV31" s="57">
        <v>64.692999999999998</v>
      </c>
      <c r="AW31" s="57">
        <v>764.17</v>
      </c>
      <c r="AX31" s="57">
        <v>4872.8</v>
      </c>
      <c r="AY31" s="57">
        <v>6085.5</v>
      </c>
      <c r="AZ31" s="57">
        <v>6087.6</v>
      </c>
      <c r="BA31" s="37"/>
      <c r="BB31" s="37"/>
      <c r="BC31" s="37"/>
      <c r="BD31" s="56"/>
      <c r="BE31" s="37" t="s">
        <v>5</v>
      </c>
      <c r="BF31" s="57">
        <v>78.778999999999996</v>
      </c>
      <c r="BG31" s="57">
        <v>85.251999999999995</v>
      </c>
      <c r="BH31" s="57">
        <v>993.49</v>
      </c>
      <c r="BI31" s="57">
        <v>5403</v>
      </c>
      <c r="BJ31" s="57">
        <v>5926.7</v>
      </c>
      <c r="BK31" s="57">
        <v>5927.3</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998630</v>
      </c>
      <c r="AL33" s="57">
        <v>6234.9</v>
      </c>
      <c r="AM33" s="57">
        <v>6234.9</v>
      </c>
      <c r="AN33" s="57">
        <v>6234.9</v>
      </c>
      <c r="AO33" s="57">
        <v>6234.9</v>
      </c>
      <c r="AP33" s="57">
        <v>6234.9</v>
      </c>
      <c r="AQ33" s="37"/>
      <c r="AR33" s="37"/>
      <c r="AS33" s="56">
        <v>0.8</v>
      </c>
      <c r="AT33" s="37" t="s">
        <v>0</v>
      </c>
      <c r="AU33" s="57">
        <v>998630</v>
      </c>
      <c r="AV33" s="57">
        <v>6234.9</v>
      </c>
      <c r="AW33" s="57">
        <v>6234.9</v>
      </c>
      <c r="AX33" s="57">
        <v>6234.9</v>
      </c>
      <c r="AY33" s="57">
        <v>6234.9</v>
      </c>
      <c r="AZ33" s="57">
        <v>6234.9</v>
      </c>
      <c r="BA33" s="37"/>
      <c r="BB33" s="37"/>
      <c r="BC33" s="37"/>
      <c r="BD33" s="56">
        <v>0.8</v>
      </c>
      <c r="BE33" s="37" t="s">
        <v>0</v>
      </c>
      <c r="BF33" s="57">
        <v>998630</v>
      </c>
      <c r="BG33" s="57">
        <v>6234.9</v>
      </c>
      <c r="BH33" s="57">
        <v>6234.9</v>
      </c>
      <c r="BI33" s="57">
        <v>6234.9</v>
      </c>
      <c r="BJ33" s="57">
        <v>6234.9</v>
      </c>
      <c r="BK33" s="57">
        <v>6234.9</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995560</v>
      </c>
      <c r="AL34" s="57">
        <v>6215.7</v>
      </c>
      <c r="AM34" s="57">
        <v>6215.7</v>
      </c>
      <c r="AN34" s="57">
        <v>6215.7</v>
      </c>
      <c r="AO34" s="57">
        <v>6215.7</v>
      </c>
      <c r="AP34" s="57">
        <v>6215.7</v>
      </c>
      <c r="AQ34" s="37"/>
      <c r="AR34" s="37"/>
      <c r="AS34" s="56"/>
      <c r="AT34" s="37" t="s">
        <v>1</v>
      </c>
      <c r="AU34" s="57">
        <v>990280</v>
      </c>
      <c r="AV34" s="57">
        <v>6182.8</v>
      </c>
      <c r="AW34" s="57">
        <v>6182.8</v>
      </c>
      <c r="AX34" s="57">
        <v>6182.8</v>
      </c>
      <c r="AY34" s="57">
        <v>6182.8</v>
      </c>
      <c r="AZ34" s="57">
        <v>6182.8</v>
      </c>
      <c r="BA34" s="37"/>
      <c r="BB34" s="37"/>
      <c r="BC34" s="37"/>
      <c r="BD34" s="56"/>
      <c r="BE34" s="37" t="s">
        <v>1</v>
      </c>
      <c r="BF34" s="57">
        <v>974720</v>
      </c>
      <c r="BG34" s="57">
        <v>6085.6</v>
      </c>
      <c r="BH34" s="57">
        <v>6085.6</v>
      </c>
      <c r="BI34" s="57">
        <v>6085.6</v>
      </c>
      <c r="BJ34" s="57">
        <v>6085.6</v>
      </c>
      <c r="BK34" s="57">
        <v>6085.6</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3070</v>
      </c>
      <c r="AL35" s="57">
        <v>19.167000000000002</v>
      </c>
      <c r="AM35" s="57">
        <v>19.167000000000002</v>
      </c>
      <c r="AN35" s="57">
        <v>19.167000000000002</v>
      </c>
      <c r="AO35" s="57">
        <v>19.167000000000002</v>
      </c>
      <c r="AP35" s="57">
        <v>19.167000000000002</v>
      </c>
      <c r="AQ35" s="37"/>
      <c r="AR35" s="37"/>
      <c r="AS35" s="56"/>
      <c r="AT35" s="37" t="s">
        <v>2</v>
      </c>
      <c r="AU35" s="57">
        <v>8341</v>
      </c>
      <c r="AV35" s="57">
        <v>52.076000000000001</v>
      </c>
      <c r="AW35" s="57">
        <v>52.076000000000001</v>
      </c>
      <c r="AX35" s="57">
        <v>52.076000000000001</v>
      </c>
      <c r="AY35" s="57">
        <v>52.076000000000001</v>
      </c>
      <c r="AZ35" s="57">
        <v>52.076000000000001</v>
      </c>
      <c r="BA35" s="37"/>
      <c r="BB35" s="37"/>
      <c r="BC35" s="37"/>
      <c r="BD35" s="56"/>
      <c r="BE35" s="37" t="s">
        <v>2</v>
      </c>
      <c r="BF35" s="57">
        <v>23901</v>
      </c>
      <c r="BG35" s="57">
        <v>149.22</v>
      </c>
      <c r="BH35" s="57">
        <v>149.22</v>
      </c>
      <c r="BI35" s="57">
        <v>149.22</v>
      </c>
      <c r="BJ35" s="57">
        <v>149.22</v>
      </c>
      <c r="BK35" s="57">
        <v>149.22</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995330</v>
      </c>
      <c r="AL36" s="57">
        <v>6145</v>
      </c>
      <c r="AM36" s="57">
        <v>5415.1</v>
      </c>
      <c r="AN36" s="57">
        <v>1669.3</v>
      </c>
      <c r="AO36" s="57">
        <v>21.016999999999999</v>
      </c>
      <c r="AP36" s="57">
        <v>12.167</v>
      </c>
      <c r="AQ36" s="37"/>
      <c r="AR36" s="37"/>
      <c r="AS36" s="56"/>
      <c r="AT36" s="37" t="s">
        <v>3</v>
      </c>
      <c r="AU36" s="57">
        <v>989840</v>
      </c>
      <c r="AV36" s="57">
        <v>6093.8</v>
      </c>
      <c r="AW36" s="57">
        <v>5227.3</v>
      </c>
      <c r="AX36" s="57">
        <v>933.08</v>
      </c>
      <c r="AY36" s="57">
        <v>4.1721000000000004</v>
      </c>
      <c r="AZ36" s="57">
        <v>3.2315</v>
      </c>
      <c r="BA36" s="37"/>
      <c r="BB36" s="37"/>
      <c r="BC36" s="37"/>
      <c r="BD36" s="56"/>
      <c r="BE36" s="37" t="s">
        <v>3</v>
      </c>
      <c r="BF36" s="57">
        <v>974070</v>
      </c>
      <c r="BG36" s="57">
        <v>5971.9</v>
      </c>
      <c r="BH36" s="57">
        <v>4891.5</v>
      </c>
      <c r="BI36" s="57">
        <v>438.41</v>
      </c>
      <c r="BJ36" s="57">
        <v>1.4870000000000001</v>
      </c>
      <c r="BK36" s="57">
        <v>1.0536000000000001</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18.654</v>
      </c>
      <c r="AL38" s="57">
        <v>68.878</v>
      </c>
      <c r="AM38" s="57">
        <v>798.63</v>
      </c>
      <c r="AN38" s="57">
        <v>4544.6000000000004</v>
      </c>
      <c r="AO38" s="57">
        <v>6192.9</v>
      </c>
      <c r="AP38" s="57">
        <v>6201.8</v>
      </c>
      <c r="AQ38" s="37"/>
      <c r="AR38" s="37"/>
      <c r="AS38" s="56"/>
      <c r="AT38" s="37" t="s">
        <v>5</v>
      </c>
      <c r="AU38" s="57">
        <v>42.53</v>
      </c>
      <c r="AV38" s="57">
        <v>85.805999999999997</v>
      </c>
      <c r="AW38" s="57">
        <v>951.96</v>
      </c>
      <c r="AX38" s="57">
        <v>5246.7</v>
      </c>
      <c r="AY38" s="57">
        <v>6175.6</v>
      </c>
      <c r="AZ38" s="57">
        <v>6176.5</v>
      </c>
      <c r="BA38" s="37"/>
      <c r="BB38" s="37"/>
      <c r="BC38" s="37"/>
      <c r="BD38" s="56"/>
      <c r="BE38" s="37" t="s">
        <v>5</v>
      </c>
      <c r="BF38" s="57">
        <v>78.191999999999993</v>
      </c>
      <c r="BG38" s="57">
        <v>108.92</v>
      </c>
      <c r="BH38" s="57">
        <v>1189</v>
      </c>
      <c r="BI38" s="57">
        <v>5642.7</v>
      </c>
      <c r="BJ38" s="57">
        <v>6079.7</v>
      </c>
      <c r="BK38" s="57">
        <v>6080.1</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998630</v>
      </c>
      <c r="AL40" s="57">
        <v>6234.9</v>
      </c>
      <c r="AM40" s="57">
        <v>6234.9</v>
      </c>
      <c r="AN40" s="57">
        <v>6234.9</v>
      </c>
      <c r="AO40" s="57">
        <v>6234.9</v>
      </c>
      <c r="AP40" s="57">
        <v>6234.9</v>
      </c>
      <c r="AQ40" s="37"/>
      <c r="AR40" s="37"/>
      <c r="AS40" s="56">
        <v>1</v>
      </c>
      <c r="AT40" s="37" t="s">
        <v>0</v>
      </c>
      <c r="AU40" s="57">
        <v>998630</v>
      </c>
      <c r="AV40" s="57">
        <v>6234.9</v>
      </c>
      <c r="AW40" s="57">
        <v>6234.9</v>
      </c>
      <c r="AX40" s="57">
        <v>6234.9</v>
      </c>
      <c r="AY40" s="57">
        <v>6234.9</v>
      </c>
      <c r="AZ40" s="57">
        <v>6234.9</v>
      </c>
      <c r="BA40" s="37"/>
      <c r="BB40" s="37"/>
      <c r="BC40" s="37"/>
      <c r="BD40" s="56">
        <v>1</v>
      </c>
      <c r="BE40" s="37" t="s">
        <v>0</v>
      </c>
      <c r="BF40" s="57">
        <v>998630</v>
      </c>
      <c r="BG40" s="57">
        <v>6234.9</v>
      </c>
      <c r="BH40" s="57">
        <v>6234.9</v>
      </c>
      <c r="BI40" s="57">
        <v>6234.9</v>
      </c>
      <c r="BJ40" s="57">
        <v>6234.9</v>
      </c>
      <c r="BK40" s="57">
        <v>6234.9</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998230</v>
      </c>
      <c r="AL41" s="57">
        <v>6232.4</v>
      </c>
      <c r="AM41" s="57">
        <v>6232.4</v>
      </c>
      <c r="AN41" s="57">
        <v>6232.4</v>
      </c>
      <c r="AO41" s="57">
        <v>6232.4</v>
      </c>
      <c r="AP41" s="57">
        <v>6232.4</v>
      </c>
      <c r="AQ41" s="37"/>
      <c r="AR41" s="37"/>
      <c r="AS41" s="56"/>
      <c r="AT41" s="37" t="s">
        <v>1</v>
      </c>
      <c r="AU41" s="57">
        <v>995180</v>
      </c>
      <c r="AV41" s="57">
        <v>6213.4</v>
      </c>
      <c r="AW41" s="57">
        <v>6213.4</v>
      </c>
      <c r="AX41" s="57">
        <v>6213.4</v>
      </c>
      <c r="AY41" s="57">
        <v>6213.4</v>
      </c>
      <c r="AZ41" s="57">
        <v>6213.4</v>
      </c>
      <c r="BA41" s="37"/>
      <c r="BB41" s="37"/>
      <c r="BC41" s="37"/>
      <c r="BD41" s="56"/>
      <c r="BE41" s="37" t="s">
        <v>1</v>
      </c>
      <c r="BF41" s="57">
        <v>985310</v>
      </c>
      <c r="BG41" s="57">
        <v>6151.7</v>
      </c>
      <c r="BH41" s="57">
        <v>6151.7</v>
      </c>
      <c r="BI41" s="57">
        <v>6151.7</v>
      </c>
      <c r="BJ41" s="57">
        <v>6151.7</v>
      </c>
      <c r="BK41" s="57">
        <v>6151.7</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399.54</v>
      </c>
      <c r="AL42" s="57">
        <v>2.4944000000000002</v>
      </c>
      <c r="AM42" s="57">
        <v>2.4944000000000002</v>
      </c>
      <c r="AN42" s="57">
        <v>2.4944000000000002</v>
      </c>
      <c r="AO42" s="57">
        <v>2.4944000000000002</v>
      </c>
      <c r="AP42" s="57">
        <v>2.4944000000000002</v>
      </c>
      <c r="AQ42" s="37"/>
      <c r="AR42" s="37"/>
      <c r="AS42" s="56"/>
      <c r="AT42" s="37" t="s">
        <v>2</v>
      </c>
      <c r="AU42" s="57">
        <v>3441.6</v>
      </c>
      <c r="AV42" s="57">
        <v>21.486999999999998</v>
      </c>
      <c r="AW42" s="57">
        <v>21.486999999999998</v>
      </c>
      <c r="AX42" s="57">
        <v>21.486999999999998</v>
      </c>
      <c r="AY42" s="57">
        <v>21.486999999999998</v>
      </c>
      <c r="AZ42" s="57">
        <v>21.486999999999998</v>
      </c>
      <c r="BA42" s="37"/>
      <c r="BB42" s="37"/>
      <c r="BC42" s="37"/>
      <c r="BD42" s="56"/>
      <c r="BE42" s="37" t="s">
        <v>2</v>
      </c>
      <c r="BF42" s="57">
        <v>13314</v>
      </c>
      <c r="BG42" s="57">
        <v>83.126999999999995</v>
      </c>
      <c r="BH42" s="57">
        <v>83.126999999999995</v>
      </c>
      <c r="BI42" s="57">
        <v>83.126999999999995</v>
      </c>
      <c r="BJ42" s="57">
        <v>83.126999999999995</v>
      </c>
      <c r="BK42" s="57">
        <v>83.126999999999995</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997960</v>
      </c>
      <c r="AL43" s="57">
        <v>6145.3</v>
      </c>
      <c r="AM43" s="57">
        <v>5288.3</v>
      </c>
      <c r="AN43" s="57">
        <v>1425.7</v>
      </c>
      <c r="AO43" s="57">
        <v>19.238</v>
      </c>
      <c r="AP43" s="57">
        <v>11.705</v>
      </c>
      <c r="AQ43" s="37"/>
      <c r="AR43" s="37"/>
      <c r="AS43" s="56"/>
      <c r="AT43" s="37" t="s">
        <v>3</v>
      </c>
      <c r="AU43" s="57">
        <v>994770</v>
      </c>
      <c r="AV43" s="57">
        <v>6109.5</v>
      </c>
      <c r="AW43" s="57">
        <v>5130.2</v>
      </c>
      <c r="AX43" s="57">
        <v>855.43</v>
      </c>
      <c r="AY43" s="57">
        <v>5.274</v>
      </c>
      <c r="AZ43" s="57">
        <v>4.008</v>
      </c>
      <c r="BA43" s="37"/>
      <c r="BB43" s="37"/>
      <c r="BC43" s="37"/>
      <c r="BD43" s="56"/>
      <c r="BE43" s="37" t="s">
        <v>3</v>
      </c>
      <c r="BF43" s="57">
        <v>984630</v>
      </c>
      <c r="BG43" s="57">
        <v>6015.7</v>
      </c>
      <c r="BH43" s="57">
        <v>4789.2</v>
      </c>
      <c r="BI43" s="57">
        <v>372.84</v>
      </c>
      <c r="BJ43" s="57">
        <v>1.3995</v>
      </c>
      <c r="BK43" s="57">
        <v>1.0758000000000001</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19.507000000000001</v>
      </c>
      <c r="AL45" s="57">
        <v>85.016999999999996</v>
      </c>
      <c r="AM45" s="57">
        <v>941.92</v>
      </c>
      <c r="AN45" s="57">
        <v>4804.8</v>
      </c>
      <c r="AO45" s="57">
        <v>6211.1</v>
      </c>
      <c r="AP45" s="57">
        <v>6218.6</v>
      </c>
      <c r="AQ45" s="37"/>
      <c r="AR45" s="37"/>
      <c r="AS45" s="56"/>
      <c r="AT45" s="37" t="s">
        <v>5</v>
      </c>
      <c r="AU45" s="57">
        <v>37.353999999999999</v>
      </c>
      <c r="AV45" s="57">
        <v>100.81</v>
      </c>
      <c r="AW45" s="57">
        <v>1079.9000000000001</v>
      </c>
      <c r="AX45" s="57">
        <v>5355.1</v>
      </c>
      <c r="AY45" s="57">
        <v>6205.4</v>
      </c>
      <c r="AZ45" s="57">
        <v>6206.6</v>
      </c>
      <c r="BA45" s="37"/>
      <c r="BB45" s="37"/>
      <c r="BC45" s="37"/>
      <c r="BD45" s="56"/>
      <c r="BE45" s="37" t="s">
        <v>5</v>
      </c>
      <c r="BF45" s="57">
        <v>79.147999999999996</v>
      </c>
      <c r="BG45" s="57">
        <v>131.16</v>
      </c>
      <c r="BH45" s="57">
        <v>1357.5</v>
      </c>
      <c r="BI45" s="57">
        <v>5774.3</v>
      </c>
      <c r="BJ45" s="57">
        <v>6145.8</v>
      </c>
      <c r="BK45" s="57">
        <v>6146.1</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998630</v>
      </c>
      <c r="AL47" s="57">
        <v>6234.9</v>
      </c>
      <c r="AM47" s="57">
        <v>6234.9</v>
      </c>
      <c r="AN47" s="57">
        <v>6234.9</v>
      </c>
      <c r="AO47" s="57">
        <v>6234.9</v>
      </c>
      <c r="AP47" s="57">
        <v>6234.9</v>
      </c>
      <c r="AQ47" s="37"/>
      <c r="AR47" s="37"/>
      <c r="AS47" s="56">
        <v>1.2</v>
      </c>
      <c r="AT47" s="37" t="s">
        <v>0</v>
      </c>
      <c r="AU47" s="57">
        <v>998630</v>
      </c>
      <c r="AV47" s="57">
        <v>6234.9</v>
      </c>
      <c r="AW47" s="57">
        <v>6234.9</v>
      </c>
      <c r="AX47" s="57">
        <v>6234.9</v>
      </c>
      <c r="AY47" s="57">
        <v>6234.9</v>
      </c>
      <c r="AZ47" s="57">
        <v>6234.9</v>
      </c>
      <c r="BA47" s="37"/>
      <c r="BB47" s="37"/>
      <c r="BC47" s="37"/>
      <c r="BD47" s="56">
        <v>1.2</v>
      </c>
      <c r="BE47" s="37" t="s">
        <v>0</v>
      </c>
      <c r="BF47" s="57">
        <v>998630</v>
      </c>
      <c r="BG47" s="57">
        <v>6234.9</v>
      </c>
      <c r="BH47" s="57">
        <v>6234.9</v>
      </c>
      <c r="BI47" s="57">
        <v>6234.9</v>
      </c>
      <c r="BJ47" s="57">
        <v>6234.9</v>
      </c>
      <c r="BK47" s="57">
        <v>6234.9</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998630</v>
      </c>
      <c r="AL48" s="57">
        <v>6234.9</v>
      </c>
      <c r="AM48" s="57">
        <v>6234.9</v>
      </c>
      <c r="AN48" s="57">
        <v>6234.9</v>
      </c>
      <c r="AO48" s="57">
        <v>6234.9</v>
      </c>
      <c r="AP48" s="57">
        <v>6234.9</v>
      </c>
      <c r="AQ48" s="37"/>
      <c r="AR48" s="37"/>
      <c r="AS48" s="56"/>
      <c r="AT48" s="37" t="s">
        <v>1</v>
      </c>
      <c r="AU48" s="57">
        <v>997770</v>
      </c>
      <c r="AV48" s="57">
        <v>6229.5</v>
      </c>
      <c r="AW48" s="57">
        <v>6229.5</v>
      </c>
      <c r="AX48" s="57">
        <v>6229.5</v>
      </c>
      <c r="AY48" s="57">
        <v>6229.5</v>
      </c>
      <c r="AZ48" s="57">
        <v>6229.5</v>
      </c>
      <c r="BA48" s="37"/>
      <c r="BB48" s="37"/>
      <c r="BC48" s="37"/>
      <c r="BD48" s="56"/>
      <c r="BE48" s="37" t="s">
        <v>1</v>
      </c>
      <c r="BF48" s="57">
        <v>992950</v>
      </c>
      <c r="BG48" s="57">
        <v>6199.4</v>
      </c>
      <c r="BH48" s="57">
        <v>6199.4</v>
      </c>
      <c r="BI48" s="57">
        <v>6199.4</v>
      </c>
      <c r="BJ48" s="57">
        <v>6199.4</v>
      </c>
      <c r="BK48" s="57">
        <v>6199.4</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0</v>
      </c>
      <c r="AL49" s="57">
        <v>0</v>
      </c>
      <c r="AM49" s="57">
        <v>0</v>
      </c>
      <c r="AN49" s="57">
        <v>0</v>
      </c>
      <c r="AO49" s="57">
        <v>0</v>
      </c>
      <c r="AP49" s="57">
        <v>0</v>
      </c>
      <c r="AQ49" s="37"/>
      <c r="AR49" s="37"/>
      <c r="AS49" s="56"/>
      <c r="AT49" s="37" t="s">
        <v>2</v>
      </c>
      <c r="AU49" s="57">
        <v>852.55</v>
      </c>
      <c r="AV49" s="57">
        <v>5.3228</v>
      </c>
      <c r="AW49" s="57">
        <v>5.3228</v>
      </c>
      <c r="AX49" s="57">
        <v>5.3228</v>
      </c>
      <c r="AY49" s="57">
        <v>5.3228</v>
      </c>
      <c r="AZ49" s="57">
        <v>5.3228</v>
      </c>
      <c r="BA49" s="37"/>
      <c r="BB49" s="37"/>
      <c r="BC49" s="37"/>
      <c r="BD49" s="56"/>
      <c r="BE49" s="37" t="s">
        <v>2</v>
      </c>
      <c r="BF49" s="57">
        <v>5673.9</v>
      </c>
      <c r="BG49" s="57">
        <v>35.423999999999999</v>
      </c>
      <c r="BH49" s="57">
        <v>35.423999999999999</v>
      </c>
      <c r="BI49" s="57">
        <v>35.423999999999999</v>
      </c>
      <c r="BJ49" s="57">
        <v>35.423999999999999</v>
      </c>
      <c r="BK49" s="57">
        <v>35.423999999999999</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998390</v>
      </c>
      <c r="AL50" s="57">
        <v>6132.3</v>
      </c>
      <c r="AM50" s="57">
        <v>5158.1000000000004</v>
      </c>
      <c r="AN50" s="57">
        <v>1233.8</v>
      </c>
      <c r="AO50" s="57">
        <v>18.613</v>
      </c>
      <c r="AP50" s="57">
        <v>12.333</v>
      </c>
      <c r="AQ50" s="37"/>
      <c r="AR50" s="37"/>
      <c r="AS50" s="56"/>
      <c r="AT50" s="37" t="s">
        <v>3</v>
      </c>
      <c r="AU50" s="57">
        <v>997350</v>
      </c>
      <c r="AV50" s="57">
        <v>6105.6</v>
      </c>
      <c r="AW50" s="57">
        <v>4991.3</v>
      </c>
      <c r="AX50" s="57">
        <v>731.38</v>
      </c>
      <c r="AY50" s="57">
        <v>4.9077000000000002</v>
      </c>
      <c r="AZ50" s="57">
        <v>3.8279999999999998</v>
      </c>
      <c r="BA50" s="37"/>
      <c r="BB50" s="37"/>
      <c r="BC50" s="37"/>
      <c r="BD50" s="56"/>
      <c r="BE50" s="37" t="s">
        <v>3</v>
      </c>
      <c r="BF50" s="57">
        <v>992270</v>
      </c>
      <c r="BG50" s="57">
        <v>6041</v>
      </c>
      <c r="BH50" s="57">
        <v>4680.5</v>
      </c>
      <c r="BI50" s="57">
        <v>324.83</v>
      </c>
      <c r="BJ50" s="57">
        <v>1.3673999999999999</v>
      </c>
      <c r="BK50" s="57">
        <v>1.1138999999999999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19.108000000000001</v>
      </c>
      <c r="AL52" s="57">
        <v>100.62</v>
      </c>
      <c r="AM52" s="57">
        <v>1074.7</v>
      </c>
      <c r="AN52" s="57">
        <v>4999.3</v>
      </c>
      <c r="AO52" s="57">
        <v>6214.4</v>
      </c>
      <c r="AP52" s="57">
        <v>6220.7</v>
      </c>
      <c r="AQ52" s="37"/>
      <c r="AR52" s="37"/>
      <c r="AS52" s="56"/>
      <c r="AT52" s="37" t="s">
        <v>5</v>
      </c>
      <c r="AU52" s="57">
        <v>39.503999999999998</v>
      </c>
      <c r="AV52" s="57">
        <v>120.8</v>
      </c>
      <c r="AW52" s="57">
        <v>1234.9000000000001</v>
      </c>
      <c r="AX52" s="57">
        <v>5495.2</v>
      </c>
      <c r="AY52" s="57">
        <v>6221.8</v>
      </c>
      <c r="AZ52" s="57">
        <v>6222.9</v>
      </c>
      <c r="BA52" s="37"/>
      <c r="BB52" s="37"/>
      <c r="BC52" s="37"/>
      <c r="BD52" s="56"/>
      <c r="BE52" s="37" t="s">
        <v>5</v>
      </c>
      <c r="BF52" s="57">
        <v>78.695999999999998</v>
      </c>
      <c r="BG52" s="57">
        <v>153.37</v>
      </c>
      <c r="BH52" s="57">
        <v>1513.9</v>
      </c>
      <c r="BI52" s="57">
        <v>5870.1</v>
      </c>
      <c r="BJ52" s="57">
        <v>6193.6</v>
      </c>
      <c r="BK52" s="57">
        <v>6193.8</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998630</v>
      </c>
      <c r="AL54" s="57">
        <v>6234.9</v>
      </c>
      <c r="AM54" s="57">
        <v>6234.9</v>
      </c>
      <c r="AN54" s="57">
        <v>6234.9</v>
      </c>
      <c r="AO54" s="57">
        <v>6234.9</v>
      </c>
      <c r="AP54" s="57">
        <v>6234.9</v>
      </c>
      <c r="AQ54" s="37"/>
      <c r="AR54" s="37"/>
      <c r="AS54" s="56">
        <v>1.6</v>
      </c>
      <c r="AT54" s="37" t="s">
        <v>0</v>
      </c>
      <c r="AU54" s="57">
        <v>998630</v>
      </c>
      <c r="AV54" s="57">
        <v>6234.9</v>
      </c>
      <c r="AW54" s="57">
        <v>6234.9</v>
      </c>
      <c r="AX54" s="57">
        <v>6234.9</v>
      </c>
      <c r="AY54" s="57">
        <v>6234.9</v>
      </c>
      <c r="AZ54" s="57">
        <v>6234.9</v>
      </c>
      <c r="BA54" s="37"/>
      <c r="BB54" s="37"/>
      <c r="BC54" s="37"/>
      <c r="BD54" s="56">
        <v>1.6</v>
      </c>
      <c r="BE54" s="37" t="s">
        <v>0</v>
      </c>
      <c r="BF54" s="57">
        <v>998630</v>
      </c>
      <c r="BG54" s="57">
        <v>6234.9</v>
      </c>
      <c r="BH54" s="57">
        <v>6234.9</v>
      </c>
      <c r="BI54" s="57">
        <v>6234.9</v>
      </c>
      <c r="BJ54" s="57">
        <v>6234.9</v>
      </c>
      <c r="BK54" s="57">
        <v>6234.9</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998630</v>
      </c>
      <c r="AL55" s="57">
        <v>6234.9</v>
      </c>
      <c r="AM55" s="57">
        <v>6234.9</v>
      </c>
      <c r="AN55" s="57">
        <v>6234.9</v>
      </c>
      <c r="AO55" s="57">
        <v>6234.9</v>
      </c>
      <c r="AP55" s="57">
        <v>6234.9</v>
      </c>
      <c r="AQ55" s="37"/>
      <c r="AR55" s="37"/>
      <c r="AS55" s="56"/>
      <c r="AT55" s="37" t="s">
        <v>1</v>
      </c>
      <c r="AU55" s="57">
        <v>998630</v>
      </c>
      <c r="AV55" s="57">
        <v>6234.9</v>
      </c>
      <c r="AW55" s="57">
        <v>6234.9</v>
      </c>
      <c r="AX55" s="57">
        <v>6234.9</v>
      </c>
      <c r="AY55" s="57">
        <v>6234.9</v>
      </c>
      <c r="AZ55" s="57">
        <v>6234.9</v>
      </c>
      <c r="BA55" s="37"/>
      <c r="BB55" s="37"/>
      <c r="BC55" s="37"/>
      <c r="BD55" s="56"/>
      <c r="BE55" s="37" t="s">
        <v>1</v>
      </c>
      <c r="BF55" s="57">
        <v>998450</v>
      </c>
      <c r="BG55" s="57">
        <v>6233.8</v>
      </c>
      <c r="BH55" s="57">
        <v>6233.8</v>
      </c>
      <c r="BI55" s="57">
        <v>6233.8</v>
      </c>
      <c r="BJ55" s="57">
        <v>6233.8</v>
      </c>
      <c r="BK55" s="57">
        <v>6233.8</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171.39</v>
      </c>
      <c r="BG56" s="57">
        <v>1.0701000000000001</v>
      </c>
      <c r="BH56" s="57">
        <v>1.0701000000000001</v>
      </c>
      <c r="BI56" s="57">
        <v>1.0701000000000001</v>
      </c>
      <c r="BJ56" s="57">
        <v>1.0701000000000001</v>
      </c>
      <c r="BK56" s="57">
        <v>1.0701000000000001</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998390</v>
      </c>
      <c r="AL57" s="57">
        <v>6102.5</v>
      </c>
      <c r="AM57" s="57">
        <v>4922.1000000000004</v>
      </c>
      <c r="AN57" s="57">
        <v>968.4</v>
      </c>
      <c r="AO57" s="57">
        <v>17.55</v>
      </c>
      <c r="AP57" s="57">
        <v>13.26</v>
      </c>
      <c r="AQ57" s="37"/>
      <c r="AR57" s="37"/>
      <c r="AS57" s="56"/>
      <c r="AT57" s="37" t="s">
        <v>3</v>
      </c>
      <c r="AU57" s="57">
        <v>998210</v>
      </c>
      <c r="AV57" s="57">
        <v>6076.7</v>
      </c>
      <c r="AW57" s="57">
        <v>4746.3999999999996</v>
      </c>
      <c r="AX57" s="57">
        <v>572.65</v>
      </c>
      <c r="AY57" s="57">
        <v>5.0331000000000001</v>
      </c>
      <c r="AZ57" s="57">
        <v>4.2050000000000001</v>
      </c>
      <c r="BA57" s="37"/>
      <c r="BB57" s="37"/>
      <c r="BC57" s="37"/>
      <c r="BD57" s="56"/>
      <c r="BE57" s="37" t="s">
        <v>3</v>
      </c>
      <c r="BF57" s="57">
        <v>997730</v>
      </c>
      <c r="BG57" s="57">
        <v>6028.4</v>
      </c>
      <c r="BH57" s="57">
        <v>4416.2</v>
      </c>
      <c r="BI57" s="57">
        <v>250.85</v>
      </c>
      <c r="BJ57" s="57">
        <v>1.1801999999999999</v>
      </c>
      <c r="BK57" s="57">
        <v>1.0194000000000001</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18.568999999999999</v>
      </c>
      <c r="AL59" s="57">
        <v>130.43</v>
      </c>
      <c r="AM59" s="57">
        <v>1310.8</v>
      </c>
      <c r="AN59" s="57">
        <v>5264.8</v>
      </c>
      <c r="AO59" s="57">
        <v>6215.7</v>
      </c>
      <c r="AP59" s="57">
        <v>6220</v>
      </c>
      <c r="AQ59" s="37"/>
      <c r="AR59" s="37"/>
      <c r="AS59" s="56"/>
      <c r="AT59" s="37" t="s">
        <v>5</v>
      </c>
      <c r="AU59" s="57">
        <v>38.262</v>
      </c>
      <c r="AV59" s="57">
        <v>154.97999999999999</v>
      </c>
      <c r="AW59" s="57">
        <v>1485.3</v>
      </c>
      <c r="AX59" s="57">
        <v>5659.4</v>
      </c>
      <c r="AY59" s="57">
        <v>6227</v>
      </c>
      <c r="AZ59" s="57">
        <v>6227.8</v>
      </c>
      <c r="BA59" s="37"/>
      <c r="BB59" s="37"/>
      <c r="BC59" s="37"/>
      <c r="BD59" s="56"/>
      <c r="BE59" s="37" t="s">
        <v>5</v>
      </c>
      <c r="BF59" s="57">
        <v>83.570999999999998</v>
      </c>
      <c r="BG59" s="57">
        <v>200.02</v>
      </c>
      <c r="BH59" s="57">
        <v>1812.6</v>
      </c>
      <c r="BI59" s="57">
        <v>5978.3</v>
      </c>
      <c r="BJ59" s="57">
        <v>6227.9</v>
      </c>
      <c r="BK59" s="57">
        <v>6228.1</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998630</v>
      </c>
      <c r="AL61" s="57">
        <v>6234.9</v>
      </c>
      <c r="AM61" s="57">
        <v>6234.9</v>
      </c>
      <c r="AN61" s="57">
        <v>6234.9</v>
      </c>
      <c r="AO61" s="57">
        <v>6234.9</v>
      </c>
      <c r="AP61" s="57">
        <v>6234.9</v>
      </c>
      <c r="AQ61" s="37"/>
      <c r="AR61" s="37"/>
      <c r="AS61" s="56">
        <v>2</v>
      </c>
      <c r="AT61" s="37" t="s">
        <v>0</v>
      </c>
      <c r="AU61" s="57">
        <v>998630</v>
      </c>
      <c r="AV61" s="57">
        <v>6234.9</v>
      </c>
      <c r="AW61" s="57">
        <v>6234.9</v>
      </c>
      <c r="AX61" s="57">
        <v>6234.9</v>
      </c>
      <c r="AY61" s="57">
        <v>6234.9</v>
      </c>
      <c r="AZ61" s="57">
        <v>6234.9</v>
      </c>
      <c r="BA61" s="37"/>
      <c r="BB61" s="37"/>
      <c r="BC61" s="37"/>
      <c r="BD61" s="56">
        <v>2</v>
      </c>
      <c r="BE61" s="37" t="s">
        <v>0</v>
      </c>
      <c r="BF61" s="57">
        <v>998630</v>
      </c>
      <c r="BG61" s="57">
        <v>6234.9</v>
      </c>
      <c r="BH61" s="57">
        <v>6234.9</v>
      </c>
      <c r="BI61" s="57">
        <v>6234.9</v>
      </c>
      <c r="BJ61" s="57">
        <v>6234.9</v>
      </c>
      <c r="BK61" s="57">
        <v>6234.9</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998630</v>
      </c>
      <c r="AL62" s="57">
        <v>6234.9</v>
      </c>
      <c r="AM62" s="57">
        <v>6234.9</v>
      </c>
      <c r="AN62" s="57">
        <v>6234.9</v>
      </c>
      <c r="AO62" s="57">
        <v>6234.9</v>
      </c>
      <c r="AP62" s="57">
        <v>6234.9</v>
      </c>
      <c r="AQ62" s="37"/>
      <c r="AR62" s="37"/>
      <c r="AS62" s="37"/>
      <c r="AT62" s="37" t="s">
        <v>1</v>
      </c>
      <c r="AU62" s="57">
        <v>998630</v>
      </c>
      <c r="AV62" s="57">
        <v>6234.9</v>
      </c>
      <c r="AW62" s="57">
        <v>6234.9</v>
      </c>
      <c r="AX62" s="57">
        <v>6234.9</v>
      </c>
      <c r="AY62" s="57">
        <v>6234.9</v>
      </c>
      <c r="AZ62" s="57">
        <v>6234.9</v>
      </c>
      <c r="BA62" s="37"/>
      <c r="BB62" s="37"/>
      <c r="BC62" s="37"/>
      <c r="BD62" s="37"/>
      <c r="BE62" s="37" t="s">
        <v>1</v>
      </c>
      <c r="BF62" s="57">
        <v>998630</v>
      </c>
      <c r="BG62" s="57">
        <v>6234.9</v>
      </c>
      <c r="BH62" s="57">
        <v>6234.9</v>
      </c>
      <c r="BI62" s="57">
        <v>6234.9</v>
      </c>
      <c r="BJ62" s="57">
        <v>6234.9</v>
      </c>
      <c r="BK62" s="57">
        <v>6234.9</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998390</v>
      </c>
      <c r="AL64" s="57">
        <v>6072.5</v>
      </c>
      <c r="AM64" s="57">
        <v>4704.3999999999996</v>
      </c>
      <c r="AN64" s="57">
        <v>782.59</v>
      </c>
      <c r="AO64" s="57">
        <v>16.093</v>
      </c>
      <c r="AP64" s="57">
        <v>13.179</v>
      </c>
      <c r="AQ64" s="37"/>
      <c r="AR64" s="37"/>
      <c r="AS64" s="37"/>
      <c r="AT64" s="37" t="s">
        <v>3</v>
      </c>
      <c r="AU64" s="57">
        <v>998180</v>
      </c>
      <c r="AV64" s="57">
        <v>6039.9</v>
      </c>
      <c r="AW64" s="57">
        <v>4499.6000000000004</v>
      </c>
      <c r="AX64" s="57">
        <v>446.21</v>
      </c>
      <c r="AY64" s="57">
        <v>4.4676</v>
      </c>
      <c r="AZ64" s="57">
        <v>3.8894000000000002</v>
      </c>
      <c r="BA64" s="37"/>
      <c r="BB64" s="37"/>
      <c r="BC64" s="37"/>
      <c r="BD64" s="37"/>
      <c r="BE64" s="37" t="s">
        <v>3</v>
      </c>
      <c r="BF64" s="57">
        <v>997970</v>
      </c>
      <c r="BG64" s="57">
        <v>5996.7</v>
      </c>
      <c r="BH64" s="57">
        <v>4218.7</v>
      </c>
      <c r="BI64" s="57">
        <v>207.67</v>
      </c>
      <c r="BJ64" s="57">
        <v>1.3714</v>
      </c>
      <c r="BK64" s="57">
        <v>1.2652000000000001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18.893000000000001</v>
      </c>
      <c r="AL66" s="57">
        <v>160.38</v>
      </c>
      <c r="AM66" s="57">
        <v>1528.4</v>
      </c>
      <c r="AN66" s="57">
        <v>5450.5</v>
      </c>
      <c r="AO66" s="57">
        <v>6217</v>
      </c>
      <c r="AP66" s="57">
        <v>6219.9</v>
      </c>
      <c r="AQ66" s="37"/>
      <c r="AR66" s="37"/>
      <c r="AS66" s="37"/>
      <c r="AT66" s="37" t="s">
        <v>5</v>
      </c>
      <c r="AU66" s="57">
        <v>40.598999999999997</v>
      </c>
      <c r="AV66" s="57">
        <v>191.68</v>
      </c>
      <c r="AW66" s="57">
        <v>1732.1</v>
      </c>
      <c r="AX66" s="57">
        <v>5785.7</v>
      </c>
      <c r="AY66" s="57">
        <v>6227.5</v>
      </c>
      <c r="AZ66" s="57">
        <v>6228.1</v>
      </c>
      <c r="BA66" s="37"/>
      <c r="BB66" s="37"/>
      <c r="BC66" s="37"/>
      <c r="BD66" s="37"/>
      <c r="BE66" s="37" t="s">
        <v>5</v>
      </c>
      <c r="BF66" s="57">
        <v>75.238</v>
      </c>
      <c r="BG66" s="57">
        <v>233.01</v>
      </c>
      <c r="BH66" s="57">
        <v>2011.5</v>
      </c>
      <c r="BI66" s="57">
        <v>6022.8</v>
      </c>
      <c r="BJ66" s="57">
        <v>6229.1</v>
      </c>
      <c r="BK66" s="57">
        <v>6229.2</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sheetPr codeName="Sheet8"/>
  <dimension ref="A1:BP150"/>
  <sheetViews>
    <sheetView workbookViewId="0">
      <pane xSplit="8" topLeftCell="BL1" activePane="topRight" state="frozen"/>
      <selection pane="topRight" activeCell="BN16" sqref="BN16"/>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2.2711432506887053</v>
      </c>
      <c r="E2" t="s">
        <v>119</v>
      </c>
      <c r="G2" s="103">
        <f>C2*12</f>
        <v>27.253719008264461</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989310</v>
      </c>
      <c r="N4" s="10">
        <v>100</v>
      </c>
      <c r="O4" s="2">
        <f>L5/$L$4</f>
        <v>0.18313774246697193</v>
      </c>
      <c r="P4" s="32">
        <v>2.4088999999999998E-3</v>
      </c>
      <c r="Q4" s="9">
        <f t="shared" ref="Q4:Q9" si="0">2/((P4/(N4*0.35))*3600)</f>
        <v>8.0719184874608505</v>
      </c>
      <c r="S4" s="7"/>
      <c r="T4" s="26">
        <v>100</v>
      </c>
      <c r="U4" s="4" t="s">
        <v>0</v>
      </c>
      <c r="V4" s="5">
        <v>989310</v>
      </c>
      <c r="X4" s="24">
        <v>100</v>
      </c>
      <c r="Y4" s="22">
        <f>V5/$V$4</f>
        <v>0.37164286219688469</v>
      </c>
      <c r="Z4" s="33">
        <v>8.2988999999999997E-3</v>
      </c>
      <c r="AA4" s="9">
        <f t="shared" ref="AA4:AA9" si="1">2/((Z4/(X4*0.35))*3600)</f>
        <v>2.3430146699495649</v>
      </c>
      <c r="AD4" s="26">
        <v>100</v>
      </c>
      <c r="AE4" s="4" t="s">
        <v>0</v>
      </c>
      <c r="AF4" s="5">
        <v>989310</v>
      </c>
      <c r="AH4" s="10">
        <v>100</v>
      </c>
      <c r="AI4" s="2">
        <f>AF5/$AF$4</f>
        <v>0.8136276798981108</v>
      </c>
      <c r="AJ4" s="32">
        <v>2.2620999999999999E-2</v>
      </c>
      <c r="AK4" s="9">
        <f t="shared" ref="AK4:AK9" si="2">2/((AJ4/(AH4*0.35))*3600)</f>
        <v>0.85957492791850243</v>
      </c>
      <c r="AN4" s="26">
        <v>100</v>
      </c>
      <c r="AO4" s="4" t="s">
        <v>0</v>
      </c>
      <c r="AP4" s="5">
        <v>989310</v>
      </c>
      <c r="AR4" s="10">
        <v>100</v>
      </c>
      <c r="AS4" s="2">
        <f>AP5/AP$4</f>
        <v>0.41529955221315867</v>
      </c>
      <c r="AT4" s="32">
        <v>3.2336999999999999E-3</v>
      </c>
      <c r="AU4" s="9">
        <f t="shared" ref="AU4:AU9" si="3">2/((AT4/(AR4*0.35))*3600)</f>
        <v>6.0130638106331586</v>
      </c>
      <c r="AW4" s="7"/>
      <c r="AX4" s="26">
        <v>100</v>
      </c>
      <c r="AY4" s="4" t="s">
        <v>0</v>
      </c>
      <c r="AZ4" s="5">
        <v>989310</v>
      </c>
      <c r="BB4" s="24">
        <v>100</v>
      </c>
      <c r="BC4" s="2">
        <f>AZ5/AZ$4</f>
        <v>0.64933135215453197</v>
      </c>
      <c r="BD4" s="33">
        <v>1.1032999999999999E-2</v>
      </c>
      <c r="BE4" s="9">
        <f t="shared" ref="BE4:BE9" si="4">2/((BD4/(BB4*0.35))*3600)</f>
        <v>1.7623895988801273</v>
      </c>
      <c r="BH4" s="26">
        <v>100</v>
      </c>
      <c r="BI4" s="4" t="s">
        <v>0</v>
      </c>
      <c r="BJ4" s="5">
        <v>989310</v>
      </c>
      <c r="BL4" s="10">
        <v>100</v>
      </c>
      <c r="BM4" s="2">
        <f>BJ5/BJ$4</f>
        <v>0.9332767282247223</v>
      </c>
      <c r="BN4" s="32">
        <v>2.7313E-2</v>
      </c>
      <c r="BO4" s="9">
        <f t="shared" ref="BO4:BO7" si="5">2/((BN4/(BL4*0.35))*3600)</f>
        <v>0.71191170667610459</v>
      </c>
      <c r="BP4" s="12"/>
    </row>
    <row r="5" spans="1:68">
      <c r="J5" s="26"/>
      <c r="K5" s="4" t="s">
        <v>1</v>
      </c>
      <c r="L5" s="5">
        <v>181180</v>
      </c>
      <c r="N5" s="10">
        <v>200</v>
      </c>
      <c r="O5" s="2">
        <f>L12/$L$4</f>
        <v>0.31838351982695012</v>
      </c>
      <c r="P5" s="32">
        <v>4.1913000000000002E-3</v>
      </c>
      <c r="Q5" s="9">
        <f t="shared" si="0"/>
        <v>9.2784789656881852</v>
      </c>
      <c r="S5" s="7"/>
      <c r="T5" s="26"/>
      <c r="U5" s="4" t="s">
        <v>1</v>
      </c>
      <c r="V5" s="5">
        <v>367670</v>
      </c>
      <c r="X5" s="24">
        <v>200</v>
      </c>
      <c r="Y5" s="22">
        <f>V12/$V$4</f>
        <v>0.57144878753878969</v>
      </c>
      <c r="Z5" s="33">
        <v>1.3074000000000001E-2</v>
      </c>
      <c r="AA5" s="9">
        <f t="shared" si="1"/>
        <v>2.9745211021025613</v>
      </c>
      <c r="AD5" s="26"/>
      <c r="AE5" s="4" t="s">
        <v>1</v>
      </c>
      <c r="AF5" s="5">
        <v>804930</v>
      </c>
      <c r="AH5" s="10">
        <v>200</v>
      </c>
      <c r="AI5" s="2">
        <f>AF12/$AF$4</f>
        <v>0.91375807380901841</v>
      </c>
      <c r="AJ5" s="32">
        <v>2.6515E-2</v>
      </c>
      <c r="AK5" s="9">
        <f t="shared" si="2"/>
        <v>1.4666750476669388</v>
      </c>
      <c r="AN5" s="26"/>
      <c r="AO5" s="4" t="s">
        <v>1</v>
      </c>
      <c r="AP5" s="5">
        <v>410860</v>
      </c>
      <c r="AR5" s="10">
        <v>200</v>
      </c>
      <c r="AS5" s="2">
        <f>AP12/AP$4</f>
        <v>0.63683779603966406</v>
      </c>
      <c r="AT5" s="32">
        <v>5.2649999999999997E-3</v>
      </c>
      <c r="AU5" s="9">
        <f t="shared" si="3"/>
        <v>7.386303682599979</v>
      </c>
      <c r="AW5" s="7"/>
      <c r="AX5" s="26"/>
      <c r="AY5" s="4" t="s">
        <v>1</v>
      </c>
      <c r="AZ5" s="5">
        <v>642390</v>
      </c>
      <c r="BB5" s="24">
        <v>200</v>
      </c>
      <c r="BC5" s="2">
        <f>AZ12/AZ$4</f>
        <v>0.84510416350789941</v>
      </c>
      <c r="BD5" s="33">
        <v>1.5769999999999999E-2</v>
      </c>
      <c r="BE5" s="9">
        <f t="shared" si="4"/>
        <v>2.4660043683505957</v>
      </c>
      <c r="BH5" s="26"/>
      <c r="BI5" s="4" t="s">
        <v>1</v>
      </c>
      <c r="BJ5" s="5">
        <v>923300</v>
      </c>
      <c r="BL5" s="10">
        <v>200</v>
      </c>
      <c r="BM5" s="2">
        <f>BJ12/BJ$4</f>
        <v>0.98054199391495078</v>
      </c>
      <c r="BN5" s="32">
        <v>2.9626E-2</v>
      </c>
      <c r="BO5" s="9">
        <f t="shared" si="5"/>
        <v>1.3126608009481162</v>
      </c>
      <c r="BP5" s="12"/>
    </row>
    <row r="6" spans="1:68">
      <c r="J6" s="26"/>
      <c r="K6" s="4" t="s">
        <v>2</v>
      </c>
      <c r="L6" s="5">
        <v>808130</v>
      </c>
      <c r="N6" s="10">
        <v>400</v>
      </c>
      <c r="O6" s="2">
        <f>L19/L$4</f>
        <v>0.51839160627103742</v>
      </c>
      <c r="P6" s="32">
        <v>6.9309000000000003E-3</v>
      </c>
      <c r="Q6" s="9">
        <f t="shared" si="0"/>
        <v>11.221887168733899</v>
      </c>
      <c r="S6" s="7"/>
      <c r="T6" s="26"/>
      <c r="U6" s="4" t="s">
        <v>2</v>
      </c>
      <c r="V6" s="5">
        <v>621600</v>
      </c>
      <c r="X6" s="24">
        <v>400</v>
      </c>
      <c r="Y6" s="22">
        <f>V19/$V$4</f>
        <v>0.77864370116545878</v>
      </c>
      <c r="Z6" s="33">
        <v>1.8679000000000001E-2</v>
      </c>
      <c r="AA6" s="9">
        <f t="shared" si="1"/>
        <v>4.1639155082058874</v>
      </c>
      <c r="AD6" s="26"/>
      <c r="AE6" s="4" t="s">
        <v>2</v>
      </c>
      <c r="AF6" s="5">
        <v>184380</v>
      </c>
      <c r="AH6" s="10">
        <v>400</v>
      </c>
      <c r="AI6" s="2">
        <f>AF19/$AF$4</f>
        <v>0.96932205274383154</v>
      </c>
      <c r="AJ6" s="32">
        <v>2.9083000000000001E-2</v>
      </c>
      <c r="AK6" s="9">
        <f t="shared" si="2"/>
        <v>2.6743381968083679</v>
      </c>
      <c r="AN6" s="26"/>
      <c r="AO6" s="4" t="s">
        <v>2</v>
      </c>
      <c r="AP6" s="5">
        <v>578400</v>
      </c>
      <c r="AR6" s="10">
        <v>400</v>
      </c>
      <c r="AS6" s="2">
        <f>AP19/AP$4</f>
        <v>0.84622615762501141</v>
      </c>
      <c r="AT6" s="32">
        <v>7.9926000000000007E-3</v>
      </c>
      <c r="AU6" s="9">
        <f t="shared" si="3"/>
        <v>9.7312236040559732</v>
      </c>
      <c r="AW6" s="7"/>
      <c r="AX6" s="26"/>
      <c r="AY6" s="4" t="s">
        <v>2</v>
      </c>
      <c r="AZ6" s="5">
        <v>346950</v>
      </c>
      <c r="BB6" s="24">
        <v>400</v>
      </c>
      <c r="BC6" s="2">
        <f>AZ19/AZ$4</f>
        <v>0.95111744549231281</v>
      </c>
      <c r="BD6" s="33">
        <v>2.0604000000000001E-2</v>
      </c>
      <c r="BE6" s="9">
        <f t="shared" si="4"/>
        <v>3.7748872926508334</v>
      </c>
      <c r="BH6" s="26"/>
      <c r="BI6" s="4" t="s">
        <v>2</v>
      </c>
      <c r="BJ6" s="5">
        <v>66015</v>
      </c>
      <c r="BL6" s="10">
        <v>400</v>
      </c>
      <c r="BM6" s="2">
        <f>BJ19/BJ$4</f>
        <v>0.99789752453730374</v>
      </c>
      <c r="BN6" s="32">
        <v>3.0415000000000001E-2</v>
      </c>
      <c r="BO6" s="9">
        <f t="shared" si="5"/>
        <v>2.5572177470911646</v>
      </c>
      <c r="BP6" s="12"/>
    </row>
    <row r="7" spans="1:68">
      <c r="J7" s="26"/>
      <c r="K7" s="4" t="s">
        <v>3</v>
      </c>
      <c r="L7" s="5">
        <v>180240</v>
      </c>
      <c r="N7" s="10">
        <v>600</v>
      </c>
      <c r="O7" s="2">
        <f>L26/$L$4</f>
        <v>0.64981653879976953</v>
      </c>
      <c r="P7" s="32">
        <v>9.0802000000000001E-3</v>
      </c>
      <c r="Q7" s="9">
        <f t="shared" si="0"/>
        <v>12.848468829614619</v>
      </c>
      <c r="S7" s="7"/>
      <c r="T7" s="26"/>
      <c r="U7" s="4" t="s">
        <v>3</v>
      </c>
      <c r="V7" s="5">
        <v>367310</v>
      </c>
      <c r="X7" s="24">
        <v>600</v>
      </c>
      <c r="Y7" s="22">
        <f>V26/$V$4</f>
        <v>0.86866603996724989</v>
      </c>
      <c r="Z7" s="33">
        <v>2.1864000000000001E-2</v>
      </c>
      <c r="AA7" s="9">
        <f t="shared" si="1"/>
        <v>5.3360165873887055</v>
      </c>
      <c r="AD7" s="26"/>
      <c r="AE7" s="4" t="s">
        <v>3</v>
      </c>
      <c r="AF7" s="5">
        <v>804700</v>
      </c>
      <c r="AH7" s="10">
        <v>600</v>
      </c>
      <c r="AI7" s="2">
        <f>AF26/$AF$4</f>
        <v>0.98684942030303946</v>
      </c>
      <c r="AJ7" s="32">
        <v>2.9921E-2</v>
      </c>
      <c r="AK7" s="9">
        <f t="shared" si="2"/>
        <v>3.8991566681149248</v>
      </c>
      <c r="AN7" s="26"/>
      <c r="AO7" s="4" t="s">
        <v>3</v>
      </c>
      <c r="AP7" s="5">
        <v>409200</v>
      </c>
      <c r="AR7" s="10">
        <v>600</v>
      </c>
      <c r="AS7" s="2">
        <f>AP26/AP$4</f>
        <v>0.9285158342683284</v>
      </c>
      <c r="AT7" s="32">
        <v>9.9357999999999998E-3</v>
      </c>
      <c r="AU7" s="9">
        <f t="shared" si="3"/>
        <v>11.742050631722323</v>
      </c>
      <c r="AW7" s="7"/>
      <c r="AX7" s="26"/>
      <c r="AY7" s="4" t="s">
        <v>3</v>
      </c>
      <c r="AZ7" s="5">
        <v>641920</v>
      </c>
      <c r="BB7" s="24">
        <v>600</v>
      </c>
      <c r="BC7" s="2">
        <f>AZ26/AZ$4</f>
        <v>0.98376646349475894</v>
      </c>
      <c r="BD7" s="33">
        <v>2.3220000000000001E-2</v>
      </c>
      <c r="BE7" s="9">
        <f t="shared" si="4"/>
        <v>5.024404249210451</v>
      </c>
      <c r="BH7" s="26"/>
      <c r="BI7" s="4" t="s">
        <v>3</v>
      </c>
      <c r="BJ7" s="5">
        <v>923070</v>
      </c>
      <c r="BL7" s="10">
        <v>600</v>
      </c>
      <c r="BM7" s="2">
        <f>BJ26/BJ$4</f>
        <v>1</v>
      </c>
      <c r="BN7" s="32">
        <v>3.0457000000000001E-2</v>
      </c>
      <c r="BO7" s="9">
        <f t="shared" si="5"/>
        <v>3.8305370412931889</v>
      </c>
      <c r="BP7" s="12"/>
    </row>
    <row r="8" spans="1:68">
      <c r="J8" s="26"/>
      <c r="K8" s="4" t="s">
        <v>4</v>
      </c>
      <c r="L8" s="5">
        <v>0</v>
      </c>
      <c r="N8" s="10">
        <v>800</v>
      </c>
      <c r="O8" s="2">
        <f>L33/$L$4</f>
        <v>0.74122368115150961</v>
      </c>
      <c r="P8" s="32">
        <v>1.081E-2</v>
      </c>
      <c r="Q8" s="9">
        <f t="shared" si="0"/>
        <v>14.389968136499128</v>
      </c>
      <c r="S8" s="7"/>
      <c r="T8" s="26"/>
      <c r="U8" s="4" t="s">
        <v>4</v>
      </c>
      <c r="V8" s="5">
        <v>0</v>
      </c>
      <c r="X8" s="24">
        <v>800</v>
      </c>
      <c r="Y8" s="22">
        <f>V33/$V$4</f>
        <v>0.91413207184805567</v>
      </c>
      <c r="Z8" s="33">
        <v>2.3993E-2</v>
      </c>
      <c r="AA8" s="9">
        <f t="shared" si="1"/>
        <v>6.4833724651171405</v>
      </c>
      <c r="AD8" s="26"/>
      <c r="AE8" s="4" t="s">
        <v>4</v>
      </c>
      <c r="AF8" s="5">
        <v>0</v>
      </c>
      <c r="AH8" s="10">
        <v>800</v>
      </c>
      <c r="AI8" s="2">
        <f>AF33/$AF$4</f>
        <v>0.99408678776116688</v>
      </c>
      <c r="AJ8" s="32">
        <v>3.0238999999999999E-2</v>
      </c>
      <c r="AK8" s="9">
        <f t="shared" si="2"/>
        <v>5.1442030343449048</v>
      </c>
      <c r="AN8" s="26"/>
      <c r="AO8" s="4" t="s">
        <v>4</v>
      </c>
      <c r="AP8" s="5">
        <v>0</v>
      </c>
      <c r="AR8" s="10">
        <v>800</v>
      </c>
      <c r="AS8" s="2">
        <f>AP33/AP$4</f>
        <v>0.96172079530177601</v>
      </c>
      <c r="AT8" s="32">
        <v>1.1518E-2</v>
      </c>
      <c r="AU8" s="9">
        <f t="shared" si="3"/>
        <v>13.505431112654589</v>
      </c>
      <c r="AW8" s="7"/>
      <c r="AX8" s="26"/>
      <c r="AY8" s="4" t="s">
        <v>4</v>
      </c>
      <c r="AZ8" s="5">
        <v>0</v>
      </c>
      <c r="BB8" s="24">
        <v>800</v>
      </c>
      <c r="BC8" s="2">
        <f>AZ33/AZ$4</f>
        <v>0.99490554022500532</v>
      </c>
      <c r="BD8" s="33">
        <v>2.4872999999999999E-2</v>
      </c>
      <c r="BE8" s="9">
        <f t="shared" si="4"/>
        <v>6.2539925041432696</v>
      </c>
      <c r="BH8" s="26"/>
      <c r="BI8" s="4" t="s">
        <v>4</v>
      </c>
      <c r="BJ8" s="5">
        <v>0</v>
      </c>
      <c r="BL8" s="10">
        <v>800</v>
      </c>
      <c r="BM8" s="2">
        <f>BJ33/BJ$4</f>
        <v>1</v>
      </c>
      <c r="BN8" s="32">
        <v>3.0443999999999999E-2</v>
      </c>
      <c r="BO8" s="9">
        <f>2/((BN8/(BL8*0.35))*3600)</f>
        <v>5.109563643264865</v>
      </c>
      <c r="BP8" s="12"/>
    </row>
    <row r="9" spans="1:68">
      <c r="J9" s="26"/>
      <c r="K9" s="4" t="s">
        <v>5</v>
      </c>
      <c r="L9" s="5">
        <v>99.998000000000005</v>
      </c>
      <c r="M9" s="1"/>
      <c r="N9" s="10">
        <v>1000</v>
      </c>
      <c r="O9" s="2">
        <f>L40/$L$4</f>
        <v>0.80834116707604287</v>
      </c>
      <c r="P9" s="32">
        <v>1.2293E-2</v>
      </c>
      <c r="Q9" s="9">
        <f t="shared" si="0"/>
        <v>15.817493243670741</v>
      </c>
      <c r="S9" s="7"/>
      <c r="T9" s="26"/>
      <c r="U9" s="4" t="s">
        <v>5</v>
      </c>
      <c r="V9" s="5">
        <v>41.593000000000004</v>
      </c>
      <c r="W9" s="1"/>
      <c r="X9" s="24">
        <v>1000</v>
      </c>
      <c r="Y9" s="22">
        <f>V40/$V$4</f>
        <v>0.94351618805025728</v>
      </c>
      <c r="Z9" s="33">
        <v>2.5396999999999999E-2</v>
      </c>
      <c r="AA9" s="9">
        <f t="shared" si="1"/>
        <v>7.656197363643126</v>
      </c>
      <c r="AD9" s="26"/>
      <c r="AE9" s="4" t="s">
        <v>5</v>
      </c>
      <c r="AF9" s="5">
        <v>7.8826999999999994E-2</v>
      </c>
      <c r="AG9" s="1"/>
      <c r="AH9" s="10">
        <v>1000</v>
      </c>
      <c r="AI9" s="2">
        <f>AF40/$AF$4</f>
        <v>0.9972607170654294</v>
      </c>
      <c r="AJ9" s="32">
        <v>3.0346999999999999E-2</v>
      </c>
      <c r="AK9" s="9">
        <f t="shared" si="2"/>
        <v>6.4073695734156404</v>
      </c>
      <c r="AN9" s="26"/>
      <c r="AO9" s="4" t="s">
        <v>5</v>
      </c>
      <c r="AP9" s="5">
        <v>400</v>
      </c>
      <c r="AQ9" s="1"/>
      <c r="AR9" s="10">
        <v>1000</v>
      </c>
      <c r="AS9" s="2">
        <f>AP40/AP$4</f>
        <v>0.97711536323296033</v>
      </c>
      <c r="AT9" s="32">
        <v>1.282E-2</v>
      </c>
      <c r="AU9" s="9">
        <f t="shared" si="3"/>
        <v>15.167273357600971</v>
      </c>
      <c r="AW9" s="7"/>
      <c r="AX9" s="26"/>
      <c r="AY9" s="4" t="s">
        <v>5</v>
      </c>
      <c r="AZ9" s="5">
        <v>41.593000000000004</v>
      </c>
      <c r="BA9" s="1"/>
      <c r="BB9" s="24">
        <v>1000</v>
      </c>
      <c r="BC9" s="2">
        <f>AZ40/AZ$4</f>
        <v>0.99864552061537837</v>
      </c>
      <c r="BD9" s="33">
        <v>2.5985000000000001E-2</v>
      </c>
      <c r="BE9" s="9">
        <f t="shared" si="4"/>
        <v>7.4829495649199318</v>
      </c>
      <c r="BH9" s="26"/>
      <c r="BI9" s="4" t="s">
        <v>5</v>
      </c>
      <c r="BJ9" s="5">
        <v>7.8826999999999994E-2</v>
      </c>
      <c r="BK9" s="1"/>
      <c r="BL9" s="10">
        <v>1000</v>
      </c>
      <c r="BM9" s="2">
        <f>BJ40/BJ$4</f>
        <v>1</v>
      </c>
      <c r="BN9" s="32">
        <v>3.0433000000000002E-2</v>
      </c>
      <c r="BO9" s="9">
        <f t="shared" ref="BO9" si="6">2/((BN9/(BL9*0.35))*3600)</f>
        <v>6.3892631171571788</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989310</v>
      </c>
      <c r="S11" s="7"/>
      <c r="T11" s="26">
        <v>200</v>
      </c>
      <c r="U11" s="4" t="s">
        <v>0</v>
      </c>
      <c r="V11" s="5">
        <v>989310</v>
      </c>
      <c r="AD11" s="26">
        <v>200</v>
      </c>
      <c r="AE11" s="4" t="s">
        <v>0</v>
      </c>
      <c r="AF11" s="5">
        <v>989310</v>
      </c>
      <c r="AN11" s="26">
        <v>200</v>
      </c>
      <c r="AO11" s="4" t="s">
        <v>0</v>
      </c>
      <c r="AP11" s="5">
        <v>989310</v>
      </c>
      <c r="AW11" s="7"/>
      <c r="AX11" s="26">
        <v>200</v>
      </c>
      <c r="AY11" s="4" t="s">
        <v>0</v>
      </c>
      <c r="AZ11" s="5">
        <v>989310</v>
      </c>
      <c r="BH11" s="26">
        <v>200</v>
      </c>
      <c r="BI11" s="4" t="s">
        <v>0</v>
      </c>
      <c r="BJ11" s="5">
        <v>989310</v>
      </c>
      <c r="BP11" s="12"/>
    </row>
    <row r="12" spans="1:68">
      <c r="J12" s="26"/>
      <c r="K12" s="4" t="s">
        <v>1</v>
      </c>
      <c r="L12" s="5">
        <v>314980</v>
      </c>
      <c r="S12" s="7"/>
      <c r="T12" s="26"/>
      <c r="U12" s="4" t="s">
        <v>1</v>
      </c>
      <c r="V12" s="5">
        <v>565340</v>
      </c>
      <c r="AD12" s="26"/>
      <c r="AE12" s="4" t="s">
        <v>1</v>
      </c>
      <c r="AF12" s="5">
        <v>903990</v>
      </c>
      <c r="AN12" s="26"/>
      <c r="AO12" s="4" t="s">
        <v>1</v>
      </c>
      <c r="AP12" s="5">
        <v>630030</v>
      </c>
      <c r="AW12" s="7"/>
      <c r="AX12" s="26"/>
      <c r="AY12" s="4" t="s">
        <v>1</v>
      </c>
      <c r="AZ12" s="5">
        <v>836070</v>
      </c>
      <c r="BH12" s="26"/>
      <c r="BI12" s="4" t="s">
        <v>1</v>
      </c>
      <c r="BJ12" s="5">
        <v>970060</v>
      </c>
      <c r="BP12" s="12"/>
    </row>
    <row r="13" spans="1:68">
      <c r="J13" s="26"/>
      <c r="K13" s="4" t="s">
        <v>2</v>
      </c>
      <c r="L13" s="5">
        <v>674340</v>
      </c>
      <c r="T13" s="26"/>
      <c r="U13" s="4" t="s">
        <v>2</v>
      </c>
      <c r="V13" s="5">
        <v>423960</v>
      </c>
      <c r="AD13" s="26"/>
      <c r="AE13" s="4" t="s">
        <v>2</v>
      </c>
      <c r="AF13" s="5">
        <v>85319</v>
      </c>
      <c r="AN13" s="26"/>
      <c r="AO13" s="4" t="s">
        <v>2</v>
      </c>
      <c r="AP13" s="5">
        <v>359360</v>
      </c>
      <c r="AX13" s="26"/>
      <c r="AY13" s="4" t="s">
        <v>2</v>
      </c>
      <c r="AZ13" s="5">
        <v>153230</v>
      </c>
      <c r="BH13" s="26"/>
      <c r="BI13" s="4" t="s">
        <v>2</v>
      </c>
      <c r="BJ13" s="5">
        <v>19249</v>
      </c>
    </row>
    <row r="14" spans="1:68">
      <c r="J14" s="26"/>
      <c r="K14" s="4" t="s">
        <v>3</v>
      </c>
      <c r="L14" s="5">
        <v>313280</v>
      </c>
      <c r="T14" s="26"/>
      <c r="U14" s="4" t="s">
        <v>3</v>
      </c>
      <c r="V14" s="5">
        <v>564740</v>
      </c>
      <c r="AD14" s="26"/>
      <c r="AE14" s="4" t="s">
        <v>3</v>
      </c>
      <c r="AF14" s="5">
        <v>903570</v>
      </c>
      <c r="AN14" s="26"/>
      <c r="AO14" s="4" t="s">
        <v>3</v>
      </c>
      <c r="AP14" s="5">
        <v>627470</v>
      </c>
      <c r="AX14" s="26"/>
      <c r="AY14" s="4" t="s">
        <v>3</v>
      </c>
      <c r="AZ14" s="5">
        <v>835380</v>
      </c>
      <c r="BH14" s="26"/>
      <c r="BI14" s="4" t="s">
        <v>3</v>
      </c>
      <c r="BJ14" s="5">
        <v>969630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200</v>
      </c>
      <c r="T16" s="26"/>
      <c r="U16" s="4" t="s">
        <v>5</v>
      </c>
      <c r="V16" s="5">
        <v>3.5270999999999999</v>
      </c>
      <c r="AD16" s="26"/>
      <c r="AE16" s="4" t="s">
        <v>5</v>
      </c>
      <c r="AF16" s="5">
        <v>7.6498999999999998E-2</v>
      </c>
      <c r="AN16" s="26"/>
      <c r="AO16" s="4" t="s">
        <v>5</v>
      </c>
      <c r="AP16" s="5">
        <v>524.22</v>
      </c>
      <c r="AX16" s="26"/>
      <c r="AY16" s="4" t="s">
        <v>5</v>
      </c>
      <c r="AZ16" s="5">
        <v>3.5270999999999999</v>
      </c>
      <c r="BH16" s="26"/>
      <c r="BI16" s="4" t="s">
        <v>5</v>
      </c>
      <c r="BJ16" s="5">
        <v>7.6498999999999998E-2</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989310</v>
      </c>
      <c r="T18" s="26">
        <v>400</v>
      </c>
      <c r="U18" s="4" t="s">
        <v>0</v>
      </c>
      <c r="V18" s="5">
        <v>989310</v>
      </c>
      <c r="AD18" s="26">
        <v>400</v>
      </c>
      <c r="AE18" s="4" t="s">
        <v>0</v>
      </c>
      <c r="AF18" s="5">
        <v>989310</v>
      </c>
      <c r="AN18" s="26">
        <v>400</v>
      </c>
      <c r="AO18" s="4" t="s">
        <v>0</v>
      </c>
      <c r="AP18" s="5">
        <v>989310</v>
      </c>
      <c r="AX18" s="26">
        <v>400</v>
      </c>
      <c r="AY18" s="4" t="s">
        <v>0</v>
      </c>
      <c r="AZ18" s="5">
        <v>989310</v>
      </c>
      <c r="BH18" s="26">
        <v>400</v>
      </c>
      <c r="BI18" s="4" t="s">
        <v>0</v>
      </c>
      <c r="BJ18" s="5">
        <v>989310</v>
      </c>
    </row>
    <row r="19" spans="1:62">
      <c r="J19" s="26"/>
      <c r="K19" s="4" t="s">
        <v>1</v>
      </c>
      <c r="L19" s="5">
        <v>512850</v>
      </c>
      <c r="T19" s="26"/>
      <c r="U19" s="4" t="s">
        <v>1</v>
      </c>
      <c r="V19" s="5">
        <v>770320</v>
      </c>
      <c r="AD19" s="26"/>
      <c r="AE19" s="4" t="s">
        <v>1</v>
      </c>
      <c r="AF19" s="5">
        <v>958960</v>
      </c>
      <c r="AN19" s="26"/>
      <c r="AO19" s="4" t="s">
        <v>1</v>
      </c>
      <c r="AP19" s="5">
        <v>837180</v>
      </c>
      <c r="AX19" s="26"/>
      <c r="AY19" s="4" t="s">
        <v>1</v>
      </c>
      <c r="AZ19" s="5">
        <v>940950</v>
      </c>
      <c r="BH19" s="26"/>
      <c r="BI19" s="4" t="s">
        <v>1</v>
      </c>
      <c r="BJ19" s="5">
        <v>987230</v>
      </c>
    </row>
    <row r="20" spans="1:62">
      <c r="J20" s="26"/>
      <c r="K20" s="4" t="s">
        <v>2</v>
      </c>
      <c r="L20" s="5">
        <v>476500</v>
      </c>
      <c r="T20" s="26"/>
      <c r="U20" s="4" t="s">
        <v>2</v>
      </c>
      <c r="V20" s="5">
        <v>218980</v>
      </c>
      <c r="AD20" s="26"/>
      <c r="AE20" s="4" t="s">
        <v>2</v>
      </c>
      <c r="AF20" s="5">
        <v>30348</v>
      </c>
      <c r="AN20" s="26"/>
      <c r="AO20" s="4" t="s">
        <v>2</v>
      </c>
      <c r="AP20" s="5">
        <v>152160</v>
      </c>
      <c r="AX20" s="26"/>
      <c r="AY20" s="4" t="s">
        <v>2</v>
      </c>
      <c r="AZ20" s="5">
        <v>48365</v>
      </c>
      <c r="BH20" s="26"/>
      <c r="BI20" s="4" t="s">
        <v>2</v>
      </c>
      <c r="BJ20" s="5">
        <v>2078.5</v>
      </c>
    </row>
    <row r="21" spans="1:62">
      <c r="J21" s="26"/>
      <c r="K21" s="4" t="s">
        <v>3</v>
      </c>
      <c r="L21" s="5">
        <v>510110</v>
      </c>
      <c r="T21" s="26"/>
      <c r="U21" s="4" t="s">
        <v>3</v>
      </c>
      <c r="V21" s="5">
        <v>769240</v>
      </c>
      <c r="AD21" s="26"/>
      <c r="AE21" s="4" t="s">
        <v>3</v>
      </c>
      <c r="AF21" s="5">
        <v>958130</v>
      </c>
      <c r="AN21" s="26"/>
      <c r="AO21" s="4" t="s">
        <v>3</v>
      </c>
      <c r="AP21" s="5">
        <v>833870</v>
      </c>
      <c r="AX21" s="26"/>
      <c r="AY21" s="4" t="s">
        <v>3</v>
      </c>
      <c r="AZ21" s="5">
        <v>939810</v>
      </c>
      <c r="BH21" s="26"/>
      <c r="BI21" s="4" t="s">
        <v>3</v>
      </c>
      <c r="BJ21" s="5">
        <v>986400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235.45</v>
      </c>
      <c r="T23" s="26"/>
      <c r="U23" s="4" t="s">
        <v>5</v>
      </c>
      <c r="V23" s="5">
        <v>1.0285</v>
      </c>
      <c r="AD23" s="26"/>
      <c r="AE23" s="4" t="s">
        <v>5</v>
      </c>
      <c r="AF23" s="5">
        <v>7.1828000000000003E-2</v>
      </c>
      <c r="AN23" s="26"/>
      <c r="AO23" s="4" t="s">
        <v>5</v>
      </c>
      <c r="AP23" s="5">
        <v>235.45</v>
      </c>
      <c r="AX23" s="26"/>
      <c r="AY23" s="4" t="s">
        <v>5</v>
      </c>
      <c r="AZ23" s="5">
        <v>1.0285</v>
      </c>
      <c r="BH23" s="26"/>
      <c r="BI23" s="4" t="s">
        <v>5</v>
      </c>
      <c r="BJ23" s="5">
        <v>7.1828000000000003E-2</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989310</v>
      </c>
      <c r="T25" s="26">
        <v>600</v>
      </c>
      <c r="U25" s="4" t="s">
        <v>0</v>
      </c>
      <c r="V25" s="5">
        <v>989310</v>
      </c>
      <c r="AD25" s="26">
        <v>600</v>
      </c>
      <c r="AE25" s="4" t="s">
        <v>0</v>
      </c>
      <c r="AF25" s="5">
        <v>989310</v>
      </c>
      <c r="AN25" s="26">
        <v>600</v>
      </c>
      <c r="AO25" s="4" t="s">
        <v>0</v>
      </c>
      <c r="AP25" s="5">
        <v>989310</v>
      </c>
      <c r="AX25" s="26">
        <v>600</v>
      </c>
      <c r="AY25" s="4" t="s">
        <v>0</v>
      </c>
      <c r="AZ25" s="5">
        <v>989310</v>
      </c>
      <c r="BH25" s="26">
        <v>600</v>
      </c>
      <c r="BI25" s="4" t="s">
        <v>0</v>
      </c>
      <c r="BJ25" s="5">
        <v>989310</v>
      </c>
    </row>
    <row r="26" spans="1:62">
      <c r="J26" s="26"/>
      <c r="K26" s="4" t="s">
        <v>1</v>
      </c>
      <c r="L26" s="5">
        <v>642870</v>
      </c>
      <c r="T26" s="26"/>
      <c r="U26" s="4" t="s">
        <v>1</v>
      </c>
      <c r="V26" s="5">
        <v>859380</v>
      </c>
      <c r="AD26" s="26"/>
      <c r="AE26" s="4" t="s">
        <v>1</v>
      </c>
      <c r="AF26" s="5">
        <v>976300</v>
      </c>
      <c r="AN26" s="26"/>
      <c r="AO26" s="4" t="s">
        <v>1</v>
      </c>
      <c r="AP26" s="5">
        <v>918590</v>
      </c>
      <c r="AX26" s="26"/>
      <c r="AY26" s="4" t="s">
        <v>1</v>
      </c>
      <c r="AZ26" s="5">
        <v>973250</v>
      </c>
      <c r="BH26" s="26"/>
      <c r="BI26" s="4" t="s">
        <v>1</v>
      </c>
      <c r="BJ26" s="5">
        <v>989310</v>
      </c>
    </row>
    <row r="27" spans="1:62">
      <c r="A27" s="120" t="s">
        <v>145</v>
      </c>
      <c r="J27" s="26"/>
      <c r="K27" s="4" t="s">
        <v>2</v>
      </c>
      <c r="L27" s="5">
        <v>346420</v>
      </c>
      <c r="T27" s="26"/>
      <c r="U27" s="4" t="s">
        <v>2</v>
      </c>
      <c r="V27" s="5">
        <v>129940</v>
      </c>
      <c r="AD27" s="26"/>
      <c r="AE27" s="4" t="s">
        <v>2</v>
      </c>
      <c r="AF27" s="5">
        <v>13016</v>
      </c>
      <c r="AN27" s="26"/>
      <c r="AO27" s="4" t="s">
        <v>2</v>
      </c>
      <c r="AP27" s="5">
        <v>70721</v>
      </c>
      <c r="AX27" s="26"/>
      <c r="AY27" s="4" t="s">
        <v>2</v>
      </c>
      <c r="AZ27" s="5">
        <v>16056</v>
      </c>
      <c r="BH27" s="26"/>
      <c r="BI27" s="4" t="s">
        <v>2</v>
      </c>
      <c r="BJ27" s="5">
        <v>0</v>
      </c>
    </row>
    <row r="28" spans="1:62">
      <c r="A28" s="199" t="str">
        <f>AH3</f>
        <v>Filter Area (ft2)</v>
      </c>
      <c r="B28" s="200" t="s">
        <v>11</v>
      </c>
      <c r="C28" s="200"/>
      <c r="D28" s="200"/>
      <c r="E28" s="200" t="s">
        <v>12</v>
      </c>
      <c r="F28" s="200"/>
      <c r="G28" s="200"/>
      <c r="H28" s="6"/>
      <c r="J28" s="26"/>
      <c r="K28" s="4" t="s">
        <v>3</v>
      </c>
      <c r="L28" s="5">
        <v>639740</v>
      </c>
      <c r="T28" s="26"/>
      <c r="U28" s="4" t="s">
        <v>3</v>
      </c>
      <c r="V28" s="5">
        <v>857860</v>
      </c>
      <c r="AD28" s="26"/>
      <c r="AE28" s="4" t="s">
        <v>3</v>
      </c>
      <c r="AF28" s="5">
        <v>975100</v>
      </c>
      <c r="AN28" s="26"/>
      <c r="AO28" s="4" t="s">
        <v>3</v>
      </c>
      <c r="AP28" s="5">
        <v>914780</v>
      </c>
      <c r="AX28" s="26"/>
      <c r="AY28" s="4" t="s">
        <v>3</v>
      </c>
      <c r="AZ28" s="5">
        <v>971700</v>
      </c>
      <c r="BH28" s="26"/>
      <c r="BI28" s="4" t="s">
        <v>3</v>
      </c>
      <c r="BJ28" s="5">
        <v>988110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0.18313774246697193</v>
      </c>
      <c r="C30" s="2">
        <f t="shared" ref="C30:C35" si="8">Y4</f>
        <v>0.37164286219688469</v>
      </c>
      <c r="D30" s="2">
        <f t="shared" ref="D30:D35" si="9">AI4</f>
        <v>0.8136276798981108</v>
      </c>
      <c r="E30" s="11">
        <f t="shared" ref="E30:E35" si="10">Q4</f>
        <v>8.0719184874608505</v>
      </c>
      <c r="F30" s="11">
        <f t="shared" ref="F30:F35" si="11">AA4</f>
        <v>2.3430146699495649</v>
      </c>
      <c r="G30" s="9">
        <f t="shared" ref="G30:G35" si="12">AK4</f>
        <v>0.85957492791850243</v>
      </c>
      <c r="H30" s="12"/>
      <c r="J30" s="26"/>
      <c r="K30" s="4" t="s">
        <v>5</v>
      </c>
      <c r="L30" s="5">
        <v>40.225999999999999</v>
      </c>
      <c r="T30" s="26"/>
      <c r="U30" s="4" t="s">
        <v>5</v>
      </c>
      <c r="V30" s="5">
        <v>1.0214000000000001</v>
      </c>
      <c r="AD30" s="26"/>
      <c r="AE30" s="4" t="s">
        <v>5</v>
      </c>
      <c r="AF30" s="5">
        <v>6.7176E-2</v>
      </c>
      <c r="AN30" s="26"/>
      <c r="AO30" s="4" t="s">
        <v>5</v>
      </c>
      <c r="AP30" s="5">
        <v>40.225999999999999</v>
      </c>
      <c r="AX30" s="26"/>
      <c r="AY30" s="4" t="s">
        <v>5</v>
      </c>
      <c r="AZ30" s="5">
        <v>1.0214000000000001</v>
      </c>
      <c r="BH30" s="26"/>
      <c r="BI30" s="4" t="s">
        <v>5</v>
      </c>
      <c r="BJ30" s="5">
        <v>6.7176E-2</v>
      </c>
    </row>
    <row r="31" spans="1:62">
      <c r="A31" s="10">
        <v>200</v>
      </c>
      <c r="B31" s="2">
        <f t="shared" si="7"/>
        <v>0.31838351982695012</v>
      </c>
      <c r="C31" s="2">
        <f t="shared" si="8"/>
        <v>0.57144878753878969</v>
      </c>
      <c r="D31" s="2">
        <f t="shared" si="9"/>
        <v>0.91375807380901841</v>
      </c>
      <c r="E31" s="11">
        <f t="shared" si="10"/>
        <v>9.2784789656881852</v>
      </c>
      <c r="F31" s="11">
        <f t="shared" si="11"/>
        <v>2.9745211021025613</v>
      </c>
      <c r="G31" s="9">
        <f t="shared" si="12"/>
        <v>1.4666750476669388</v>
      </c>
      <c r="H31" s="12"/>
      <c r="J31" s="26"/>
      <c r="K31" s="4"/>
      <c r="L31" s="4"/>
      <c r="T31" s="26"/>
      <c r="U31" s="4"/>
      <c r="V31" s="4"/>
      <c r="AD31" s="26"/>
      <c r="AE31" s="4"/>
      <c r="AF31" s="4"/>
      <c r="AN31" s="26"/>
      <c r="AO31" s="4"/>
      <c r="AP31" s="4"/>
      <c r="AX31" s="26"/>
      <c r="AY31" s="4"/>
      <c r="AZ31" s="4"/>
      <c r="BH31" s="26"/>
      <c r="BI31" s="4"/>
      <c r="BJ31" s="4"/>
    </row>
    <row r="32" spans="1:62">
      <c r="A32" s="10">
        <v>400</v>
      </c>
      <c r="B32" s="2">
        <f t="shared" si="7"/>
        <v>0.51839160627103742</v>
      </c>
      <c r="C32" s="2">
        <f t="shared" si="8"/>
        <v>0.77864370116545878</v>
      </c>
      <c r="D32" s="2">
        <f t="shared" si="9"/>
        <v>0.96932205274383154</v>
      </c>
      <c r="E32" s="11">
        <f t="shared" si="10"/>
        <v>11.221887168733899</v>
      </c>
      <c r="F32" s="11">
        <f t="shared" si="11"/>
        <v>4.1639155082058874</v>
      </c>
      <c r="G32" s="9">
        <f t="shared" si="12"/>
        <v>2.6743381968083679</v>
      </c>
      <c r="H32" s="12"/>
      <c r="J32" s="26">
        <v>800</v>
      </c>
      <c r="K32" s="4" t="s">
        <v>0</v>
      </c>
      <c r="L32" s="5">
        <v>989310</v>
      </c>
      <c r="T32" s="26">
        <v>800</v>
      </c>
      <c r="U32" s="4" t="s">
        <v>0</v>
      </c>
      <c r="V32" s="5">
        <v>989310</v>
      </c>
      <c r="AD32" s="26">
        <v>800</v>
      </c>
      <c r="AE32" s="4" t="s">
        <v>0</v>
      </c>
      <c r="AF32" s="5">
        <v>989310</v>
      </c>
      <c r="AN32" s="26">
        <v>800</v>
      </c>
      <c r="AO32" s="4" t="s">
        <v>0</v>
      </c>
      <c r="AP32" s="5">
        <v>989310</v>
      </c>
      <c r="AX32" s="26">
        <v>800</v>
      </c>
      <c r="AY32" s="4" t="s">
        <v>0</v>
      </c>
      <c r="AZ32" s="5">
        <v>989310</v>
      </c>
      <c r="BH32" s="26">
        <v>800</v>
      </c>
      <c r="BI32" s="4" t="s">
        <v>0</v>
      </c>
      <c r="BJ32" s="5">
        <v>989310</v>
      </c>
    </row>
    <row r="33" spans="1:62">
      <c r="A33" s="10">
        <v>600</v>
      </c>
      <c r="B33" s="2">
        <f t="shared" si="7"/>
        <v>0.64981653879976953</v>
      </c>
      <c r="C33" s="2">
        <f t="shared" si="8"/>
        <v>0.86866603996724989</v>
      </c>
      <c r="D33" s="2">
        <f t="shared" si="9"/>
        <v>0.98684942030303946</v>
      </c>
      <c r="E33" s="11">
        <f t="shared" si="10"/>
        <v>12.848468829614619</v>
      </c>
      <c r="F33" s="11">
        <f t="shared" si="11"/>
        <v>5.3360165873887055</v>
      </c>
      <c r="G33" s="9">
        <f t="shared" si="12"/>
        <v>3.8991566681149248</v>
      </c>
      <c r="H33" s="12"/>
      <c r="J33" s="26"/>
      <c r="K33" s="4" t="s">
        <v>1</v>
      </c>
      <c r="L33" s="5">
        <v>733300</v>
      </c>
      <c r="T33" s="26"/>
      <c r="U33" s="4" t="s">
        <v>1</v>
      </c>
      <c r="V33" s="5">
        <v>904360</v>
      </c>
      <c r="AD33" s="26"/>
      <c r="AE33" s="4" t="s">
        <v>1</v>
      </c>
      <c r="AF33" s="5">
        <v>983460</v>
      </c>
      <c r="AN33" s="26"/>
      <c r="AO33" s="4" t="s">
        <v>1</v>
      </c>
      <c r="AP33" s="5">
        <v>951440</v>
      </c>
      <c r="AX33" s="26"/>
      <c r="AY33" s="4" t="s">
        <v>1</v>
      </c>
      <c r="AZ33" s="5">
        <v>984270</v>
      </c>
      <c r="BH33" s="26"/>
      <c r="BI33" s="4" t="s">
        <v>1</v>
      </c>
      <c r="BJ33" s="5">
        <v>989310</v>
      </c>
    </row>
    <row r="34" spans="1:62">
      <c r="A34" s="10">
        <v>800</v>
      </c>
      <c r="B34" s="2">
        <f t="shared" si="7"/>
        <v>0.74122368115150961</v>
      </c>
      <c r="C34" s="2">
        <f t="shared" si="8"/>
        <v>0.91413207184805567</v>
      </c>
      <c r="D34" s="2">
        <f t="shared" si="9"/>
        <v>0.99408678776116688</v>
      </c>
      <c r="E34" s="11">
        <f t="shared" si="10"/>
        <v>14.389968136499128</v>
      </c>
      <c r="F34" s="11">
        <f t="shared" si="11"/>
        <v>6.4833724651171405</v>
      </c>
      <c r="G34" s="9">
        <f t="shared" si="12"/>
        <v>5.1442030343449048</v>
      </c>
      <c r="H34" s="12"/>
      <c r="J34" s="26"/>
      <c r="K34" s="4" t="s">
        <v>2</v>
      </c>
      <c r="L34" s="5">
        <v>256020</v>
      </c>
      <c r="T34" s="26"/>
      <c r="U34" s="4" t="s">
        <v>2</v>
      </c>
      <c r="V34" s="5">
        <v>84946</v>
      </c>
      <c r="AD34" s="26"/>
      <c r="AE34" s="4" t="s">
        <v>2</v>
      </c>
      <c r="AF34" s="5">
        <v>5848.1</v>
      </c>
      <c r="AN34" s="26"/>
      <c r="AO34" s="4" t="s">
        <v>2</v>
      </c>
      <c r="AP34" s="5">
        <v>37867</v>
      </c>
      <c r="AX34" s="26"/>
      <c r="AY34" s="4" t="s">
        <v>2</v>
      </c>
      <c r="AZ34" s="5">
        <v>5039.7</v>
      </c>
      <c r="BH34" s="26"/>
      <c r="BI34" s="4" t="s">
        <v>2</v>
      </c>
      <c r="BJ34" s="5">
        <v>0</v>
      </c>
    </row>
    <row r="35" spans="1:62">
      <c r="A35" s="10">
        <v>1000</v>
      </c>
      <c r="B35" s="2">
        <f t="shared" si="7"/>
        <v>0.80834116707604287</v>
      </c>
      <c r="C35" s="2">
        <f t="shared" si="8"/>
        <v>0.94351618805025728</v>
      </c>
      <c r="D35" s="2">
        <f t="shared" si="9"/>
        <v>0.9972607170654294</v>
      </c>
      <c r="E35" s="11">
        <f t="shared" si="10"/>
        <v>15.817493243670741</v>
      </c>
      <c r="F35" s="11">
        <f t="shared" si="11"/>
        <v>7.656197363643126</v>
      </c>
      <c r="G35" s="9">
        <f t="shared" si="12"/>
        <v>6.4073695734156404</v>
      </c>
      <c r="H35" s="12"/>
      <c r="J35" s="26"/>
      <c r="K35" s="4" t="s">
        <v>3</v>
      </c>
      <c r="L35" s="5">
        <v>729400</v>
      </c>
      <c r="T35" s="26"/>
      <c r="U35" s="4" t="s">
        <v>3</v>
      </c>
      <c r="V35" s="5">
        <v>902410</v>
      </c>
      <c r="AD35" s="26"/>
      <c r="AE35" s="4" t="s">
        <v>3</v>
      </c>
      <c r="AF35" s="5">
        <v>981910</v>
      </c>
      <c r="AN35" s="26"/>
      <c r="AO35" s="4" t="s">
        <v>3</v>
      </c>
      <c r="AP35" s="5">
        <v>947070</v>
      </c>
      <c r="AX35" s="26"/>
      <c r="AY35" s="4" t="s">
        <v>3</v>
      </c>
      <c r="AZ35" s="5">
        <v>982270</v>
      </c>
      <c r="BH35" s="26"/>
      <c r="BI35" s="4" t="s">
        <v>3</v>
      </c>
      <c r="BJ35" s="5">
        <v>987760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16.614999999999998</v>
      </c>
      <c r="T37" s="26"/>
      <c r="U37" s="4" t="s">
        <v>5</v>
      </c>
      <c r="V37" s="5">
        <v>1.0148999999999999</v>
      </c>
      <c r="AD37" s="26"/>
      <c r="AE37" s="4" t="s">
        <v>5</v>
      </c>
      <c r="AF37" s="5">
        <v>6.2514E-2</v>
      </c>
      <c r="AN37" s="26"/>
      <c r="AO37" s="4" t="s">
        <v>5</v>
      </c>
      <c r="AP37" s="5">
        <v>16.614999999999998</v>
      </c>
      <c r="AX37" s="26"/>
      <c r="AY37" s="4" t="s">
        <v>5</v>
      </c>
      <c r="AZ37" s="5">
        <v>1.0148999999999999</v>
      </c>
      <c r="BH37" s="26"/>
      <c r="BI37" s="4" t="s">
        <v>5</v>
      </c>
      <c r="BJ37" s="5">
        <v>6.2514E-2</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989310</v>
      </c>
      <c r="T39" s="26">
        <v>1000</v>
      </c>
      <c r="U39" s="4" t="s">
        <v>0</v>
      </c>
      <c r="V39" s="5">
        <v>989310</v>
      </c>
      <c r="AD39" s="26">
        <v>1000</v>
      </c>
      <c r="AE39" s="4" t="s">
        <v>0</v>
      </c>
      <c r="AF39" s="5">
        <v>989310</v>
      </c>
      <c r="AN39" s="26">
        <v>1000</v>
      </c>
      <c r="AO39" s="4" t="s">
        <v>0</v>
      </c>
      <c r="AP39" s="5">
        <v>989310</v>
      </c>
      <c r="AX39" s="26">
        <v>1000</v>
      </c>
      <c r="AY39" s="4" t="s">
        <v>0</v>
      </c>
      <c r="AZ39" s="5">
        <v>989310</v>
      </c>
      <c r="BH39" s="26">
        <v>1000</v>
      </c>
      <c r="BI39" s="4" t="s">
        <v>0</v>
      </c>
      <c r="BJ39" s="5">
        <v>989310</v>
      </c>
    </row>
    <row r="40" spans="1:62">
      <c r="A40" s="199"/>
      <c r="B40" s="15" t="s">
        <v>15</v>
      </c>
      <c r="C40" s="15" t="s">
        <v>14</v>
      </c>
      <c r="D40" s="15" t="s">
        <v>13</v>
      </c>
      <c r="E40" s="15" t="s">
        <v>15</v>
      </c>
      <c r="F40" s="15" t="s">
        <v>14</v>
      </c>
      <c r="G40" s="15" t="s">
        <v>13</v>
      </c>
      <c r="J40" s="26"/>
      <c r="K40" s="4" t="s">
        <v>1</v>
      </c>
      <c r="L40" s="5">
        <v>799700</v>
      </c>
      <c r="T40" s="26"/>
      <c r="U40" s="4" t="s">
        <v>1</v>
      </c>
      <c r="V40" s="5">
        <v>933430</v>
      </c>
      <c r="AD40" s="26"/>
      <c r="AE40" s="4" t="s">
        <v>1</v>
      </c>
      <c r="AF40" s="5">
        <v>986600</v>
      </c>
      <c r="AN40" s="26"/>
      <c r="AO40" s="4" t="s">
        <v>1</v>
      </c>
      <c r="AP40" s="5">
        <v>966670</v>
      </c>
      <c r="AX40" s="26"/>
      <c r="AY40" s="4" t="s">
        <v>1</v>
      </c>
      <c r="AZ40" s="5">
        <v>987970</v>
      </c>
      <c r="BH40" s="26"/>
      <c r="BI40" s="4" t="s">
        <v>1</v>
      </c>
      <c r="BJ40" s="5">
        <v>989310</v>
      </c>
    </row>
    <row r="41" spans="1:62">
      <c r="A41" s="10">
        <v>100</v>
      </c>
      <c r="B41" s="2">
        <f>AS4</f>
        <v>0.41529955221315867</v>
      </c>
      <c r="C41" s="2">
        <f>BC4</f>
        <v>0.64933135215453197</v>
      </c>
      <c r="D41" s="2">
        <f>BM4</f>
        <v>0.9332767282247223</v>
      </c>
      <c r="E41" s="11">
        <f>AU4</f>
        <v>6.0130638106331586</v>
      </c>
      <c r="F41" s="11">
        <f>BE4</f>
        <v>1.7623895988801273</v>
      </c>
      <c r="G41" s="9">
        <f>BO4</f>
        <v>0.71191170667610459</v>
      </c>
      <c r="J41" s="26"/>
      <c r="K41" s="4" t="s">
        <v>2</v>
      </c>
      <c r="L41" s="5">
        <v>189610</v>
      </c>
      <c r="T41" s="26"/>
      <c r="U41" s="4" t="s">
        <v>2</v>
      </c>
      <c r="V41" s="5">
        <v>55879</v>
      </c>
      <c r="AD41" s="26"/>
      <c r="AE41" s="4" t="s">
        <v>2</v>
      </c>
      <c r="AF41" s="5">
        <v>2714.9</v>
      </c>
      <c r="AN41" s="26"/>
      <c r="AO41" s="4" t="s">
        <v>2</v>
      </c>
      <c r="AP41" s="5">
        <v>22647</v>
      </c>
      <c r="AX41" s="26"/>
      <c r="AY41" s="4" t="s">
        <v>2</v>
      </c>
      <c r="AZ41" s="5">
        <v>1343.8</v>
      </c>
      <c r="BH41" s="26"/>
      <c r="BI41" s="4" t="s">
        <v>2</v>
      </c>
      <c r="BJ41" s="5">
        <v>0</v>
      </c>
    </row>
    <row r="42" spans="1:62">
      <c r="A42" s="10">
        <v>200</v>
      </c>
      <c r="B42" s="2">
        <f t="shared" ref="B42:B46" si="13">AS5</f>
        <v>0.63683779603966406</v>
      </c>
      <c r="C42" s="2">
        <f t="shared" ref="C42:C46" si="14">BC5</f>
        <v>0.84510416350789941</v>
      </c>
      <c r="D42" s="2">
        <f t="shared" ref="D42:D46" si="15">BM5</f>
        <v>0.98054199391495078</v>
      </c>
      <c r="E42" s="11">
        <f t="shared" ref="E42:E46" si="16">AU5</f>
        <v>7.386303682599979</v>
      </c>
      <c r="F42" s="11">
        <f t="shared" ref="F42:F46" si="17">BE5</f>
        <v>2.4660043683505957</v>
      </c>
      <c r="G42" s="9">
        <f t="shared" ref="G42:G46" si="18">BO5</f>
        <v>1.3126608009481162</v>
      </c>
      <c r="J42" s="26"/>
      <c r="K42" s="4" t="s">
        <v>3</v>
      </c>
      <c r="L42" s="5">
        <v>795270</v>
      </c>
      <c r="T42" s="26"/>
      <c r="U42" s="4" t="s">
        <v>3</v>
      </c>
      <c r="V42" s="5">
        <v>931050</v>
      </c>
      <c r="AD42" s="26"/>
      <c r="AE42" s="4" t="s">
        <v>3</v>
      </c>
      <c r="AF42" s="5">
        <v>984730</v>
      </c>
      <c r="AN42" s="26"/>
      <c r="AO42" s="4" t="s">
        <v>3</v>
      </c>
      <c r="AP42" s="5">
        <v>961790</v>
      </c>
      <c r="AX42" s="26"/>
      <c r="AY42" s="4" t="s">
        <v>3</v>
      </c>
      <c r="AZ42" s="5">
        <v>985560</v>
      </c>
      <c r="BH42" s="26"/>
      <c r="BI42" s="4" t="s">
        <v>3</v>
      </c>
      <c r="BJ42" s="5">
        <v>987450</v>
      </c>
    </row>
    <row r="43" spans="1:62">
      <c r="A43" s="10">
        <v>400</v>
      </c>
      <c r="B43" s="2">
        <f t="shared" si="13"/>
        <v>0.84622615762501141</v>
      </c>
      <c r="C43" s="2">
        <f t="shared" si="14"/>
        <v>0.95111744549231281</v>
      </c>
      <c r="D43" s="2">
        <f t="shared" si="15"/>
        <v>0.99789752453730374</v>
      </c>
      <c r="E43" s="11">
        <f t="shared" si="16"/>
        <v>9.7312236040559732</v>
      </c>
      <c r="F43" s="11">
        <f t="shared" si="17"/>
        <v>3.7748872926508334</v>
      </c>
      <c r="G43" s="9">
        <f t="shared" si="18"/>
        <v>2.5572177470911646</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0.9285158342683284</v>
      </c>
      <c r="C44" s="2">
        <f t="shared" si="14"/>
        <v>0.98376646349475894</v>
      </c>
      <c r="D44" s="2">
        <f t="shared" si="15"/>
        <v>1</v>
      </c>
      <c r="E44" s="11">
        <f t="shared" si="16"/>
        <v>11.742050631722323</v>
      </c>
      <c r="F44" s="11">
        <f t="shared" si="17"/>
        <v>5.024404249210451</v>
      </c>
      <c r="G44" s="9">
        <f t="shared" si="18"/>
        <v>3.8305370412931889</v>
      </c>
      <c r="J44" s="26"/>
      <c r="K44" s="4" t="s">
        <v>5</v>
      </c>
      <c r="L44" s="5">
        <v>8.4060000000000006</v>
      </c>
      <c r="T44" s="26"/>
      <c r="U44" s="4" t="s">
        <v>5</v>
      </c>
      <c r="V44" s="5">
        <v>1.0102</v>
      </c>
      <c r="AD44" s="26"/>
      <c r="AE44" s="4" t="s">
        <v>5</v>
      </c>
      <c r="AF44" s="5">
        <v>5.7860000000000002E-2</v>
      </c>
      <c r="AN44" s="26"/>
      <c r="AO44" s="4" t="s">
        <v>5</v>
      </c>
      <c r="AP44" s="5">
        <v>8.4060000000000006</v>
      </c>
      <c r="AX44" s="26"/>
      <c r="AY44" s="4" t="s">
        <v>5</v>
      </c>
      <c r="AZ44" s="5">
        <v>1.0102</v>
      </c>
      <c r="BH44" s="26"/>
      <c r="BI44" s="4" t="s">
        <v>5</v>
      </c>
      <c r="BJ44" s="5">
        <v>5.7860000000000002E-2</v>
      </c>
    </row>
    <row r="45" spans="1:62">
      <c r="A45" s="10">
        <v>800</v>
      </c>
      <c r="B45" s="2">
        <f t="shared" si="13"/>
        <v>0.96172079530177601</v>
      </c>
      <c r="C45" s="2">
        <f t="shared" si="14"/>
        <v>0.99490554022500532</v>
      </c>
      <c r="D45" s="2">
        <f t="shared" si="15"/>
        <v>1</v>
      </c>
      <c r="E45" s="11">
        <f t="shared" si="16"/>
        <v>13.505431112654589</v>
      </c>
      <c r="F45" s="11">
        <f t="shared" si="17"/>
        <v>6.2539925041432696</v>
      </c>
      <c r="G45" s="9">
        <f t="shared" si="18"/>
        <v>5.109563643264865</v>
      </c>
      <c r="Y45"/>
      <c r="Z45"/>
      <c r="AA45"/>
      <c r="AB45"/>
      <c r="BC45"/>
      <c r="BD45"/>
      <c r="BE45"/>
      <c r="BF45"/>
    </row>
    <row r="46" spans="1:62">
      <c r="A46" s="10">
        <v>1000</v>
      </c>
      <c r="B46" s="2">
        <f t="shared" si="13"/>
        <v>0.97711536323296033</v>
      </c>
      <c r="C46" s="2">
        <f t="shared" si="14"/>
        <v>0.99864552061537837</v>
      </c>
      <c r="D46" s="2">
        <f t="shared" si="15"/>
        <v>1</v>
      </c>
      <c r="E46" s="11">
        <f t="shared" si="16"/>
        <v>15.167273357600971</v>
      </c>
      <c r="F46" s="11">
        <f t="shared" si="17"/>
        <v>7.4829495649199318</v>
      </c>
      <c r="G46" s="9">
        <f t="shared" si="18"/>
        <v>6.3892631171571788</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0.41529955221315867</v>
      </c>
      <c r="C52" s="2">
        <f>C30+(($A$25-1)/3)*(C41-C30)</f>
        <v>0.64933135215453197</v>
      </c>
      <c r="D52" s="2">
        <f>D30+(($A$25-1)/3)*(D41-D30)</f>
        <v>0.9332767282247223</v>
      </c>
      <c r="E52" s="9">
        <f>E30+(($A$25-1)/3)*(E41-E30)</f>
        <v>6.0130638106331586</v>
      </c>
      <c r="F52" s="9">
        <f t="shared" ref="F52:G57" si="19">F30+(($A$25-1)/3)*(F41-F30)</f>
        <v>1.7623895988801273</v>
      </c>
      <c r="G52" s="9">
        <f t="shared" si="19"/>
        <v>0.71191170667610459</v>
      </c>
      <c r="Y52"/>
      <c r="Z52"/>
      <c r="AA52"/>
      <c r="AB52"/>
      <c r="BC52"/>
      <c r="BD52"/>
      <c r="BE52"/>
      <c r="BF52"/>
    </row>
    <row r="53" spans="1:58">
      <c r="A53" s="10">
        <v>200</v>
      </c>
      <c r="B53" s="2">
        <f t="shared" ref="B53:E57" si="20">B31+(($A$25-1)/3)*(B42-B31)</f>
        <v>0.63683779603966406</v>
      </c>
      <c r="C53" s="2">
        <f t="shared" si="20"/>
        <v>0.84510416350789941</v>
      </c>
      <c r="D53" s="2">
        <f t="shared" si="20"/>
        <v>0.98054199391495078</v>
      </c>
      <c r="E53" s="9">
        <f t="shared" si="20"/>
        <v>7.386303682599979</v>
      </c>
      <c r="F53" s="9">
        <f t="shared" si="19"/>
        <v>2.4660043683505957</v>
      </c>
      <c r="G53" s="9">
        <f t="shared" si="19"/>
        <v>1.3126608009481162</v>
      </c>
      <c r="Y53"/>
      <c r="Z53"/>
      <c r="AA53"/>
      <c r="AB53"/>
      <c r="BC53"/>
      <c r="BD53"/>
      <c r="BE53"/>
      <c r="BF53"/>
    </row>
    <row r="54" spans="1:58">
      <c r="A54" s="10">
        <v>400</v>
      </c>
      <c r="B54" s="2">
        <f t="shared" si="20"/>
        <v>0.84622615762501141</v>
      </c>
      <c r="C54" s="2">
        <f t="shared" si="20"/>
        <v>0.95111744549231281</v>
      </c>
      <c r="D54" s="2">
        <f t="shared" si="20"/>
        <v>0.99789752453730374</v>
      </c>
      <c r="E54" s="9">
        <f t="shared" si="20"/>
        <v>9.7312236040559732</v>
      </c>
      <c r="F54" s="9">
        <f t="shared" si="19"/>
        <v>3.7748872926508334</v>
      </c>
      <c r="G54" s="9">
        <f t="shared" si="19"/>
        <v>2.5572177470911646</v>
      </c>
      <c r="Y54"/>
      <c r="Z54"/>
      <c r="AA54"/>
      <c r="AB54"/>
      <c r="BC54"/>
      <c r="BD54"/>
      <c r="BE54"/>
      <c r="BF54"/>
    </row>
    <row r="55" spans="1:58">
      <c r="A55" s="10">
        <v>600</v>
      </c>
      <c r="B55" s="2">
        <f t="shared" si="20"/>
        <v>0.9285158342683284</v>
      </c>
      <c r="C55" s="2">
        <f t="shared" si="20"/>
        <v>0.98376646349475894</v>
      </c>
      <c r="D55" s="2">
        <f t="shared" si="20"/>
        <v>1</v>
      </c>
      <c r="E55" s="9">
        <f t="shared" si="20"/>
        <v>11.742050631722323</v>
      </c>
      <c r="F55" s="9">
        <f t="shared" si="19"/>
        <v>5.024404249210451</v>
      </c>
      <c r="G55" s="9">
        <f t="shared" si="19"/>
        <v>3.8305370412931889</v>
      </c>
      <c r="Y55"/>
      <c r="Z55"/>
      <c r="AA55"/>
      <c r="AB55"/>
      <c r="BC55"/>
      <c r="BD55"/>
      <c r="BE55"/>
      <c r="BF55"/>
    </row>
    <row r="56" spans="1:58">
      <c r="A56" s="10">
        <v>800</v>
      </c>
      <c r="B56" s="2">
        <f t="shared" si="20"/>
        <v>0.96172079530177601</v>
      </c>
      <c r="C56" s="2">
        <f t="shared" si="20"/>
        <v>0.99490554022500532</v>
      </c>
      <c r="D56" s="2">
        <f t="shared" si="20"/>
        <v>1</v>
      </c>
      <c r="E56" s="9">
        <f t="shared" si="20"/>
        <v>13.505431112654589</v>
      </c>
      <c r="F56" s="9">
        <f t="shared" si="19"/>
        <v>6.2539925041432696</v>
      </c>
      <c r="G56" s="9">
        <f t="shared" si="19"/>
        <v>5.109563643264865</v>
      </c>
      <c r="Y56"/>
      <c r="Z56"/>
      <c r="AA56"/>
      <c r="AB56"/>
      <c r="BC56"/>
      <c r="BD56"/>
      <c r="BE56"/>
      <c r="BF56"/>
    </row>
    <row r="57" spans="1:58">
      <c r="A57" s="10">
        <v>1000</v>
      </c>
      <c r="B57" s="2">
        <f t="shared" si="20"/>
        <v>0.97711536323296033</v>
      </c>
      <c r="C57" s="2">
        <f t="shared" si="20"/>
        <v>0.99864552061537837</v>
      </c>
      <c r="D57" s="2">
        <f t="shared" si="20"/>
        <v>1</v>
      </c>
      <c r="E57" s="9">
        <f t="shared" si="20"/>
        <v>15.167273357600971</v>
      </c>
      <c r="F57" s="9">
        <f t="shared" si="19"/>
        <v>7.4829495649199318</v>
      </c>
      <c r="G57" s="9">
        <f t="shared" si="19"/>
        <v>6.3892631171571788</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sheetPr codeName="Sheet9"/>
  <dimension ref="A1:DD96"/>
  <sheetViews>
    <sheetView topLeftCell="AV1" zoomScale="80" zoomScaleNormal="80" workbookViewId="0">
      <selection activeCell="F3" sqref="F3"/>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1234400</v>
      </c>
      <c r="AL5" s="57">
        <v>7707</v>
      </c>
      <c r="AM5" s="57">
        <v>7707</v>
      </c>
      <c r="AN5" s="57">
        <v>7707</v>
      </c>
      <c r="AO5" s="57">
        <v>7707</v>
      </c>
      <c r="AP5" s="57">
        <v>7707</v>
      </c>
      <c r="AQ5" s="37"/>
      <c r="AR5" s="37"/>
      <c r="AS5" s="56">
        <v>0.1</v>
      </c>
      <c r="AT5" s="37" t="s">
        <v>0</v>
      </c>
      <c r="AU5" s="57">
        <v>1234400</v>
      </c>
      <c r="AV5" s="57">
        <v>7707</v>
      </c>
      <c r="AW5" s="57">
        <v>7707</v>
      </c>
      <c r="AX5" s="57">
        <v>7707</v>
      </c>
      <c r="AY5" s="57">
        <v>7707</v>
      </c>
      <c r="AZ5" s="57">
        <v>7707</v>
      </c>
      <c r="BA5" s="37"/>
      <c r="BB5" s="37"/>
      <c r="BC5" s="37"/>
      <c r="BD5" s="56">
        <v>0.1</v>
      </c>
      <c r="BE5" s="37" t="s">
        <v>0</v>
      </c>
      <c r="BF5" s="57">
        <v>1234400</v>
      </c>
      <c r="BG5" s="57">
        <v>7707</v>
      </c>
      <c r="BH5" s="57">
        <v>7707</v>
      </c>
      <c r="BI5" s="57">
        <v>7707</v>
      </c>
      <c r="BJ5" s="57">
        <v>7707</v>
      </c>
      <c r="BK5" s="57">
        <v>7707</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782110</v>
      </c>
      <c r="AL6" s="57">
        <v>4882.7</v>
      </c>
      <c r="AM6" s="57">
        <v>4882.7</v>
      </c>
      <c r="AN6" s="57">
        <v>4882.7</v>
      </c>
      <c r="AO6" s="57">
        <v>4882.7</v>
      </c>
      <c r="AP6" s="57">
        <v>4882.7</v>
      </c>
      <c r="AQ6" s="37"/>
      <c r="AR6" s="37"/>
      <c r="AS6" s="56"/>
      <c r="AT6" s="37" t="s">
        <v>1</v>
      </c>
      <c r="AU6" s="57">
        <v>608030</v>
      </c>
      <c r="AV6" s="57">
        <v>3795.7</v>
      </c>
      <c r="AW6" s="57">
        <v>3795.7</v>
      </c>
      <c r="AX6" s="57">
        <v>3795.7</v>
      </c>
      <c r="AY6" s="57">
        <v>3795.7</v>
      </c>
      <c r="AZ6" s="57">
        <v>3795.7</v>
      </c>
      <c r="BA6" s="37"/>
      <c r="BB6" s="37"/>
      <c r="BC6" s="37"/>
      <c r="BD6" s="56"/>
      <c r="BE6" s="37" t="s">
        <v>1</v>
      </c>
      <c r="BF6" s="57">
        <v>455960</v>
      </c>
      <c r="BG6" s="57">
        <v>2846.9</v>
      </c>
      <c r="BH6" s="57">
        <v>2846.9</v>
      </c>
      <c r="BI6" s="57">
        <v>2846.9</v>
      </c>
      <c r="BJ6" s="57">
        <v>2846.9</v>
      </c>
      <c r="BK6" s="57">
        <v>2846.9</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2.8337924701561064</v>
      </c>
      <c r="D7"/>
      <c r="E7" t="s">
        <v>119</v>
      </c>
      <c r="F7"/>
      <c r="G7" s="103">
        <f>C7*12</f>
        <v>34.005509641873275</v>
      </c>
      <c r="H7"/>
      <c r="I7"/>
      <c r="J7"/>
      <c r="K7"/>
      <c r="L7"/>
      <c r="M7"/>
      <c r="N7"/>
      <c r="O7"/>
      <c r="P7"/>
      <c r="Q7"/>
      <c r="R7"/>
      <c r="S7"/>
      <c r="T7"/>
      <c r="U7"/>
      <c r="V7"/>
      <c r="W7"/>
      <c r="X7"/>
      <c r="Y7"/>
      <c r="Z7"/>
      <c r="AA7"/>
      <c r="AB7"/>
      <c r="AC7"/>
      <c r="AD7"/>
      <c r="AE7"/>
      <c r="AF7"/>
      <c r="AG7"/>
      <c r="AH7" s="37"/>
      <c r="AI7" s="56"/>
      <c r="AJ7" s="37" t="s">
        <v>2</v>
      </c>
      <c r="AK7" s="57">
        <v>452300</v>
      </c>
      <c r="AL7" s="57">
        <v>2823.9</v>
      </c>
      <c r="AM7" s="57">
        <v>2823.9</v>
      </c>
      <c r="AN7" s="57">
        <v>2823.9</v>
      </c>
      <c r="AO7" s="57">
        <v>2823.9</v>
      </c>
      <c r="AP7" s="57">
        <v>2823.9</v>
      </c>
      <c r="AQ7" s="37"/>
      <c r="AR7" s="37"/>
      <c r="AS7" s="56"/>
      <c r="AT7" s="37" t="s">
        <v>2</v>
      </c>
      <c r="AU7" s="57">
        <v>626400</v>
      </c>
      <c r="AV7" s="57">
        <v>3910.8</v>
      </c>
      <c r="AW7" s="57">
        <v>3910.8</v>
      </c>
      <c r="AX7" s="57">
        <v>3910.8</v>
      </c>
      <c r="AY7" s="57">
        <v>3910.8</v>
      </c>
      <c r="AZ7" s="57">
        <v>3910.8</v>
      </c>
      <c r="BA7" s="37"/>
      <c r="BB7" s="37"/>
      <c r="BC7" s="37"/>
      <c r="BD7" s="56"/>
      <c r="BE7" s="37" t="s">
        <v>2</v>
      </c>
      <c r="BF7" s="57">
        <v>778380</v>
      </c>
      <c r="BG7" s="57">
        <v>4859.7</v>
      </c>
      <c r="BH7" s="57">
        <v>4859.7</v>
      </c>
      <c r="BI7" s="57">
        <v>4859.7</v>
      </c>
      <c r="BJ7" s="57">
        <v>4859.7</v>
      </c>
      <c r="BK7" s="57">
        <v>4859.7</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781890</v>
      </c>
      <c r="AL8" s="57">
        <v>4872.3</v>
      </c>
      <c r="AM8" s="57">
        <v>4736.3999999999996</v>
      </c>
      <c r="AN8" s="57">
        <v>3108.2</v>
      </c>
      <c r="AO8" s="57">
        <v>25.82</v>
      </c>
      <c r="AP8" s="57">
        <v>3.6888000000000001</v>
      </c>
      <c r="AQ8" s="37"/>
      <c r="AR8" s="37"/>
      <c r="AS8" s="56"/>
      <c r="AT8" s="37" t="s">
        <v>3</v>
      </c>
      <c r="AU8" s="57">
        <v>607800</v>
      </c>
      <c r="AV8" s="57">
        <v>3783.1</v>
      </c>
      <c r="AW8" s="57">
        <v>3618.9</v>
      </c>
      <c r="AX8" s="57">
        <v>1620.4</v>
      </c>
      <c r="AY8" s="57">
        <v>7.8181000000000003</v>
      </c>
      <c r="AZ8" s="57">
        <v>2.1107999999999998</v>
      </c>
      <c r="BA8" s="37"/>
      <c r="BB8" s="37"/>
      <c r="BC8" s="37"/>
      <c r="BD8" s="56"/>
      <c r="BE8" s="37" t="s">
        <v>3</v>
      </c>
      <c r="BF8" s="57">
        <v>455310</v>
      </c>
      <c r="BG8" s="57">
        <v>2827.2</v>
      </c>
      <c r="BH8" s="57">
        <v>2594.9</v>
      </c>
      <c r="BI8" s="57">
        <v>507.66</v>
      </c>
      <c r="BJ8" s="57">
        <v>2.3597000000000001</v>
      </c>
      <c r="BK8" s="57">
        <v>0.56218000000000001</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9.4206000000000003</v>
      </c>
      <c r="AM10" s="57">
        <v>144.99</v>
      </c>
      <c r="AN10" s="57">
        <v>1773.1</v>
      </c>
      <c r="AO10" s="57">
        <v>4855.5</v>
      </c>
      <c r="AP10" s="57">
        <v>4877.7</v>
      </c>
      <c r="AQ10" s="37"/>
      <c r="AR10" s="37"/>
      <c r="AS10" s="56"/>
      <c r="AT10" s="37" t="s">
        <v>5</v>
      </c>
      <c r="AU10" s="57">
        <v>0</v>
      </c>
      <c r="AV10" s="57">
        <v>11.206</v>
      </c>
      <c r="AW10" s="57">
        <v>175.68</v>
      </c>
      <c r="AX10" s="57">
        <v>2174.1999999999998</v>
      </c>
      <c r="AY10" s="57">
        <v>3786.8</v>
      </c>
      <c r="AZ10" s="57">
        <v>3792.5</v>
      </c>
      <c r="BA10" s="37"/>
      <c r="BB10" s="37"/>
      <c r="BC10" s="37"/>
      <c r="BD10" s="56"/>
      <c r="BE10" s="37" t="s">
        <v>5</v>
      </c>
      <c r="BF10" s="57">
        <v>0.65144000000000002</v>
      </c>
      <c r="BG10" s="57">
        <v>16.331</v>
      </c>
      <c r="BH10" s="57">
        <v>248.64</v>
      </c>
      <c r="BI10" s="57">
        <v>2336.1</v>
      </c>
      <c r="BJ10" s="57">
        <v>2841.3</v>
      </c>
      <c r="BK10" s="57">
        <v>2843.1</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0.63359526895657814</v>
      </c>
      <c r="C11" s="75">
        <f t="shared" ref="C11:C19" si="0">(($C$4*D11)+($D$4*E11)+($E$4*F11)+($F$4*G11)+($G$4*I11))</f>
        <v>0.44834040871934605</v>
      </c>
      <c r="D11" s="75">
        <f>AL10/$AL$5</f>
        <v>1.2223433242506813E-3</v>
      </c>
      <c r="E11" s="75">
        <f>AM$10/AM$5</f>
        <v>1.8812767613857532E-2</v>
      </c>
      <c r="F11" s="75">
        <f>AN$10/AN$5</f>
        <v>0.23006357856494095</v>
      </c>
      <c r="G11" s="75">
        <f>AO$10/AO$5</f>
        <v>0.6300116776956014</v>
      </c>
      <c r="H11" s="76">
        <f t="shared" ref="H11:H19" si="1">($D$4*E11+$E$4*F11+$F$4*G11)/(SUM($D$4:$F$4))</f>
        <v>0.29296267462479997</v>
      </c>
      <c r="I11" s="75">
        <f>AP10/$AP$5</f>
        <v>0.63289217594394709</v>
      </c>
      <c r="J11" s="75">
        <f>(($C$5*D11)+($D$5*E11)+($E$5*F11)+($F$5*G11)+($G$5*I11))</f>
        <v>0.28520177241468797</v>
      </c>
      <c r="K11"/>
      <c r="L11" s="68">
        <v>0.1</v>
      </c>
      <c r="M11" s="69">
        <f>AU6/$AK$5</f>
        <v>0.4925712896953986</v>
      </c>
      <c r="N11" s="69">
        <f t="shared" ref="N11:N19" si="2">(($C$4*O11)+($D$4*P11)+($E$4*Q11)+($F$4*R11)+($G$4*T11))</f>
        <v>0.36555239392759831</v>
      </c>
      <c r="O11" s="69">
        <f>AV10/$AL$5</f>
        <v>1.4540028545478136E-3</v>
      </c>
      <c r="P11" s="69">
        <f>AW$10/AW$5</f>
        <v>2.2794861813935384E-2</v>
      </c>
      <c r="Q11" s="69">
        <f>AX$10/AX$5</f>
        <v>0.2821071752951862</v>
      </c>
      <c r="R11" s="69">
        <f>AY$10/AY$5</f>
        <v>0.49134553003762815</v>
      </c>
      <c r="S11" s="70">
        <f t="shared" ref="S11:S19" si="3">($D$4*P11+$E$4*Q11+$F$4*R11)/(SUM($D$4:$F$4))</f>
        <v>0.26541585571558324</v>
      </c>
      <c r="T11" s="69">
        <f>AZ10/$AP$5</f>
        <v>0.49208511742571687</v>
      </c>
      <c r="U11" s="69">
        <f>(($C$5*O11)+($D$5*P11)+($E$5*Q11)+($F$5*R11)+($G$5*T11))</f>
        <v>0.26502486051641366</v>
      </c>
      <c r="V11"/>
      <c r="W11" s="84">
        <v>0.1</v>
      </c>
      <c r="X11" s="85">
        <f>BF6/$AK$5</f>
        <v>0.36937783538561242</v>
      </c>
      <c r="Y11" s="85">
        <f t="shared" ref="Y11:Y19" si="4">(($C$4*Z11)+($D$4*AA11)+($E$4*AB11)+($F$4*AC11)+($G$4*AE11))</f>
        <v>0.29016122356299467</v>
      </c>
      <c r="Z11" s="85">
        <f>BG10/$AL$5</f>
        <v>2.1189827429609447E-3</v>
      </c>
      <c r="AA11" s="85">
        <f>BH$10/BH$5</f>
        <v>3.2261580381471387E-2</v>
      </c>
      <c r="AB11" s="85">
        <f>BI$10/BI$5</f>
        <v>0.30311405216037368</v>
      </c>
      <c r="AC11" s="85">
        <f>BJ$10/BJ$5</f>
        <v>0.36866485013623979</v>
      </c>
      <c r="AD11" s="86">
        <f t="shared" ref="AD11:AD19" si="5">($D$4*AA11+$E$4*AB11+$F$4*AC11)/(SUM($D$4:$F$4))</f>
        <v>0.23468016089269497</v>
      </c>
      <c r="AE11" s="85">
        <f>BK10/$AP$5</f>
        <v>0.36889840404826779</v>
      </c>
      <c r="AF11" s="85">
        <f>(($C$5*Z11)+($D$5*AA11)+($E$5*AB11)+($F$5*AC11)+($G$5*AE11))</f>
        <v>0.23853264564681459</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0.84616007777057678</v>
      </c>
      <c r="C12" s="75">
        <f t="shared" si="0"/>
        <v>0.61061336447385495</v>
      </c>
      <c r="D12" s="75">
        <f>AL17/$AL$5</f>
        <v>2.3581159984429737E-3</v>
      </c>
      <c r="E12" s="75">
        <f>AM17/AM$5</f>
        <v>3.4733359283768001E-2</v>
      </c>
      <c r="F12" s="75">
        <f>AN17/AN$5</f>
        <v>0.37512650836901518</v>
      </c>
      <c r="G12" s="75">
        <f>AO17/AO$5</f>
        <v>0.84297391981315695</v>
      </c>
      <c r="H12" s="76">
        <f t="shared" si="1"/>
        <v>0.41761126248864672</v>
      </c>
      <c r="I12" s="75">
        <f>AP17/$AP$5</f>
        <v>0.84514078110808355</v>
      </c>
      <c r="J12" s="75">
        <f t="shared" ref="J12:J18" si="6">(($C$5*D12)+($D$5*E12)+($E$5*F12)+($F$5*G12)+($G$5*I12))</f>
        <v>0.41034194887764375</v>
      </c>
      <c r="K12"/>
      <c r="L12" s="68">
        <v>0.2</v>
      </c>
      <c r="M12" s="69">
        <f>AU13/$AK$5</f>
        <v>0.72581011017498376</v>
      </c>
      <c r="N12" s="69">
        <f t="shared" si="2"/>
        <v>0.54809093032308287</v>
      </c>
      <c r="O12" s="69">
        <f>AV17/$AL$5</f>
        <v>3.1887894122226549E-3</v>
      </c>
      <c r="P12" s="69">
        <f>AW17/AW$5</f>
        <v>4.5299078759569227E-2</v>
      </c>
      <c r="Q12" s="69">
        <f>AX17/AX$5</f>
        <v>0.46545997145452189</v>
      </c>
      <c r="R12" s="69">
        <f>AY17/AY$5</f>
        <v>0.72470481380563123</v>
      </c>
      <c r="S12" s="70">
        <f t="shared" si="3"/>
        <v>0.41182128800657419</v>
      </c>
      <c r="T12" s="69">
        <f>AZ17/$AP$5</f>
        <v>0.72522382249902684</v>
      </c>
      <c r="U12" s="69">
        <f t="shared" ref="U12:U18" si="7">(($C$5*O12)+($D$5*P12)+($E$5*Q12)+($F$5*R12)+($G$5*T12))</f>
        <v>0.41302602828597379</v>
      </c>
      <c r="V12"/>
      <c r="W12" s="84">
        <v>0.2</v>
      </c>
      <c r="X12" s="85">
        <f>BF13/$AK$5</f>
        <v>0.60831173039533382</v>
      </c>
      <c r="Y12" s="85">
        <f t="shared" si="4"/>
        <v>0.48088662255092773</v>
      </c>
      <c r="Z12" s="85">
        <f>BG17/$AL$5</f>
        <v>4.0656545997145455E-3</v>
      </c>
      <c r="AA12" s="85">
        <f>BH17/BH$5</f>
        <v>5.8947709874140393E-2</v>
      </c>
      <c r="AB12" s="85">
        <f>BI17/BI$5</f>
        <v>0.51240430777215518</v>
      </c>
      <c r="AC12" s="85">
        <f>BJ17/BJ$5</f>
        <v>0.60751265083690154</v>
      </c>
      <c r="AD12" s="86">
        <f t="shared" si="5"/>
        <v>0.39295488949439911</v>
      </c>
      <c r="AE12" s="85">
        <f>BK17/$AP$5</f>
        <v>0.6077072790969249</v>
      </c>
      <c r="AF12" s="85">
        <f t="shared" ref="AF12:AF18" si="8">(($C$5*Z12)+($D$5*AA12)+($E$5*AB12)+($F$5*AC12)+($G$5*AE12))</f>
        <v>0.39943108862073445</v>
      </c>
      <c r="AG12"/>
      <c r="AH12" s="37"/>
      <c r="AI12" s="56">
        <v>0.2</v>
      </c>
      <c r="AJ12" s="37" t="s">
        <v>0</v>
      </c>
      <c r="AK12" s="57">
        <v>1234400</v>
      </c>
      <c r="AL12" s="57">
        <v>7707</v>
      </c>
      <c r="AM12" s="57">
        <v>7707</v>
      </c>
      <c r="AN12" s="57">
        <v>7707</v>
      </c>
      <c r="AO12" s="57">
        <v>7707</v>
      </c>
      <c r="AP12" s="57">
        <v>7707</v>
      </c>
      <c r="AQ12" s="37"/>
      <c r="AR12" s="37"/>
      <c r="AS12" s="56">
        <v>0.2</v>
      </c>
      <c r="AT12" s="37" t="s">
        <v>0</v>
      </c>
      <c r="AU12" s="57">
        <v>1234400</v>
      </c>
      <c r="AV12" s="57">
        <v>7707</v>
      </c>
      <c r="AW12" s="57">
        <v>7707</v>
      </c>
      <c r="AX12" s="57">
        <v>7707</v>
      </c>
      <c r="AY12" s="57">
        <v>7707</v>
      </c>
      <c r="AZ12" s="57">
        <v>7707</v>
      </c>
      <c r="BA12" s="37"/>
      <c r="BB12" s="37"/>
      <c r="BC12" s="37"/>
      <c r="BD12" s="56">
        <v>0.2</v>
      </c>
      <c r="BE12" s="37" t="s">
        <v>0</v>
      </c>
      <c r="BF12" s="57">
        <v>1234400</v>
      </c>
      <c r="BG12" s="57">
        <v>7707</v>
      </c>
      <c r="BH12" s="57">
        <v>7707</v>
      </c>
      <c r="BI12" s="57">
        <v>7707</v>
      </c>
      <c r="BJ12" s="57">
        <v>7707</v>
      </c>
      <c r="BK12" s="57">
        <v>7707</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0.96079066753078424</v>
      </c>
      <c r="C13" s="75">
        <f t="shared" si="0"/>
        <v>0.71185972492539251</v>
      </c>
      <c r="D13" s="75">
        <f>AL24/$AL$5</f>
        <v>4.513818606461658E-3</v>
      </c>
      <c r="E13" s="75">
        <f>AM24/AM$5</f>
        <v>6.0865446996237187E-2</v>
      </c>
      <c r="F13" s="75">
        <f>AN24/AN$5</f>
        <v>0.52698845205657197</v>
      </c>
      <c r="G13" s="75">
        <f>AO24/AO$5</f>
        <v>0.95776566757493187</v>
      </c>
      <c r="H13" s="76">
        <f t="shared" si="1"/>
        <v>0.51520652220924701</v>
      </c>
      <c r="I13" s="75">
        <f>AP24/$AP$5</f>
        <v>0.95958219800181654</v>
      </c>
      <c r="J13" s="75">
        <f t="shared" si="6"/>
        <v>0.51093120539769044</v>
      </c>
      <c r="K13"/>
      <c r="L13" s="68">
        <v>0.4</v>
      </c>
      <c r="M13" s="69">
        <f>AU20/$AK$5</f>
        <v>0.90140959170447177</v>
      </c>
      <c r="N13" s="69">
        <f t="shared" si="2"/>
        <v>0.69194783962631368</v>
      </c>
      <c r="O13" s="69">
        <f>AV24/$AL$5</f>
        <v>5.3250291942390036E-3</v>
      </c>
      <c r="P13" s="69">
        <f>AW24/AW$5</f>
        <v>7.1804852731283245E-2</v>
      </c>
      <c r="Q13" s="69">
        <f>AX24/AX$5</f>
        <v>0.63665498897106521</v>
      </c>
      <c r="R13" s="69">
        <f>AY24/AY$5</f>
        <v>0.90028545478136757</v>
      </c>
      <c r="S13" s="70">
        <f t="shared" si="3"/>
        <v>0.53624843216123863</v>
      </c>
      <c r="T13" s="69">
        <f>AZ24/$AP$5</f>
        <v>0.90073958738808879</v>
      </c>
      <c r="U13" s="69">
        <f t="shared" si="7"/>
        <v>0.53968651874918905</v>
      </c>
      <c r="V13"/>
      <c r="W13" s="84">
        <v>0.4</v>
      </c>
      <c r="X13" s="85">
        <f>BF20/$AK$5</f>
        <v>0.8151328580686974</v>
      </c>
      <c r="Y13" s="85">
        <f t="shared" si="4"/>
        <v>0.65195688984040479</v>
      </c>
      <c r="Z13" s="85">
        <f>BG24/$AL$5</f>
        <v>7.2862332944076819E-3</v>
      </c>
      <c r="AA13" s="85">
        <f>BH24/BH$5</f>
        <v>9.7425716880757754E-2</v>
      </c>
      <c r="AB13" s="85">
        <f>BI24/BI$5</f>
        <v>0.71714026209939019</v>
      </c>
      <c r="AC13" s="85">
        <f>BJ24/BJ$5</f>
        <v>0.81436356558972367</v>
      </c>
      <c r="AD13" s="86">
        <f t="shared" si="5"/>
        <v>0.5429765148566239</v>
      </c>
      <c r="AE13" s="85">
        <f>BK24/$AP$5</f>
        <v>0.81450629298040733</v>
      </c>
      <c r="AF13" s="85">
        <f t="shared" si="8"/>
        <v>0.55139321396133389</v>
      </c>
      <c r="AG13"/>
      <c r="AH13" s="37"/>
      <c r="AI13" s="56"/>
      <c r="AJ13" s="37" t="s">
        <v>1</v>
      </c>
      <c r="AK13" s="57">
        <v>1044500</v>
      </c>
      <c r="AL13" s="57">
        <v>6521.4</v>
      </c>
      <c r="AM13" s="57">
        <v>6521.4</v>
      </c>
      <c r="AN13" s="57">
        <v>6521.4</v>
      </c>
      <c r="AO13" s="57">
        <v>6521.4</v>
      </c>
      <c r="AP13" s="57">
        <v>6521.4</v>
      </c>
      <c r="AQ13" s="37"/>
      <c r="AR13" s="37"/>
      <c r="AS13" s="56"/>
      <c r="AT13" s="37" t="s">
        <v>1</v>
      </c>
      <c r="AU13" s="57">
        <v>895940</v>
      </c>
      <c r="AV13" s="57">
        <v>5593.5</v>
      </c>
      <c r="AW13" s="57">
        <v>5593.5</v>
      </c>
      <c r="AX13" s="57">
        <v>5593.5</v>
      </c>
      <c r="AY13" s="57">
        <v>5593.5</v>
      </c>
      <c r="AZ13" s="57">
        <v>5593.5</v>
      </c>
      <c r="BA13" s="37"/>
      <c r="BB13" s="37"/>
      <c r="BC13" s="37"/>
      <c r="BD13" s="56"/>
      <c r="BE13" s="37" t="s">
        <v>1</v>
      </c>
      <c r="BF13" s="57">
        <v>750900</v>
      </c>
      <c r="BG13" s="57">
        <v>4688</v>
      </c>
      <c r="BH13" s="57">
        <v>4688</v>
      </c>
      <c r="BI13" s="57">
        <v>4688</v>
      </c>
      <c r="BJ13" s="57">
        <v>4688</v>
      </c>
      <c r="BK13" s="57">
        <v>4688</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0.98865845755022685</v>
      </c>
      <c r="C14" s="75">
        <f t="shared" si="0"/>
        <v>0.74861644608797195</v>
      </c>
      <c r="D14" s="75">
        <f>AL31/$AL$5</f>
        <v>6.6535616971584279E-3</v>
      </c>
      <c r="E14" s="75">
        <f>AM31/AM$5</f>
        <v>8.4730764240301029E-2</v>
      </c>
      <c r="F14" s="75">
        <f>AN31/AN$5</f>
        <v>0.62715712988192551</v>
      </c>
      <c r="G14" s="75">
        <f>AO31/AO$5</f>
        <v>0.98563643441027637</v>
      </c>
      <c r="H14" s="76">
        <f t="shared" si="1"/>
        <v>0.56584144284416771</v>
      </c>
      <c r="I14" s="75">
        <f>AP31/$AP$5</f>
        <v>0.98731023744647717</v>
      </c>
      <c r="J14" s="75">
        <f t="shared" si="6"/>
        <v>0.5643326715972492</v>
      </c>
      <c r="K14"/>
      <c r="L14" s="68">
        <v>0.6</v>
      </c>
      <c r="M14" s="69">
        <f>AU27/$AK$5</f>
        <v>0.96540829552819185</v>
      </c>
      <c r="N14" s="69">
        <f t="shared" si="2"/>
        <v>0.75305838847800699</v>
      </c>
      <c r="O14" s="69">
        <f>AV31/$AL$5</f>
        <v>7.9667834436226801E-3</v>
      </c>
      <c r="P14" s="69">
        <f>AW31/AW$5</f>
        <v>9.9499156610873232E-2</v>
      </c>
      <c r="Q14" s="69">
        <f>AX31/AX$5</f>
        <v>0.73808226287790313</v>
      </c>
      <c r="R14" s="69">
        <f>AY31/AY$5</f>
        <v>0.9643311275463865</v>
      </c>
      <c r="S14" s="70">
        <f t="shared" si="3"/>
        <v>0.60063751567838763</v>
      </c>
      <c r="T14" s="69">
        <f>AZ31/$AP$5</f>
        <v>0.96474633450110292</v>
      </c>
      <c r="U14" s="69">
        <f t="shared" si="7"/>
        <v>0.60527027377708575</v>
      </c>
      <c r="V14"/>
      <c r="W14" s="84">
        <v>0.6</v>
      </c>
      <c r="X14" s="85">
        <f>BF27/$AK$5</f>
        <v>0.91169799092676607</v>
      </c>
      <c r="Y14" s="85">
        <f t="shared" si="4"/>
        <v>0.73562401063967808</v>
      </c>
      <c r="Z14" s="85">
        <f>BG31/$AL$5</f>
        <v>1.0360062281043208E-2</v>
      </c>
      <c r="AA14" s="85">
        <f>BH31/BH$5</f>
        <v>0.12950304917607369</v>
      </c>
      <c r="AB14" s="85">
        <f>BI31/BI$5</f>
        <v>0.82316076294277929</v>
      </c>
      <c r="AC14" s="85">
        <f>BJ31/BJ$5</f>
        <v>0.91097703386531714</v>
      </c>
      <c r="AD14" s="86">
        <f t="shared" si="5"/>
        <v>0.62121361532805663</v>
      </c>
      <c r="AE14" s="85">
        <f>BK31/$AP$5</f>
        <v>0.91111976125600103</v>
      </c>
      <c r="AF14" s="85">
        <f t="shared" si="8"/>
        <v>0.62950830413909431</v>
      </c>
      <c r="AG14"/>
      <c r="AH14" s="37"/>
      <c r="AI14" s="56"/>
      <c r="AJ14" s="37" t="s">
        <v>2</v>
      </c>
      <c r="AK14" s="57">
        <v>189880</v>
      </c>
      <c r="AL14" s="57">
        <v>1185.5</v>
      </c>
      <c r="AM14" s="57">
        <v>1185.5</v>
      </c>
      <c r="AN14" s="57">
        <v>1185.5</v>
      </c>
      <c r="AO14" s="57">
        <v>1185.5</v>
      </c>
      <c r="AP14" s="57">
        <v>1185.5</v>
      </c>
      <c r="AQ14" s="37"/>
      <c r="AR14" s="37"/>
      <c r="AS14" s="56"/>
      <c r="AT14" s="37" t="s">
        <v>2</v>
      </c>
      <c r="AU14" s="57">
        <v>338470</v>
      </c>
      <c r="AV14" s="57">
        <v>2113.1999999999998</v>
      </c>
      <c r="AW14" s="57">
        <v>2113.1999999999998</v>
      </c>
      <c r="AX14" s="57">
        <v>2113.1999999999998</v>
      </c>
      <c r="AY14" s="57">
        <v>2113.1999999999998</v>
      </c>
      <c r="AZ14" s="57">
        <v>2113.1999999999998</v>
      </c>
      <c r="BA14" s="37"/>
      <c r="BB14" s="37"/>
      <c r="BC14" s="37"/>
      <c r="BD14" s="56"/>
      <c r="BE14" s="37" t="s">
        <v>2</v>
      </c>
      <c r="BF14" s="57">
        <v>483580</v>
      </c>
      <c r="BG14" s="57">
        <v>3019.2</v>
      </c>
      <c r="BH14" s="57">
        <v>3019.2</v>
      </c>
      <c r="BI14" s="57">
        <v>3019.2</v>
      </c>
      <c r="BJ14" s="57">
        <v>3019.2</v>
      </c>
      <c r="BK14" s="57">
        <v>3019.2</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0.99603046014257934</v>
      </c>
      <c r="C15" s="75">
        <f t="shared" si="0"/>
        <v>0.76606411703646038</v>
      </c>
      <c r="D15" s="75">
        <f>AL38/$AL$5</f>
        <v>8.7366030881017263E-3</v>
      </c>
      <c r="E15" s="75">
        <f>AM38/AM$5</f>
        <v>0.10619307123394316</v>
      </c>
      <c r="F15" s="75">
        <f>AN38/AN$5</f>
        <v>0.68977552874010639</v>
      </c>
      <c r="G15" s="75">
        <f>AO38/AO$5</f>
        <v>0.99304528350849874</v>
      </c>
      <c r="H15" s="76">
        <f t="shared" si="1"/>
        <v>0.59633796116084947</v>
      </c>
      <c r="I15" s="75">
        <f>AP38/$AP$5</f>
        <v>0.99455040871934608</v>
      </c>
      <c r="J15" s="75">
        <f t="shared" si="6"/>
        <v>0.59608658362527578</v>
      </c>
      <c r="K15"/>
      <c r="L15" s="68">
        <v>0.8</v>
      </c>
      <c r="M15" s="69">
        <f>AU34/$AK$5</f>
        <v>0.98898250162022039</v>
      </c>
      <c r="N15" s="69">
        <f t="shared" si="2"/>
        <v>0.78302997275204356</v>
      </c>
      <c r="O15" s="69">
        <f>AV38/$AL$5</f>
        <v>1.0555339301933307E-2</v>
      </c>
      <c r="P15" s="69">
        <f>AW38/AW$5</f>
        <v>0.12466978071882705</v>
      </c>
      <c r="Q15" s="69">
        <f>AX38/AX$5</f>
        <v>0.80997794213053065</v>
      </c>
      <c r="R15" s="69">
        <f>AY38/AY$5</f>
        <v>0.98797197353055666</v>
      </c>
      <c r="S15" s="70">
        <f t="shared" si="3"/>
        <v>0.64087323212663816</v>
      </c>
      <c r="T15" s="69">
        <f>AZ38/$AP$5</f>
        <v>0.98821850265991951</v>
      </c>
      <c r="U15" s="69">
        <f t="shared" si="7"/>
        <v>0.64639691189827431</v>
      </c>
      <c r="V15"/>
      <c r="W15" s="84">
        <v>0.8</v>
      </c>
      <c r="X15" s="85">
        <f>BF34/$AK$5</f>
        <v>0.95933246921581339</v>
      </c>
      <c r="Y15" s="85">
        <f t="shared" si="4"/>
        <v>0.77926930063578559</v>
      </c>
      <c r="Z15" s="85">
        <f>BG38/$AL$5</f>
        <v>1.3243804333722589E-2</v>
      </c>
      <c r="AA15" s="85">
        <f>BH38/BH$5</f>
        <v>0.15642922018943817</v>
      </c>
      <c r="AB15" s="85">
        <f>BI38/BI$5</f>
        <v>0.88016089269495257</v>
      </c>
      <c r="AC15" s="85">
        <f>BJ38/BJ$5</f>
        <v>0.95854418061502533</v>
      </c>
      <c r="AD15" s="86">
        <f t="shared" si="5"/>
        <v>0.66504476449980532</v>
      </c>
      <c r="AE15" s="85">
        <f>BK38/$AP$5</f>
        <v>0.95867393278837421</v>
      </c>
      <c r="AF15" s="85">
        <f t="shared" si="8"/>
        <v>0.67225081095108341</v>
      </c>
      <c r="AG15"/>
      <c r="AH15" s="37"/>
      <c r="AI15" s="56"/>
      <c r="AJ15" s="37" t="s">
        <v>3</v>
      </c>
      <c r="AK15" s="57">
        <v>1044400</v>
      </c>
      <c r="AL15" s="57">
        <v>6502.4</v>
      </c>
      <c r="AM15" s="57">
        <v>6252.4</v>
      </c>
      <c r="AN15" s="57">
        <v>3629</v>
      </c>
      <c r="AO15" s="57">
        <v>23.29</v>
      </c>
      <c r="AP15" s="57">
        <v>6.5982000000000003</v>
      </c>
      <c r="AQ15" s="37"/>
      <c r="AR15" s="37"/>
      <c r="AS15" s="56"/>
      <c r="AT15" s="37" t="s">
        <v>3</v>
      </c>
      <c r="AU15" s="57">
        <v>895580</v>
      </c>
      <c r="AV15" s="57">
        <v>5566.6</v>
      </c>
      <c r="AW15" s="57">
        <v>5241.6000000000004</v>
      </c>
      <c r="AX15" s="57">
        <v>2003.7</v>
      </c>
      <c r="AY15" s="57">
        <v>5.6688999999999998</v>
      </c>
      <c r="AZ15" s="57">
        <v>1.6583000000000001</v>
      </c>
      <c r="BA15" s="37"/>
      <c r="BB15" s="37"/>
      <c r="BC15" s="37"/>
      <c r="BD15" s="56"/>
      <c r="BE15" s="37" t="s">
        <v>3</v>
      </c>
      <c r="BF15" s="57">
        <v>750420</v>
      </c>
      <c r="BG15" s="57">
        <v>4653.1000000000004</v>
      </c>
      <c r="BH15" s="57">
        <v>4229.7</v>
      </c>
      <c r="BI15" s="57">
        <v>735.24</v>
      </c>
      <c r="BJ15" s="57">
        <v>2.3130999999999999</v>
      </c>
      <c r="BK15" s="57">
        <v>0.81322000000000005</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0.9984607906675308</v>
      </c>
      <c r="C16" s="75">
        <f t="shared" si="0"/>
        <v>0.77759252627481512</v>
      </c>
      <c r="D16" s="75">
        <f>AL45/$AL$5</f>
        <v>1.0785260153107564E-2</v>
      </c>
      <c r="E16" s="75">
        <f>AM45/AM$5</f>
        <v>0.12594135201764631</v>
      </c>
      <c r="F16" s="75">
        <f>AN45/AN$5</f>
        <v>0.73565589723627867</v>
      </c>
      <c r="G16" s="75">
        <f>AO45/AO$5</f>
        <v>0.99558842610613729</v>
      </c>
      <c r="H16" s="76">
        <f t="shared" si="1"/>
        <v>0.61906189178668758</v>
      </c>
      <c r="I16" s="75">
        <f>AP45/$AP$5</f>
        <v>0.99695082392630074</v>
      </c>
      <c r="J16" s="75">
        <f t="shared" si="6"/>
        <v>0.61934192292720902</v>
      </c>
      <c r="K16"/>
      <c r="L16" s="68">
        <v>1</v>
      </c>
      <c r="M16" s="69">
        <f>AU41/$AK$5</f>
        <v>0.99635450421257288</v>
      </c>
      <c r="N16" s="69">
        <f t="shared" si="2"/>
        <v>0.79411167769560143</v>
      </c>
      <c r="O16" s="69">
        <f>AV45/$AL$5</f>
        <v>1.2491760736992345E-2</v>
      </c>
      <c r="P16" s="69">
        <f>AW45/AW$5</f>
        <v>0.14277929155313351</v>
      </c>
      <c r="Q16" s="69">
        <f>AX45/AX$5</f>
        <v>0.83325548202932398</v>
      </c>
      <c r="R16" s="69">
        <f>AY45/AY$5</f>
        <v>0.99525107045543004</v>
      </c>
      <c r="S16" s="70">
        <f t="shared" si="3"/>
        <v>0.65709528134596251</v>
      </c>
      <c r="T16" s="69">
        <f>AZ45/$AP$5</f>
        <v>0.99558842610613729</v>
      </c>
      <c r="U16" s="69">
        <f t="shared" si="7"/>
        <v>0.66171628389775539</v>
      </c>
      <c r="V16"/>
      <c r="W16" s="84">
        <v>1</v>
      </c>
      <c r="X16" s="85">
        <f>BF41/$AK$5</f>
        <v>0.98185353208036297</v>
      </c>
      <c r="Y16" s="85">
        <f t="shared" si="4"/>
        <v>0.80233780978331382</v>
      </c>
      <c r="Z16" s="85">
        <f>BG45/$AL$5</f>
        <v>1.5953029713247698E-2</v>
      </c>
      <c r="AA16" s="85">
        <f>BH45/BH$5</f>
        <v>0.17970676008823147</v>
      </c>
      <c r="AB16" s="85">
        <f>BI45/BI$5</f>
        <v>0.91210587777345276</v>
      </c>
      <c r="AC16" s="85">
        <f>BJ45/BJ$5</f>
        <v>0.98108213312572978</v>
      </c>
      <c r="AD16" s="86">
        <f t="shared" si="5"/>
        <v>0.69096492366247131</v>
      </c>
      <c r="AE16" s="85">
        <f>BK45/$AP$5</f>
        <v>0.98121188529907877</v>
      </c>
      <c r="AF16" s="85">
        <f t="shared" si="8"/>
        <v>0.69671662125340605</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0.99991898898250164</v>
      </c>
      <c r="C17" s="75">
        <f t="shared" si="0"/>
        <v>0.78682203191903466</v>
      </c>
      <c r="D17" s="75">
        <f>AL52/$AL$5</f>
        <v>1.2799792396522642E-2</v>
      </c>
      <c r="E17" s="75">
        <f>AM52/AM$5</f>
        <v>0.1446736732840275</v>
      </c>
      <c r="F17" s="75">
        <f>AN52/AN$5</f>
        <v>0.7711950175165434</v>
      </c>
      <c r="G17" s="75">
        <f>AO52/AO$5</f>
        <v>0.99728817957700799</v>
      </c>
      <c r="H17" s="76">
        <f t="shared" si="1"/>
        <v>0.63771895679252633</v>
      </c>
      <c r="I17" s="75">
        <f>AP52/$AP$5</f>
        <v>0.99841702348514338</v>
      </c>
      <c r="J17" s="75">
        <f t="shared" si="6"/>
        <v>0.63799205916699098</v>
      </c>
      <c r="K17"/>
      <c r="L17" s="68">
        <v>1.2</v>
      </c>
      <c r="M17" s="69">
        <f>AU48/$AK$5</f>
        <v>0.99821775761503562</v>
      </c>
      <c r="N17" s="69">
        <f t="shared" si="2"/>
        <v>0.80248112105877767</v>
      </c>
      <c r="O17" s="69">
        <f>AV52/$AL$5</f>
        <v>1.4965615674062542E-2</v>
      </c>
      <c r="P17" s="69">
        <f>AW52/AW$5</f>
        <v>0.16392889580900483</v>
      </c>
      <c r="Q17" s="69">
        <f>AX52/AX$5</f>
        <v>0.858816660179058</v>
      </c>
      <c r="R17" s="69">
        <f>AY52/AY$5</f>
        <v>0.99719735305566359</v>
      </c>
      <c r="S17" s="70">
        <f t="shared" si="3"/>
        <v>0.67331430301457551</v>
      </c>
      <c r="T17" s="69">
        <f>AZ52/$AP$5</f>
        <v>0.99748280783703136</v>
      </c>
      <c r="U17" s="69">
        <f t="shared" si="7"/>
        <v>0.67699675619566635</v>
      </c>
      <c r="V17"/>
      <c r="W17" s="84">
        <v>1.2</v>
      </c>
      <c r="X17" s="85">
        <f>BF48/$AK$5</f>
        <v>0.99384316267012318</v>
      </c>
      <c r="Y17" s="85">
        <f t="shared" si="4"/>
        <v>0.8165184896847022</v>
      </c>
      <c r="Z17" s="85">
        <f>BG52/$AL$5</f>
        <v>1.8666147657973274E-2</v>
      </c>
      <c r="AA17" s="85">
        <f>BH52/BH$5</f>
        <v>0.20142727390683796</v>
      </c>
      <c r="AB17" s="85">
        <f>BI52/BI$5</f>
        <v>0.93215258855585836</v>
      </c>
      <c r="AC17" s="85">
        <f>BJ52/BJ$5</f>
        <v>0.99307123394316854</v>
      </c>
      <c r="AD17" s="86">
        <f t="shared" si="5"/>
        <v>0.70888369880195501</v>
      </c>
      <c r="AE17" s="85">
        <f>BK52/$AP$5</f>
        <v>0.99317503568184762</v>
      </c>
      <c r="AF17" s="85">
        <f t="shared" si="8"/>
        <v>0.7129448553263269</v>
      </c>
      <c r="AG17"/>
      <c r="AH17" s="37"/>
      <c r="AI17" s="56"/>
      <c r="AJ17" s="37" t="s">
        <v>5</v>
      </c>
      <c r="AK17" s="57">
        <v>0</v>
      </c>
      <c r="AL17" s="57">
        <v>18.173999999999999</v>
      </c>
      <c r="AM17" s="57">
        <v>267.69</v>
      </c>
      <c r="AN17" s="57">
        <v>2891.1</v>
      </c>
      <c r="AO17" s="57">
        <v>6496.8</v>
      </c>
      <c r="AP17" s="57">
        <v>6513.5</v>
      </c>
      <c r="AQ17" s="37"/>
      <c r="AR17" s="37"/>
      <c r="AS17" s="56"/>
      <c r="AT17" s="37" t="s">
        <v>5</v>
      </c>
      <c r="AU17" s="57">
        <v>2.6235999999999999E-2</v>
      </c>
      <c r="AV17" s="57">
        <v>24.576000000000001</v>
      </c>
      <c r="AW17" s="57">
        <v>349.12</v>
      </c>
      <c r="AX17" s="57">
        <v>3587.3</v>
      </c>
      <c r="AY17" s="57">
        <v>5585.3</v>
      </c>
      <c r="AZ17" s="57">
        <v>5589.3</v>
      </c>
      <c r="BA17" s="37"/>
      <c r="BB17" s="37"/>
      <c r="BC17" s="37"/>
      <c r="BD17" s="56"/>
      <c r="BE17" s="37" t="s">
        <v>5</v>
      </c>
      <c r="BF17" s="57">
        <v>0.29687000000000002</v>
      </c>
      <c r="BG17" s="57">
        <v>31.334</v>
      </c>
      <c r="BH17" s="57">
        <v>454.31</v>
      </c>
      <c r="BI17" s="57">
        <v>3949.1</v>
      </c>
      <c r="BJ17" s="57">
        <v>4682.1000000000004</v>
      </c>
      <c r="BK17" s="57">
        <v>4683.6000000000004</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0.79933819903983383</v>
      </c>
      <c r="D18" s="75">
        <f>AL59/$AL$5</f>
        <v>1.665888153626573E-2</v>
      </c>
      <c r="E18" s="75">
        <f>AM59/AM$5</f>
        <v>0.17840923835474246</v>
      </c>
      <c r="F18" s="75">
        <f>AN59/AN$5</f>
        <v>0.81950175165434014</v>
      </c>
      <c r="G18" s="75">
        <f>AO59/AO$5</f>
        <v>0.99757363435837554</v>
      </c>
      <c r="H18" s="76">
        <f t="shared" si="1"/>
        <v>0.66516154145581941</v>
      </c>
      <c r="I18" s="75">
        <f>AP59/$AP$5</f>
        <v>0.99836512261580379</v>
      </c>
      <c r="J18" s="75">
        <f t="shared" si="6"/>
        <v>0.66449967561956669</v>
      </c>
      <c r="K18"/>
      <c r="L18" s="68">
        <v>1.6</v>
      </c>
      <c r="M18" s="69">
        <f>AU55/$AK$5</f>
        <v>1</v>
      </c>
      <c r="N18" s="69">
        <f t="shared" si="2"/>
        <v>0.81388108213312571</v>
      </c>
      <c r="O18" s="69">
        <f>AV59/$AL$5</f>
        <v>1.9298040742182429E-2</v>
      </c>
      <c r="P18" s="69">
        <f>AW59/AW$5</f>
        <v>0.19926041261191124</v>
      </c>
      <c r="Q18" s="69">
        <f>AX59/AX$5</f>
        <v>0.8906967691708837</v>
      </c>
      <c r="R18" s="69">
        <f>AY59/AY$5</f>
        <v>0.99896198261320879</v>
      </c>
      <c r="S18" s="70">
        <f t="shared" si="3"/>
        <v>0.6963063881320013</v>
      </c>
      <c r="T18" s="69">
        <f>AZ59/$AP$5</f>
        <v>0.99915661087323215</v>
      </c>
      <c r="U18" s="69">
        <f t="shared" si="7"/>
        <v>0.69776865187491899</v>
      </c>
      <c r="V18"/>
      <c r="W18" s="84">
        <v>1.6</v>
      </c>
      <c r="X18" s="85">
        <f>BF55/$AK$5</f>
        <v>0.99943292287751129</v>
      </c>
      <c r="Y18" s="85">
        <f t="shared" si="4"/>
        <v>0.82935779161800949</v>
      </c>
      <c r="Z18" s="85">
        <f>BG59/$AL$5</f>
        <v>2.4316854807318024E-2</v>
      </c>
      <c r="AA18" s="85">
        <f>BH59/BH$5</f>
        <v>0.24242896068509148</v>
      </c>
      <c r="AB18" s="85">
        <f>BI59/BI$5</f>
        <v>0.95075905021409113</v>
      </c>
      <c r="AC18" s="85">
        <f>BJ59/BJ$5</f>
        <v>0.99866355261450623</v>
      </c>
      <c r="AD18" s="86">
        <f t="shared" si="5"/>
        <v>0.7306171878378962</v>
      </c>
      <c r="AE18" s="85">
        <f>BK59/$AP$5</f>
        <v>0.99872842870118073</v>
      </c>
      <c r="AF18" s="85">
        <f t="shared" si="8"/>
        <v>0.73082665109640588</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0.44834040871934605</v>
      </c>
      <c r="CH18" s="62">
        <f t="shared" ref="CH18:CH26" si="10">N11</f>
        <v>0.36555239392759831</v>
      </c>
      <c r="CI18" s="62">
        <f t="shared" ref="CI18:CI26" si="11">Y11</f>
        <v>0.29016122356299467</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0.80938698585701307</v>
      </c>
      <c r="D19" s="75">
        <f>AL66/$AL$5</f>
        <v>2.052809134553004E-2</v>
      </c>
      <c r="E19" s="75">
        <f>AM66/AM$5</f>
        <v>0.20971843778383287</v>
      </c>
      <c r="F19" s="75">
        <f>AN66/AN$5</f>
        <v>0.85371739976644612</v>
      </c>
      <c r="G19" s="75">
        <f>AO66/AO$5</f>
        <v>0.99779421305306859</v>
      </c>
      <c r="H19" s="76">
        <f t="shared" si="1"/>
        <v>0.68707668353444917</v>
      </c>
      <c r="I19" s="75">
        <f>AP66/$AP$5</f>
        <v>0.998352147398469</v>
      </c>
      <c r="J19" s="75">
        <f>(($C$5*D19)+($D$5*E19)+($E$5*F19)+($F$5*G19)+($G$5*I19))</f>
        <v>0.68487751394835872</v>
      </c>
      <c r="K19"/>
      <c r="L19" s="68">
        <v>2</v>
      </c>
      <c r="M19" s="69">
        <f>AU62/$AK$5</f>
        <v>1</v>
      </c>
      <c r="N19" s="69">
        <f t="shared" si="2"/>
        <v>0.82284527053328138</v>
      </c>
      <c r="O19" s="69">
        <f>AV66/$AL$5</f>
        <v>2.3896457765667574E-2</v>
      </c>
      <c r="P19" s="69">
        <f>AW66/AW$5</f>
        <v>0.23411184637342675</v>
      </c>
      <c r="Q19" s="69">
        <f>AX66/AX$5</f>
        <v>0.91392240820033743</v>
      </c>
      <c r="R19" s="69">
        <f>AY66/AY$5</f>
        <v>0.99902685869988317</v>
      </c>
      <c r="S19" s="70">
        <f t="shared" si="3"/>
        <v>0.71568703775788245</v>
      </c>
      <c r="T19" s="69">
        <f>AZ66/$AP$5</f>
        <v>0.99918256130790184</v>
      </c>
      <c r="U19" s="69">
        <f>(($C$5*O19)+($D$5*P19)+($E$5*Q19)+($F$5*R19)+($G$5*T19))</f>
        <v>0.71450460620215395</v>
      </c>
      <c r="V19"/>
      <c r="W19" s="84">
        <v>2</v>
      </c>
      <c r="X19" s="85">
        <f>BF62/$AK$5</f>
        <v>1</v>
      </c>
      <c r="Y19" s="85">
        <f t="shared" si="4"/>
        <v>0.83559530297132478</v>
      </c>
      <c r="Z19" s="85">
        <f>BG66/$AL$5</f>
        <v>2.8501362397820165E-2</v>
      </c>
      <c r="AA19" s="85">
        <f>BH66/BH$5</f>
        <v>0.271480472297911</v>
      </c>
      <c r="AB19" s="85">
        <f>BI66/BI$5</f>
        <v>0.959296743220449</v>
      </c>
      <c r="AC19" s="85">
        <f>BJ66/BJ$5</f>
        <v>0.99927338782924613</v>
      </c>
      <c r="AD19" s="86">
        <f t="shared" si="5"/>
        <v>0.7433502011158688</v>
      </c>
      <c r="AE19" s="85">
        <f>BK66/$AP$5</f>
        <v>0.99932528869858572</v>
      </c>
      <c r="AF19" s="85">
        <f>(($C$5*Z19)+($D$5*AA19)+($E$5*AB19)+($F$5*AC19)+($G$5*AE19))</f>
        <v>0.74065213442325162</v>
      </c>
      <c r="AG19"/>
      <c r="AH19" s="37"/>
      <c r="AI19" s="56">
        <v>0.4</v>
      </c>
      <c r="AJ19" s="37" t="s">
        <v>0</v>
      </c>
      <c r="AK19" s="57">
        <v>1234400</v>
      </c>
      <c r="AL19" s="57">
        <v>7707</v>
      </c>
      <c r="AM19" s="57">
        <v>7707</v>
      </c>
      <c r="AN19" s="57">
        <v>7707</v>
      </c>
      <c r="AO19" s="57">
        <v>7707</v>
      </c>
      <c r="AP19" s="57">
        <v>7707</v>
      </c>
      <c r="AQ19" s="37"/>
      <c r="AR19" s="37"/>
      <c r="AS19" s="56">
        <v>0.4</v>
      </c>
      <c r="AT19" s="37" t="s">
        <v>0</v>
      </c>
      <c r="AU19" s="57">
        <v>1234400</v>
      </c>
      <c r="AV19" s="57">
        <v>7707</v>
      </c>
      <c r="AW19" s="57">
        <v>7707</v>
      </c>
      <c r="AX19" s="57">
        <v>7707</v>
      </c>
      <c r="AY19" s="57">
        <v>7707</v>
      </c>
      <c r="AZ19" s="57">
        <v>7707</v>
      </c>
      <c r="BA19" s="37"/>
      <c r="BB19" s="37"/>
      <c r="BC19" s="37"/>
      <c r="BD19" s="56">
        <v>0.4</v>
      </c>
      <c r="BE19" s="37" t="s">
        <v>0</v>
      </c>
      <c r="BF19" s="57">
        <v>1234400</v>
      </c>
      <c r="BG19" s="57">
        <v>7707</v>
      </c>
      <c r="BH19" s="57">
        <v>7707</v>
      </c>
      <c r="BI19" s="57">
        <v>7707</v>
      </c>
      <c r="BJ19" s="57">
        <v>7707</v>
      </c>
      <c r="BK19" s="57">
        <v>7707</v>
      </c>
      <c r="BL19" s="37"/>
      <c r="BM19" s="37"/>
      <c r="BN19" s="37"/>
      <c r="BO19" s="37"/>
      <c r="BY19" s="37"/>
      <c r="BZ19" s="37"/>
      <c r="CA19" s="37"/>
      <c r="CB19" s="37"/>
      <c r="CC19" s="61">
        <v>0.2</v>
      </c>
      <c r="CD19" s="62">
        <v>0.77280172734718189</v>
      </c>
      <c r="CE19" s="62">
        <v>0.62134241679696223</v>
      </c>
      <c r="CF19" s="62">
        <v>0.48760330578512395</v>
      </c>
      <c r="CG19" s="62">
        <f t="shared" si="9"/>
        <v>0.61061336447385495</v>
      </c>
      <c r="CH19" s="62">
        <f t="shared" si="10"/>
        <v>0.54809093032308287</v>
      </c>
      <c r="CI19" s="62">
        <f t="shared" si="11"/>
        <v>0.48088662255092773</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1186000</v>
      </c>
      <c r="AL20" s="57">
        <v>7404.6</v>
      </c>
      <c r="AM20" s="57">
        <v>7404.6</v>
      </c>
      <c r="AN20" s="57">
        <v>7404.6</v>
      </c>
      <c r="AO20" s="57">
        <v>7404.6</v>
      </c>
      <c r="AP20" s="57">
        <v>7404.6</v>
      </c>
      <c r="AQ20" s="37"/>
      <c r="AR20" s="37"/>
      <c r="AS20" s="56"/>
      <c r="AT20" s="37" t="s">
        <v>1</v>
      </c>
      <c r="AU20" s="57">
        <v>1112700</v>
      </c>
      <c r="AV20" s="57">
        <v>6947</v>
      </c>
      <c r="AW20" s="57">
        <v>6947</v>
      </c>
      <c r="AX20" s="57">
        <v>6947</v>
      </c>
      <c r="AY20" s="57">
        <v>6947</v>
      </c>
      <c r="AZ20" s="57">
        <v>6947</v>
      </c>
      <c r="BA20" s="37"/>
      <c r="BB20" s="37"/>
      <c r="BC20" s="37"/>
      <c r="BD20" s="56"/>
      <c r="BE20" s="37" t="s">
        <v>1</v>
      </c>
      <c r="BF20" s="57">
        <v>1006200</v>
      </c>
      <c r="BG20" s="57">
        <v>6282</v>
      </c>
      <c r="BH20" s="57">
        <v>6282</v>
      </c>
      <c r="BI20" s="57">
        <v>6282</v>
      </c>
      <c r="BJ20" s="57">
        <v>6282</v>
      </c>
      <c r="BK20" s="57">
        <v>6282</v>
      </c>
      <c r="BL20" s="37"/>
      <c r="BM20" s="37"/>
      <c r="BN20" s="37"/>
      <c r="BO20" s="37"/>
      <c r="BY20" s="37"/>
      <c r="BZ20" s="37"/>
      <c r="CA20" s="37"/>
      <c r="CB20" s="37"/>
      <c r="CC20" s="61">
        <v>0.4</v>
      </c>
      <c r="CD20" s="62">
        <v>0.93740227831136924</v>
      </c>
      <c r="CE20" s="62">
        <v>0.83551113096567642</v>
      </c>
      <c r="CF20" s="62">
        <v>0.7119350755714392</v>
      </c>
      <c r="CG20" s="62">
        <f t="shared" si="9"/>
        <v>0.71185972492539251</v>
      </c>
      <c r="CH20" s="62">
        <f t="shared" si="10"/>
        <v>0.69194783962631368</v>
      </c>
      <c r="CI20" s="62">
        <f t="shared" si="11"/>
        <v>0.65195688984040479</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48438</v>
      </c>
      <c r="AL21" s="57">
        <v>302.42</v>
      </c>
      <c r="AM21" s="57">
        <v>302.42</v>
      </c>
      <c r="AN21" s="57">
        <v>302.42</v>
      </c>
      <c r="AO21" s="57">
        <v>302.42</v>
      </c>
      <c r="AP21" s="57">
        <v>302.42</v>
      </c>
      <c r="AQ21" s="57"/>
      <c r="AR21" s="37"/>
      <c r="AS21" s="56"/>
      <c r="AT21" s="37" t="s">
        <v>2</v>
      </c>
      <c r="AU21" s="57">
        <v>121720</v>
      </c>
      <c r="AV21" s="57">
        <v>759.94</v>
      </c>
      <c r="AW21" s="57">
        <v>759.94</v>
      </c>
      <c r="AX21" s="57">
        <v>759.94</v>
      </c>
      <c r="AY21" s="57">
        <v>759.94</v>
      </c>
      <c r="AZ21" s="57">
        <v>759.94</v>
      </c>
      <c r="BA21" s="57"/>
      <c r="BB21" s="37"/>
      <c r="BC21" s="37"/>
      <c r="BD21" s="56"/>
      <c r="BE21" s="37" t="s">
        <v>2</v>
      </c>
      <c r="BF21" s="57">
        <v>228220</v>
      </c>
      <c r="BG21" s="57">
        <v>1424.9</v>
      </c>
      <c r="BH21" s="57">
        <v>1424.9</v>
      </c>
      <c r="BI21" s="57">
        <v>1424.9</v>
      </c>
      <c r="BJ21" s="57">
        <v>1424.9</v>
      </c>
      <c r="BK21" s="57">
        <v>1424.9</v>
      </c>
      <c r="BL21" s="57"/>
      <c r="BM21" s="57"/>
      <c r="BN21" s="57"/>
      <c r="BO21" s="37"/>
      <c r="BY21" s="37"/>
      <c r="BZ21" s="37"/>
      <c r="CA21" s="37"/>
      <c r="CB21" s="37"/>
      <c r="CC21" s="61">
        <v>0.6</v>
      </c>
      <c r="CD21" s="62">
        <v>0.98157248157248156</v>
      </c>
      <c r="CE21" s="62">
        <v>0.93494527585436671</v>
      </c>
      <c r="CF21" s="62">
        <v>0.84556250465341376</v>
      </c>
      <c r="CG21" s="62">
        <f t="shared" si="9"/>
        <v>0.74861644608797195</v>
      </c>
      <c r="CH21" s="62">
        <f t="shared" si="10"/>
        <v>0.75305838847800699</v>
      </c>
      <c r="CI21" s="62">
        <f t="shared" si="11"/>
        <v>0.73562401063967808</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1185800</v>
      </c>
      <c r="AL22" s="57">
        <v>7368.2</v>
      </c>
      <c r="AM22" s="57">
        <v>6933.8</v>
      </c>
      <c r="AN22" s="57">
        <v>3341.5</v>
      </c>
      <c r="AO22" s="57">
        <v>21.571000000000002</v>
      </c>
      <c r="AP22" s="57">
        <v>7.5869999999999997</v>
      </c>
      <c r="AQ22" s="37"/>
      <c r="AR22" s="37"/>
      <c r="AS22" s="56"/>
      <c r="AT22" s="37" t="s">
        <v>3</v>
      </c>
      <c r="AU22" s="57">
        <v>1112400</v>
      </c>
      <c r="AV22" s="57">
        <v>6903.7</v>
      </c>
      <c r="AW22" s="57">
        <v>6391.3</v>
      </c>
      <c r="AX22" s="57">
        <v>2038.3</v>
      </c>
      <c r="AY22" s="57">
        <v>6.4562999999999997</v>
      </c>
      <c r="AZ22" s="57">
        <v>2.9624999999999999</v>
      </c>
      <c r="BA22" s="37"/>
      <c r="BB22" s="37"/>
      <c r="BC22" s="37"/>
      <c r="BD22" s="56"/>
      <c r="BE22" s="37" t="s">
        <v>3</v>
      </c>
      <c r="BF22" s="57">
        <v>1005700</v>
      </c>
      <c r="BG22" s="57">
        <v>6222.3</v>
      </c>
      <c r="BH22" s="57">
        <v>5526.9</v>
      </c>
      <c r="BI22" s="57">
        <v>751.45</v>
      </c>
      <c r="BJ22" s="57">
        <v>2.0901000000000001</v>
      </c>
      <c r="BK22" s="57">
        <v>1.0154000000000001</v>
      </c>
      <c r="BL22" s="37"/>
      <c r="BM22" s="37"/>
      <c r="BN22" s="37"/>
      <c r="BO22" s="37"/>
      <c r="BY22" s="37"/>
      <c r="BZ22" s="37"/>
      <c r="CA22" s="37"/>
      <c r="CB22" s="37"/>
      <c r="CC22" s="61">
        <v>0.8</v>
      </c>
      <c r="CD22" s="62">
        <v>0.99348522075794798</v>
      </c>
      <c r="CE22" s="62">
        <v>0.97371751917206462</v>
      </c>
      <c r="CF22" s="62">
        <v>0.92195294468021738</v>
      </c>
      <c r="CG22" s="62">
        <f t="shared" si="9"/>
        <v>0.76606411703646038</v>
      </c>
      <c r="CH22" s="62">
        <f t="shared" si="10"/>
        <v>0.78302997275204356</v>
      </c>
      <c r="CI22" s="62">
        <f t="shared" si="11"/>
        <v>0.77926930063578559</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0.77759252627481512</v>
      </c>
      <c r="CH23" s="62">
        <f t="shared" si="10"/>
        <v>0.79411167769560143</v>
      </c>
      <c r="CI23" s="62">
        <f t="shared" si="11"/>
        <v>0.80233780978331382</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34.787999999999997</v>
      </c>
      <c r="AM24" s="57">
        <v>469.09</v>
      </c>
      <c r="AN24" s="57">
        <v>4061.5</v>
      </c>
      <c r="AO24" s="57">
        <v>7381.5</v>
      </c>
      <c r="AP24" s="57">
        <v>7395.5</v>
      </c>
      <c r="AQ24" s="37"/>
      <c r="AR24" s="37"/>
      <c r="AS24" s="56"/>
      <c r="AT24" s="37" t="s">
        <v>5</v>
      </c>
      <c r="AU24" s="57">
        <v>0</v>
      </c>
      <c r="AV24" s="57">
        <v>41.04</v>
      </c>
      <c r="AW24" s="57">
        <v>553.4</v>
      </c>
      <c r="AX24" s="57">
        <v>4906.7</v>
      </c>
      <c r="AY24" s="57">
        <v>6938.5</v>
      </c>
      <c r="AZ24" s="57">
        <v>6942</v>
      </c>
      <c r="BA24" s="37"/>
      <c r="BB24" s="37"/>
      <c r="BC24" s="37"/>
      <c r="BD24" s="56"/>
      <c r="BE24" s="37" t="s">
        <v>5</v>
      </c>
      <c r="BF24" s="57">
        <v>0.35931000000000002</v>
      </c>
      <c r="BG24" s="57">
        <v>56.155000000000001</v>
      </c>
      <c r="BH24" s="57">
        <v>750.86</v>
      </c>
      <c r="BI24" s="57">
        <v>5527</v>
      </c>
      <c r="BJ24" s="57">
        <v>6276.3</v>
      </c>
      <c r="BK24" s="57">
        <v>6277.4</v>
      </c>
      <c r="BL24" s="37"/>
      <c r="BM24" s="37"/>
      <c r="BN24" s="37"/>
      <c r="BO24" s="37"/>
      <c r="BY24" s="37"/>
      <c r="BZ24" s="37"/>
      <c r="CA24" s="37"/>
      <c r="CB24" s="37"/>
      <c r="CC24" s="61">
        <v>1.2</v>
      </c>
      <c r="CD24" s="62">
        <v>0.9987156578065669</v>
      </c>
      <c r="CE24" s="62">
        <v>0.99434144888690346</v>
      </c>
      <c r="CF24" s="62">
        <v>0.97799865981684164</v>
      </c>
      <c r="CG24" s="62">
        <f t="shared" si="9"/>
        <v>0.78682203191903466</v>
      </c>
      <c r="CH24" s="62">
        <f t="shared" si="10"/>
        <v>0.80248112105877767</v>
      </c>
      <c r="CI24" s="62">
        <f t="shared" si="11"/>
        <v>0.8165184896847022</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0.79933819903983383</v>
      </c>
      <c r="CH25" s="62">
        <f t="shared" si="10"/>
        <v>0.81388108213312571</v>
      </c>
      <c r="CI25" s="62">
        <f t="shared" si="11"/>
        <v>0.82935779161800949</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1234400</v>
      </c>
      <c r="AL26" s="57">
        <v>7707</v>
      </c>
      <c r="AM26" s="57">
        <v>7707</v>
      </c>
      <c r="AN26" s="57">
        <v>7707</v>
      </c>
      <c r="AO26" s="57">
        <v>7707</v>
      </c>
      <c r="AP26" s="57">
        <v>7707</v>
      </c>
      <c r="AQ26" s="37"/>
      <c r="AR26" s="37"/>
      <c r="AS26" s="56">
        <v>0.6</v>
      </c>
      <c r="AT26" s="37" t="s">
        <v>0</v>
      </c>
      <c r="AU26" s="57">
        <v>1234400</v>
      </c>
      <c r="AV26" s="57">
        <v>7707</v>
      </c>
      <c r="AW26" s="57">
        <v>7707</v>
      </c>
      <c r="AX26" s="57">
        <v>7707</v>
      </c>
      <c r="AY26" s="57">
        <v>7707</v>
      </c>
      <c r="AZ26" s="57">
        <v>7707</v>
      </c>
      <c r="BA26" s="37"/>
      <c r="BB26" s="37"/>
      <c r="BC26" s="37"/>
      <c r="BD26" s="56">
        <v>0.6</v>
      </c>
      <c r="BE26" s="37" t="s">
        <v>0</v>
      </c>
      <c r="BF26" s="57">
        <v>1234400</v>
      </c>
      <c r="BG26" s="57">
        <v>7707</v>
      </c>
      <c r="BH26" s="57">
        <v>7707</v>
      </c>
      <c r="BI26" s="57">
        <v>7707</v>
      </c>
      <c r="BJ26" s="57">
        <v>7707</v>
      </c>
      <c r="BK26" s="57">
        <v>7707</v>
      </c>
      <c r="BL26" s="37"/>
      <c r="BM26" s="37"/>
      <c r="BN26" s="37"/>
      <c r="BO26" s="37"/>
      <c r="BY26" s="37"/>
      <c r="BZ26" s="37"/>
      <c r="CA26" s="37"/>
      <c r="CB26" s="37"/>
      <c r="CC26" s="61">
        <v>2</v>
      </c>
      <c r="CD26" s="62">
        <v>1</v>
      </c>
      <c r="CE26" s="62">
        <v>1</v>
      </c>
      <c r="CF26" s="62">
        <v>1</v>
      </c>
      <c r="CG26" s="62">
        <f t="shared" si="9"/>
        <v>0.80938698585701307</v>
      </c>
      <c r="CH26" s="62">
        <f t="shared" si="10"/>
        <v>0.82284527053328138</v>
      </c>
      <c r="CI26" s="62">
        <f t="shared" si="11"/>
        <v>0.83559530297132478</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1220400</v>
      </c>
      <c r="AL27" s="57">
        <v>7619.6</v>
      </c>
      <c r="AM27" s="57">
        <v>7619.6</v>
      </c>
      <c r="AN27" s="57">
        <v>7619.6</v>
      </c>
      <c r="AO27" s="57">
        <v>7619.6</v>
      </c>
      <c r="AP27" s="57">
        <v>7619.6</v>
      </c>
      <c r="AQ27" s="37"/>
      <c r="AR27" s="37"/>
      <c r="AS27" s="56"/>
      <c r="AT27" s="37" t="s">
        <v>1</v>
      </c>
      <c r="AU27" s="57">
        <v>1191700</v>
      </c>
      <c r="AV27" s="57">
        <v>7440.5</v>
      </c>
      <c r="AW27" s="57">
        <v>7440.5</v>
      </c>
      <c r="AX27" s="57">
        <v>7440.5</v>
      </c>
      <c r="AY27" s="57">
        <v>7440.5</v>
      </c>
      <c r="AZ27" s="57">
        <v>7440.5</v>
      </c>
      <c r="BA27" s="37"/>
      <c r="BB27" s="37"/>
      <c r="BC27" s="37"/>
      <c r="BD27" s="56"/>
      <c r="BE27" s="37" t="s">
        <v>1</v>
      </c>
      <c r="BF27" s="57">
        <v>1125400</v>
      </c>
      <c r="BG27" s="57">
        <v>7026.5</v>
      </c>
      <c r="BH27" s="57">
        <v>7026.5</v>
      </c>
      <c r="BI27" s="57">
        <v>7026.5</v>
      </c>
      <c r="BJ27" s="57">
        <v>7026.5</v>
      </c>
      <c r="BK27" s="57">
        <v>7026.5</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13992</v>
      </c>
      <c r="AL28" s="57">
        <v>87.355000000000004</v>
      </c>
      <c r="AM28" s="57">
        <v>87.355000000000004</v>
      </c>
      <c r="AN28" s="57">
        <v>87.355000000000004</v>
      </c>
      <c r="AO28" s="57">
        <v>87.355000000000004</v>
      </c>
      <c r="AP28" s="57">
        <v>87.355000000000004</v>
      </c>
      <c r="AQ28" s="37"/>
      <c r="AR28" s="37"/>
      <c r="AS28" s="56"/>
      <c r="AT28" s="37" t="s">
        <v>2</v>
      </c>
      <c r="AU28" s="57">
        <v>42673</v>
      </c>
      <c r="AV28" s="57">
        <v>266.42</v>
      </c>
      <c r="AW28" s="57">
        <v>266.42</v>
      </c>
      <c r="AX28" s="57">
        <v>266.42</v>
      </c>
      <c r="AY28" s="57">
        <v>266.42</v>
      </c>
      <c r="AZ28" s="57">
        <v>266.42</v>
      </c>
      <c r="BA28" s="37"/>
      <c r="BB28" s="37"/>
      <c r="BC28" s="37"/>
      <c r="BD28" s="56"/>
      <c r="BE28" s="37" t="s">
        <v>2</v>
      </c>
      <c r="BF28" s="57">
        <v>108960</v>
      </c>
      <c r="BG28" s="57">
        <v>680.3</v>
      </c>
      <c r="BH28" s="57">
        <v>680.3</v>
      </c>
      <c r="BI28" s="57">
        <v>680.3</v>
      </c>
      <c r="BJ28" s="57">
        <v>680.3</v>
      </c>
      <c r="BK28" s="57">
        <v>680.3</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1220200</v>
      </c>
      <c r="AL29" s="57">
        <v>7566.8</v>
      </c>
      <c r="AM29" s="57">
        <v>6965.1</v>
      </c>
      <c r="AN29" s="57">
        <v>2784.7</v>
      </c>
      <c r="AO29" s="57">
        <v>21.876999999999999</v>
      </c>
      <c r="AP29" s="57">
        <v>8.9984000000000002</v>
      </c>
      <c r="AQ29" s="37"/>
      <c r="AR29" s="37"/>
      <c r="AS29" s="56"/>
      <c r="AT29" s="37" t="s">
        <v>3</v>
      </c>
      <c r="AU29" s="57">
        <v>1191400</v>
      </c>
      <c r="AV29" s="57">
        <v>7376.8</v>
      </c>
      <c r="AW29" s="57">
        <v>6671.1</v>
      </c>
      <c r="AX29" s="57">
        <v>1749.9</v>
      </c>
      <c r="AY29" s="57">
        <v>6.3338999999999999</v>
      </c>
      <c r="AZ29" s="57">
        <v>3.1286999999999998</v>
      </c>
      <c r="BA29" s="37"/>
      <c r="BB29" s="37"/>
      <c r="BC29" s="37"/>
      <c r="BD29" s="56"/>
      <c r="BE29" s="37" t="s">
        <v>3</v>
      </c>
      <c r="BF29" s="57">
        <v>1124900</v>
      </c>
      <c r="BG29" s="57">
        <v>6942.9</v>
      </c>
      <c r="BH29" s="57">
        <v>6024.1</v>
      </c>
      <c r="BI29" s="57">
        <v>678.91</v>
      </c>
      <c r="BJ29" s="57">
        <v>2.258</v>
      </c>
      <c r="BK29" s="57">
        <v>1.18</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51.279000000000003</v>
      </c>
      <c r="AM31" s="57">
        <v>653.02</v>
      </c>
      <c r="AN31" s="57">
        <v>4833.5</v>
      </c>
      <c r="AO31" s="57">
        <v>7596.3</v>
      </c>
      <c r="AP31" s="57">
        <v>7609.2</v>
      </c>
      <c r="AQ31" s="37"/>
      <c r="AR31" s="37"/>
      <c r="AS31" s="56"/>
      <c r="AT31" s="37" t="s">
        <v>5</v>
      </c>
      <c r="AU31" s="57">
        <v>1.6249999999999999E-3</v>
      </c>
      <c r="AV31" s="57">
        <v>61.4</v>
      </c>
      <c r="AW31" s="57">
        <v>766.84</v>
      </c>
      <c r="AX31" s="57">
        <v>5688.4</v>
      </c>
      <c r="AY31" s="57">
        <v>7432.1</v>
      </c>
      <c r="AZ31" s="57">
        <v>7435.3</v>
      </c>
      <c r="BA31" s="37"/>
      <c r="BB31" s="37"/>
      <c r="BC31" s="37"/>
      <c r="BD31" s="56"/>
      <c r="BE31" s="37" t="s">
        <v>5</v>
      </c>
      <c r="BF31" s="57">
        <v>0.33477000000000001</v>
      </c>
      <c r="BG31" s="57">
        <v>79.844999999999999</v>
      </c>
      <c r="BH31" s="57">
        <v>998.08</v>
      </c>
      <c r="BI31" s="57">
        <v>6344.1</v>
      </c>
      <c r="BJ31" s="57">
        <v>7020.9</v>
      </c>
      <c r="BK31" s="57">
        <v>7022</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1234400</v>
      </c>
      <c r="AL33" s="57">
        <v>7707</v>
      </c>
      <c r="AM33" s="57">
        <v>7707</v>
      </c>
      <c r="AN33" s="57">
        <v>7707</v>
      </c>
      <c r="AO33" s="57">
        <v>7707</v>
      </c>
      <c r="AP33" s="57">
        <v>7707</v>
      </c>
      <c r="AQ33" s="37"/>
      <c r="AR33" s="37"/>
      <c r="AS33" s="56">
        <v>0.8</v>
      </c>
      <c r="AT33" s="37" t="s">
        <v>0</v>
      </c>
      <c r="AU33" s="57">
        <v>1234400</v>
      </c>
      <c r="AV33" s="57">
        <v>7707</v>
      </c>
      <c r="AW33" s="57">
        <v>7707</v>
      </c>
      <c r="AX33" s="57">
        <v>7707</v>
      </c>
      <c r="AY33" s="57">
        <v>7707</v>
      </c>
      <c r="AZ33" s="57">
        <v>7707</v>
      </c>
      <c r="BA33" s="37"/>
      <c r="BB33" s="37"/>
      <c r="BC33" s="37"/>
      <c r="BD33" s="56">
        <v>0.8</v>
      </c>
      <c r="BE33" s="37" t="s">
        <v>0</v>
      </c>
      <c r="BF33" s="57">
        <v>1234400</v>
      </c>
      <c r="BG33" s="57">
        <v>7707</v>
      </c>
      <c r="BH33" s="57">
        <v>7707</v>
      </c>
      <c r="BI33" s="57">
        <v>7707</v>
      </c>
      <c r="BJ33" s="57">
        <v>7707</v>
      </c>
      <c r="BK33" s="57">
        <v>7707</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1229500</v>
      </c>
      <c r="AL34" s="57">
        <v>7676.5</v>
      </c>
      <c r="AM34" s="57">
        <v>7676.5</v>
      </c>
      <c r="AN34" s="57">
        <v>7676.5</v>
      </c>
      <c r="AO34" s="57">
        <v>7676.5</v>
      </c>
      <c r="AP34" s="57">
        <v>7676.5</v>
      </c>
      <c r="AQ34" s="37"/>
      <c r="AR34" s="37"/>
      <c r="AS34" s="56"/>
      <c r="AT34" s="37" t="s">
        <v>1</v>
      </c>
      <c r="AU34" s="57">
        <v>1220800</v>
      </c>
      <c r="AV34" s="57">
        <v>7621.8</v>
      </c>
      <c r="AW34" s="57">
        <v>7621.8</v>
      </c>
      <c r="AX34" s="57">
        <v>7621.8</v>
      </c>
      <c r="AY34" s="57">
        <v>7621.8</v>
      </c>
      <c r="AZ34" s="57">
        <v>7621.8</v>
      </c>
      <c r="BA34" s="37"/>
      <c r="BB34" s="37"/>
      <c r="BC34" s="37"/>
      <c r="BD34" s="56"/>
      <c r="BE34" s="37" t="s">
        <v>1</v>
      </c>
      <c r="BF34" s="57">
        <v>1184200</v>
      </c>
      <c r="BG34" s="57">
        <v>7393.4</v>
      </c>
      <c r="BH34" s="57">
        <v>7393.4</v>
      </c>
      <c r="BI34" s="57">
        <v>7393.4</v>
      </c>
      <c r="BJ34" s="57">
        <v>7393.4</v>
      </c>
      <c r="BK34" s="57">
        <v>7393.4</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4881.6000000000004</v>
      </c>
      <c r="AL35" s="57">
        <v>30.478000000000002</v>
      </c>
      <c r="AM35" s="57">
        <v>30.478000000000002</v>
      </c>
      <c r="AN35" s="57">
        <v>30.478000000000002</v>
      </c>
      <c r="AO35" s="57">
        <v>30.478000000000002</v>
      </c>
      <c r="AP35" s="57">
        <v>30.478000000000002</v>
      </c>
      <c r="AQ35" s="37"/>
      <c r="AR35" s="37"/>
      <c r="AS35" s="56"/>
      <c r="AT35" s="37" t="s">
        <v>2</v>
      </c>
      <c r="AU35" s="57">
        <v>13645</v>
      </c>
      <c r="AV35" s="57">
        <v>85.19</v>
      </c>
      <c r="AW35" s="57">
        <v>85.19</v>
      </c>
      <c r="AX35" s="57">
        <v>85.19</v>
      </c>
      <c r="AY35" s="57">
        <v>85.19</v>
      </c>
      <c r="AZ35" s="57">
        <v>85.19</v>
      </c>
      <c r="BA35" s="37"/>
      <c r="BB35" s="37"/>
      <c r="BC35" s="37"/>
      <c r="BD35" s="56"/>
      <c r="BE35" s="37" t="s">
        <v>2</v>
      </c>
      <c r="BF35" s="57">
        <v>50227</v>
      </c>
      <c r="BG35" s="57">
        <v>313.58999999999997</v>
      </c>
      <c r="BH35" s="57">
        <v>313.58999999999997</v>
      </c>
      <c r="BI35" s="57">
        <v>313.58999999999997</v>
      </c>
      <c r="BJ35" s="57">
        <v>313.58999999999997</v>
      </c>
      <c r="BK35" s="57">
        <v>313.58999999999997</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1229300</v>
      </c>
      <c r="AL36" s="57">
        <v>7607.7</v>
      </c>
      <c r="AM36" s="57">
        <v>6856.4</v>
      </c>
      <c r="AN36" s="57">
        <v>2358.9</v>
      </c>
      <c r="AO36" s="57">
        <v>21.716999999999999</v>
      </c>
      <c r="AP36" s="57">
        <v>10.067</v>
      </c>
      <c r="AQ36" s="37"/>
      <c r="AR36" s="37"/>
      <c r="AS36" s="56"/>
      <c r="AT36" s="37" t="s">
        <v>3</v>
      </c>
      <c r="AU36" s="57">
        <v>1220400</v>
      </c>
      <c r="AV36" s="57">
        <v>7537.8</v>
      </c>
      <c r="AW36" s="57">
        <v>6658</v>
      </c>
      <c r="AX36" s="57">
        <v>1376.8</v>
      </c>
      <c r="AY36" s="57">
        <v>5.1074999999999999</v>
      </c>
      <c r="AZ36" s="57">
        <v>3.2170000000000001</v>
      </c>
      <c r="BA36" s="37"/>
      <c r="BB36" s="37"/>
      <c r="BC36" s="37"/>
      <c r="BD36" s="56"/>
      <c r="BE36" s="37" t="s">
        <v>3</v>
      </c>
      <c r="BF36" s="57">
        <v>1183700</v>
      </c>
      <c r="BG36" s="57">
        <v>7287.3</v>
      </c>
      <c r="BH36" s="57">
        <v>6183.3</v>
      </c>
      <c r="BI36" s="57">
        <v>606.38</v>
      </c>
      <c r="BJ36" s="57">
        <v>2.2886000000000002</v>
      </c>
      <c r="BK36" s="57">
        <v>1.2919</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67.332999999999998</v>
      </c>
      <c r="AM38" s="57">
        <v>818.43</v>
      </c>
      <c r="AN38" s="57">
        <v>5316.1</v>
      </c>
      <c r="AO38" s="57">
        <v>7653.4</v>
      </c>
      <c r="AP38" s="57">
        <v>7665</v>
      </c>
      <c r="AQ38" s="37"/>
      <c r="AR38" s="37"/>
      <c r="AS38" s="56"/>
      <c r="AT38" s="37" t="s">
        <v>5</v>
      </c>
      <c r="AU38" s="57">
        <v>3.3048000000000001E-3</v>
      </c>
      <c r="AV38" s="57">
        <v>81.349999999999994</v>
      </c>
      <c r="AW38" s="57">
        <v>960.83</v>
      </c>
      <c r="AX38" s="57">
        <v>6242.5</v>
      </c>
      <c r="AY38" s="57">
        <v>7614.3</v>
      </c>
      <c r="AZ38" s="57">
        <v>7616.2</v>
      </c>
      <c r="BA38" s="37"/>
      <c r="BB38" s="37"/>
      <c r="BC38" s="37"/>
      <c r="BD38" s="56"/>
      <c r="BE38" s="37" t="s">
        <v>5</v>
      </c>
      <c r="BF38" s="57">
        <v>0.32096999999999998</v>
      </c>
      <c r="BG38" s="57">
        <v>102.07</v>
      </c>
      <c r="BH38" s="57">
        <v>1205.5999999999999</v>
      </c>
      <c r="BI38" s="57">
        <v>6783.4</v>
      </c>
      <c r="BJ38" s="57">
        <v>7387.5</v>
      </c>
      <c r="BK38" s="57">
        <v>7388.5</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1234400</v>
      </c>
      <c r="AL40" s="57">
        <v>7707</v>
      </c>
      <c r="AM40" s="57">
        <v>7707</v>
      </c>
      <c r="AN40" s="57">
        <v>7707</v>
      </c>
      <c r="AO40" s="57">
        <v>7707</v>
      </c>
      <c r="AP40" s="57">
        <v>7707</v>
      </c>
      <c r="AQ40" s="37"/>
      <c r="AR40" s="37"/>
      <c r="AS40" s="56">
        <v>1</v>
      </c>
      <c r="AT40" s="37" t="s">
        <v>0</v>
      </c>
      <c r="AU40" s="57">
        <v>1234400</v>
      </c>
      <c r="AV40" s="57">
        <v>7707</v>
      </c>
      <c r="AW40" s="57">
        <v>7707</v>
      </c>
      <c r="AX40" s="57">
        <v>7707</v>
      </c>
      <c r="AY40" s="57">
        <v>7707</v>
      </c>
      <c r="AZ40" s="57">
        <v>7707</v>
      </c>
      <c r="BA40" s="37"/>
      <c r="BB40" s="37"/>
      <c r="BC40" s="37"/>
      <c r="BD40" s="56">
        <v>1</v>
      </c>
      <c r="BE40" s="37" t="s">
        <v>0</v>
      </c>
      <c r="BF40" s="57">
        <v>1234400</v>
      </c>
      <c r="BG40" s="57">
        <v>7707</v>
      </c>
      <c r="BH40" s="57">
        <v>7707</v>
      </c>
      <c r="BI40" s="57">
        <v>7707</v>
      </c>
      <c r="BJ40" s="57">
        <v>7707</v>
      </c>
      <c r="BK40" s="57">
        <v>7707</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1232500</v>
      </c>
      <c r="AL41" s="57">
        <v>7694.9</v>
      </c>
      <c r="AM41" s="57">
        <v>7694.9</v>
      </c>
      <c r="AN41" s="57">
        <v>7694.9</v>
      </c>
      <c r="AO41" s="57">
        <v>7694.9</v>
      </c>
      <c r="AP41" s="57">
        <v>7694.9</v>
      </c>
      <c r="AQ41" s="37"/>
      <c r="AR41" s="37"/>
      <c r="AS41" s="56"/>
      <c r="AT41" s="37" t="s">
        <v>1</v>
      </c>
      <c r="AU41" s="57">
        <v>1229900</v>
      </c>
      <c r="AV41" s="57">
        <v>7679</v>
      </c>
      <c r="AW41" s="57">
        <v>7679</v>
      </c>
      <c r="AX41" s="57">
        <v>7679</v>
      </c>
      <c r="AY41" s="57">
        <v>7679</v>
      </c>
      <c r="AZ41" s="57">
        <v>7679</v>
      </c>
      <c r="BA41" s="37"/>
      <c r="BB41" s="37"/>
      <c r="BC41" s="37"/>
      <c r="BD41" s="56"/>
      <c r="BE41" s="37" t="s">
        <v>1</v>
      </c>
      <c r="BF41" s="57">
        <v>1212000</v>
      </c>
      <c r="BG41" s="57">
        <v>7567.1</v>
      </c>
      <c r="BH41" s="57">
        <v>7567.1</v>
      </c>
      <c r="BI41" s="57">
        <v>7567.1</v>
      </c>
      <c r="BJ41" s="57">
        <v>7567.1</v>
      </c>
      <c r="BK41" s="57">
        <v>7567.1</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1938.5</v>
      </c>
      <c r="AL42" s="57">
        <v>12.103</v>
      </c>
      <c r="AM42" s="57">
        <v>12.103</v>
      </c>
      <c r="AN42" s="57">
        <v>12.103</v>
      </c>
      <c r="AO42" s="57">
        <v>12.103</v>
      </c>
      <c r="AP42" s="57">
        <v>12.103</v>
      </c>
      <c r="AQ42" s="37"/>
      <c r="AR42" s="37"/>
      <c r="AS42" s="56"/>
      <c r="AT42" s="37" t="s">
        <v>2</v>
      </c>
      <c r="AU42" s="57">
        <v>4481</v>
      </c>
      <c r="AV42" s="57">
        <v>27.975999999999999</v>
      </c>
      <c r="AW42" s="57">
        <v>27.975999999999999</v>
      </c>
      <c r="AX42" s="57">
        <v>27.975999999999999</v>
      </c>
      <c r="AY42" s="57">
        <v>27.975999999999999</v>
      </c>
      <c r="AZ42" s="57">
        <v>27.975999999999999</v>
      </c>
      <c r="BA42" s="37"/>
      <c r="BB42" s="37"/>
      <c r="BC42" s="37"/>
      <c r="BD42" s="56"/>
      <c r="BE42" s="37" t="s">
        <v>2</v>
      </c>
      <c r="BF42" s="57">
        <v>22401</v>
      </c>
      <c r="BG42" s="57">
        <v>139.86000000000001</v>
      </c>
      <c r="BH42" s="57">
        <v>139.86000000000001</v>
      </c>
      <c r="BI42" s="57">
        <v>139.86000000000001</v>
      </c>
      <c r="BJ42" s="57">
        <v>139.86000000000001</v>
      </c>
      <c r="BK42" s="57">
        <v>139.86000000000001</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1232300</v>
      </c>
      <c r="AL43" s="57">
        <v>7610.1</v>
      </c>
      <c r="AM43" s="57">
        <v>6722.4</v>
      </c>
      <c r="AN43" s="57">
        <v>2023.7</v>
      </c>
      <c r="AO43" s="57">
        <v>20.350000000000001</v>
      </c>
      <c r="AP43" s="57">
        <v>9.8824000000000005</v>
      </c>
      <c r="AQ43" s="37"/>
      <c r="AR43" s="37"/>
      <c r="AS43" s="56"/>
      <c r="AT43" s="37" t="s">
        <v>3</v>
      </c>
      <c r="AU43" s="57">
        <v>1229600</v>
      </c>
      <c r="AV43" s="57">
        <v>7580.2</v>
      </c>
      <c r="AW43" s="57">
        <v>6575.9</v>
      </c>
      <c r="AX43" s="57">
        <v>1254.9000000000001</v>
      </c>
      <c r="AY43" s="57">
        <v>6.3791000000000002</v>
      </c>
      <c r="AZ43" s="57">
        <v>3.8136000000000001</v>
      </c>
      <c r="BA43" s="37"/>
      <c r="BB43" s="37"/>
      <c r="BC43" s="37"/>
      <c r="BD43" s="56"/>
      <c r="BE43" s="37" t="s">
        <v>3</v>
      </c>
      <c r="BF43" s="57">
        <v>1211500</v>
      </c>
      <c r="BG43" s="57">
        <v>7440.1</v>
      </c>
      <c r="BH43" s="57">
        <v>6177.7</v>
      </c>
      <c r="BI43" s="57">
        <v>533.86</v>
      </c>
      <c r="BJ43" s="57">
        <v>2.3170000000000002</v>
      </c>
      <c r="BK43" s="57">
        <v>1.3525</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83.122</v>
      </c>
      <c r="AM45" s="57">
        <v>970.63</v>
      </c>
      <c r="AN45" s="57">
        <v>5669.7</v>
      </c>
      <c r="AO45" s="57">
        <v>7673</v>
      </c>
      <c r="AP45" s="57">
        <v>7683.5</v>
      </c>
      <c r="AQ45" s="37"/>
      <c r="AR45" s="37"/>
      <c r="AS45" s="56"/>
      <c r="AT45" s="37" t="s">
        <v>5</v>
      </c>
      <c r="AU45" s="57">
        <v>0</v>
      </c>
      <c r="AV45" s="57">
        <v>96.274000000000001</v>
      </c>
      <c r="AW45" s="57">
        <v>1100.4000000000001</v>
      </c>
      <c r="AX45" s="57">
        <v>6421.9</v>
      </c>
      <c r="AY45" s="57">
        <v>7670.4</v>
      </c>
      <c r="AZ45" s="57">
        <v>7673</v>
      </c>
      <c r="BA45" s="37"/>
      <c r="BB45" s="37"/>
      <c r="BC45" s="37"/>
      <c r="BD45" s="56"/>
      <c r="BE45" s="37" t="s">
        <v>5</v>
      </c>
      <c r="BF45" s="57">
        <v>0.34431</v>
      </c>
      <c r="BG45" s="57">
        <v>122.95</v>
      </c>
      <c r="BH45" s="57">
        <v>1385</v>
      </c>
      <c r="BI45" s="57">
        <v>7029.6</v>
      </c>
      <c r="BJ45" s="57">
        <v>7561.2</v>
      </c>
      <c r="BK45" s="57">
        <v>7562.2</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1234400</v>
      </c>
      <c r="AL47" s="57">
        <v>7707</v>
      </c>
      <c r="AM47" s="57">
        <v>7707</v>
      </c>
      <c r="AN47" s="57">
        <v>7707</v>
      </c>
      <c r="AO47" s="57">
        <v>7707</v>
      </c>
      <c r="AP47" s="57">
        <v>7707</v>
      </c>
      <c r="AQ47" s="37"/>
      <c r="AR47" s="37"/>
      <c r="AS47" s="56">
        <v>1.2</v>
      </c>
      <c r="AT47" s="37" t="s">
        <v>0</v>
      </c>
      <c r="AU47" s="57">
        <v>1234400</v>
      </c>
      <c r="AV47" s="57">
        <v>7707</v>
      </c>
      <c r="AW47" s="57">
        <v>7707</v>
      </c>
      <c r="AX47" s="57">
        <v>7707</v>
      </c>
      <c r="AY47" s="57">
        <v>7707</v>
      </c>
      <c r="AZ47" s="57">
        <v>7707</v>
      </c>
      <c r="BA47" s="37"/>
      <c r="BB47" s="37"/>
      <c r="BC47" s="37"/>
      <c r="BD47" s="56">
        <v>1.2</v>
      </c>
      <c r="BE47" s="37" t="s">
        <v>0</v>
      </c>
      <c r="BF47" s="57">
        <v>1234400</v>
      </c>
      <c r="BG47" s="57">
        <v>7707</v>
      </c>
      <c r="BH47" s="57">
        <v>7707</v>
      </c>
      <c r="BI47" s="57">
        <v>7707</v>
      </c>
      <c r="BJ47" s="57">
        <v>7707</v>
      </c>
      <c r="BK47" s="57">
        <v>7707</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1234300</v>
      </c>
      <c r="AL48" s="57">
        <v>7706.6</v>
      </c>
      <c r="AM48" s="57">
        <v>7706.6</v>
      </c>
      <c r="AN48" s="57">
        <v>7706.6</v>
      </c>
      <c r="AO48" s="57">
        <v>7706.6</v>
      </c>
      <c r="AP48" s="57">
        <v>7706.6</v>
      </c>
      <c r="AQ48" s="37"/>
      <c r="AR48" s="37"/>
      <c r="AS48" s="56"/>
      <c r="AT48" s="37" t="s">
        <v>1</v>
      </c>
      <c r="AU48" s="57">
        <v>1232200</v>
      </c>
      <c r="AV48" s="57">
        <v>7693.5</v>
      </c>
      <c r="AW48" s="57">
        <v>7693.5</v>
      </c>
      <c r="AX48" s="57">
        <v>7693.5</v>
      </c>
      <c r="AY48" s="57">
        <v>7693.5</v>
      </c>
      <c r="AZ48" s="57">
        <v>7693.5</v>
      </c>
      <c r="BA48" s="37"/>
      <c r="BB48" s="37"/>
      <c r="BC48" s="37"/>
      <c r="BD48" s="56"/>
      <c r="BE48" s="37" t="s">
        <v>1</v>
      </c>
      <c r="BF48" s="57">
        <v>1226800</v>
      </c>
      <c r="BG48" s="57">
        <v>7659.5</v>
      </c>
      <c r="BH48" s="57">
        <v>7659.5</v>
      </c>
      <c r="BI48" s="57">
        <v>7659.5</v>
      </c>
      <c r="BJ48" s="57">
        <v>7659.5</v>
      </c>
      <c r="BK48" s="57">
        <v>7659.5</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59.594999999999999</v>
      </c>
      <c r="AL49" s="57">
        <v>0.37207000000000001</v>
      </c>
      <c r="AM49" s="57">
        <v>0.37207000000000001</v>
      </c>
      <c r="AN49" s="57">
        <v>0.37207000000000001</v>
      </c>
      <c r="AO49" s="57">
        <v>0.37207000000000001</v>
      </c>
      <c r="AP49" s="57">
        <v>0.37207000000000001</v>
      </c>
      <c r="AQ49" s="37"/>
      <c r="AR49" s="37"/>
      <c r="AS49" s="56"/>
      <c r="AT49" s="37" t="s">
        <v>2</v>
      </c>
      <c r="AU49" s="57">
        <v>2154.4</v>
      </c>
      <c r="AV49" s="57">
        <v>13.45</v>
      </c>
      <c r="AW49" s="57">
        <v>13.45</v>
      </c>
      <c r="AX49" s="57">
        <v>13.45</v>
      </c>
      <c r="AY49" s="57">
        <v>13.45</v>
      </c>
      <c r="AZ49" s="57">
        <v>13.45</v>
      </c>
      <c r="BA49" s="37"/>
      <c r="BB49" s="37"/>
      <c r="BC49" s="37"/>
      <c r="BD49" s="56"/>
      <c r="BE49" s="37" t="s">
        <v>2</v>
      </c>
      <c r="BF49" s="57">
        <v>7610.7</v>
      </c>
      <c r="BG49" s="57">
        <v>47.517000000000003</v>
      </c>
      <c r="BH49" s="57">
        <v>47.517000000000003</v>
      </c>
      <c r="BI49" s="57">
        <v>47.517000000000003</v>
      </c>
      <c r="BJ49" s="57">
        <v>47.517000000000003</v>
      </c>
      <c r="BK49" s="57">
        <v>47.517000000000003</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1234100</v>
      </c>
      <c r="AL50" s="57">
        <v>7606.4</v>
      </c>
      <c r="AM50" s="57">
        <v>6589.9</v>
      </c>
      <c r="AN50" s="57">
        <v>1761.6</v>
      </c>
      <c r="AO50" s="57">
        <v>19.158000000000001</v>
      </c>
      <c r="AP50" s="57">
        <v>10.423</v>
      </c>
      <c r="AQ50" s="37"/>
      <c r="AR50" s="37"/>
      <c r="AS50" s="56"/>
      <c r="AT50" s="37" t="s">
        <v>3</v>
      </c>
      <c r="AU50" s="57">
        <v>1232000</v>
      </c>
      <c r="AV50" s="57">
        <v>7575.6</v>
      </c>
      <c r="AW50" s="57">
        <v>6427.5</v>
      </c>
      <c r="AX50" s="57">
        <v>1072.4000000000001</v>
      </c>
      <c r="AY50" s="57">
        <v>5.9401000000000002</v>
      </c>
      <c r="AZ50" s="57">
        <v>3.7869999999999999</v>
      </c>
      <c r="BA50" s="37"/>
      <c r="BB50" s="37"/>
      <c r="BC50" s="37"/>
      <c r="BD50" s="56"/>
      <c r="BE50" s="37" t="s">
        <v>3</v>
      </c>
      <c r="BF50" s="57">
        <v>1226300</v>
      </c>
      <c r="BG50" s="57">
        <v>7511.4</v>
      </c>
      <c r="BH50" s="57">
        <v>6102.8</v>
      </c>
      <c r="BI50" s="57">
        <v>471.66</v>
      </c>
      <c r="BJ50" s="57">
        <v>2.2124000000000001</v>
      </c>
      <c r="BK50" s="57">
        <v>1.4215</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98.647999999999996</v>
      </c>
      <c r="AM52" s="57">
        <v>1115</v>
      </c>
      <c r="AN52" s="57">
        <v>5943.6</v>
      </c>
      <c r="AO52" s="57">
        <v>7686.1</v>
      </c>
      <c r="AP52" s="57">
        <v>7694.8</v>
      </c>
      <c r="AQ52" s="37"/>
      <c r="AR52" s="37"/>
      <c r="AS52" s="56"/>
      <c r="AT52" s="37" t="s">
        <v>5</v>
      </c>
      <c r="AU52" s="57">
        <v>1.6092000000000001E-3</v>
      </c>
      <c r="AV52" s="57">
        <v>115.34</v>
      </c>
      <c r="AW52" s="57">
        <v>1263.4000000000001</v>
      </c>
      <c r="AX52" s="57">
        <v>6618.9</v>
      </c>
      <c r="AY52" s="57">
        <v>7685.4</v>
      </c>
      <c r="AZ52" s="57">
        <v>7687.6</v>
      </c>
      <c r="BA52" s="37"/>
      <c r="BB52" s="37"/>
      <c r="BC52" s="37"/>
      <c r="BD52" s="56"/>
      <c r="BE52" s="37" t="s">
        <v>5</v>
      </c>
      <c r="BF52" s="57">
        <v>0.33313999999999999</v>
      </c>
      <c r="BG52" s="57">
        <v>143.86000000000001</v>
      </c>
      <c r="BH52" s="57">
        <v>1552.4</v>
      </c>
      <c r="BI52" s="57">
        <v>7184.1</v>
      </c>
      <c r="BJ52" s="57">
        <v>7653.6</v>
      </c>
      <c r="BK52" s="57">
        <v>7654.4</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1234400</v>
      </c>
      <c r="AL54" s="57">
        <v>7707</v>
      </c>
      <c r="AM54" s="57">
        <v>7707</v>
      </c>
      <c r="AN54" s="57">
        <v>7707</v>
      </c>
      <c r="AO54" s="57">
        <v>7707</v>
      </c>
      <c r="AP54" s="57">
        <v>7707</v>
      </c>
      <c r="AQ54" s="37"/>
      <c r="AR54" s="37"/>
      <c r="AS54" s="56">
        <v>1.6</v>
      </c>
      <c r="AT54" s="37" t="s">
        <v>0</v>
      </c>
      <c r="AU54" s="57">
        <v>1234400</v>
      </c>
      <c r="AV54" s="57">
        <v>7707</v>
      </c>
      <c r="AW54" s="57">
        <v>7707</v>
      </c>
      <c r="AX54" s="57">
        <v>7707</v>
      </c>
      <c r="AY54" s="57">
        <v>7707</v>
      </c>
      <c r="AZ54" s="57">
        <v>7707</v>
      </c>
      <c r="BA54" s="37"/>
      <c r="BB54" s="37"/>
      <c r="BC54" s="37"/>
      <c r="BD54" s="56">
        <v>1.6</v>
      </c>
      <c r="BE54" s="37" t="s">
        <v>0</v>
      </c>
      <c r="BF54" s="57">
        <v>1234400</v>
      </c>
      <c r="BG54" s="57">
        <v>7707</v>
      </c>
      <c r="BH54" s="57">
        <v>7707</v>
      </c>
      <c r="BI54" s="57">
        <v>7707</v>
      </c>
      <c r="BJ54" s="57">
        <v>7707</v>
      </c>
      <c r="BK54" s="57">
        <v>7707</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1234400</v>
      </c>
      <c r="AL55" s="57">
        <v>7707</v>
      </c>
      <c r="AM55" s="57">
        <v>7707</v>
      </c>
      <c r="AN55" s="57">
        <v>7707</v>
      </c>
      <c r="AO55" s="57">
        <v>7707</v>
      </c>
      <c r="AP55" s="57">
        <v>7707</v>
      </c>
      <c r="AQ55" s="37"/>
      <c r="AR55" s="37"/>
      <c r="AS55" s="56"/>
      <c r="AT55" s="37" t="s">
        <v>1</v>
      </c>
      <c r="AU55" s="57">
        <v>1234400</v>
      </c>
      <c r="AV55" s="57">
        <v>7707</v>
      </c>
      <c r="AW55" s="57">
        <v>7707</v>
      </c>
      <c r="AX55" s="57">
        <v>7707</v>
      </c>
      <c r="AY55" s="57">
        <v>7707</v>
      </c>
      <c r="AZ55" s="57">
        <v>7707</v>
      </c>
      <c r="BA55" s="37"/>
      <c r="BB55" s="37"/>
      <c r="BC55" s="37"/>
      <c r="BD55" s="56"/>
      <c r="BE55" s="37" t="s">
        <v>1</v>
      </c>
      <c r="BF55" s="57">
        <v>1233700</v>
      </c>
      <c r="BG55" s="57">
        <v>7702.5</v>
      </c>
      <c r="BH55" s="57">
        <v>7702.5</v>
      </c>
      <c r="BI55" s="57">
        <v>7702.5</v>
      </c>
      <c r="BJ55" s="57">
        <v>7702.5</v>
      </c>
      <c r="BK55" s="57">
        <v>7702.5</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714.47</v>
      </c>
      <c r="BG56" s="57">
        <v>4.4607000000000001</v>
      </c>
      <c r="BH56" s="57">
        <v>4.4607000000000001</v>
      </c>
      <c r="BI56" s="57">
        <v>4.4607000000000001</v>
      </c>
      <c r="BJ56" s="57">
        <v>4.4607000000000001</v>
      </c>
      <c r="BK56" s="57">
        <v>4.4607000000000001</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1234200</v>
      </c>
      <c r="AL57" s="57">
        <v>7577</v>
      </c>
      <c r="AM57" s="57">
        <v>6330.4</v>
      </c>
      <c r="AN57" s="57">
        <v>1389.8</v>
      </c>
      <c r="AO57" s="57">
        <v>17.43</v>
      </c>
      <c r="AP57" s="57">
        <v>11.337</v>
      </c>
      <c r="AQ57" s="37"/>
      <c r="AR57" s="37"/>
      <c r="AS57" s="56"/>
      <c r="AT57" s="37" t="s">
        <v>3</v>
      </c>
      <c r="AU57" s="57">
        <v>1234100</v>
      </c>
      <c r="AV57" s="57">
        <v>7555.7</v>
      </c>
      <c r="AW57" s="57">
        <v>6168.8</v>
      </c>
      <c r="AX57" s="57">
        <v>840.12</v>
      </c>
      <c r="AY57" s="57">
        <v>5.7046000000000001</v>
      </c>
      <c r="AZ57" s="57">
        <v>4.1719999999999997</v>
      </c>
      <c r="BA57" s="37"/>
      <c r="BB57" s="37"/>
      <c r="BC57" s="37"/>
      <c r="BD57" s="56"/>
      <c r="BE57" s="37" t="s">
        <v>3</v>
      </c>
      <c r="BF57" s="57">
        <v>1233100</v>
      </c>
      <c r="BG57" s="57">
        <v>7510.5</v>
      </c>
      <c r="BH57" s="57">
        <v>5829.8</v>
      </c>
      <c r="BI57" s="57">
        <v>371.14</v>
      </c>
      <c r="BJ57" s="57">
        <v>1.9292</v>
      </c>
      <c r="BK57" s="57">
        <v>1.3815999999999999</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128.38999999999999</v>
      </c>
      <c r="AM59" s="57">
        <v>1375</v>
      </c>
      <c r="AN59" s="57">
        <v>6315.9</v>
      </c>
      <c r="AO59" s="57">
        <v>7688.3</v>
      </c>
      <c r="AP59" s="57">
        <v>7694.4</v>
      </c>
      <c r="AQ59" s="37"/>
      <c r="AR59" s="37"/>
      <c r="AS59" s="56"/>
      <c r="AT59" s="37" t="s">
        <v>5</v>
      </c>
      <c r="AU59" s="57">
        <v>1.163E-3</v>
      </c>
      <c r="AV59" s="57">
        <v>148.72999999999999</v>
      </c>
      <c r="AW59" s="57">
        <v>1535.7</v>
      </c>
      <c r="AX59" s="57">
        <v>6864.6</v>
      </c>
      <c r="AY59" s="57">
        <v>7699</v>
      </c>
      <c r="AZ59" s="57">
        <v>7700.5</v>
      </c>
      <c r="BA59" s="37"/>
      <c r="BB59" s="37"/>
      <c r="BC59" s="37"/>
      <c r="BD59" s="56"/>
      <c r="BE59" s="37" t="s">
        <v>5</v>
      </c>
      <c r="BF59" s="57">
        <v>0.46704000000000001</v>
      </c>
      <c r="BG59" s="57">
        <v>187.41</v>
      </c>
      <c r="BH59" s="57">
        <v>1868.4</v>
      </c>
      <c r="BI59" s="57">
        <v>7327.5</v>
      </c>
      <c r="BJ59" s="57">
        <v>7696.7</v>
      </c>
      <c r="BK59" s="57">
        <v>7697.2</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1234400</v>
      </c>
      <c r="AL61" s="57">
        <v>7707</v>
      </c>
      <c r="AM61" s="57">
        <v>7707</v>
      </c>
      <c r="AN61" s="57">
        <v>7707</v>
      </c>
      <c r="AO61" s="57">
        <v>7707</v>
      </c>
      <c r="AP61" s="57">
        <v>7707</v>
      </c>
      <c r="AQ61" s="37"/>
      <c r="AR61" s="37"/>
      <c r="AS61" s="56">
        <v>2</v>
      </c>
      <c r="AT61" s="37" t="s">
        <v>0</v>
      </c>
      <c r="AU61" s="57">
        <v>1234400</v>
      </c>
      <c r="AV61" s="57">
        <v>7707</v>
      </c>
      <c r="AW61" s="57">
        <v>7707</v>
      </c>
      <c r="AX61" s="57">
        <v>7707</v>
      </c>
      <c r="AY61" s="57">
        <v>7707</v>
      </c>
      <c r="AZ61" s="57">
        <v>7707</v>
      </c>
      <c r="BA61" s="37"/>
      <c r="BB61" s="37"/>
      <c r="BC61" s="37"/>
      <c r="BD61" s="56">
        <v>2</v>
      </c>
      <c r="BE61" s="37" t="s">
        <v>0</v>
      </c>
      <c r="BF61" s="57">
        <v>1234400</v>
      </c>
      <c r="BG61" s="57">
        <v>7707</v>
      </c>
      <c r="BH61" s="57">
        <v>7707</v>
      </c>
      <c r="BI61" s="57">
        <v>7707</v>
      </c>
      <c r="BJ61" s="57">
        <v>7707</v>
      </c>
      <c r="BK61" s="57">
        <v>7707</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1234400</v>
      </c>
      <c r="AL62" s="57">
        <v>7707</v>
      </c>
      <c r="AM62" s="57">
        <v>7707</v>
      </c>
      <c r="AN62" s="57">
        <v>7707</v>
      </c>
      <c r="AO62" s="57">
        <v>7707</v>
      </c>
      <c r="AP62" s="57">
        <v>7707</v>
      </c>
      <c r="AQ62" s="37"/>
      <c r="AR62" s="37"/>
      <c r="AS62" s="37"/>
      <c r="AT62" s="37" t="s">
        <v>1</v>
      </c>
      <c r="AU62" s="57">
        <v>1234400</v>
      </c>
      <c r="AV62" s="57">
        <v>7707</v>
      </c>
      <c r="AW62" s="57">
        <v>7707</v>
      </c>
      <c r="AX62" s="57">
        <v>7707</v>
      </c>
      <c r="AY62" s="57">
        <v>7707</v>
      </c>
      <c r="AZ62" s="57">
        <v>7707</v>
      </c>
      <c r="BA62" s="37"/>
      <c r="BB62" s="37"/>
      <c r="BC62" s="37"/>
      <c r="BD62" s="37"/>
      <c r="BE62" s="37" t="s">
        <v>1</v>
      </c>
      <c r="BF62" s="57">
        <v>1234400</v>
      </c>
      <c r="BG62" s="57">
        <v>7707</v>
      </c>
      <c r="BH62" s="57">
        <v>7707</v>
      </c>
      <c r="BI62" s="57">
        <v>7707</v>
      </c>
      <c r="BJ62" s="57">
        <v>7707</v>
      </c>
      <c r="BK62" s="57">
        <v>7707</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1234200</v>
      </c>
      <c r="AL64" s="57">
        <v>7547.1</v>
      </c>
      <c r="AM64" s="57">
        <v>6089</v>
      </c>
      <c r="AN64" s="57">
        <v>1125.9000000000001</v>
      </c>
      <c r="AO64" s="57">
        <v>15.601000000000001</v>
      </c>
      <c r="AP64" s="57">
        <v>11.255000000000001</v>
      </c>
      <c r="AQ64" s="37"/>
      <c r="AR64" s="37"/>
      <c r="AS64" s="37"/>
      <c r="AT64" s="37" t="s">
        <v>3</v>
      </c>
      <c r="AU64" s="57">
        <v>1234100</v>
      </c>
      <c r="AV64" s="57">
        <v>7520.1</v>
      </c>
      <c r="AW64" s="57">
        <v>5900.2</v>
      </c>
      <c r="AX64" s="57">
        <v>661.05</v>
      </c>
      <c r="AY64" s="57">
        <v>5.1398999999999999</v>
      </c>
      <c r="AZ64" s="57">
        <v>3.9950000000000001</v>
      </c>
      <c r="BA64" s="37"/>
      <c r="BB64" s="37"/>
      <c r="BC64" s="37"/>
      <c r="BD64" s="37"/>
      <c r="BE64" s="37" t="s">
        <v>3</v>
      </c>
      <c r="BF64" s="57">
        <v>1233900</v>
      </c>
      <c r="BG64" s="57">
        <v>7483</v>
      </c>
      <c r="BH64" s="57">
        <v>5610.7</v>
      </c>
      <c r="BI64" s="57">
        <v>310.18</v>
      </c>
      <c r="BJ64" s="57">
        <v>2.0263</v>
      </c>
      <c r="BK64" s="57">
        <v>1.6168</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158.21</v>
      </c>
      <c r="AM66" s="57">
        <v>1616.3</v>
      </c>
      <c r="AN66" s="57">
        <v>6579.6</v>
      </c>
      <c r="AO66" s="57">
        <v>7690</v>
      </c>
      <c r="AP66" s="57">
        <v>7694.3</v>
      </c>
      <c r="AQ66" s="37"/>
      <c r="AR66" s="37"/>
      <c r="AS66" s="37"/>
      <c r="AT66" s="37" t="s">
        <v>5</v>
      </c>
      <c r="AU66" s="57">
        <v>2.1115000000000001E-3</v>
      </c>
      <c r="AV66" s="57">
        <v>184.17</v>
      </c>
      <c r="AW66" s="57">
        <v>1804.3</v>
      </c>
      <c r="AX66" s="57">
        <v>7043.6</v>
      </c>
      <c r="AY66" s="57">
        <v>7699.5</v>
      </c>
      <c r="AZ66" s="57">
        <v>7700.7</v>
      </c>
      <c r="BA66" s="37"/>
      <c r="BB66" s="37"/>
      <c r="BC66" s="37"/>
      <c r="BD66" s="37"/>
      <c r="BE66" s="37" t="s">
        <v>5</v>
      </c>
      <c r="BF66" s="57">
        <v>0.25575999999999999</v>
      </c>
      <c r="BG66" s="57">
        <v>219.66</v>
      </c>
      <c r="BH66" s="57">
        <v>2092.3000000000002</v>
      </c>
      <c r="BI66" s="57">
        <v>7393.3</v>
      </c>
      <c r="BJ66" s="57">
        <v>7701.4</v>
      </c>
      <c r="BK66" s="57">
        <v>7701.8</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sheetPr codeName="Sheet10"/>
  <dimension ref="A1:BP150"/>
  <sheetViews>
    <sheetView workbookViewId="0">
      <pane xSplit="8" topLeftCell="BE1" activePane="topRight" state="frozen"/>
      <selection activeCell="A7" sqref="A7"/>
      <selection pane="topRight" activeCell="AO40" sqref="AO40"/>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2.8041781450872358</v>
      </c>
      <c r="E2" t="s">
        <v>119</v>
      </c>
      <c r="G2" s="103">
        <f>C2*12</f>
        <v>33.650137741046834</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1221500</v>
      </c>
      <c r="N4" s="10">
        <v>100</v>
      </c>
      <c r="O4" s="2">
        <f>L5/$L$4</f>
        <v>0.13011051985264019</v>
      </c>
      <c r="P4" s="32">
        <v>2.5065999999999999E-3</v>
      </c>
      <c r="Q4" s="9">
        <f t="shared" ref="Q4:Q9" si="0">2/((P4/(N4*0.35))*3600)</f>
        <v>7.7572985097121387</v>
      </c>
      <c r="S4" s="7"/>
      <c r="T4" s="26">
        <v>100</v>
      </c>
      <c r="U4" s="4" t="s">
        <v>0</v>
      </c>
      <c r="V4" s="5">
        <v>1221500</v>
      </c>
      <c r="X4" s="24">
        <v>100</v>
      </c>
      <c r="Y4" s="22">
        <f>V5/$V$4</f>
        <v>0.2928776094965207</v>
      </c>
      <c r="Z4" s="33">
        <v>9.2510000000000005E-3</v>
      </c>
      <c r="AA4" s="9">
        <f t="shared" ref="AA4:AA9" si="1">2/((Z4/(X4*0.35))*3600)</f>
        <v>2.1018748723861682</v>
      </c>
      <c r="AD4" s="26">
        <v>100</v>
      </c>
      <c r="AE4" s="4" t="s">
        <v>0</v>
      </c>
      <c r="AF4" s="5">
        <v>1221500</v>
      </c>
      <c r="AH4" s="10">
        <v>100</v>
      </c>
      <c r="AI4" s="2">
        <f>AF5/$AF$4</f>
        <v>0.80209578387228819</v>
      </c>
      <c r="AJ4" s="32">
        <v>2.8707E-2</v>
      </c>
      <c r="AK4" s="9">
        <f t="shared" ref="AK4:AK9" si="2">2/((AJ4/(AH4*0.35))*3600)</f>
        <v>0.67734156980682225</v>
      </c>
      <c r="AN4" s="26">
        <v>100</v>
      </c>
      <c r="AO4" s="4" t="s">
        <v>0</v>
      </c>
      <c r="AP4" s="5">
        <v>1221500</v>
      </c>
      <c r="AR4" s="10">
        <v>100</v>
      </c>
      <c r="AS4" s="2">
        <f>AP5/AP$4</f>
        <v>0.30986492018010642</v>
      </c>
      <c r="AT4" s="32">
        <v>3.4456000000000001E-3</v>
      </c>
      <c r="AU4" s="9">
        <f t="shared" ref="AU4:AU9" si="3">2/((AT4/(AR4*0.35))*3600)</f>
        <v>5.6432680649072573</v>
      </c>
      <c r="AW4" s="7"/>
      <c r="AX4" s="26">
        <v>100</v>
      </c>
      <c r="AY4" s="4" t="s">
        <v>0</v>
      </c>
      <c r="AZ4" s="5">
        <v>1221500</v>
      </c>
      <c r="BB4" s="24">
        <v>100</v>
      </c>
      <c r="BC4" s="2">
        <f>AZ5/AZ$4</f>
        <v>0.54007367990176014</v>
      </c>
      <c r="BD4" s="33">
        <v>1.3022000000000001E-2</v>
      </c>
      <c r="BE4" s="9">
        <f t="shared" ref="BE4:BE9" si="4">2/((BD4/(BB4*0.35))*3600)</f>
        <v>1.4931995426543114</v>
      </c>
      <c r="BH4" s="26">
        <v>100</v>
      </c>
      <c r="BI4" s="4" t="s">
        <v>0</v>
      </c>
      <c r="BJ4" s="5">
        <v>1221500</v>
      </c>
      <c r="BL4" s="10">
        <v>100</v>
      </c>
      <c r="BM4" s="2">
        <f>BJ5/BJ$4</f>
        <v>0.93262382316823578</v>
      </c>
      <c r="BN4" s="32">
        <v>3.4925999999999999E-2</v>
      </c>
      <c r="BO4" s="9">
        <f t="shared" ref="BO4:BO7" si="5">2/((BN4/(BL4*0.35))*3600)</f>
        <v>0.55673264743871165</v>
      </c>
      <c r="BP4" s="12"/>
    </row>
    <row r="5" spans="1:68">
      <c r="J5" s="26"/>
      <c r="K5" s="4" t="s">
        <v>1</v>
      </c>
      <c r="L5" s="5">
        <v>158930</v>
      </c>
      <c r="N5" s="10">
        <v>200</v>
      </c>
      <c r="O5" s="2">
        <f>L12/$L$4</f>
        <v>0.23302496930004094</v>
      </c>
      <c r="P5" s="32">
        <v>4.4520999999999996E-3</v>
      </c>
      <c r="Q5" s="9">
        <f t="shared" si="0"/>
        <v>8.7349540416632365</v>
      </c>
      <c r="S5" s="7"/>
      <c r="T5" s="26"/>
      <c r="U5" s="4" t="s">
        <v>1</v>
      </c>
      <c r="V5" s="5">
        <v>357750</v>
      </c>
      <c r="X5" s="24">
        <v>200</v>
      </c>
      <c r="Y5" s="22">
        <f>V12/$V$4</f>
        <v>0.47652885796152272</v>
      </c>
      <c r="Z5" s="33">
        <v>1.5096999999999999E-2</v>
      </c>
      <c r="AA5" s="9">
        <f t="shared" si="1"/>
        <v>2.5759348803662245</v>
      </c>
      <c r="AD5" s="26"/>
      <c r="AE5" s="4" t="s">
        <v>1</v>
      </c>
      <c r="AF5" s="5">
        <v>979760</v>
      </c>
      <c r="AH5" s="10">
        <v>200</v>
      </c>
      <c r="AI5" s="2">
        <f>AF12/$AF$4</f>
        <v>0.91837904216127708</v>
      </c>
      <c r="AJ5" s="32">
        <v>3.3924999999999997E-2</v>
      </c>
      <c r="AK5" s="9">
        <f t="shared" si="2"/>
        <v>1.146319495619422</v>
      </c>
      <c r="AN5" s="26"/>
      <c r="AO5" s="4" t="s">
        <v>1</v>
      </c>
      <c r="AP5" s="5">
        <v>378500</v>
      </c>
      <c r="AR5" s="10">
        <v>200</v>
      </c>
      <c r="AS5" s="2">
        <f>AP12/AP$4</f>
        <v>0.50900532132623821</v>
      </c>
      <c r="AT5" s="32">
        <v>5.8861E-3</v>
      </c>
      <c r="AU5" s="9">
        <f t="shared" si="3"/>
        <v>6.6069025142095592</v>
      </c>
      <c r="AW5" s="7"/>
      <c r="AX5" s="26"/>
      <c r="AY5" s="4" t="s">
        <v>1</v>
      </c>
      <c r="AZ5" s="5">
        <v>659700</v>
      </c>
      <c r="BB5" s="24">
        <v>200</v>
      </c>
      <c r="BC5" s="2">
        <f>AZ12/AZ$4</f>
        <v>0.76192386410151458</v>
      </c>
      <c r="BD5" s="33">
        <v>1.9504000000000001E-2</v>
      </c>
      <c r="BE5" s="9">
        <f t="shared" si="4"/>
        <v>1.9938929906116123</v>
      </c>
      <c r="BH5" s="26"/>
      <c r="BI5" s="4" t="s">
        <v>1</v>
      </c>
      <c r="BJ5" s="5">
        <v>1139200</v>
      </c>
      <c r="BL5" s="10">
        <v>200</v>
      </c>
      <c r="BM5" s="2">
        <f>BJ12/BJ$4</f>
        <v>0.98239869013507986</v>
      </c>
      <c r="BN5" s="32">
        <v>3.8011000000000003E-2</v>
      </c>
      <c r="BO5" s="9">
        <f t="shared" si="5"/>
        <v>1.0230956535973503</v>
      </c>
      <c r="BP5" s="12"/>
    </row>
    <row r="6" spans="1:68">
      <c r="J6" s="26"/>
      <c r="K6" s="4" t="s">
        <v>2</v>
      </c>
      <c r="L6" s="5">
        <v>1062600</v>
      </c>
      <c r="N6" s="10">
        <v>400</v>
      </c>
      <c r="O6" s="2">
        <f>L19/L$4</f>
        <v>0.39890298812934916</v>
      </c>
      <c r="P6" s="32">
        <v>7.6540999999999996E-3</v>
      </c>
      <c r="Q6" s="9">
        <f t="shared" si="0"/>
        <v>10.161583697335777</v>
      </c>
      <c r="S6" s="7"/>
      <c r="T6" s="26"/>
      <c r="U6" s="4" t="s">
        <v>2</v>
      </c>
      <c r="V6" s="5">
        <v>863740</v>
      </c>
      <c r="X6" s="24">
        <v>400</v>
      </c>
      <c r="Y6" s="22">
        <f>V19/$V$4</f>
        <v>0.69954973393368813</v>
      </c>
      <c r="Z6" s="33">
        <v>2.2806E-2</v>
      </c>
      <c r="AA6" s="9">
        <f t="shared" si="1"/>
        <v>3.4104085669463204</v>
      </c>
      <c r="AD6" s="26"/>
      <c r="AE6" s="4" t="s">
        <v>2</v>
      </c>
      <c r="AF6" s="5">
        <v>241760</v>
      </c>
      <c r="AH6" s="10">
        <v>400</v>
      </c>
      <c r="AI6" s="2">
        <f>AF19/$AF$4</f>
        <v>0.97298403602128536</v>
      </c>
      <c r="AJ6" s="32">
        <v>3.7196E-2</v>
      </c>
      <c r="AK6" s="9">
        <f t="shared" si="2"/>
        <v>2.0910253193294381</v>
      </c>
      <c r="AN6" s="26"/>
      <c r="AO6" s="4" t="s">
        <v>2</v>
      </c>
      <c r="AP6" s="5">
        <v>843010</v>
      </c>
      <c r="AR6" s="10">
        <v>400</v>
      </c>
      <c r="AS6" s="2">
        <f>AP19/AP$4</f>
        <v>0.7430781825624232</v>
      </c>
      <c r="AT6" s="32">
        <v>9.3215999999999993E-3</v>
      </c>
      <c r="AU6" s="9">
        <f t="shared" si="3"/>
        <v>8.3438227104550506</v>
      </c>
      <c r="AW6" s="7"/>
      <c r="AX6" s="26"/>
      <c r="AY6" s="4" t="s">
        <v>2</v>
      </c>
      <c r="AZ6" s="5">
        <v>561880</v>
      </c>
      <c r="BB6" s="24">
        <v>400</v>
      </c>
      <c r="BC6" s="2">
        <f>AZ19/AZ$4</f>
        <v>0.92664756446991403</v>
      </c>
      <c r="BD6" s="33">
        <v>2.6377999999999999E-2</v>
      </c>
      <c r="BE6" s="9">
        <f t="shared" si="4"/>
        <v>2.9485851003782613</v>
      </c>
      <c r="BH6" s="26"/>
      <c r="BI6" s="4" t="s">
        <v>2</v>
      </c>
      <c r="BJ6" s="5">
        <v>82337</v>
      </c>
      <c r="BL6" s="10">
        <v>400</v>
      </c>
      <c r="BM6" s="2">
        <f>BJ19/BJ$4</f>
        <v>0.99713467048710602</v>
      </c>
      <c r="BN6" s="32">
        <v>3.9726999999999998E-2</v>
      </c>
      <c r="BO6" s="9">
        <f t="shared" si="5"/>
        <v>1.9578064736269483</v>
      </c>
      <c r="BP6" s="12"/>
    </row>
    <row r="7" spans="1:68">
      <c r="J7" s="26"/>
      <c r="K7" s="4" t="s">
        <v>3</v>
      </c>
      <c r="L7" s="5">
        <v>158170</v>
      </c>
      <c r="N7" s="10">
        <v>600</v>
      </c>
      <c r="O7" s="2">
        <f>L26/$L$4</f>
        <v>0.52485468686041747</v>
      </c>
      <c r="P7" s="32">
        <v>1.0312E-2</v>
      </c>
      <c r="Q7" s="9">
        <f t="shared" si="0"/>
        <v>11.313679855184898</v>
      </c>
      <c r="S7" s="7"/>
      <c r="T7" s="26"/>
      <c r="U7" s="4" t="s">
        <v>3</v>
      </c>
      <c r="V7" s="5">
        <v>357460</v>
      </c>
      <c r="X7" s="24">
        <v>600</v>
      </c>
      <c r="Y7" s="22">
        <f>V26/$V$4</f>
        <v>0.81716741711011054</v>
      </c>
      <c r="Z7" s="33">
        <v>2.7404000000000001E-2</v>
      </c>
      <c r="AA7" s="9">
        <f t="shared" si="1"/>
        <v>4.257286040967255</v>
      </c>
      <c r="AD7" s="26"/>
      <c r="AE7" s="4" t="s">
        <v>3</v>
      </c>
      <c r="AF7" s="5">
        <v>979550</v>
      </c>
      <c r="AH7" s="10">
        <v>600</v>
      </c>
      <c r="AI7" s="2">
        <f>AF26/$AF$4</f>
        <v>0.98845681539091279</v>
      </c>
      <c r="AJ7" s="32">
        <v>3.8505999999999999E-2</v>
      </c>
      <c r="AK7" s="9">
        <f t="shared" si="2"/>
        <v>3.0298308488720371</v>
      </c>
      <c r="AN7" s="26"/>
      <c r="AO7" s="4" t="s">
        <v>3</v>
      </c>
      <c r="AP7" s="5">
        <v>377320</v>
      </c>
      <c r="AR7" s="10">
        <v>600</v>
      </c>
      <c r="AS7" s="2">
        <f>AP26/AP$4</f>
        <v>0.85763405648792468</v>
      </c>
      <c r="AT7" s="32">
        <v>1.1931000000000001E-2</v>
      </c>
      <c r="AU7" s="9">
        <f t="shared" si="3"/>
        <v>9.7784482999469162</v>
      </c>
      <c r="AW7" s="7"/>
      <c r="AX7" s="26"/>
      <c r="AY7" s="4" t="s">
        <v>3</v>
      </c>
      <c r="AZ7" s="5">
        <v>659310</v>
      </c>
      <c r="BB7" s="24">
        <v>600</v>
      </c>
      <c r="BC7" s="2">
        <f>AZ26/AZ$4</f>
        <v>0.97773229635693815</v>
      </c>
      <c r="BD7" s="33">
        <v>3.0162000000000001E-2</v>
      </c>
      <c r="BE7" s="9">
        <f t="shared" si="4"/>
        <v>3.8680016798178722</v>
      </c>
      <c r="BH7" s="26"/>
      <c r="BI7" s="4" t="s">
        <v>3</v>
      </c>
      <c r="BJ7" s="5">
        <v>1139000</v>
      </c>
      <c r="BL7" s="10">
        <v>600</v>
      </c>
      <c r="BM7" s="2">
        <f>BJ26/BJ$4</f>
        <v>0.99967253376995502</v>
      </c>
      <c r="BN7" s="32">
        <v>4.0223000000000002E-2</v>
      </c>
      <c r="BO7" s="9">
        <f t="shared" si="5"/>
        <v>2.9004963992408985</v>
      </c>
      <c r="BP7" s="12"/>
    </row>
    <row r="8" spans="1:68">
      <c r="J8" s="26"/>
      <c r="K8" s="4" t="s">
        <v>4</v>
      </c>
      <c r="L8" s="5">
        <v>0</v>
      </c>
      <c r="N8" s="10">
        <v>800</v>
      </c>
      <c r="O8" s="2">
        <f>L33/$L$4</f>
        <v>0.62222677036430618</v>
      </c>
      <c r="P8" s="32">
        <v>1.2642E-2</v>
      </c>
      <c r="Q8" s="9">
        <f t="shared" si="0"/>
        <v>12.304663467454166</v>
      </c>
      <c r="S8" s="7"/>
      <c r="T8" s="26"/>
      <c r="U8" s="4" t="s">
        <v>4</v>
      </c>
      <c r="V8" s="5">
        <v>0</v>
      </c>
      <c r="X8" s="24">
        <v>800</v>
      </c>
      <c r="Y8" s="22">
        <f>V33/$V$4</f>
        <v>0.88366762177650426</v>
      </c>
      <c r="Z8" s="33">
        <v>3.0419000000000002E-2</v>
      </c>
      <c r="AA8" s="9">
        <f t="shared" si="1"/>
        <v>5.1137629624759384</v>
      </c>
      <c r="AD8" s="26"/>
      <c r="AE8" s="4" t="s">
        <v>4</v>
      </c>
      <c r="AF8" s="5">
        <v>0</v>
      </c>
      <c r="AH8" s="10">
        <v>800</v>
      </c>
      <c r="AI8" s="2">
        <f>AF33/$AF$4</f>
        <v>0.99418747441670074</v>
      </c>
      <c r="AJ8" s="32">
        <v>3.9191999999999998E-2</v>
      </c>
      <c r="AK8" s="9">
        <f t="shared" si="2"/>
        <v>3.9690639813113791</v>
      </c>
      <c r="AN8" s="26"/>
      <c r="AO8" s="4" t="s">
        <v>4</v>
      </c>
      <c r="AP8" s="5">
        <v>0</v>
      </c>
      <c r="AR8" s="10">
        <v>800</v>
      </c>
      <c r="AS8" s="2">
        <f>AP33/AP$4</f>
        <v>0.91936144085141225</v>
      </c>
      <c r="AT8" s="32">
        <v>1.4123999999999999E-2</v>
      </c>
      <c r="AU8" s="9">
        <f t="shared" si="3"/>
        <v>11.013562415431574</v>
      </c>
      <c r="AW8" s="7"/>
      <c r="AX8" s="26"/>
      <c r="AY8" s="4" t="s">
        <v>4</v>
      </c>
      <c r="AZ8" s="5">
        <v>0</v>
      </c>
      <c r="BB8" s="24">
        <v>800</v>
      </c>
      <c r="BC8" s="2">
        <f>AZ33/AZ$4</f>
        <v>0.99410560785918956</v>
      </c>
      <c r="BD8" s="33">
        <v>3.2389000000000001E-2</v>
      </c>
      <c r="BE8" s="9">
        <f t="shared" si="4"/>
        <v>4.8027279494753019</v>
      </c>
      <c r="BH8" s="26"/>
      <c r="BI8" s="4" t="s">
        <v>4</v>
      </c>
      <c r="BJ8" s="5">
        <v>0</v>
      </c>
      <c r="BL8" s="10">
        <v>800</v>
      </c>
      <c r="BM8" s="2">
        <f>BJ33/BJ$4</f>
        <v>1</v>
      </c>
      <c r="BN8" s="32">
        <v>4.0346E-2</v>
      </c>
      <c r="BO8" s="9">
        <f>2/((BN8/(BL8*0.35))*3600)</f>
        <v>3.8555384810279967</v>
      </c>
      <c r="BP8" s="12"/>
    </row>
    <row r="9" spans="1:68">
      <c r="J9" s="26"/>
      <c r="K9" s="4" t="s">
        <v>5</v>
      </c>
      <c r="L9" s="5">
        <v>0</v>
      </c>
      <c r="M9" s="1"/>
      <c r="N9" s="10">
        <v>1000</v>
      </c>
      <c r="O9" s="2">
        <f>L40/$L$4</f>
        <v>0.69816618911174788</v>
      </c>
      <c r="P9" s="32">
        <v>1.461E-2</v>
      </c>
      <c r="Q9" s="9">
        <f t="shared" si="0"/>
        <v>13.308996881892162</v>
      </c>
      <c r="S9" s="7"/>
      <c r="T9" s="26"/>
      <c r="U9" s="4" t="s">
        <v>5</v>
      </c>
      <c r="V9" s="5">
        <v>0</v>
      </c>
      <c r="W9" s="1"/>
      <c r="X9" s="24">
        <v>1000</v>
      </c>
      <c r="Y9" s="22">
        <f>V40/$V$4</f>
        <v>0.92345476872697507</v>
      </c>
      <c r="Z9" s="33">
        <v>3.2453000000000003E-2</v>
      </c>
      <c r="AA9" s="9">
        <f t="shared" si="1"/>
        <v>5.9915707159413438</v>
      </c>
      <c r="AD9" s="26"/>
      <c r="AE9" s="4" t="s">
        <v>5</v>
      </c>
      <c r="AF9" s="5">
        <v>0</v>
      </c>
      <c r="AG9" s="1"/>
      <c r="AH9" s="10">
        <v>1000</v>
      </c>
      <c r="AI9" s="2">
        <f>AF40/$AF$4</f>
        <v>0.99680720425706104</v>
      </c>
      <c r="AJ9" s="32">
        <v>3.9562E-2</v>
      </c>
      <c r="AK9" s="9">
        <f t="shared" si="2"/>
        <v>4.9149295901229575</v>
      </c>
      <c r="AN9" s="26"/>
      <c r="AO9" s="4" t="s">
        <v>5</v>
      </c>
      <c r="AP9" s="5">
        <v>0</v>
      </c>
      <c r="AQ9" s="1"/>
      <c r="AR9" s="10">
        <v>1000</v>
      </c>
      <c r="AS9" s="2">
        <f>AP40/AP$4</f>
        <v>0.95628325828898897</v>
      </c>
      <c r="AT9" s="32">
        <v>1.5904999999999999E-2</v>
      </c>
      <c r="AU9" s="9">
        <f t="shared" si="3"/>
        <v>12.225365887736212</v>
      </c>
      <c r="AW9" s="7"/>
      <c r="AX9" s="26"/>
      <c r="AY9" s="4" t="s">
        <v>5</v>
      </c>
      <c r="AZ9" s="5">
        <v>0</v>
      </c>
      <c r="BA9" s="1"/>
      <c r="BB9" s="24">
        <v>1000</v>
      </c>
      <c r="BC9" s="2">
        <f>AZ40/AZ$4</f>
        <v>0.9977896029471961</v>
      </c>
      <c r="BD9" s="33">
        <v>3.3845E-2</v>
      </c>
      <c r="BE9" s="9">
        <f t="shared" si="4"/>
        <v>5.7451453521774098</v>
      </c>
      <c r="BH9" s="26"/>
      <c r="BI9" s="4" t="s">
        <v>5</v>
      </c>
      <c r="BJ9" s="5">
        <v>0</v>
      </c>
      <c r="BK9" s="1"/>
      <c r="BL9" s="10">
        <v>1000</v>
      </c>
      <c r="BM9" s="2">
        <f>BJ40/BJ$4</f>
        <v>1</v>
      </c>
      <c r="BN9" s="32">
        <v>4.0334000000000002E-2</v>
      </c>
      <c r="BO9" s="9">
        <f t="shared" ref="BO9" si="6">2/((BN9/(BL9*0.35))*3600)</f>
        <v>4.820856955532415</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1221500</v>
      </c>
      <c r="S11" s="7"/>
      <c r="T11" s="26">
        <v>200</v>
      </c>
      <c r="U11" s="4" t="s">
        <v>0</v>
      </c>
      <c r="V11" s="5">
        <v>1221500</v>
      </c>
      <c r="AD11" s="26">
        <v>200</v>
      </c>
      <c r="AE11" s="4" t="s">
        <v>0</v>
      </c>
      <c r="AF11" s="5">
        <v>1221500</v>
      </c>
      <c r="AN11" s="26">
        <v>200</v>
      </c>
      <c r="AO11" s="4" t="s">
        <v>0</v>
      </c>
      <c r="AP11" s="5">
        <v>1221500</v>
      </c>
      <c r="AW11" s="7"/>
      <c r="AX11" s="26">
        <v>200</v>
      </c>
      <c r="AY11" s="4" t="s">
        <v>0</v>
      </c>
      <c r="AZ11" s="5">
        <v>1221500</v>
      </c>
      <c r="BH11" s="26">
        <v>200</v>
      </c>
      <c r="BI11" s="4" t="s">
        <v>0</v>
      </c>
      <c r="BJ11" s="5">
        <v>1221500</v>
      </c>
      <c r="BP11" s="12"/>
    </row>
    <row r="12" spans="1:68">
      <c r="J12" s="26"/>
      <c r="K12" s="4" t="s">
        <v>1</v>
      </c>
      <c r="L12" s="5">
        <v>284640</v>
      </c>
      <c r="S12" s="7"/>
      <c r="T12" s="26"/>
      <c r="U12" s="4" t="s">
        <v>1</v>
      </c>
      <c r="V12" s="5">
        <v>582080</v>
      </c>
      <c r="AD12" s="26"/>
      <c r="AE12" s="4" t="s">
        <v>1</v>
      </c>
      <c r="AF12" s="5">
        <v>1121800</v>
      </c>
      <c r="AN12" s="26"/>
      <c r="AO12" s="4" t="s">
        <v>1</v>
      </c>
      <c r="AP12" s="5">
        <v>621750</v>
      </c>
      <c r="AW12" s="7"/>
      <c r="AX12" s="26"/>
      <c r="AY12" s="4" t="s">
        <v>1</v>
      </c>
      <c r="AZ12" s="5">
        <v>930690</v>
      </c>
      <c r="BH12" s="26"/>
      <c r="BI12" s="4" t="s">
        <v>1</v>
      </c>
      <c r="BJ12" s="5">
        <v>1200000</v>
      </c>
      <c r="BP12" s="12"/>
    </row>
    <row r="13" spans="1:68">
      <c r="J13" s="26"/>
      <c r="K13" s="4" t="s">
        <v>2</v>
      </c>
      <c r="L13" s="5">
        <v>936930</v>
      </c>
      <c r="T13" s="26"/>
      <c r="U13" s="4" t="s">
        <v>2</v>
      </c>
      <c r="V13" s="5">
        <v>639450</v>
      </c>
      <c r="AD13" s="26"/>
      <c r="AE13" s="4" t="s">
        <v>2</v>
      </c>
      <c r="AF13" s="5">
        <v>99733</v>
      </c>
      <c r="AN13" s="26"/>
      <c r="AO13" s="4" t="s">
        <v>2</v>
      </c>
      <c r="AP13" s="5">
        <v>599880</v>
      </c>
      <c r="AX13" s="26"/>
      <c r="AY13" s="4" t="s">
        <v>2</v>
      </c>
      <c r="AZ13" s="5">
        <v>290830</v>
      </c>
      <c r="BH13" s="26"/>
      <c r="BI13" s="4" t="s">
        <v>2</v>
      </c>
      <c r="BJ13" s="5">
        <v>21556</v>
      </c>
    </row>
    <row r="14" spans="1:68">
      <c r="J14" s="26"/>
      <c r="K14" s="4" t="s">
        <v>3</v>
      </c>
      <c r="L14" s="5">
        <v>283250</v>
      </c>
      <c r="T14" s="26"/>
      <c r="U14" s="4" t="s">
        <v>3</v>
      </c>
      <c r="V14" s="5">
        <v>581520</v>
      </c>
      <c r="AD14" s="26"/>
      <c r="AE14" s="4" t="s">
        <v>3</v>
      </c>
      <c r="AF14" s="5">
        <v>1121400</v>
      </c>
      <c r="AN14" s="26"/>
      <c r="AO14" s="4" t="s">
        <v>3</v>
      </c>
      <c r="AP14" s="5">
        <v>619790</v>
      </c>
      <c r="AX14" s="26"/>
      <c r="AY14" s="4" t="s">
        <v>3</v>
      </c>
      <c r="AZ14" s="5">
        <v>930030</v>
      </c>
      <c r="BH14" s="26"/>
      <c r="BI14" s="4" t="s">
        <v>3</v>
      </c>
      <c r="BJ14" s="5">
        <v>1199600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1221500</v>
      </c>
      <c r="T18" s="26">
        <v>400</v>
      </c>
      <c r="U18" s="4" t="s">
        <v>0</v>
      </c>
      <c r="V18" s="5">
        <v>1221500</v>
      </c>
      <c r="AD18" s="26">
        <v>400</v>
      </c>
      <c r="AE18" s="4" t="s">
        <v>0</v>
      </c>
      <c r="AF18" s="5">
        <v>1221500</v>
      </c>
      <c r="AN18" s="26">
        <v>400</v>
      </c>
      <c r="AO18" s="4" t="s">
        <v>0</v>
      </c>
      <c r="AP18" s="5">
        <v>1221500</v>
      </c>
      <c r="AX18" s="26">
        <v>400</v>
      </c>
      <c r="AY18" s="4" t="s">
        <v>0</v>
      </c>
      <c r="AZ18" s="5">
        <v>1221500</v>
      </c>
      <c r="BH18" s="26">
        <v>400</v>
      </c>
      <c r="BI18" s="4" t="s">
        <v>0</v>
      </c>
      <c r="BJ18" s="5">
        <v>1221500</v>
      </c>
    </row>
    <row r="19" spans="1:62">
      <c r="J19" s="26"/>
      <c r="K19" s="4" t="s">
        <v>1</v>
      </c>
      <c r="L19" s="5">
        <v>487260</v>
      </c>
      <c r="T19" s="26"/>
      <c r="U19" s="4" t="s">
        <v>1</v>
      </c>
      <c r="V19" s="5">
        <v>854500</v>
      </c>
      <c r="AD19" s="26"/>
      <c r="AE19" s="4" t="s">
        <v>1</v>
      </c>
      <c r="AF19" s="5">
        <v>1188500</v>
      </c>
      <c r="AN19" s="26"/>
      <c r="AO19" s="4" t="s">
        <v>1</v>
      </c>
      <c r="AP19" s="5">
        <v>907670</v>
      </c>
      <c r="AX19" s="26"/>
      <c r="AY19" s="4" t="s">
        <v>1</v>
      </c>
      <c r="AZ19" s="5">
        <v>1131900</v>
      </c>
      <c r="BH19" s="26"/>
      <c r="BI19" s="4" t="s">
        <v>1</v>
      </c>
      <c r="BJ19" s="5">
        <v>1218000</v>
      </c>
    </row>
    <row r="20" spans="1:62">
      <c r="J20" s="26"/>
      <c r="K20" s="4" t="s">
        <v>2</v>
      </c>
      <c r="L20" s="5">
        <v>734330</v>
      </c>
      <c r="T20" s="26"/>
      <c r="U20" s="4" t="s">
        <v>2</v>
      </c>
      <c r="V20" s="5">
        <v>367010</v>
      </c>
      <c r="AD20" s="26"/>
      <c r="AE20" s="4" t="s">
        <v>2</v>
      </c>
      <c r="AF20" s="5">
        <v>33028</v>
      </c>
      <c r="AN20" s="26"/>
      <c r="AO20" s="4" t="s">
        <v>2</v>
      </c>
      <c r="AP20" s="5">
        <v>313920</v>
      </c>
      <c r="AX20" s="26"/>
      <c r="AY20" s="4" t="s">
        <v>2</v>
      </c>
      <c r="AZ20" s="5">
        <v>89657</v>
      </c>
      <c r="BH20" s="26"/>
      <c r="BI20" s="4" t="s">
        <v>2</v>
      </c>
      <c r="BJ20" s="5">
        <v>3494.6</v>
      </c>
    </row>
    <row r="21" spans="1:62">
      <c r="J21" s="26"/>
      <c r="K21" s="4" t="s">
        <v>3</v>
      </c>
      <c r="L21" s="5">
        <v>484900</v>
      </c>
      <c r="T21" s="26"/>
      <c r="U21" s="4" t="s">
        <v>3</v>
      </c>
      <c r="V21" s="5">
        <v>853470</v>
      </c>
      <c r="AD21" s="26"/>
      <c r="AE21" s="4" t="s">
        <v>3</v>
      </c>
      <c r="AF21" s="5">
        <v>1187700</v>
      </c>
      <c r="AN21" s="26"/>
      <c r="AO21" s="4" t="s">
        <v>3</v>
      </c>
      <c r="AP21" s="5">
        <v>904550</v>
      </c>
      <c r="AX21" s="26"/>
      <c r="AY21" s="4" t="s">
        <v>3</v>
      </c>
      <c r="AZ21" s="5">
        <v>1130800</v>
      </c>
      <c r="BH21" s="26"/>
      <c r="BI21" s="4" t="s">
        <v>3</v>
      </c>
      <c r="BJ21" s="5">
        <v>1217200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1221500</v>
      </c>
      <c r="T25" s="26">
        <v>600</v>
      </c>
      <c r="U25" s="4" t="s">
        <v>0</v>
      </c>
      <c r="V25" s="5">
        <v>1221500</v>
      </c>
      <c r="AD25" s="26">
        <v>600</v>
      </c>
      <c r="AE25" s="4" t="s">
        <v>0</v>
      </c>
      <c r="AF25" s="5">
        <v>1221500</v>
      </c>
      <c r="AN25" s="26">
        <v>600</v>
      </c>
      <c r="AO25" s="4" t="s">
        <v>0</v>
      </c>
      <c r="AP25" s="5">
        <v>1221500</v>
      </c>
      <c r="AX25" s="26">
        <v>600</v>
      </c>
      <c r="AY25" s="4" t="s">
        <v>0</v>
      </c>
      <c r="AZ25" s="5">
        <v>1221500</v>
      </c>
      <c r="BH25" s="26">
        <v>600</v>
      </c>
      <c r="BI25" s="4" t="s">
        <v>0</v>
      </c>
      <c r="BJ25" s="5">
        <v>1221500</v>
      </c>
    </row>
    <row r="26" spans="1:62">
      <c r="J26" s="26"/>
      <c r="K26" s="4" t="s">
        <v>1</v>
      </c>
      <c r="L26" s="5">
        <v>641110</v>
      </c>
      <c r="T26" s="26"/>
      <c r="U26" s="4" t="s">
        <v>1</v>
      </c>
      <c r="V26" s="5">
        <v>998170</v>
      </c>
      <c r="AD26" s="26"/>
      <c r="AE26" s="4" t="s">
        <v>1</v>
      </c>
      <c r="AF26" s="5">
        <v>1207400</v>
      </c>
      <c r="AN26" s="26"/>
      <c r="AO26" s="4" t="s">
        <v>1</v>
      </c>
      <c r="AP26" s="5">
        <v>1047600</v>
      </c>
      <c r="AX26" s="26"/>
      <c r="AY26" s="4" t="s">
        <v>1</v>
      </c>
      <c r="AZ26" s="5">
        <v>1194300</v>
      </c>
      <c r="BH26" s="26"/>
      <c r="BI26" s="4" t="s">
        <v>1</v>
      </c>
      <c r="BJ26" s="5">
        <v>1221100</v>
      </c>
    </row>
    <row r="27" spans="1:62">
      <c r="A27" s="120" t="s">
        <v>145</v>
      </c>
      <c r="J27" s="26"/>
      <c r="K27" s="4" t="s">
        <v>2</v>
      </c>
      <c r="L27" s="5">
        <v>580420</v>
      </c>
      <c r="T27" s="26"/>
      <c r="U27" s="4" t="s">
        <v>2</v>
      </c>
      <c r="V27" s="5">
        <v>223370</v>
      </c>
      <c r="AD27" s="26"/>
      <c r="AE27" s="4" t="s">
        <v>2</v>
      </c>
      <c r="AF27" s="5">
        <v>14094</v>
      </c>
      <c r="AN27" s="26"/>
      <c r="AO27" s="4" t="s">
        <v>2</v>
      </c>
      <c r="AP27" s="5">
        <v>173960</v>
      </c>
      <c r="AX27" s="26"/>
      <c r="AY27" s="4" t="s">
        <v>2</v>
      </c>
      <c r="AZ27" s="5">
        <v>27195</v>
      </c>
      <c r="BH27" s="26"/>
      <c r="BI27" s="4" t="s">
        <v>2</v>
      </c>
      <c r="BJ27" s="5">
        <v>419.06</v>
      </c>
    </row>
    <row r="28" spans="1:62">
      <c r="A28" s="199" t="str">
        <f>AH3</f>
        <v>Filter Area (ft2)</v>
      </c>
      <c r="B28" s="200" t="s">
        <v>11</v>
      </c>
      <c r="C28" s="200"/>
      <c r="D28" s="200"/>
      <c r="E28" s="200" t="s">
        <v>12</v>
      </c>
      <c r="F28" s="200"/>
      <c r="G28" s="200"/>
      <c r="H28" s="6"/>
      <c r="J28" s="26"/>
      <c r="K28" s="4" t="s">
        <v>3</v>
      </c>
      <c r="L28" s="5">
        <v>638180</v>
      </c>
      <c r="T28" s="26"/>
      <c r="U28" s="4" t="s">
        <v>3</v>
      </c>
      <c r="V28" s="5">
        <v>996690</v>
      </c>
      <c r="AD28" s="26"/>
      <c r="AE28" s="4" t="s">
        <v>3</v>
      </c>
      <c r="AF28" s="5">
        <v>1206300</v>
      </c>
      <c r="AN28" s="26"/>
      <c r="AO28" s="4" t="s">
        <v>3</v>
      </c>
      <c r="AP28" s="5">
        <v>1043700</v>
      </c>
      <c r="AX28" s="26"/>
      <c r="AY28" s="4" t="s">
        <v>3</v>
      </c>
      <c r="AZ28" s="5">
        <v>1192800</v>
      </c>
      <c r="BH28" s="26"/>
      <c r="BI28" s="4" t="s">
        <v>3</v>
      </c>
      <c r="BJ28" s="5">
        <v>1219900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0.13011051985264019</v>
      </c>
      <c r="C30" s="2">
        <f t="shared" ref="C30:C35" si="8">Y4</f>
        <v>0.2928776094965207</v>
      </c>
      <c r="D30" s="2">
        <f t="shared" ref="D30:D35" si="9">AI4</f>
        <v>0.80209578387228819</v>
      </c>
      <c r="E30" s="11">
        <f t="shared" ref="E30:E35" si="10">Q4</f>
        <v>7.7572985097121387</v>
      </c>
      <c r="F30" s="11">
        <f t="shared" ref="F30:F35" si="11">AA4</f>
        <v>2.1018748723861682</v>
      </c>
      <c r="G30" s="9">
        <f t="shared" ref="G30:G35" si="12">AK4</f>
        <v>0.67734156980682225</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0.23302496930004094</v>
      </c>
      <c r="C31" s="2">
        <f t="shared" si="8"/>
        <v>0.47652885796152272</v>
      </c>
      <c r="D31" s="2">
        <f t="shared" si="9"/>
        <v>0.91837904216127708</v>
      </c>
      <c r="E31" s="11">
        <f t="shared" si="10"/>
        <v>8.7349540416632365</v>
      </c>
      <c r="F31" s="11">
        <f t="shared" si="11"/>
        <v>2.5759348803662245</v>
      </c>
      <c r="G31" s="9">
        <f t="shared" si="12"/>
        <v>1.146319495619422</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0.39890298812934916</v>
      </c>
      <c r="C32" s="2">
        <f t="shared" si="8"/>
        <v>0.69954973393368813</v>
      </c>
      <c r="D32" s="2">
        <f t="shared" si="9"/>
        <v>0.97298403602128536</v>
      </c>
      <c r="E32" s="11">
        <f t="shared" si="10"/>
        <v>10.161583697335777</v>
      </c>
      <c r="F32" s="11">
        <f t="shared" si="11"/>
        <v>3.4104085669463204</v>
      </c>
      <c r="G32" s="9">
        <f t="shared" si="12"/>
        <v>2.0910253193294381</v>
      </c>
      <c r="H32" s="12"/>
      <c r="J32" s="26">
        <v>800</v>
      </c>
      <c r="K32" s="4" t="s">
        <v>0</v>
      </c>
      <c r="L32" s="5">
        <v>1221500</v>
      </c>
      <c r="T32" s="26">
        <v>800</v>
      </c>
      <c r="U32" s="4" t="s">
        <v>0</v>
      </c>
      <c r="V32" s="5">
        <v>1221500</v>
      </c>
      <c r="AD32" s="26">
        <v>800</v>
      </c>
      <c r="AE32" s="4" t="s">
        <v>0</v>
      </c>
      <c r="AF32" s="5">
        <v>1221500</v>
      </c>
      <c r="AN32" s="26">
        <v>800</v>
      </c>
      <c r="AO32" s="4" t="s">
        <v>0</v>
      </c>
      <c r="AP32" s="5">
        <v>1221500</v>
      </c>
      <c r="AX32" s="26">
        <v>800</v>
      </c>
      <c r="AY32" s="4" t="s">
        <v>0</v>
      </c>
      <c r="AZ32" s="5">
        <v>1221500</v>
      </c>
      <c r="BH32" s="26">
        <v>800</v>
      </c>
      <c r="BI32" s="4" t="s">
        <v>0</v>
      </c>
      <c r="BJ32" s="5">
        <v>1221500</v>
      </c>
    </row>
    <row r="33" spans="1:62">
      <c r="A33" s="10">
        <v>600</v>
      </c>
      <c r="B33" s="2">
        <f t="shared" si="7"/>
        <v>0.52485468686041747</v>
      </c>
      <c r="C33" s="2">
        <f t="shared" si="8"/>
        <v>0.81716741711011054</v>
      </c>
      <c r="D33" s="2">
        <f t="shared" si="9"/>
        <v>0.98845681539091279</v>
      </c>
      <c r="E33" s="11">
        <f t="shared" si="10"/>
        <v>11.313679855184898</v>
      </c>
      <c r="F33" s="11">
        <f t="shared" si="11"/>
        <v>4.257286040967255</v>
      </c>
      <c r="G33" s="9">
        <f t="shared" si="12"/>
        <v>3.0298308488720371</v>
      </c>
      <c r="H33" s="12"/>
      <c r="J33" s="26"/>
      <c r="K33" s="4" t="s">
        <v>1</v>
      </c>
      <c r="L33" s="5">
        <v>760050</v>
      </c>
      <c r="T33" s="26"/>
      <c r="U33" s="4" t="s">
        <v>1</v>
      </c>
      <c r="V33" s="5">
        <v>1079400</v>
      </c>
      <c r="AD33" s="26"/>
      <c r="AE33" s="4" t="s">
        <v>1</v>
      </c>
      <c r="AF33" s="5">
        <v>1214400</v>
      </c>
      <c r="AN33" s="26"/>
      <c r="AO33" s="4" t="s">
        <v>1</v>
      </c>
      <c r="AP33" s="5">
        <v>1123000</v>
      </c>
      <c r="AX33" s="26"/>
      <c r="AY33" s="4" t="s">
        <v>1</v>
      </c>
      <c r="AZ33" s="5">
        <v>1214300</v>
      </c>
      <c r="BH33" s="26"/>
      <c r="BI33" s="4" t="s">
        <v>1</v>
      </c>
      <c r="BJ33" s="5">
        <v>1221500</v>
      </c>
    </row>
    <row r="34" spans="1:62">
      <c r="A34" s="10">
        <v>800</v>
      </c>
      <c r="B34" s="2">
        <f t="shared" si="7"/>
        <v>0.62222677036430618</v>
      </c>
      <c r="C34" s="2">
        <f t="shared" si="8"/>
        <v>0.88366762177650426</v>
      </c>
      <c r="D34" s="2">
        <f t="shared" si="9"/>
        <v>0.99418747441670074</v>
      </c>
      <c r="E34" s="11">
        <f t="shared" si="10"/>
        <v>12.304663467454166</v>
      </c>
      <c r="F34" s="11">
        <f t="shared" si="11"/>
        <v>5.1137629624759384</v>
      </c>
      <c r="G34" s="9">
        <f t="shared" si="12"/>
        <v>3.9690639813113791</v>
      </c>
      <c r="H34" s="12"/>
      <c r="J34" s="26"/>
      <c r="K34" s="4" t="s">
        <v>2</v>
      </c>
      <c r="L34" s="5">
        <v>461520</v>
      </c>
      <c r="T34" s="26"/>
      <c r="U34" s="4" t="s">
        <v>2</v>
      </c>
      <c r="V34" s="5">
        <v>142140</v>
      </c>
      <c r="AD34" s="26"/>
      <c r="AE34" s="4" t="s">
        <v>2</v>
      </c>
      <c r="AF34" s="5">
        <v>7090.5</v>
      </c>
      <c r="AN34" s="26"/>
      <c r="AO34" s="4" t="s">
        <v>2</v>
      </c>
      <c r="AP34" s="5">
        <v>98538</v>
      </c>
      <c r="AX34" s="26"/>
      <c r="AY34" s="4" t="s">
        <v>2</v>
      </c>
      <c r="AZ34" s="5">
        <v>7260.3</v>
      </c>
      <c r="BH34" s="26"/>
      <c r="BI34" s="4" t="s">
        <v>2</v>
      </c>
      <c r="BJ34" s="5">
        <v>0</v>
      </c>
    </row>
    <row r="35" spans="1:62">
      <c r="A35" s="10">
        <v>1000</v>
      </c>
      <c r="B35" s="2">
        <f t="shared" si="7"/>
        <v>0.69816618911174788</v>
      </c>
      <c r="C35" s="2">
        <f t="shared" si="8"/>
        <v>0.92345476872697507</v>
      </c>
      <c r="D35" s="2">
        <f t="shared" si="9"/>
        <v>0.99680720425706104</v>
      </c>
      <c r="E35" s="11">
        <f t="shared" si="10"/>
        <v>13.308996881892162</v>
      </c>
      <c r="F35" s="11">
        <f t="shared" si="11"/>
        <v>5.9915707159413438</v>
      </c>
      <c r="G35" s="9">
        <f t="shared" si="12"/>
        <v>4.9149295901229575</v>
      </c>
      <c r="H35" s="12"/>
      <c r="J35" s="26"/>
      <c r="K35" s="4" t="s">
        <v>3</v>
      </c>
      <c r="L35" s="5">
        <v>756250</v>
      </c>
      <c r="T35" s="26"/>
      <c r="U35" s="4" t="s">
        <v>3</v>
      </c>
      <c r="V35" s="5">
        <v>1077500</v>
      </c>
      <c r="AD35" s="26"/>
      <c r="AE35" s="4" t="s">
        <v>3</v>
      </c>
      <c r="AF35" s="5">
        <v>1212900</v>
      </c>
      <c r="AN35" s="26"/>
      <c r="AO35" s="4" t="s">
        <v>3</v>
      </c>
      <c r="AP35" s="5">
        <v>1118500</v>
      </c>
      <c r="AX35" s="26"/>
      <c r="AY35" s="4" t="s">
        <v>3</v>
      </c>
      <c r="AZ35" s="5">
        <v>1212300</v>
      </c>
      <c r="BH35" s="26"/>
      <c r="BI35" s="4" t="s">
        <v>3</v>
      </c>
      <c r="BJ35" s="5">
        <v>1220000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1221500</v>
      </c>
      <c r="T39" s="26">
        <v>1000</v>
      </c>
      <c r="U39" s="4" t="s">
        <v>0</v>
      </c>
      <c r="V39" s="5">
        <v>1221500</v>
      </c>
      <c r="AD39" s="26">
        <v>1000</v>
      </c>
      <c r="AE39" s="4" t="s">
        <v>0</v>
      </c>
      <c r="AF39" s="5">
        <v>1221500</v>
      </c>
      <c r="AN39" s="26">
        <v>1000</v>
      </c>
      <c r="AO39" s="4" t="s">
        <v>0</v>
      </c>
      <c r="AP39" s="5">
        <v>1221500</v>
      </c>
      <c r="AX39" s="26">
        <v>1000</v>
      </c>
      <c r="AY39" s="4" t="s">
        <v>0</v>
      </c>
      <c r="AZ39" s="5">
        <v>1221500</v>
      </c>
      <c r="BH39" s="26">
        <v>1000</v>
      </c>
      <c r="BI39" s="4" t="s">
        <v>0</v>
      </c>
      <c r="BJ39" s="5">
        <v>1221500</v>
      </c>
    </row>
    <row r="40" spans="1:62">
      <c r="A40" s="199"/>
      <c r="B40" s="15" t="s">
        <v>15</v>
      </c>
      <c r="C40" s="15" t="s">
        <v>14</v>
      </c>
      <c r="D40" s="15" t="s">
        <v>13</v>
      </c>
      <c r="E40" s="15" t="s">
        <v>15</v>
      </c>
      <c r="F40" s="15" t="s">
        <v>14</v>
      </c>
      <c r="G40" s="15" t="s">
        <v>13</v>
      </c>
      <c r="J40" s="26"/>
      <c r="K40" s="4" t="s">
        <v>1</v>
      </c>
      <c r="L40" s="5">
        <v>852810</v>
      </c>
      <c r="T40" s="26"/>
      <c r="U40" s="4" t="s">
        <v>1</v>
      </c>
      <c r="V40" s="5">
        <v>1128000</v>
      </c>
      <c r="AD40" s="26"/>
      <c r="AE40" s="4" t="s">
        <v>1</v>
      </c>
      <c r="AF40" s="5">
        <v>1217600</v>
      </c>
      <c r="AN40" s="26"/>
      <c r="AO40" s="4" t="s">
        <v>1</v>
      </c>
      <c r="AP40" s="5">
        <v>1168100</v>
      </c>
      <c r="AX40" s="26"/>
      <c r="AY40" s="4" t="s">
        <v>1</v>
      </c>
      <c r="AZ40" s="5">
        <v>1218800</v>
      </c>
      <c r="BH40" s="26"/>
      <c r="BI40" s="4" t="s">
        <v>1</v>
      </c>
      <c r="BJ40" s="5">
        <v>1221500</v>
      </c>
    </row>
    <row r="41" spans="1:62">
      <c r="A41" s="10">
        <v>100</v>
      </c>
      <c r="B41" s="2">
        <f>AS4</f>
        <v>0.30986492018010642</v>
      </c>
      <c r="C41" s="2">
        <f>BC4</f>
        <v>0.54007367990176014</v>
      </c>
      <c r="D41" s="2">
        <f>BM4</f>
        <v>0.93262382316823578</v>
      </c>
      <c r="E41" s="11">
        <f>AU4</f>
        <v>5.6432680649072573</v>
      </c>
      <c r="F41" s="11">
        <f>BE4</f>
        <v>1.4931995426543114</v>
      </c>
      <c r="G41" s="9">
        <f>BO4</f>
        <v>0.55673264743871165</v>
      </c>
      <c r="J41" s="26"/>
      <c r="K41" s="4" t="s">
        <v>2</v>
      </c>
      <c r="L41" s="5">
        <v>368730</v>
      </c>
      <c r="T41" s="26"/>
      <c r="U41" s="4" t="s">
        <v>2</v>
      </c>
      <c r="V41" s="5">
        <v>93590</v>
      </c>
      <c r="AD41" s="26"/>
      <c r="AE41" s="4" t="s">
        <v>2</v>
      </c>
      <c r="AF41" s="5">
        <v>3984</v>
      </c>
      <c r="AN41" s="26"/>
      <c r="AO41" s="4" t="s">
        <v>2</v>
      </c>
      <c r="AP41" s="5">
        <v>53432</v>
      </c>
      <c r="AX41" s="26"/>
      <c r="AY41" s="4" t="s">
        <v>2</v>
      </c>
      <c r="AZ41" s="5">
        <v>2750.1</v>
      </c>
      <c r="BH41" s="26"/>
      <c r="BI41" s="4" t="s">
        <v>2</v>
      </c>
      <c r="BJ41" s="5">
        <v>0</v>
      </c>
    </row>
    <row r="42" spans="1:62">
      <c r="A42" s="10">
        <v>200</v>
      </c>
      <c r="B42" s="2">
        <f t="shared" ref="B42:B46" si="13">AS5</f>
        <v>0.50900532132623821</v>
      </c>
      <c r="C42" s="2">
        <f t="shared" ref="C42:C46" si="14">BC5</f>
        <v>0.76192386410151458</v>
      </c>
      <c r="D42" s="2">
        <f t="shared" ref="D42:D46" si="15">BM5</f>
        <v>0.98239869013507986</v>
      </c>
      <c r="E42" s="11">
        <f t="shared" ref="E42:E46" si="16">AU5</f>
        <v>6.6069025142095592</v>
      </c>
      <c r="F42" s="11">
        <f t="shared" ref="F42:F46" si="17">BE5</f>
        <v>1.9938929906116123</v>
      </c>
      <c r="G42" s="9">
        <f t="shared" ref="G42:G46" si="18">BO5</f>
        <v>1.0230956535973503</v>
      </c>
      <c r="J42" s="26"/>
      <c r="K42" s="4" t="s">
        <v>3</v>
      </c>
      <c r="L42" s="5">
        <v>848480</v>
      </c>
      <c r="T42" s="26"/>
      <c r="U42" s="4" t="s">
        <v>3</v>
      </c>
      <c r="V42" s="5">
        <v>1125600</v>
      </c>
      <c r="AD42" s="26"/>
      <c r="AE42" s="4" t="s">
        <v>3</v>
      </c>
      <c r="AF42" s="5">
        <v>1215700</v>
      </c>
      <c r="AN42" s="26"/>
      <c r="AO42" s="4" t="s">
        <v>3</v>
      </c>
      <c r="AP42" s="5">
        <v>1163000</v>
      </c>
      <c r="AX42" s="26"/>
      <c r="AY42" s="4" t="s">
        <v>3</v>
      </c>
      <c r="AZ42" s="5">
        <v>1216400</v>
      </c>
      <c r="BH42" s="26"/>
      <c r="BI42" s="4" t="s">
        <v>3</v>
      </c>
      <c r="BJ42" s="5">
        <v>1219700</v>
      </c>
    </row>
    <row r="43" spans="1:62">
      <c r="A43" s="10">
        <v>400</v>
      </c>
      <c r="B43" s="2">
        <f t="shared" si="13"/>
        <v>0.7430781825624232</v>
      </c>
      <c r="C43" s="2">
        <f t="shared" si="14"/>
        <v>0.92664756446991403</v>
      </c>
      <c r="D43" s="2">
        <f t="shared" si="15"/>
        <v>0.99713467048710602</v>
      </c>
      <c r="E43" s="11">
        <f t="shared" si="16"/>
        <v>8.3438227104550506</v>
      </c>
      <c r="F43" s="11">
        <f t="shared" si="17"/>
        <v>2.9485851003782613</v>
      </c>
      <c r="G43" s="9">
        <f t="shared" si="18"/>
        <v>1.9578064736269483</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0.85763405648792468</v>
      </c>
      <c r="C44" s="2">
        <f t="shared" si="14"/>
        <v>0.97773229635693815</v>
      </c>
      <c r="D44" s="2">
        <f t="shared" si="15"/>
        <v>0.99967253376995502</v>
      </c>
      <c r="E44" s="11">
        <f t="shared" si="16"/>
        <v>9.7784482999469162</v>
      </c>
      <c r="F44" s="11">
        <f t="shared" si="17"/>
        <v>3.8680016798178722</v>
      </c>
      <c r="G44" s="9">
        <f t="shared" si="18"/>
        <v>2.9004963992408985</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0.91936144085141225</v>
      </c>
      <c r="C45" s="2">
        <f t="shared" si="14"/>
        <v>0.99410560785918956</v>
      </c>
      <c r="D45" s="2">
        <f t="shared" si="15"/>
        <v>1</v>
      </c>
      <c r="E45" s="11">
        <f t="shared" si="16"/>
        <v>11.013562415431574</v>
      </c>
      <c r="F45" s="11">
        <f t="shared" si="17"/>
        <v>4.8027279494753019</v>
      </c>
      <c r="G45" s="9">
        <f t="shared" si="18"/>
        <v>3.8555384810279967</v>
      </c>
      <c r="Y45"/>
      <c r="Z45"/>
      <c r="AA45"/>
      <c r="AB45"/>
      <c r="BC45"/>
      <c r="BD45"/>
      <c r="BE45"/>
      <c r="BF45"/>
    </row>
    <row r="46" spans="1:62">
      <c r="A46" s="10">
        <v>1000</v>
      </c>
      <c r="B46" s="2">
        <f t="shared" si="13"/>
        <v>0.95628325828898897</v>
      </c>
      <c r="C46" s="2">
        <f t="shared" si="14"/>
        <v>0.9977896029471961</v>
      </c>
      <c r="D46" s="2">
        <f t="shared" si="15"/>
        <v>1</v>
      </c>
      <c r="E46" s="11">
        <f t="shared" si="16"/>
        <v>12.225365887736212</v>
      </c>
      <c r="F46" s="11">
        <f t="shared" si="17"/>
        <v>5.7451453521774098</v>
      </c>
      <c r="G46" s="9">
        <f t="shared" si="18"/>
        <v>4.820856955532415</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0.30986492018010642</v>
      </c>
      <c r="C52" s="2">
        <f>C30+(($A$25-1)/3)*(C41-C30)</f>
        <v>0.54007367990176014</v>
      </c>
      <c r="D52" s="2">
        <f>D30+(($A$25-1)/3)*(D41-D30)</f>
        <v>0.93262382316823578</v>
      </c>
      <c r="E52" s="9">
        <f>E30+(($A$25-1)/3)*(E41-E30)</f>
        <v>5.6432680649072573</v>
      </c>
      <c r="F52" s="9">
        <f t="shared" ref="F52:G57" si="19">F30+(($A$25-1)/3)*(F41-F30)</f>
        <v>1.4931995426543114</v>
      </c>
      <c r="G52" s="9">
        <f t="shared" si="19"/>
        <v>0.55673264743871165</v>
      </c>
      <c r="Y52"/>
      <c r="Z52"/>
      <c r="AA52"/>
      <c r="AB52"/>
      <c r="BC52"/>
      <c r="BD52"/>
      <c r="BE52"/>
      <c r="BF52"/>
    </row>
    <row r="53" spans="1:58">
      <c r="A53" s="10">
        <v>200</v>
      </c>
      <c r="B53" s="2">
        <f t="shared" ref="B53:E57" si="20">B31+(($A$25-1)/3)*(B42-B31)</f>
        <v>0.50900532132623821</v>
      </c>
      <c r="C53" s="2">
        <f t="shared" si="20"/>
        <v>0.76192386410151458</v>
      </c>
      <c r="D53" s="2">
        <f t="shared" si="20"/>
        <v>0.98239869013507986</v>
      </c>
      <c r="E53" s="9">
        <f t="shared" si="20"/>
        <v>6.6069025142095592</v>
      </c>
      <c r="F53" s="9">
        <f t="shared" si="19"/>
        <v>1.9938929906116123</v>
      </c>
      <c r="G53" s="9">
        <f t="shared" si="19"/>
        <v>1.0230956535973503</v>
      </c>
      <c r="Y53"/>
      <c r="Z53"/>
      <c r="AA53"/>
      <c r="AB53"/>
      <c r="BC53"/>
      <c r="BD53"/>
      <c r="BE53"/>
      <c r="BF53"/>
    </row>
    <row r="54" spans="1:58">
      <c r="A54" s="10">
        <v>400</v>
      </c>
      <c r="B54" s="2">
        <f t="shared" si="20"/>
        <v>0.7430781825624232</v>
      </c>
      <c r="C54" s="2">
        <f t="shared" si="20"/>
        <v>0.92664756446991403</v>
      </c>
      <c r="D54" s="2">
        <f t="shared" si="20"/>
        <v>0.99713467048710602</v>
      </c>
      <c r="E54" s="9">
        <f t="shared" si="20"/>
        <v>8.3438227104550506</v>
      </c>
      <c r="F54" s="9">
        <f t="shared" si="19"/>
        <v>2.9485851003782613</v>
      </c>
      <c r="G54" s="9">
        <f t="shared" si="19"/>
        <v>1.9578064736269483</v>
      </c>
      <c r="Y54"/>
      <c r="Z54"/>
      <c r="AA54"/>
      <c r="AB54"/>
      <c r="BC54"/>
      <c r="BD54"/>
      <c r="BE54"/>
      <c r="BF54"/>
    </row>
    <row r="55" spans="1:58">
      <c r="A55" s="10">
        <v>600</v>
      </c>
      <c r="B55" s="2">
        <f t="shared" si="20"/>
        <v>0.85763405648792468</v>
      </c>
      <c r="C55" s="2">
        <f t="shared" si="20"/>
        <v>0.97773229635693815</v>
      </c>
      <c r="D55" s="2">
        <f t="shared" si="20"/>
        <v>0.99967253376995502</v>
      </c>
      <c r="E55" s="9">
        <f t="shared" si="20"/>
        <v>9.7784482999469162</v>
      </c>
      <c r="F55" s="9">
        <f t="shared" si="19"/>
        <v>3.8680016798178722</v>
      </c>
      <c r="G55" s="9">
        <f t="shared" si="19"/>
        <v>2.9004963992408985</v>
      </c>
      <c r="Y55"/>
      <c r="Z55"/>
      <c r="AA55"/>
      <c r="AB55"/>
      <c r="BC55"/>
      <c r="BD55"/>
      <c r="BE55"/>
      <c r="BF55"/>
    </row>
    <row r="56" spans="1:58">
      <c r="A56" s="10">
        <v>800</v>
      </c>
      <c r="B56" s="2">
        <f t="shared" si="20"/>
        <v>0.91936144085141225</v>
      </c>
      <c r="C56" s="2">
        <f t="shared" si="20"/>
        <v>0.99410560785918956</v>
      </c>
      <c r="D56" s="2">
        <f t="shared" si="20"/>
        <v>1</v>
      </c>
      <c r="E56" s="9">
        <f t="shared" si="20"/>
        <v>11.013562415431574</v>
      </c>
      <c r="F56" s="9">
        <f t="shared" si="19"/>
        <v>4.8027279494753019</v>
      </c>
      <c r="G56" s="9">
        <f t="shared" si="19"/>
        <v>3.8555384810279967</v>
      </c>
      <c r="Y56"/>
      <c r="Z56"/>
      <c r="AA56"/>
      <c r="AB56"/>
      <c r="BC56"/>
      <c r="BD56"/>
      <c r="BE56"/>
      <c r="BF56"/>
    </row>
    <row r="57" spans="1:58">
      <c r="A57" s="10">
        <v>1000</v>
      </c>
      <c r="B57" s="2">
        <f t="shared" si="20"/>
        <v>0.95628325828898897</v>
      </c>
      <c r="C57" s="2">
        <f t="shared" si="20"/>
        <v>0.9977896029471961</v>
      </c>
      <c r="D57" s="2">
        <f t="shared" si="20"/>
        <v>1</v>
      </c>
      <c r="E57" s="9">
        <f t="shared" si="20"/>
        <v>12.225365887736212</v>
      </c>
      <c r="F57" s="9">
        <f t="shared" si="19"/>
        <v>5.7451453521774098</v>
      </c>
      <c r="G57" s="9">
        <f t="shared" si="19"/>
        <v>4.820856955532415</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sheetPr codeName="Sheet11"/>
  <dimension ref="A1:DD96"/>
  <sheetViews>
    <sheetView topLeftCell="X7" zoomScale="80" zoomScaleNormal="80" workbookViewId="0">
      <selection activeCell="AL64" sqref="AL64"/>
    </sheetView>
  </sheetViews>
  <sheetFormatPr defaultRowHeight="14.4"/>
  <cols>
    <col min="2" max="2" width="17" customWidth="1"/>
    <col min="3" max="3" width="11.33203125" customWidth="1"/>
    <col min="4" max="7" width="11.88671875" customWidth="1"/>
    <col min="34" max="34" width="8.88671875" style="37"/>
    <col min="35" max="35" width="9.109375" style="37" customWidth="1"/>
    <col min="36" max="36" width="18.5546875" style="37" customWidth="1"/>
    <col min="37" max="42" width="9.109375" style="37" customWidth="1"/>
    <col min="43" max="44" width="8.88671875" style="37"/>
    <col min="45" max="45" width="9.109375" style="37" customWidth="1"/>
    <col min="46" max="46" width="18.5546875" style="37" customWidth="1"/>
    <col min="47" max="52" width="9.109375" style="37" customWidth="1"/>
    <col min="53" max="55" width="8.88671875" style="37"/>
    <col min="56" max="56" width="9.109375" style="37" customWidth="1"/>
    <col min="57" max="57" width="18.5546875" style="37" customWidth="1"/>
    <col min="58" max="63" width="9.109375" style="37" customWidth="1"/>
    <col min="64" max="67" width="8.88671875" style="37"/>
    <col min="68" max="68" width="13.88671875" style="37" customWidth="1"/>
    <col min="69" max="78" width="8.88671875" style="37"/>
    <col min="79" max="80" width="8.88671875" style="41"/>
    <col min="81" max="81" width="14" style="41" customWidth="1"/>
    <col min="82" max="86" width="8.88671875" style="41"/>
    <col min="87" max="87" width="10.33203125" style="41" customWidth="1"/>
    <col min="88" max="89" width="8.88671875" style="41"/>
    <col min="90" max="90" width="11.33203125" style="41" customWidth="1"/>
    <col min="91" max="91" width="8.88671875" style="41"/>
  </cols>
  <sheetData>
    <row r="1" spans="1:108">
      <c r="B1" s="34" t="s">
        <v>60</v>
      </c>
      <c r="C1" s="35" t="s">
        <v>61</v>
      </c>
      <c r="D1" s="35" t="s">
        <v>62</v>
      </c>
      <c r="E1" s="35" t="s">
        <v>63</v>
      </c>
      <c r="F1" s="35" t="s">
        <v>64</v>
      </c>
      <c r="G1" s="35" t="s">
        <v>65</v>
      </c>
      <c r="AE1" s="3" t="s">
        <v>17</v>
      </c>
      <c r="AF1" s="3"/>
      <c r="AJ1" s="78" t="s">
        <v>66</v>
      </c>
      <c r="AT1" s="79" t="s">
        <v>66</v>
      </c>
      <c r="BE1" s="87" t="s">
        <v>66</v>
      </c>
      <c r="BP1" s="39"/>
      <c r="BQ1" s="40"/>
      <c r="BR1" s="40"/>
      <c r="BS1" s="40"/>
      <c r="BT1" s="40"/>
      <c r="BU1" s="40"/>
    </row>
    <row r="2" spans="1:108">
      <c r="B2" s="34" t="s">
        <v>67</v>
      </c>
      <c r="C2" s="42" t="s">
        <v>68</v>
      </c>
      <c r="D2" s="43" t="s">
        <v>69</v>
      </c>
      <c r="E2" s="44" t="s">
        <v>70</v>
      </c>
      <c r="F2" s="44" t="s">
        <v>71</v>
      </c>
      <c r="G2" s="44" t="s">
        <v>72</v>
      </c>
      <c r="H2" s="45" t="s">
        <v>73</v>
      </c>
      <c r="AJ2" s="78" t="s">
        <v>74</v>
      </c>
      <c r="AT2" s="79" t="s">
        <v>75</v>
      </c>
      <c r="BE2" s="87" t="s">
        <v>76</v>
      </c>
      <c r="BP2" s="39"/>
      <c r="BQ2" s="46"/>
      <c r="BR2" s="47"/>
      <c r="BS2" s="47"/>
      <c r="BT2" s="47"/>
      <c r="BU2" s="47"/>
    </row>
    <row r="3" spans="1:108" ht="30.75" customHeight="1">
      <c r="A3" s="48" t="s">
        <v>77</v>
      </c>
      <c r="B3" s="49" t="s">
        <v>78</v>
      </c>
      <c r="C3" s="50" t="s">
        <v>79</v>
      </c>
      <c r="D3" s="50" t="s">
        <v>80</v>
      </c>
      <c r="E3" s="50" t="s">
        <v>81</v>
      </c>
      <c r="F3" s="50" t="s">
        <v>82</v>
      </c>
      <c r="G3" s="50" t="s">
        <v>83</v>
      </c>
      <c r="H3" s="51"/>
      <c r="AJ3" s="38"/>
      <c r="AT3" s="38"/>
      <c r="BE3" s="38"/>
      <c r="BP3" s="39"/>
      <c r="BQ3" s="46"/>
      <c r="BR3" s="47"/>
      <c r="BS3" s="47"/>
      <c r="BT3" s="47"/>
      <c r="BU3" s="47"/>
    </row>
    <row r="4" spans="1:108">
      <c r="A4" s="52">
        <f>IF(SUM(C4:G4)=1, 100%,"ERROR")</f>
        <v>1</v>
      </c>
      <c r="B4" s="34" t="s">
        <v>84</v>
      </c>
      <c r="C4" s="53">
        <v>0.05</v>
      </c>
      <c r="D4" s="53">
        <v>0.15</v>
      </c>
      <c r="E4" s="53">
        <v>0.15</v>
      </c>
      <c r="F4" s="53">
        <v>0.15</v>
      </c>
      <c r="G4" s="53">
        <v>0.5</v>
      </c>
      <c r="H4" s="54" t="s">
        <v>85</v>
      </c>
      <c r="AI4" s="37" t="s">
        <v>86</v>
      </c>
      <c r="AK4" s="37" t="s">
        <v>87</v>
      </c>
      <c r="AL4" s="37" t="s">
        <v>61</v>
      </c>
      <c r="AM4" s="37" t="s">
        <v>88</v>
      </c>
      <c r="AN4" s="37" t="s">
        <v>89</v>
      </c>
      <c r="AO4" s="37" t="s">
        <v>90</v>
      </c>
      <c r="AP4" s="37" t="s">
        <v>65</v>
      </c>
      <c r="AS4" s="37" t="s">
        <v>86</v>
      </c>
      <c r="AU4" s="37" t="s">
        <v>87</v>
      </c>
      <c r="AV4" s="37" t="s">
        <v>61</v>
      </c>
      <c r="AW4" s="37" t="s">
        <v>88</v>
      </c>
      <c r="AX4" s="37" t="s">
        <v>89</v>
      </c>
      <c r="AY4" s="37" t="s">
        <v>90</v>
      </c>
      <c r="AZ4" s="37" t="s">
        <v>65</v>
      </c>
      <c r="BD4" s="37" t="s">
        <v>86</v>
      </c>
      <c r="BF4" s="37" t="s">
        <v>87</v>
      </c>
      <c r="BG4" s="37" t="s">
        <v>61</v>
      </c>
      <c r="BH4" s="37" t="s">
        <v>88</v>
      </c>
      <c r="BI4" s="37" t="s">
        <v>89</v>
      </c>
      <c r="BJ4" s="37" t="s">
        <v>90</v>
      </c>
      <c r="BK4" s="37" t="s">
        <v>65</v>
      </c>
      <c r="BP4" s="39"/>
      <c r="BQ4" s="55"/>
      <c r="BR4" s="55"/>
      <c r="BS4" s="55"/>
      <c r="BT4" s="55"/>
      <c r="BU4" s="55"/>
      <c r="CH4" s="37"/>
      <c r="CI4" s="37"/>
      <c r="CJ4" s="37"/>
    </row>
    <row r="5" spans="1:108" s="41" customFormat="1">
      <c r="A5"/>
      <c r="B5"/>
      <c r="C5" s="91">
        <f>Detention!C16</f>
        <v>0.1</v>
      </c>
      <c r="D5" s="91">
        <f>Detention!D16</f>
        <v>0.2</v>
      </c>
      <c r="E5" s="91">
        <f>Detention!E16</f>
        <v>0.4</v>
      </c>
      <c r="F5" s="91">
        <f>Detention!F16</f>
        <v>0.2</v>
      </c>
      <c r="G5" s="91">
        <f>Detention!G16</f>
        <v>0.1</v>
      </c>
      <c r="H5"/>
      <c r="I5"/>
      <c r="J5"/>
      <c r="K5"/>
      <c r="L5"/>
      <c r="M5"/>
      <c r="N5"/>
      <c r="O5"/>
      <c r="P5"/>
      <c r="Q5"/>
      <c r="R5"/>
      <c r="S5"/>
      <c r="T5"/>
      <c r="U5"/>
      <c r="V5"/>
      <c r="W5"/>
      <c r="X5"/>
      <c r="Y5"/>
      <c r="Z5"/>
      <c r="AA5"/>
      <c r="AB5"/>
      <c r="AC5"/>
      <c r="AD5"/>
      <c r="AE5"/>
      <c r="AF5"/>
      <c r="AG5"/>
      <c r="AH5" s="37"/>
      <c r="AI5" s="56">
        <v>0.1</v>
      </c>
      <c r="AJ5" s="37" t="s">
        <v>0</v>
      </c>
      <c r="AK5" s="57">
        <v>1241800</v>
      </c>
      <c r="AL5" s="57">
        <v>7752.9</v>
      </c>
      <c r="AM5" s="57">
        <v>7752.9</v>
      </c>
      <c r="AN5" s="57">
        <v>7752.9</v>
      </c>
      <c r="AO5" s="57">
        <v>7752.9</v>
      </c>
      <c r="AP5" s="57">
        <v>7752.9</v>
      </c>
      <c r="AQ5" s="37"/>
      <c r="AR5" s="37"/>
      <c r="AS5" s="56">
        <v>0.1</v>
      </c>
      <c r="AT5" s="37" t="s">
        <v>0</v>
      </c>
      <c r="AU5" s="57">
        <v>1241800</v>
      </c>
      <c r="AV5" s="57">
        <v>7752.9</v>
      </c>
      <c r="AW5" s="57">
        <v>7752.9</v>
      </c>
      <c r="AX5" s="57">
        <v>7752.9</v>
      </c>
      <c r="AY5" s="57">
        <v>7752.9</v>
      </c>
      <c r="AZ5" s="57">
        <v>7752.9</v>
      </c>
      <c r="BA5" s="37"/>
      <c r="BB5" s="37"/>
      <c r="BC5" s="37"/>
      <c r="BD5" s="56">
        <v>0.1</v>
      </c>
      <c r="BE5" s="37" t="s">
        <v>0</v>
      </c>
      <c r="BF5" s="57">
        <v>1241800</v>
      </c>
      <c r="BG5" s="57">
        <v>7752.9</v>
      </c>
      <c r="BH5" s="57">
        <v>7752.9</v>
      </c>
      <c r="BI5" s="57">
        <v>7752.9</v>
      </c>
      <c r="BJ5" s="57">
        <v>7752.9</v>
      </c>
      <c r="BK5" s="57">
        <v>7752.9</v>
      </c>
      <c r="BL5" s="37"/>
      <c r="BM5" s="37"/>
      <c r="BN5" s="37"/>
      <c r="BO5" s="37"/>
      <c r="BY5" s="37"/>
      <c r="BZ5" s="37"/>
      <c r="CA5" s="37"/>
      <c r="CB5" s="37"/>
      <c r="CC5" s="37"/>
      <c r="CD5" s="37"/>
      <c r="CE5" s="37"/>
      <c r="CF5" s="37"/>
      <c r="CG5" s="37" t="s">
        <v>94</v>
      </c>
      <c r="CH5" s="37"/>
      <c r="CI5" s="37"/>
      <c r="CJ5" s="37" t="s">
        <v>95</v>
      </c>
      <c r="CN5"/>
      <c r="CO5"/>
      <c r="CP5"/>
      <c r="CQ5"/>
      <c r="CR5"/>
      <c r="CS5"/>
      <c r="CT5"/>
      <c r="CU5"/>
      <c r="CV5"/>
      <c r="CW5"/>
      <c r="CX5"/>
      <c r="CY5"/>
      <c r="CZ5"/>
      <c r="DA5"/>
      <c r="DB5"/>
      <c r="DC5"/>
      <c r="DD5"/>
    </row>
    <row r="6" spans="1:108" s="41" customFormat="1">
      <c r="A6" t="s">
        <v>118</v>
      </c>
      <c r="B6"/>
      <c r="C6">
        <v>10</v>
      </c>
      <c r="D6"/>
      <c r="E6"/>
      <c r="F6"/>
      <c r="G6"/>
      <c r="H6"/>
      <c r="I6"/>
      <c r="J6"/>
      <c r="K6"/>
      <c r="L6"/>
      <c r="M6"/>
      <c r="N6"/>
      <c r="O6"/>
      <c r="P6"/>
      <c r="Q6"/>
      <c r="R6"/>
      <c r="S6"/>
      <c r="T6"/>
      <c r="U6"/>
      <c r="V6"/>
      <c r="W6"/>
      <c r="X6"/>
      <c r="Y6"/>
      <c r="Z6"/>
      <c r="AA6"/>
      <c r="AB6"/>
      <c r="AC6"/>
      <c r="AD6"/>
      <c r="AE6"/>
      <c r="AF6"/>
      <c r="AG6"/>
      <c r="AH6" s="37"/>
      <c r="AI6" s="56"/>
      <c r="AJ6" s="37" t="s">
        <v>1</v>
      </c>
      <c r="AK6" s="57">
        <v>696870</v>
      </c>
      <c r="AL6" s="57">
        <v>4350.5</v>
      </c>
      <c r="AM6" s="57">
        <v>4350.5</v>
      </c>
      <c r="AN6" s="57">
        <v>4350.5</v>
      </c>
      <c r="AO6" s="57">
        <v>4350.5</v>
      </c>
      <c r="AP6" s="57">
        <v>4350.5</v>
      </c>
      <c r="AQ6" s="37"/>
      <c r="AR6" s="37"/>
      <c r="AS6" s="56"/>
      <c r="AT6" s="37" t="s">
        <v>1</v>
      </c>
      <c r="AU6" s="57">
        <v>545540</v>
      </c>
      <c r="AV6" s="57">
        <v>3405.7</v>
      </c>
      <c r="AW6" s="57">
        <v>3405.7</v>
      </c>
      <c r="AX6" s="57">
        <v>3405.7</v>
      </c>
      <c r="AY6" s="57">
        <v>3405.7</v>
      </c>
      <c r="AZ6" s="57">
        <v>3405.7</v>
      </c>
      <c r="BA6" s="37"/>
      <c r="BB6" s="37"/>
      <c r="BC6" s="37"/>
      <c r="BD6" s="56"/>
      <c r="BE6" s="37" t="s">
        <v>1</v>
      </c>
      <c r="BF6" s="57">
        <v>412440</v>
      </c>
      <c r="BG6" s="57">
        <v>2575.3000000000002</v>
      </c>
      <c r="BH6" s="57">
        <v>2575.3000000000002</v>
      </c>
      <c r="BI6" s="57">
        <v>2575.3000000000002</v>
      </c>
      <c r="BJ6" s="57">
        <v>2575.3000000000002</v>
      </c>
      <c r="BK6" s="57">
        <v>2575.3000000000002</v>
      </c>
      <c r="BL6" s="37"/>
      <c r="BM6" s="37"/>
      <c r="BN6" s="37"/>
      <c r="BO6" s="37"/>
      <c r="BY6" s="37"/>
      <c r="BZ6" s="37"/>
      <c r="CA6" s="37"/>
      <c r="CB6" s="37"/>
      <c r="CC6" s="37"/>
      <c r="CD6" s="37"/>
      <c r="CE6" s="37"/>
      <c r="CF6" s="37"/>
      <c r="CG6" s="37"/>
      <c r="CH6" s="37"/>
      <c r="CI6" s="37"/>
      <c r="CJ6" s="37"/>
      <c r="CN6"/>
      <c r="CO6"/>
      <c r="CP6"/>
      <c r="CQ6"/>
      <c r="CR6"/>
      <c r="CS6"/>
      <c r="CT6"/>
      <c r="CU6"/>
      <c r="CV6"/>
      <c r="CW6"/>
      <c r="CX6"/>
      <c r="CY6"/>
      <c r="CZ6"/>
      <c r="DA6"/>
      <c r="DB6"/>
      <c r="DC6"/>
      <c r="DD6"/>
    </row>
    <row r="7" spans="1:108" s="41" customFormat="1">
      <c r="A7" t="s">
        <v>117</v>
      </c>
      <c r="B7"/>
      <c r="C7" s="91">
        <f>AK5/C6/43560</f>
        <v>2.8507805325987143</v>
      </c>
      <c r="D7"/>
      <c r="E7" t="s">
        <v>119</v>
      </c>
      <c r="F7"/>
      <c r="G7" s="103">
        <f>C7*12</f>
        <v>34.209366391184574</v>
      </c>
      <c r="H7"/>
      <c r="I7"/>
      <c r="J7"/>
      <c r="K7"/>
      <c r="L7"/>
      <c r="M7"/>
      <c r="N7"/>
      <c r="O7"/>
      <c r="P7"/>
      <c r="Q7"/>
      <c r="R7"/>
      <c r="S7"/>
      <c r="T7"/>
      <c r="U7"/>
      <c r="V7"/>
      <c r="W7"/>
      <c r="X7"/>
      <c r="Y7"/>
      <c r="Z7"/>
      <c r="AA7"/>
      <c r="AB7"/>
      <c r="AC7"/>
      <c r="AD7"/>
      <c r="AE7"/>
      <c r="AF7"/>
      <c r="AG7"/>
      <c r="AH7" s="37"/>
      <c r="AI7" s="56"/>
      <c r="AJ7" s="37" t="s">
        <v>2</v>
      </c>
      <c r="AK7" s="57">
        <v>544920</v>
      </c>
      <c r="AL7" s="57">
        <v>3402.1</v>
      </c>
      <c r="AM7" s="57">
        <v>3402.1</v>
      </c>
      <c r="AN7" s="57">
        <v>3402.1</v>
      </c>
      <c r="AO7" s="57">
        <v>3402.1</v>
      </c>
      <c r="AP7" s="57">
        <v>3402.1</v>
      </c>
      <c r="AQ7" s="37"/>
      <c r="AR7" s="37"/>
      <c r="AS7" s="56"/>
      <c r="AT7" s="37" t="s">
        <v>2</v>
      </c>
      <c r="AU7" s="57">
        <v>696250</v>
      </c>
      <c r="AV7" s="57">
        <v>4347</v>
      </c>
      <c r="AW7" s="57">
        <v>4347</v>
      </c>
      <c r="AX7" s="57">
        <v>4347</v>
      </c>
      <c r="AY7" s="57">
        <v>4347</v>
      </c>
      <c r="AZ7" s="57">
        <v>4347</v>
      </c>
      <c r="BA7" s="37"/>
      <c r="BB7" s="37"/>
      <c r="BC7" s="37"/>
      <c r="BD7" s="56"/>
      <c r="BE7" s="37" t="s">
        <v>2</v>
      </c>
      <c r="BF7" s="57">
        <v>829290</v>
      </c>
      <c r="BG7" s="57">
        <v>5177.6000000000004</v>
      </c>
      <c r="BH7" s="57">
        <v>5177.6000000000004</v>
      </c>
      <c r="BI7" s="57">
        <v>5177.6000000000004</v>
      </c>
      <c r="BJ7" s="57">
        <v>5177.6000000000004</v>
      </c>
      <c r="BK7" s="57">
        <v>5177.6000000000004</v>
      </c>
      <c r="BL7" s="37"/>
      <c r="BM7" s="37"/>
      <c r="BN7" s="37"/>
      <c r="BO7" s="37"/>
      <c r="BY7" s="37"/>
      <c r="BZ7" s="37"/>
      <c r="CA7" s="37"/>
      <c r="CB7" s="37"/>
      <c r="CC7" s="37"/>
      <c r="CD7" s="37"/>
      <c r="CE7" s="37"/>
      <c r="CF7" s="37"/>
      <c r="CG7" s="37"/>
      <c r="CH7" s="37"/>
      <c r="CI7" s="37"/>
      <c r="CJ7" s="37"/>
      <c r="CN7"/>
      <c r="CO7"/>
      <c r="CP7"/>
      <c r="CQ7"/>
      <c r="CR7"/>
      <c r="CS7"/>
      <c r="CT7"/>
      <c r="CU7"/>
      <c r="CV7"/>
      <c r="CW7"/>
      <c r="CX7"/>
      <c r="CY7"/>
      <c r="CZ7"/>
      <c r="DA7"/>
      <c r="DB7"/>
      <c r="DC7"/>
      <c r="DD7"/>
    </row>
    <row r="8" spans="1:108" s="41" customFormat="1">
      <c r="A8" s="71" t="s">
        <v>91</v>
      </c>
      <c r="B8" s="72"/>
      <c r="C8" s="72"/>
      <c r="D8" s="72"/>
      <c r="E8" s="72"/>
      <c r="F8" s="72"/>
      <c r="G8" s="72"/>
      <c r="H8" s="72"/>
      <c r="I8" s="72"/>
      <c r="J8" s="72"/>
      <c r="K8"/>
      <c r="L8" s="64" t="s">
        <v>92</v>
      </c>
      <c r="M8" s="65"/>
      <c r="N8" s="65"/>
      <c r="O8" s="65"/>
      <c r="P8" s="65"/>
      <c r="Q8" s="65"/>
      <c r="R8" s="65"/>
      <c r="S8" s="65"/>
      <c r="T8" s="65"/>
      <c r="U8" s="65"/>
      <c r="V8"/>
      <c r="W8" s="77" t="s">
        <v>93</v>
      </c>
      <c r="X8" s="80"/>
      <c r="Y8" s="80"/>
      <c r="Z8" s="80"/>
      <c r="AA8" s="80"/>
      <c r="AB8" s="80"/>
      <c r="AC8" s="80"/>
      <c r="AD8" s="80"/>
      <c r="AE8" s="80"/>
      <c r="AF8" s="80"/>
      <c r="AG8"/>
      <c r="AH8" s="37"/>
      <c r="AI8" s="56"/>
      <c r="AJ8" s="37" t="s">
        <v>3</v>
      </c>
      <c r="AK8" s="57">
        <v>696660</v>
      </c>
      <c r="AL8" s="57">
        <v>4340.7</v>
      </c>
      <c r="AM8" s="57">
        <v>4212.8999999999996</v>
      </c>
      <c r="AN8" s="57">
        <v>2668.6</v>
      </c>
      <c r="AO8" s="57">
        <v>30.344000000000001</v>
      </c>
      <c r="AP8" s="57">
        <v>5.1510999999999996</v>
      </c>
      <c r="AQ8" s="37"/>
      <c r="AR8" s="37"/>
      <c r="AS8" s="56"/>
      <c r="AT8" s="37" t="s">
        <v>3</v>
      </c>
      <c r="AU8" s="57">
        <v>545330</v>
      </c>
      <c r="AV8" s="57">
        <v>3393.8</v>
      </c>
      <c r="AW8" s="57">
        <v>3235.9</v>
      </c>
      <c r="AX8" s="57">
        <v>1361</v>
      </c>
      <c r="AY8" s="57">
        <v>9.9692000000000007</v>
      </c>
      <c r="AZ8" s="57">
        <v>2.6882999999999999</v>
      </c>
      <c r="BA8" s="37"/>
      <c r="BB8" s="37"/>
      <c r="BC8" s="37"/>
      <c r="BD8" s="56"/>
      <c r="BE8" s="37" t="s">
        <v>3</v>
      </c>
      <c r="BF8" s="57">
        <v>411850</v>
      </c>
      <c r="BG8" s="57">
        <v>2555.9</v>
      </c>
      <c r="BH8" s="57">
        <v>2327.8000000000002</v>
      </c>
      <c r="BI8" s="57">
        <v>438.55</v>
      </c>
      <c r="BJ8" s="57">
        <v>2.9215</v>
      </c>
      <c r="BK8" s="57">
        <v>0.67896999999999996</v>
      </c>
      <c r="BL8" s="37"/>
      <c r="BM8" s="37"/>
      <c r="BN8" s="37"/>
      <c r="BO8" s="37"/>
      <c r="BY8" s="37"/>
      <c r="BZ8" s="37"/>
      <c r="CA8" s="37"/>
      <c r="CB8" s="37"/>
      <c r="CC8" s="37"/>
      <c r="CD8" s="37"/>
      <c r="CE8" s="37"/>
      <c r="CF8" s="37"/>
      <c r="CG8" s="37"/>
      <c r="CH8" s="37"/>
      <c r="CI8" s="37"/>
      <c r="CJ8" s="37"/>
      <c r="CN8"/>
      <c r="CO8"/>
      <c r="CP8"/>
      <c r="CQ8"/>
      <c r="CR8"/>
      <c r="CS8"/>
      <c r="CT8"/>
      <c r="CU8"/>
      <c r="CV8"/>
      <c r="CW8"/>
      <c r="CX8"/>
      <c r="CY8"/>
      <c r="CZ8"/>
      <c r="DA8"/>
      <c r="DB8"/>
      <c r="DC8"/>
      <c r="DD8"/>
    </row>
    <row r="9" spans="1:108" s="41" customFormat="1">
      <c r="A9" s="72"/>
      <c r="B9" s="72"/>
      <c r="C9" s="72"/>
      <c r="D9" s="72"/>
      <c r="E9" s="72"/>
      <c r="F9" s="72"/>
      <c r="G9" s="72"/>
      <c r="H9" s="72"/>
      <c r="I9" s="72"/>
      <c r="J9" s="72"/>
      <c r="K9"/>
      <c r="L9" s="65"/>
      <c r="M9" s="66"/>
      <c r="N9" s="66"/>
      <c r="O9" s="66"/>
      <c r="P9" s="66"/>
      <c r="Q9" s="66"/>
      <c r="R9" s="66"/>
      <c r="S9" s="66"/>
      <c r="T9" s="66"/>
      <c r="U9" s="66"/>
      <c r="V9"/>
      <c r="W9" s="81"/>
      <c r="X9" s="82"/>
      <c r="Y9" s="82"/>
      <c r="Z9" s="82"/>
      <c r="AA9" s="82"/>
      <c r="AB9" s="82"/>
      <c r="AC9" s="82"/>
      <c r="AD9" s="82"/>
      <c r="AE9" s="82"/>
      <c r="AF9" s="82"/>
      <c r="AG9"/>
      <c r="AH9" s="37"/>
      <c r="AI9" s="56"/>
      <c r="AJ9" s="37" t="s">
        <v>4</v>
      </c>
      <c r="AK9" s="57">
        <v>0</v>
      </c>
      <c r="AL9" s="57">
        <v>0</v>
      </c>
      <c r="AM9" s="57">
        <v>0</v>
      </c>
      <c r="AN9" s="57">
        <v>0</v>
      </c>
      <c r="AO9" s="57">
        <v>0</v>
      </c>
      <c r="AP9" s="57">
        <v>0</v>
      </c>
      <c r="AQ9" s="37"/>
      <c r="AR9" s="37"/>
      <c r="AS9" s="56"/>
      <c r="AT9" s="37" t="s">
        <v>4</v>
      </c>
      <c r="AU9" s="57">
        <v>0</v>
      </c>
      <c r="AV9" s="57">
        <v>0</v>
      </c>
      <c r="AW9" s="57">
        <v>0</v>
      </c>
      <c r="AX9" s="57">
        <v>0</v>
      </c>
      <c r="AY9" s="57">
        <v>0</v>
      </c>
      <c r="AZ9" s="57">
        <v>0</v>
      </c>
      <c r="BA9" s="37"/>
      <c r="BB9" s="37"/>
      <c r="BC9" s="37"/>
      <c r="BD9" s="56"/>
      <c r="BE9" s="37" t="s">
        <v>4</v>
      </c>
      <c r="BF9" s="57">
        <v>0</v>
      </c>
      <c r="BG9" s="57">
        <v>0</v>
      </c>
      <c r="BH9" s="57">
        <v>0</v>
      </c>
      <c r="BI9" s="57">
        <v>0</v>
      </c>
      <c r="BJ9" s="57">
        <v>0</v>
      </c>
      <c r="BK9" s="57">
        <v>0</v>
      </c>
      <c r="BL9" s="37"/>
      <c r="BM9" s="37"/>
      <c r="BN9" s="37"/>
      <c r="BO9" s="37"/>
      <c r="BY9" s="37"/>
      <c r="BZ9" s="37"/>
      <c r="CA9" s="37"/>
      <c r="CB9" s="37"/>
      <c r="CC9" s="37"/>
      <c r="CD9" s="37"/>
      <c r="CE9" s="37"/>
      <c r="CF9" s="37"/>
      <c r="CG9" s="37"/>
      <c r="CH9" s="37"/>
      <c r="CI9" s="37"/>
      <c r="CJ9" s="37"/>
      <c r="CN9"/>
      <c r="CO9"/>
      <c r="CP9"/>
      <c r="CQ9"/>
      <c r="CR9"/>
      <c r="CS9"/>
      <c r="CT9"/>
      <c r="CU9"/>
      <c r="CV9"/>
      <c r="CW9"/>
      <c r="CX9"/>
      <c r="CY9"/>
      <c r="CZ9"/>
      <c r="DA9"/>
      <c r="DB9"/>
      <c r="DC9"/>
      <c r="DD9"/>
    </row>
    <row r="10" spans="1:108" s="41" customFormat="1">
      <c r="A10" s="73" t="s">
        <v>96</v>
      </c>
      <c r="B10" s="73" t="s">
        <v>87</v>
      </c>
      <c r="C10" s="73" t="s">
        <v>97</v>
      </c>
      <c r="D10" s="73" t="s">
        <v>61</v>
      </c>
      <c r="E10" s="73" t="s">
        <v>62</v>
      </c>
      <c r="F10" s="73" t="s">
        <v>63</v>
      </c>
      <c r="G10" s="73" t="s">
        <v>64</v>
      </c>
      <c r="H10" s="73" t="s">
        <v>98</v>
      </c>
      <c r="I10" s="73" t="s">
        <v>65</v>
      </c>
      <c r="J10" s="73" t="s">
        <v>111</v>
      </c>
      <c r="K10"/>
      <c r="L10" s="67" t="s">
        <v>96</v>
      </c>
      <c r="M10" s="67" t="s">
        <v>87</v>
      </c>
      <c r="N10" s="67" t="s">
        <v>97</v>
      </c>
      <c r="O10" s="67" t="s">
        <v>61</v>
      </c>
      <c r="P10" s="67" t="s">
        <v>62</v>
      </c>
      <c r="Q10" s="67" t="s">
        <v>63</v>
      </c>
      <c r="R10" s="67" t="s">
        <v>64</v>
      </c>
      <c r="S10" s="67" t="s">
        <v>98</v>
      </c>
      <c r="T10" s="67" t="s">
        <v>65</v>
      </c>
      <c r="U10" s="67" t="s">
        <v>111</v>
      </c>
      <c r="V10"/>
      <c r="W10" s="83" t="s">
        <v>96</v>
      </c>
      <c r="X10" s="83" t="s">
        <v>87</v>
      </c>
      <c r="Y10" s="83" t="s">
        <v>97</v>
      </c>
      <c r="Z10" s="83" t="s">
        <v>61</v>
      </c>
      <c r="AA10" s="83" t="s">
        <v>62</v>
      </c>
      <c r="AB10" s="83" t="s">
        <v>63</v>
      </c>
      <c r="AC10" s="83" t="s">
        <v>64</v>
      </c>
      <c r="AD10" s="83" t="s">
        <v>98</v>
      </c>
      <c r="AE10" s="83" t="s">
        <v>65</v>
      </c>
      <c r="AF10" s="83" t="s">
        <v>111</v>
      </c>
      <c r="AG10"/>
      <c r="AH10" s="37"/>
      <c r="AI10" s="56"/>
      <c r="AJ10" s="37" t="s">
        <v>5</v>
      </c>
      <c r="AK10" s="57">
        <v>0</v>
      </c>
      <c r="AL10" s="57">
        <v>8.8702000000000005</v>
      </c>
      <c r="AM10" s="57">
        <v>136.41</v>
      </c>
      <c r="AN10" s="57">
        <v>1680.7</v>
      </c>
      <c r="AO10" s="57">
        <v>4319</v>
      </c>
      <c r="AP10" s="57">
        <v>4344.2</v>
      </c>
      <c r="AQ10" s="37"/>
      <c r="AR10" s="37"/>
      <c r="AS10" s="56"/>
      <c r="AT10" s="37" t="s">
        <v>5</v>
      </c>
      <c r="AU10" s="57">
        <v>0</v>
      </c>
      <c r="AV10" s="57">
        <v>10.750999999999999</v>
      </c>
      <c r="AW10" s="57">
        <v>168.73</v>
      </c>
      <c r="AX10" s="57">
        <v>2043.7</v>
      </c>
      <c r="AY10" s="57">
        <v>3394.7</v>
      </c>
      <c r="AZ10" s="57">
        <v>3402</v>
      </c>
      <c r="BA10" s="37"/>
      <c r="BB10" s="37"/>
      <c r="BC10" s="37"/>
      <c r="BD10" s="56"/>
      <c r="BE10" s="37" t="s">
        <v>5</v>
      </c>
      <c r="BF10" s="57">
        <v>0</v>
      </c>
      <c r="BG10" s="57">
        <v>16.113</v>
      </c>
      <c r="BH10" s="57">
        <v>244.06</v>
      </c>
      <c r="BI10" s="57">
        <v>2133.5</v>
      </c>
      <c r="BJ10" s="57">
        <v>2569.1</v>
      </c>
      <c r="BK10" s="57">
        <v>2571.4</v>
      </c>
      <c r="BL10" s="37"/>
      <c r="BM10" s="37"/>
      <c r="BN10" s="37"/>
      <c r="BO10" s="37"/>
      <c r="BY10" s="37"/>
      <c r="BZ10" s="37"/>
      <c r="CA10" s="37"/>
      <c r="CB10" s="37"/>
      <c r="CC10" s="37"/>
      <c r="CD10" s="37"/>
      <c r="CE10" s="37"/>
      <c r="CF10" s="37"/>
      <c r="CG10" s="37"/>
      <c r="CH10" s="37"/>
      <c r="CI10" s="37"/>
      <c r="CJ10" s="37"/>
      <c r="CN10"/>
      <c r="CO10"/>
      <c r="CP10"/>
      <c r="CQ10"/>
      <c r="CR10"/>
      <c r="CS10"/>
      <c r="CT10"/>
      <c r="CU10"/>
      <c r="CV10"/>
      <c r="CW10"/>
      <c r="CX10"/>
      <c r="CY10"/>
      <c r="CZ10"/>
      <c r="DA10"/>
      <c r="DB10"/>
      <c r="DC10"/>
      <c r="DD10"/>
    </row>
    <row r="11" spans="1:108" s="41" customFormat="1">
      <c r="A11" s="74">
        <v>0.1</v>
      </c>
      <c r="B11" s="75">
        <f>AK6/$AK$5</f>
        <v>0.56117732324045744</v>
      </c>
      <c r="C11" s="75">
        <f t="shared" ref="C11:C19" si="0">(($C$4*D11)+($D$4*E11)+($E$4*F11)+($F$4*G11)+($G$4*I11))</f>
        <v>0.398942332546531</v>
      </c>
      <c r="D11" s="75">
        <f>AL10/$AL$5</f>
        <v>1.1441138154754996E-3</v>
      </c>
      <c r="E11" s="75">
        <f>AM$10/AM$5</f>
        <v>1.7594706496923733E-2</v>
      </c>
      <c r="F11" s="75">
        <f>AN$10/AN$5</f>
        <v>0.21678339718040993</v>
      </c>
      <c r="G11" s="75">
        <f>AO$10/AO$5</f>
        <v>0.557081866140412</v>
      </c>
      <c r="H11" s="76">
        <f t="shared" ref="H11:H19" si="1">($D$4*E11+$E$4*F11+$F$4*G11)/(SUM($D$4:$F$4))</f>
        <v>0.2638199899392486</v>
      </c>
      <c r="I11" s="75">
        <f>AP10/$AP$5</f>
        <v>0.56033226276619075</v>
      </c>
      <c r="J11" s="75">
        <f>(($C$5*D11)+($D$5*E11)+($E$5*F11)+($F$5*G11)+($G$5*I11))</f>
        <v>0.25779631105779777</v>
      </c>
      <c r="K11"/>
      <c r="L11" s="68">
        <v>0.1</v>
      </c>
      <c r="M11" s="69">
        <f>AU6/$AK$5</f>
        <v>0.43931389917861169</v>
      </c>
      <c r="N11" s="69">
        <f t="shared" ref="N11:N19" si="2">(($C$4*O11)+($D$4*P11)+($E$4*Q11)+($F$4*R11)+($G$4*T11))</f>
        <v>0.32795561015877928</v>
      </c>
      <c r="O11" s="69">
        <f>AV10/$AL$5</f>
        <v>1.3867069096725095E-3</v>
      </c>
      <c r="P11" s="69">
        <f>AW$10/AW$5</f>
        <v>2.1763469153478054E-2</v>
      </c>
      <c r="Q11" s="69">
        <f>AX$10/AX$5</f>
        <v>0.26360458667079417</v>
      </c>
      <c r="R11" s="69">
        <f>AY$10/AY$5</f>
        <v>0.43786196133059885</v>
      </c>
      <c r="S11" s="70">
        <f t="shared" ref="S11:S19" si="3">($D$4*P11+$E$4*Q11+$F$4*R11)/(SUM($D$4:$F$4))</f>
        <v>0.24107667238495706</v>
      </c>
      <c r="T11" s="69">
        <f>AZ10/$AP$5</f>
        <v>0.43880354448013004</v>
      </c>
      <c r="U11" s="69">
        <f>(($C$5*O11)+($D$5*P11)+($E$5*Q11)+($F$5*R11)+($G$5*T11))</f>
        <v>0.2413859459041133</v>
      </c>
      <c r="V11"/>
      <c r="W11" s="84">
        <v>0.1</v>
      </c>
      <c r="X11" s="85">
        <f>BF6/$AK$5</f>
        <v>0.33213077790304396</v>
      </c>
      <c r="Y11" s="85">
        <f t="shared" ref="Y11:Y19" si="4">(($C$4*Z11)+($D$4*AA11)+($E$4*AB11)+($F$4*AC11)+($G$4*AE11))</f>
        <v>0.26164462975144787</v>
      </c>
      <c r="Z11" s="85">
        <f>BG10/$AL$5</f>
        <v>2.0783190806020974E-3</v>
      </c>
      <c r="AA11" s="85">
        <f>BH$10/BH$5</f>
        <v>3.1479833352680932E-2</v>
      </c>
      <c r="AB11" s="85">
        <f>BI$10/BI$5</f>
        <v>0.27518734924995808</v>
      </c>
      <c r="AC11" s="85">
        <f>BJ$10/BJ$5</f>
        <v>0.33137277663841919</v>
      </c>
      <c r="AD11" s="86">
        <f t="shared" ref="AD11:AD19" si="5">($D$4*AA11+$E$4*AB11+$F$4*AC11)/(SUM($D$4:$F$4))</f>
        <v>0.21267998641368607</v>
      </c>
      <c r="AE11" s="85">
        <f>BK10/$AP$5</f>
        <v>0.33166943982251806</v>
      </c>
      <c r="AF11" s="85">
        <f>(($C$5*Z11)+($D$5*AA11)+($E$5*AB11)+($F$5*AC11)+($G$5*AE11))</f>
        <v>0.21602023758851527</v>
      </c>
      <c r="AG11"/>
      <c r="AH11" s="37"/>
      <c r="AI11" s="56"/>
      <c r="AJ11" s="37"/>
      <c r="AK11" s="37"/>
      <c r="AL11" s="37"/>
      <c r="AM11" s="37"/>
      <c r="AN11" s="37"/>
      <c r="AO11" s="37"/>
      <c r="AP11" s="37"/>
      <c r="AQ11" s="37"/>
      <c r="AR11" s="37"/>
      <c r="AS11" s="56"/>
      <c r="AT11" s="37"/>
      <c r="AU11" s="37"/>
      <c r="AV11" s="37"/>
      <c r="AW11" s="37"/>
      <c r="AX11" s="37"/>
      <c r="AY11" s="37"/>
      <c r="AZ11" s="37"/>
      <c r="BA11" s="37"/>
      <c r="BB11" s="37"/>
      <c r="BC11" s="37"/>
      <c r="BD11" s="56"/>
      <c r="BE11" s="37"/>
      <c r="BF11" s="37"/>
      <c r="BG11" s="37"/>
      <c r="BH11" s="37"/>
      <c r="BI11" s="37"/>
      <c r="BJ11" s="37"/>
      <c r="BK11" s="37"/>
      <c r="BL11" s="37"/>
      <c r="BM11" s="37"/>
      <c r="BN11" s="37"/>
      <c r="BO11" s="37"/>
      <c r="BY11" s="37"/>
      <c r="BZ11" s="37"/>
      <c r="CA11" s="37"/>
      <c r="CB11" s="37"/>
      <c r="CC11" s="37"/>
      <c r="CD11" s="37"/>
      <c r="CE11" s="37"/>
      <c r="CF11" s="37"/>
      <c r="CG11" s="37"/>
      <c r="CH11" s="37"/>
      <c r="CI11" s="37"/>
      <c r="CJ11" s="37"/>
      <c r="CN11"/>
      <c r="CO11"/>
      <c r="CP11"/>
      <c r="CQ11"/>
      <c r="CR11"/>
      <c r="CS11"/>
      <c r="CT11"/>
      <c r="CU11"/>
      <c r="CV11"/>
      <c r="CW11"/>
      <c r="CX11"/>
      <c r="CY11"/>
      <c r="CZ11"/>
      <c r="DA11"/>
      <c r="DB11"/>
      <c r="DC11"/>
      <c r="DD11"/>
    </row>
    <row r="12" spans="1:108" s="41" customFormat="1">
      <c r="A12" s="74">
        <v>0.2</v>
      </c>
      <c r="B12" s="75">
        <f>AK13/$AK$5</f>
        <v>0.7756160412304719</v>
      </c>
      <c r="C12" s="75">
        <f t="shared" si="0"/>
        <v>0.56142963923177136</v>
      </c>
      <c r="D12" s="75">
        <f>AL17/$AL$5</f>
        <v>2.2065291697300365E-3</v>
      </c>
      <c r="E12" s="75">
        <f>AM17/AM$5</f>
        <v>3.2484618658824439E-2</v>
      </c>
      <c r="F12" s="75">
        <f>AN17/AN$5</f>
        <v>0.3572856608494886</v>
      </c>
      <c r="G12" s="75">
        <f>AO17/AO$5</f>
        <v>0.77125978666047545</v>
      </c>
      <c r="H12" s="76">
        <f t="shared" si="1"/>
        <v>0.38701002205626289</v>
      </c>
      <c r="I12" s="75">
        <f>AP17/$AP$5</f>
        <v>0.77432960569593323</v>
      </c>
      <c r="J12" s="75">
        <f t="shared" ref="J12:J18" si="6">(($C$5*D12)+($D$5*E12)+($E$5*F12)+($F$5*G12)+($G$5*I12))</f>
        <v>0.38131675889022176</v>
      </c>
      <c r="K12"/>
      <c r="L12" s="68">
        <v>0.2</v>
      </c>
      <c r="M12" s="69">
        <f>AU13/$AK$5</f>
        <v>0.66322274118215496</v>
      </c>
      <c r="N12" s="69">
        <f t="shared" si="2"/>
        <v>0.50327289143417298</v>
      </c>
      <c r="O12" s="69">
        <f>AV17/$AL$5</f>
        <v>3.0424744289233711E-3</v>
      </c>
      <c r="P12" s="69">
        <f>AW17/AW$5</f>
        <v>4.3222536083272069E-2</v>
      </c>
      <c r="Q12" s="69">
        <f>AX17/AX$5</f>
        <v>0.44051903158817995</v>
      </c>
      <c r="R12" s="69">
        <f>AY17/AY$5</f>
        <v>0.66180397012730718</v>
      </c>
      <c r="S12" s="70">
        <f t="shared" si="3"/>
        <v>0.38184851259958646</v>
      </c>
      <c r="T12" s="69">
        <f>AZ17/$AP$5</f>
        <v>0.66257787408582591</v>
      </c>
      <c r="U12" s="69">
        <f t="shared" ref="U12:U18" si="7">(($C$5*O12)+($D$5*P12)+($E$5*Q12)+($F$5*R12)+($G$5*T12))</f>
        <v>0.38377494872886275</v>
      </c>
      <c r="V12"/>
      <c r="W12" s="84">
        <v>0.2</v>
      </c>
      <c r="X12" s="85">
        <f>BF13/$AK$5</f>
        <v>0.5563536801417297</v>
      </c>
      <c r="Y12" s="85">
        <f t="shared" si="4"/>
        <v>0.44088283738987993</v>
      </c>
      <c r="Z12" s="85">
        <f>BG17/$AL$5</f>
        <v>3.9754156509177211E-3</v>
      </c>
      <c r="AA12" s="85">
        <f>BH17/BH$5</f>
        <v>5.7633917630822012E-2</v>
      </c>
      <c r="AB12" s="85">
        <f>BI17/BI$5</f>
        <v>0.47221039868952264</v>
      </c>
      <c r="AC12" s="85">
        <f>BJ17/BJ$5</f>
        <v>0.55549536302544855</v>
      </c>
      <c r="AD12" s="86">
        <f t="shared" si="5"/>
        <v>0.36177989311526443</v>
      </c>
      <c r="AE12" s="85">
        <f>BK17/$AP$5</f>
        <v>0.55576622941093012</v>
      </c>
      <c r="AF12" s="85">
        <f t="shared" ref="AF12:AF18" si="8">(($C$5*Z12)+($D$5*AA12)+($E$5*AB12)+($F$5*AC12)+($G$5*AE12))</f>
        <v>0.36748418011324796</v>
      </c>
      <c r="AG12"/>
      <c r="AH12" s="37"/>
      <c r="AI12" s="56">
        <v>0.2</v>
      </c>
      <c r="AJ12" s="37" t="s">
        <v>0</v>
      </c>
      <c r="AK12" s="57">
        <v>1241800</v>
      </c>
      <c r="AL12" s="57">
        <v>7752.9</v>
      </c>
      <c r="AM12" s="57">
        <v>7752.9</v>
      </c>
      <c r="AN12" s="57">
        <v>7752.9</v>
      </c>
      <c r="AO12" s="57">
        <v>7752.9</v>
      </c>
      <c r="AP12" s="57">
        <v>7752.9</v>
      </c>
      <c r="AQ12" s="37"/>
      <c r="AR12" s="37"/>
      <c r="AS12" s="56">
        <v>0.2</v>
      </c>
      <c r="AT12" s="37" t="s">
        <v>0</v>
      </c>
      <c r="AU12" s="57">
        <v>1241800</v>
      </c>
      <c r="AV12" s="57">
        <v>7752.9</v>
      </c>
      <c r="AW12" s="57">
        <v>7752.9</v>
      </c>
      <c r="AX12" s="57">
        <v>7752.9</v>
      </c>
      <c r="AY12" s="57">
        <v>7752.9</v>
      </c>
      <c r="AZ12" s="57">
        <v>7752.9</v>
      </c>
      <c r="BA12" s="37"/>
      <c r="BB12" s="37"/>
      <c r="BC12" s="37"/>
      <c r="BD12" s="56">
        <v>0.2</v>
      </c>
      <c r="BE12" s="37" t="s">
        <v>0</v>
      </c>
      <c r="BF12" s="57">
        <v>1241800</v>
      </c>
      <c r="BG12" s="57">
        <v>7752.9</v>
      </c>
      <c r="BH12" s="57">
        <v>7752.9</v>
      </c>
      <c r="BI12" s="57">
        <v>7752.9</v>
      </c>
      <c r="BJ12" s="57">
        <v>7752.9</v>
      </c>
      <c r="BK12" s="57">
        <v>7752.9</v>
      </c>
      <c r="BL12" s="37"/>
      <c r="BM12" s="37"/>
      <c r="BN12" s="37"/>
      <c r="BO12" s="37"/>
      <c r="BY12" s="37"/>
      <c r="BZ12" s="37"/>
      <c r="CA12" s="37"/>
      <c r="CB12" s="37"/>
      <c r="CC12" s="37"/>
      <c r="CD12" s="37"/>
      <c r="CE12" s="37"/>
      <c r="CF12" s="37"/>
      <c r="CG12" s="37"/>
      <c r="CH12" s="37"/>
      <c r="CI12" s="37"/>
      <c r="CJ12" s="37"/>
      <c r="CN12"/>
      <c r="CO12"/>
      <c r="CP12"/>
      <c r="CQ12"/>
      <c r="CR12"/>
      <c r="CS12"/>
      <c r="CT12"/>
      <c r="CU12"/>
      <c r="CV12"/>
      <c r="CW12"/>
      <c r="CX12"/>
      <c r="CY12"/>
      <c r="CZ12"/>
      <c r="DA12"/>
      <c r="DB12"/>
      <c r="DC12"/>
      <c r="DD12"/>
    </row>
    <row r="13" spans="1:108" s="41" customFormat="1">
      <c r="A13" s="74">
        <v>0.4</v>
      </c>
      <c r="B13" s="75">
        <f>AK20/$AK$5</f>
        <v>0.91874698019004675</v>
      </c>
      <c r="C13" s="75">
        <f t="shared" si="0"/>
        <v>0.68037144810329042</v>
      </c>
      <c r="D13" s="75">
        <f>AL24/$AL$5</f>
        <v>4.2017825587844547E-3</v>
      </c>
      <c r="E13" s="75">
        <f>AM24/AM$5</f>
        <v>5.6703943040668656E-2</v>
      </c>
      <c r="F13" s="75">
        <f>AN24/AN$5</f>
        <v>0.5062621728643476</v>
      </c>
      <c r="G13" s="75">
        <f>AO24/AO$5</f>
        <v>0.91426433979543142</v>
      </c>
      <c r="H13" s="76">
        <f t="shared" si="1"/>
        <v>0.49241015190014925</v>
      </c>
      <c r="I13" s="75">
        <f>AP24/$AP$5</f>
        <v>0.91715358124056812</v>
      </c>
      <c r="J13" s="75">
        <f t="shared" si="6"/>
        <v>0.48883406209289437</v>
      </c>
      <c r="K13"/>
      <c r="L13" s="68">
        <v>0.4</v>
      </c>
      <c r="M13" s="69">
        <f>AU20/$AK$5</f>
        <v>0.85665968755033017</v>
      </c>
      <c r="N13" s="69">
        <f t="shared" si="2"/>
        <v>0.65891475447896919</v>
      </c>
      <c r="O13" s="69">
        <f>AV24/$AL$5</f>
        <v>5.0644275045466864E-3</v>
      </c>
      <c r="P13" s="69">
        <f>AW24/AW$5</f>
        <v>6.86427014407512E-2</v>
      </c>
      <c r="Q13" s="69">
        <f>AX24/AX$5</f>
        <v>0.61458293025835498</v>
      </c>
      <c r="R13" s="69">
        <f>AY24/AY$5</f>
        <v>0.85511228056598187</v>
      </c>
      <c r="S13" s="70">
        <f t="shared" si="3"/>
        <v>0.5127793040883627</v>
      </c>
      <c r="T13" s="69">
        <f>AZ24/$AP$5</f>
        <v>0.85582169252795737</v>
      </c>
      <c r="U13" s="69">
        <f t="shared" si="7"/>
        <v>0.51667278050793908</v>
      </c>
      <c r="V13"/>
      <c r="W13" s="84">
        <v>0.4</v>
      </c>
      <c r="X13" s="85">
        <f>BF20/$AK$5</f>
        <v>0.77004348526332744</v>
      </c>
      <c r="Y13" s="85">
        <f t="shared" si="4"/>
        <v>0.61647678288124452</v>
      </c>
      <c r="Z13" s="85">
        <f>BG24/$AL$5</f>
        <v>7.1195294663932212E-3</v>
      </c>
      <c r="AA13" s="85">
        <f>BH24/BH$5</f>
        <v>9.5773194546556778E-2</v>
      </c>
      <c r="AB13" s="85">
        <f>BI24/BI$5</f>
        <v>0.67763030607901564</v>
      </c>
      <c r="AC13" s="85">
        <f>BJ24/BJ$5</f>
        <v>0.76922183956970946</v>
      </c>
      <c r="AD13" s="86">
        <f t="shared" si="5"/>
        <v>0.51420844673176069</v>
      </c>
      <c r="AE13" s="85">
        <f>BK24/$AP$5</f>
        <v>0.76945401075726505</v>
      </c>
      <c r="AF13" s="85">
        <f t="shared" si="8"/>
        <v>0.52170848327722541</v>
      </c>
      <c r="AG13"/>
      <c r="AH13" s="37"/>
      <c r="AI13" s="56"/>
      <c r="AJ13" s="37" t="s">
        <v>1</v>
      </c>
      <c r="AK13" s="57">
        <v>963160</v>
      </c>
      <c r="AL13" s="57">
        <v>6013.3</v>
      </c>
      <c r="AM13" s="57">
        <v>6013.3</v>
      </c>
      <c r="AN13" s="57">
        <v>6013.3</v>
      </c>
      <c r="AO13" s="57">
        <v>6013.3</v>
      </c>
      <c r="AP13" s="57">
        <v>6013.3</v>
      </c>
      <c r="AQ13" s="37"/>
      <c r="AR13" s="37"/>
      <c r="AS13" s="56"/>
      <c r="AT13" s="37" t="s">
        <v>1</v>
      </c>
      <c r="AU13" s="57">
        <v>823590</v>
      </c>
      <c r="AV13" s="57">
        <v>5141.8</v>
      </c>
      <c r="AW13" s="57">
        <v>5141.8</v>
      </c>
      <c r="AX13" s="57">
        <v>5141.8</v>
      </c>
      <c r="AY13" s="57">
        <v>5141.8</v>
      </c>
      <c r="AZ13" s="57">
        <v>5141.8</v>
      </c>
      <c r="BA13" s="37"/>
      <c r="BB13" s="37"/>
      <c r="BC13" s="37"/>
      <c r="BD13" s="56"/>
      <c r="BE13" s="37" t="s">
        <v>1</v>
      </c>
      <c r="BF13" s="57">
        <v>690880</v>
      </c>
      <c r="BG13" s="57">
        <v>4313.3</v>
      </c>
      <c r="BH13" s="57">
        <v>4313.3</v>
      </c>
      <c r="BI13" s="57">
        <v>4313.3</v>
      </c>
      <c r="BJ13" s="57">
        <v>4313.3</v>
      </c>
      <c r="BK13" s="57">
        <v>4313.3</v>
      </c>
      <c r="BL13" s="37"/>
      <c r="BM13" s="37"/>
      <c r="BN13" s="37"/>
      <c r="BO13" s="37"/>
      <c r="BY13" s="37"/>
      <c r="BZ13" s="37"/>
      <c r="CA13" s="37"/>
      <c r="CB13" s="37"/>
      <c r="CC13" s="37"/>
      <c r="CD13" s="37"/>
      <c r="CE13" s="37"/>
      <c r="CF13" s="37"/>
      <c r="CG13" s="37"/>
      <c r="CH13" s="37"/>
      <c r="CI13" s="37"/>
      <c r="CJ13" s="37"/>
      <c r="CN13"/>
      <c r="CO13"/>
      <c r="CP13"/>
      <c r="CQ13"/>
      <c r="CR13"/>
      <c r="CS13"/>
      <c r="CT13"/>
      <c r="CU13"/>
      <c r="CV13"/>
      <c r="CW13"/>
      <c r="CX13"/>
      <c r="CY13"/>
      <c r="CZ13"/>
      <c r="DA13"/>
      <c r="DB13"/>
      <c r="DC13"/>
      <c r="DD13"/>
    </row>
    <row r="14" spans="1:108" s="41" customFormat="1">
      <c r="A14" s="74">
        <v>0.6</v>
      </c>
      <c r="B14" s="75">
        <f>AK27/$AK$5</f>
        <v>0.96730552423900784</v>
      </c>
      <c r="C14" s="75">
        <f t="shared" si="0"/>
        <v>0.72962021953075629</v>
      </c>
      <c r="D14" s="75">
        <f>AL31/$AL$5</f>
        <v>6.1669826774497288E-3</v>
      </c>
      <c r="E14" s="75">
        <f>AM31/AM$5</f>
        <v>7.8664757703568997E-2</v>
      </c>
      <c r="F14" s="75">
        <f>AN31/AN$5</f>
        <v>0.60256162210269715</v>
      </c>
      <c r="G14" s="75">
        <f>AO31/AO$5</f>
        <v>0.96291710198764335</v>
      </c>
      <c r="H14" s="76">
        <f t="shared" si="1"/>
        <v>0.54804782726463652</v>
      </c>
      <c r="I14" s="75">
        <f>AP31/$AP$5</f>
        <v>0.96538069625559475</v>
      </c>
      <c r="J14" s="75">
        <f t="shared" si="6"/>
        <v>0.54649578867262583</v>
      </c>
      <c r="K14"/>
      <c r="L14" s="68">
        <v>0.6</v>
      </c>
      <c r="M14" s="69">
        <f>AU27/$AK$5</f>
        <v>0.9338862940892253</v>
      </c>
      <c r="N14" s="69">
        <f t="shared" si="2"/>
        <v>0.72840804731132869</v>
      </c>
      <c r="O14" s="69">
        <f>AV31/$AL$5</f>
        <v>7.5462085155232244E-3</v>
      </c>
      <c r="P14" s="69">
        <f>AW31/AW$5</f>
        <v>9.4910291632808383E-2</v>
      </c>
      <c r="Q14" s="69">
        <f>AX31/AX$5</f>
        <v>0.71606753601878015</v>
      </c>
      <c r="R14" s="69">
        <f>AY31/AY$5</f>
        <v>0.93241238762269607</v>
      </c>
      <c r="S14" s="70">
        <f t="shared" si="3"/>
        <v>0.58113007175809495</v>
      </c>
      <c r="T14" s="69">
        <f>AZ31/$AP$5</f>
        <v>0.9330444091888197</v>
      </c>
      <c r="U14" s="69">
        <f t="shared" si="7"/>
        <v>0.5859506120290473</v>
      </c>
      <c r="V14"/>
      <c r="W14" s="84">
        <v>0.6</v>
      </c>
      <c r="X14" s="85">
        <f>BF27/$AK$5</f>
        <v>0.8808986954421002</v>
      </c>
      <c r="Y14" s="85">
        <f t="shared" si="4"/>
        <v>0.71065073714352045</v>
      </c>
      <c r="Z14" s="85">
        <f>BG31/$AL$5</f>
        <v>1.0097124946794102E-2</v>
      </c>
      <c r="AA14" s="85">
        <f>BH31/BH$5</f>
        <v>0.12762966115905017</v>
      </c>
      <c r="AB14" s="85">
        <f>BI31/BI$5</f>
        <v>0.79218099033909894</v>
      </c>
      <c r="AC14" s="85">
        <f>BJ31/BJ$5</f>
        <v>0.88010937842613735</v>
      </c>
      <c r="AD14" s="86">
        <f t="shared" si="5"/>
        <v>0.59997334330809549</v>
      </c>
      <c r="AE14" s="85">
        <f>BK31/$AP$5</f>
        <v>0.88031575281507568</v>
      </c>
      <c r="AF14" s="85">
        <f t="shared" si="8"/>
        <v>0.60746149182886411</v>
      </c>
      <c r="AG14"/>
      <c r="AH14" s="37"/>
      <c r="AI14" s="56"/>
      <c r="AJ14" s="37" t="s">
        <v>2</v>
      </c>
      <c r="AK14" s="57">
        <v>278630</v>
      </c>
      <c r="AL14" s="57">
        <v>1739.6</v>
      </c>
      <c r="AM14" s="57">
        <v>1739.6</v>
      </c>
      <c r="AN14" s="57">
        <v>1739.6</v>
      </c>
      <c r="AO14" s="57">
        <v>1739.6</v>
      </c>
      <c r="AP14" s="57">
        <v>1739.6</v>
      </c>
      <c r="AQ14" s="37"/>
      <c r="AR14" s="37"/>
      <c r="AS14" s="56"/>
      <c r="AT14" s="37" t="s">
        <v>2</v>
      </c>
      <c r="AU14" s="57">
        <v>418200</v>
      </c>
      <c r="AV14" s="57">
        <v>2610.9</v>
      </c>
      <c r="AW14" s="57">
        <v>2610.9</v>
      </c>
      <c r="AX14" s="57">
        <v>2610.9</v>
      </c>
      <c r="AY14" s="57">
        <v>2610.9</v>
      </c>
      <c r="AZ14" s="57">
        <v>2610.9</v>
      </c>
      <c r="BA14" s="37"/>
      <c r="BB14" s="37"/>
      <c r="BC14" s="37"/>
      <c r="BD14" s="56"/>
      <c r="BE14" s="37" t="s">
        <v>2</v>
      </c>
      <c r="BF14" s="57">
        <v>550980</v>
      </c>
      <c r="BG14" s="57">
        <v>3440</v>
      </c>
      <c r="BH14" s="57">
        <v>3440</v>
      </c>
      <c r="BI14" s="57">
        <v>3440</v>
      </c>
      <c r="BJ14" s="57">
        <v>3440</v>
      </c>
      <c r="BK14" s="57">
        <v>3440</v>
      </c>
      <c r="BL14" s="37"/>
      <c r="BM14" s="37"/>
      <c r="BN14" s="37"/>
      <c r="BO14" s="37"/>
      <c r="BY14" s="37"/>
      <c r="BZ14" s="37"/>
      <c r="CA14" s="37"/>
      <c r="CB14" s="37"/>
      <c r="CC14" s="37"/>
      <c r="CD14" s="37"/>
      <c r="CE14" s="37"/>
      <c r="CF14" s="37"/>
      <c r="CG14" s="37"/>
      <c r="CH14" s="37"/>
      <c r="CI14" s="37"/>
      <c r="CJ14" s="37"/>
      <c r="CN14"/>
      <c r="CO14"/>
      <c r="CP14"/>
      <c r="CQ14"/>
      <c r="CR14"/>
      <c r="CS14"/>
      <c r="CT14"/>
      <c r="CU14"/>
      <c r="CV14"/>
      <c r="CW14"/>
      <c r="CX14"/>
      <c r="CY14"/>
      <c r="CZ14"/>
      <c r="DA14"/>
      <c r="DB14"/>
      <c r="DC14"/>
      <c r="DD14"/>
    </row>
    <row r="15" spans="1:108" s="41" customFormat="1">
      <c r="A15" s="74">
        <v>0.8</v>
      </c>
      <c r="B15" s="75">
        <f>AK34/$AK$5</f>
        <v>0.98767917539056205</v>
      </c>
      <c r="C15" s="75">
        <f t="shared" si="0"/>
        <v>0.75502597092700796</v>
      </c>
      <c r="D15" s="75">
        <f>AL38/$AL$5</f>
        <v>8.07401101523301E-3</v>
      </c>
      <c r="E15" s="75">
        <f>AM38/AM$5</f>
        <v>9.8342555688839026E-2</v>
      </c>
      <c r="F15" s="75">
        <f>AN38/AN$5</f>
        <v>0.66385481561738191</v>
      </c>
      <c r="G15" s="75">
        <f>AO38/AO$5</f>
        <v>0.9834384552876988</v>
      </c>
      <c r="H15" s="76">
        <f t="shared" si="1"/>
        <v>0.58187860886464005</v>
      </c>
      <c r="I15" s="75">
        <f>AP38/$AP$5</f>
        <v>0.98555379277431676</v>
      </c>
      <c r="J15" s="75">
        <f t="shared" si="6"/>
        <v>0.58126090882121528</v>
      </c>
      <c r="K15"/>
      <c r="L15" s="68">
        <v>0.8</v>
      </c>
      <c r="M15" s="69">
        <f>AU34/$AK$5</f>
        <v>0.9700434852633274</v>
      </c>
      <c r="N15" s="69">
        <f t="shared" si="2"/>
        <v>0.76632235679552174</v>
      </c>
      <c r="O15" s="69">
        <f>AV38/$AL$5</f>
        <v>9.9578222342607287E-3</v>
      </c>
      <c r="P15" s="69">
        <f>AW38/AW$5</f>
        <v>0.11870009931767468</v>
      </c>
      <c r="Q15" s="69">
        <f>AX38/AX$5</f>
        <v>0.7876020585845297</v>
      </c>
      <c r="R15" s="69">
        <f>AY38/AY$5</f>
        <v>0.96874717847515135</v>
      </c>
      <c r="S15" s="70">
        <f t="shared" si="3"/>
        <v>0.62501644545911861</v>
      </c>
      <c r="T15" s="69">
        <f>AZ38/$AP$5</f>
        <v>0.96913413045441066</v>
      </c>
      <c r="U15" s="69">
        <f t="shared" si="7"/>
        <v>0.63043947426124436</v>
      </c>
      <c r="V15"/>
      <c r="W15" s="84">
        <v>0.8</v>
      </c>
      <c r="X15" s="85">
        <f>BF34/$AK$5</f>
        <v>0.93485263327427925</v>
      </c>
      <c r="Y15" s="85">
        <f t="shared" si="4"/>
        <v>0.75890021798294827</v>
      </c>
      <c r="Z15" s="85">
        <f>BG38/$AL$5</f>
        <v>1.2840356511756891E-2</v>
      </c>
      <c r="AA15" s="85">
        <f>BH38/BH$5</f>
        <v>0.15390370055076166</v>
      </c>
      <c r="AB15" s="85">
        <f>BI38/BI$5</f>
        <v>0.85334519986069723</v>
      </c>
      <c r="AC15" s="85">
        <f>BJ38/BJ$5</f>
        <v>0.93396019553973353</v>
      </c>
      <c r="AD15" s="86">
        <f t="shared" si="5"/>
        <v>0.64706969865039743</v>
      </c>
      <c r="AE15" s="85">
        <f>BK38/$AP$5</f>
        <v>0.93415367152936324</v>
      </c>
      <c r="AF15" s="85">
        <f t="shared" si="8"/>
        <v>0.65361026196648997</v>
      </c>
      <c r="AG15"/>
      <c r="AH15" s="37"/>
      <c r="AI15" s="56"/>
      <c r="AJ15" s="37" t="s">
        <v>3</v>
      </c>
      <c r="AK15" s="57">
        <v>963020</v>
      </c>
      <c r="AL15" s="57">
        <v>5995.4</v>
      </c>
      <c r="AM15" s="57">
        <v>5760.3</v>
      </c>
      <c r="AN15" s="57">
        <v>3242.1</v>
      </c>
      <c r="AO15" s="57">
        <v>32.677</v>
      </c>
      <c r="AP15" s="57">
        <v>8.8969000000000005</v>
      </c>
      <c r="AQ15" s="37"/>
      <c r="AR15" s="37"/>
      <c r="AS15" s="56"/>
      <c r="AT15" s="37" t="s">
        <v>3</v>
      </c>
      <c r="AU15" s="57">
        <v>823230</v>
      </c>
      <c r="AV15" s="57">
        <v>5116.1000000000004</v>
      </c>
      <c r="AW15" s="57">
        <v>4804.2</v>
      </c>
      <c r="AX15" s="57">
        <v>1724.1</v>
      </c>
      <c r="AY15" s="57">
        <v>8.5570000000000004</v>
      </c>
      <c r="AZ15" s="57">
        <v>2.5596999999999999</v>
      </c>
      <c r="BA15" s="37"/>
      <c r="BB15" s="37"/>
      <c r="BC15" s="37"/>
      <c r="BD15" s="56"/>
      <c r="BE15" s="37" t="s">
        <v>3</v>
      </c>
      <c r="BF15" s="57">
        <v>690410</v>
      </c>
      <c r="BG15" s="57">
        <v>4279.1000000000004</v>
      </c>
      <c r="BH15" s="57">
        <v>3862.7</v>
      </c>
      <c r="BI15" s="57">
        <v>648.80999999999995</v>
      </c>
      <c r="BJ15" s="57">
        <v>3.2067000000000001</v>
      </c>
      <c r="BK15" s="57">
        <v>1.0662</v>
      </c>
      <c r="BL15" s="37"/>
      <c r="BM15" s="37"/>
      <c r="BN15" s="37"/>
      <c r="BO15" s="37"/>
      <c r="BY15" s="37"/>
      <c r="BZ15" s="37"/>
      <c r="CA15" s="37"/>
      <c r="CB15" s="37"/>
      <c r="CC15" s="37"/>
      <c r="CD15" s="37"/>
      <c r="CE15" s="37"/>
      <c r="CF15" s="37"/>
      <c r="CG15" s="37"/>
      <c r="CH15" s="37"/>
      <c r="CI15" s="37"/>
      <c r="CJ15" s="37"/>
      <c r="CN15"/>
      <c r="CO15"/>
      <c r="CP15"/>
      <c r="CQ15"/>
      <c r="CR15"/>
      <c r="CS15"/>
      <c r="CT15"/>
      <c r="CU15"/>
      <c r="CV15"/>
      <c r="CW15"/>
      <c r="CX15"/>
      <c r="CY15"/>
      <c r="CZ15"/>
      <c r="DA15"/>
      <c r="DB15"/>
      <c r="DC15"/>
      <c r="DD15"/>
    </row>
    <row r="16" spans="1:108" s="41" customFormat="1">
      <c r="A16" s="74">
        <v>1</v>
      </c>
      <c r="B16" s="75">
        <f>AK41/$AK$5</f>
        <v>0.9964567563214688</v>
      </c>
      <c r="C16" s="75">
        <f t="shared" si="0"/>
        <v>0.77009875014510698</v>
      </c>
      <c r="D16" s="75">
        <f>AL45/$AL$5</f>
        <v>9.946213674882947E-3</v>
      </c>
      <c r="E16" s="75">
        <f>AM45/AM$5</f>
        <v>0.11643643023900735</v>
      </c>
      <c r="F16" s="75">
        <f>AN45/AN$5</f>
        <v>0.70779966206193812</v>
      </c>
      <c r="G16" s="75">
        <f>AO45/AO$5</f>
        <v>0.99232545241135572</v>
      </c>
      <c r="H16" s="76">
        <f t="shared" si="1"/>
        <v>0.60552051490410042</v>
      </c>
      <c r="I16" s="75">
        <f>AP45/$AP$5</f>
        <v>0.99423441550903535</v>
      </c>
      <c r="J16" s="75">
        <f t="shared" si="6"/>
        <v>0.60529030427323971</v>
      </c>
      <c r="K16"/>
      <c r="L16" s="68">
        <v>1</v>
      </c>
      <c r="M16" s="69">
        <f>AU41/$AK$5</f>
        <v>0.98566596875503298</v>
      </c>
      <c r="N16" s="69">
        <f t="shared" si="2"/>
        <v>0.78278597041107201</v>
      </c>
      <c r="O16" s="69">
        <f>AV45/$AL$5</f>
        <v>1.174102593868101E-2</v>
      </c>
      <c r="P16" s="69">
        <f>AW45/AW$5</f>
        <v>0.13558797353248464</v>
      </c>
      <c r="Q16" s="69">
        <f>AX45/AX$5</f>
        <v>0.81294741322601871</v>
      </c>
      <c r="R16" s="69">
        <f>AY45/AY$5</f>
        <v>0.98408337525313117</v>
      </c>
      <c r="S16" s="70">
        <f t="shared" si="3"/>
        <v>0.64420625400387821</v>
      </c>
      <c r="T16" s="69">
        <f>AZ45/$AP$5</f>
        <v>0.98461220962478568</v>
      </c>
      <c r="U16" s="69">
        <f t="shared" si="7"/>
        <v>0.64874855860387737</v>
      </c>
      <c r="V16"/>
      <c r="W16" s="84">
        <v>1</v>
      </c>
      <c r="X16" s="85">
        <f>BF41/$AK$5</f>
        <v>0.96166854565952653</v>
      </c>
      <c r="Y16" s="85">
        <f t="shared" si="4"/>
        <v>0.78490139173728546</v>
      </c>
      <c r="Z16" s="85">
        <f>BG45/$AL$5</f>
        <v>1.5405848134246541E-2</v>
      </c>
      <c r="AA16" s="85">
        <f>BH45/BH$5</f>
        <v>0.17634691534780536</v>
      </c>
      <c r="AB16" s="85">
        <f>BI45/BI$5</f>
        <v>0.88722929484450985</v>
      </c>
      <c r="AC16" s="85">
        <f>BJ45/BJ$5</f>
        <v>0.96077596770240825</v>
      </c>
      <c r="AD16" s="86">
        <f t="shared" si="5"/>
        <v>0.67478405929824115</v>
      </c>
      <c r="AE16" s="85">
        <f>BK45/$AP$5</f>
        <v>0.96095654529272923</v>
      </c>
      <c r="AF16" s="85">
        <f t="shared" si="8"/>
        <v>0.67995253389054422</v>
      </c>
      <c r="AG16"/>
      <c r="AH16" s="37"/>
      <c r="AI16" s="56"/>
      <c r="AJ16" s="37" t="s">
        <v>4</v>
      </c>
      <c r="AK16" s="57">
        <v>0</v>
      </c>
      <c r="AL16" s="57">
        <v>0</v>
      </c>
      <c r="AM16" s="57">
        <v>0</v>
      </c>
      <c r="AN16" s="57">
        <v>0</v>
      </c>
      <c r="AO16" s="57">
        <v>0</v>
      </c>
      <c r="AP16" s="57">
        <v>0</v>
      </c>
      <c r="AQ16" s="37"/>
      <c r="AR16" s="37"/>
      <c r="AS16" s="56"/>
      <c r="AT16" s="37" t="s">
        <v>4</v>
      </c>
      <c r="AU16" s="57">
        <v>0</v>
      </c>
      <c r="AV16" s="57">
        <v>0</v>
      </c>
      <c r="AW16" s="57">
        <v>0</v>
      </c>
      <c r="AX16" s="57">
        <v>0</v>
      </c>
      <c r="AY16" s="57">
        <v>0</v>
      </c>
      <c r="AZ16" s="57">
        <v>0</v>
      </c>
      <c r="BA16" s="37"/>
      <c r="BB16" s="37"/>
      <c r="BC16" s="37"/>
      <c r="BD16" s="56"/>
      <c r="BE16" s="37" t="s">
        <v>4</v>
      </c>
      <c r="BF16" s="57">
        <v>0</v>
      </c>
      <c r="BG16" s="57">
        <v>0</v>
      </c>
      <c r="BH16" s="57">
        <v>0</v>
      </c>
      <c r="BI16" s="57">
        <v>0</v>
      </c>
      <c r="BJ16" s="57">
        <v>0</v>
      </c>
      <c r="BK16" s="57">
        <v>0</v>
      </c>
      <c r="BL16" s="37"/>
      <c r="BM16" s="37"/>
      <c r="BN16" s="37"/>
      <c r="BO16" s="37"/>
      <c r="BP16" s="38"/>
      <c r="BQ16" s="37"/>
      <c r="BR16" s="37"/>
      <c r="BS16" s="37"/>
      <c r="BT16" s="37"/>
      <c r="BU16" s="37"/>
      <c r="BV16" s="37"/>
      <c r="BW16" s="37"/>
      <c r="BX16" s="37"/>
      <c r="BY16" s="37"/>
      <c r="BZ16" s="37"/>
      <c r="CA16" s="37"/>
      <c r="CB16" s="37"/>
      <c r="CC16" s="37"/>
      <c r="CD16" s="37"/>
      <c r="CE16" s="37"/>
      <c r="CF16" s="37"/>
      <c r="CG16" s="37"/>
      <c r="CH16" s="37"/>
      <c r="CI16" s="37"/>
      <c r="CJ16" s="37"/>
      <c r="CN16"/>
      <c r="CO16"/>
      <c r="CP16"/>
      <c r="CQ16"/>
      <c r="CR16"/>
      <c r="CS16"/>
      <c r="CT16"/>
      <c r="CU16"/>
      <c r="CV16"/>
      <c r="CW16"/>
      <c r="CX16"/>
      <c r="CY16"/>
      <c r="CZ16"/>
      <c r="DA16"/>
      <c r="DB16"/>
      <c r="DC16"/>
      <c r="DD16"/>
    </row>
    <row r="17" spans="1:108" s="41" customFormat="1">
      <c r="A17" s="74">
        <v>1.2</v>
      </c>
      <c r="B17" s="75">
        <f>AK48/$AK$5</f>
        <v>0.99967788693831539</v>
      </c>
      <c r="C17" s="75">
        <f t="shared" si="0"/>
        <v>0.78003512234131755</v>
      </c>
      <c r="D17" s="75">
        <f>AL52/$AL$5</f>
        <v>1.1787331192199048E-2</v>
      </c>
      <c r="E17" s="75">
        <f>AM52/AM$5</f>
        <v>0.13358872163964453</v>
      </c>
      <c r="F17" s="75">
        <f>AN52/AN$5</f>
        <v>0.7424318642056521</v>
      </c>
      <c r="G17" s="75">
        <f>AO52/AO$5</f>
        <v>0.9956790362316037</v>
      </c>
      <c r="H17" s="76">
        <f t="shared" si="1"/>
        <v>0.62389987402563352</v>
      </c>
      <c r="I17" s="75">
        <f>AP52/$AP$5</f>
        <v>0.99738162494034499</v>
      </c>
      <c r="J17" s="75">
        <f t="shared" si="6"/>
        <v>0.62374319286976498</v>
      </c>
      <c r="K17"/>
      <c r="L17" s="68">
        <v>1.2</v>
      </c>
      <c r="M17" s="69">
        <f>AU48/$AK$5</f>
        <v>0.99428249315509742</v>
      </c>
      <c r="N17" s="69">
        <f t="shared" si="2"/>
        <v>0.79556108036992623</v>
      </c>
      <c r="O17" s="69">
        <f>AV52/$AL$5</f>
        <v>1.4021849888428846E-2</v>
      </c>
      <c r="P17" s="69">
        <f>AW52/AW$5</f>
        <v>0.15525803247816947</v>
      </c>
      <c r="Q17" s="69">
        <f>AX52/AX$5</f>
        <v>0.84024042616311323</v>
      </c>
      <c r="R17" s="69">
        <f>AY52/AY$5</f>
        <v>0.99276399798784976</v>
      </c>
      <c r="S17" s="70">
        <f t="shared" si="3"/>
        <v>0.66275415220971079</v>
      </c>
      <c r="T17" s="69">
        <f>AZ52/$AP$5</f>
        <v>0.99324123876226966</v>
      </c>
      <c r="U17" s="69">
        <f t="shared" si="7"/>
        <v>0.66642688542351913</v>
      </c>
      <c r="V17"/>
      <c r="W17" s="84">
        <v>1.2</v>
      </c>
      <c r="X17" s="85">
        <f>BF48/$AK$5</f>
        <v>0.98107585762602678</v>
      </c>
      <c r="Y17" s="85">
        <f t="shared" si="4"/>
        <v>0.80455900372763733</v>
      </c>
      <c r="Z17" s="85">
        <f>BG52/$AL$5</f>
        <v>1.7955861677565816E-2</v>
      </c>
      <c r="AA17" s="85">
        <f>BH52/BH$5</f>
        <v>0.19721652542919424</v>
      </c>
      <c r="AB17" s="85">
        <f>BI52/BI$5</f>
        <v>0.9123037831005173</v>
      </c>
      <c r="AC17" s="85">
        <f>BJ52/BJ$5</f>
        <v>0.98023965225915466</v>
      </c>
      <c r="AD17" s="86">
        <f t="shared" si="5"/>
        <v>0.6965866535962888</v>
      </c>
      <c r="AE17" s="85">
        <f>BK52/$AP$5</f>
        <v>0.98039443305085838</v>
      </c>
      <c r="AF17" s="85">
        <f t="shared" si="8"/>
        <v>0.70024777825071916</v>
      </c>
      <c r="AG17"/>
      <c r="AH17" s="37"/>
      <c r="AI17" s="56"/>
      <c r="AJ17" s="37" t="s">
        <v>5</v>
      </c>
      <c r="AK17" s="57">
        <v>0</v>
      </c>
      <c r="AL17" s="57">
        <v>17.106999999999999</v>
      </c>
      <c r="AM17" s="57">
        <v>251.85</v>
      </c>
      <c r="AN17" s="57">
        <v>2770</v>
      </c>
      <c r="AO17" s="57">
        <v>5979.5</v>
      </c>
      <c r="AP17" s="57">
        <v>6003.3</v>
      </c>
      <c r="AQ17" s="37"/>
      <c r="AR17" s="37"/>
      <c r="AS17" s="56"/>
      <c r="AT17" s="37" t="s">
        <v>5</v>
      </c>
      <c r="AU17" s="57">
        <v>0</v>
      </c>
      <c r="AV17" s="57">
        <v>23.588000000000001</v>
      </c>
      <c r="AW17" s="57">
        <v>335.1</v>
      </c>
      <c r="AX17" s="57">
        <v>3415.3</v>
      </c>
      <c r="AY17" s="57">
        <v>5130.8999999999996</v>
      </c>
      <c r="AZ17" s="57">
        <v>5136.8999999999996</v>
      </c>
      <c r="BA17" s="37"/>
      <c r="BB17" s="37"/>
      <c r="BC17" s="37"/>
      <c r="BD17" s="56"/>
      <c r="BE17" s="37" t="s">
        <v>5</v>
      </c>
      <c r="BF17" s="57">
        <v>0</v>
      </c>
      <c r="BG17" s="57">
        <v>30.821000000000002</v>
      </c>
      <c r="BH17" s="57">
        <v>446.83</v>
      </c>
      <c r="BI17" s="57">
        <v>3661</v>
      </c>
      <c r="BJ17" s="57">
        <v>4306.7</v>
      </c>
      <c r="BK17" s="57">
        <v>4308.8</v>
      </c>
      <c r="BL17" s="37"/>
      <c r="BM17" s="37"/>
      <c r="BN17" s="37"/>
      <c r="BO17" s="37"/>
      <c r="BY17" s="37"/>
      <c r="BZ17" s="37"/>
      <c r="CA17" s="37"/>
      <c r="CB17" s="37"/>
      <c r="CC17" s="58" t="s">
        <v>96</v>
      </c>
      <c r="CD17" s="58" t="s">
        <v>99</v>
      </c>
      <c r="CE17" s="58" t="s">
        <v>100</v>
      </c>
      <c r="CF17" s="58" t="s">
        <v>101</v>
      </c>
      <c r="CG17" s="59" t="s">
        <v>102</v>
      </c>
      <c r="CH17" s="59" t="s">
        <v>103</v>
      </c>
      <c r="CI17" s="59" t="s">
        <v>104</v>
      </c>
      <c r="CJ17" s="59" t="s">
        <v>105</v>
      </c>
      <c r="CK17" s="60" t="s">
        <v>106</v>
      </c>
      <c r="CL17" s="60" t="s">
        <v>107</v>
      </c>
      <c r="CN17"/>
      <c r="CO17"/>
      <c r="CP17"/>
      <c r="CQ17"/>
      <c r="CR17"/>
      <c r="CS17"/>
      <c r="CT17"/>
      <c r="CU17"/>
      <c r="CV17"/>
      <c r="CW17"/>
      <c r="CX17"/>
      <c r="CY17"/>
      <c r="CZ17"/>
      <c r="DA17"/>
      <c r="DB17"/>
      <c r="DC17"/>
      <c r="DD17"/>
    </row>
    <row r="18" spans="1:108" s="41" customFormat="1">
      <c r="A18" s="74">
        <v>1.6</v>
      </c>
      <c r="B18" s="75">
        <f>AK55/$AK$5</f>
        <v>1</v>
      </c>
      <c r="C18" s="75">
        <f t="shared" si="0"/>
        <v>0.79201260173612464</v>
      </c>
      <c r="D18" s="75">
        <f>AL59/$AL$5</f>
        <v>1.5309110139431696E-2</v>
      </c>
      <c r="E18" s="75">
        <f>AM59/AM$5</f>
        <v>0.16442879438661662</v>
      </c>
      <c r="F18" s="75">
        <f>AN59/AN$5</f>
        <v>0.78952392008151795</v>
      </c>
      <c r="G18" s="75">
        <f>AO59/AO$5</f>
        <v>0.99620787060325822</v>
      </c>
      <c r="H18" s="76">
        <f t="shared" si="1"/>
        <v>0.65005352835713104</v>
      </c>
      <c r="I18" s="75">
        <f>AP59/$AP$5</f>
        <v>0.99744611693688823</v>
      </c>
      <c r="J18" s="75">
        <f t="shared" si="6"/>
        <v>0.64921242373821419</v>
      </c>
      <c r="K18"/>
      <c r="L18" s="68">
        <v>1.6</v>
      </c>
      <c r="M18" s="69">
        <f>AU55/$AK$5</f>
        <v>1</v>
      </c>
      <c r="N18" s="69">
        <f t="shared" si="2"/>
        <v>0.80928201060248428</v>
      </c>
      <c r="O18" s="69">
        <f>AV59/$AL$5</f>
        <v>1.7986817835906565E-2</v>
      </c>
      <c r="P18" s="69">
        <f>AW59/AW$5</f>
        <v>0.1878264907325001</v>
      </c>
      <c r="Q18" s="69">
        <f>AX59/AX$5</f>
        <v>0.87333771878909827</v>
      </c>
      <c r="R18" s="69">
        <f>AY59/AY$5</f>
        <v>0.99850378568019715</v>
      </c>
      <c r="S18" s="70">
        <f t="shared" si="3"/>
        <v>0.68655599840059844</v>
      </c>
      <c r="T18" s="69">
        <f>AZ59/$AP$5</f>
        <v>0.99886494086083921</v>
      </c>
      <c r="U18" s="69">
        <f t="shared" si="7"/>
        <v>0.68828631866785339</v>
      </c>
      <c r="V18"/>
      <c r="W18" s="84">
        <v>1.6</v>
      </c>
      <c r="X18" s="85">
        <f>BF55/$AK$5</f>
        <v>0.99726203897568044</v>
      </c>
      <c r="Y18" s="85">
        <f t="shared" si="4"/>
        <v>0.82517954571837637</v>
      </c>
      <c r="Z18" s="85">
        <f>BG59/$AL$5</f>
        <v>2.3267422512866152E-2</v>
      </c>
      <c r="AA18" s="85">
        <f>BH59/BH$5</f>
        <v>0.23620838653923049</v>
      </c>
      <c r="AB18" s="85">
        <f>BI59/BI$5</f>
        <v>0.93893897767287082</v>
      </c>
      <c r="AC18" s="85">
        <f>BJ59/BJ$5</f>
        <v>0.9964400417908138</v>
      </c>
      <c r="AD18" s="86">
        <f t="shared" si="5"/>
        <v>0.72386246866763837</v>
      </c>
      <c r="AE18" s="85">
        <f>BK59/$AP$5</f>
        <v>0.99655612738459165</v>
      </c>
      <c r="AF18" s="85">
        <f t="shared" si="8"/>
        <v>0.72408763172490298</v>
      </c>
      <c r="AG18"/>
      <c r="AH18" s="37"/>
      <c r="AI18" s="56"/>
      <c r="AJ18" s="37"/>
      <c r="AK18" s="37"/>
      <c r="AL18" s="37"/>
      <c r="AM18" s="37"/>
      <c r="AN18" s="37"/>
      <c r="AO18" s="37"/>
      <c r="AP18" s="37"/>
      <c r="AQ18" s="37"/>
      <c r="AR18" s="37"/>
      <c r="AS18" s="56"/>
      <c r="AT18" s="37"/>
      <c r="AU18" s="37"/>
      <c r="AV18" s="37"/>
      <c r="AW18" s="37"/>
      <c r="AX18" s="37"/>
      <c r="AY18" s="37"/>
      <c r="AZ18" s="37"/>
      <c r="BA18" s="37"/>
      <c r="BB18" s="37"/>
      <c r="BC18" s="37"/>
      <c r="BD18" s="56"/>
      <c r="BE18" s="37"/>
      <c r="BF18" s="37"/>
      <c r="BG18" s="37"/>
      <c r="BH18" s="37"/>
      <c r="BI18" s="37"/>
      <c r="BJ18" s="37"/>
      <c r="BK18" s="37"/>
      <c r="BL18" s="37"/>
      <c r="BM18" s="37"/>
      <c r="BN18" s="37"/>
      <c r="BO18" s="37"/>
      <c r="BY18" s="37"/>
      <c r="BZ18" s="37"/>
      <c r="CA18" s="37"/>
      <c r="CB18" s="37"/>
      <c r="CC18" s="61">
        <v>0.1</v>
      </c>
      <c r="CD18" s="62">
        <v>0.54083835902017718</v>
      </c>
      <c r="CE18" s="62">
        <v>0.39045864045864048</v>
      </c>
      <c r="CF18" s="62">
        <v>0.27551932097386644</v>
      </c>
      <c r="CG18" s="62">
        <f t="shared" ref="CG18:CG26" si="9">C11</f>
        <v>0.398942332546531</v>
      </c>
      <c r="CH18" s="62">
        <f t="shared" ref="CH18:CH26" si="10">N11</f>
        <v>0.32795561015877928</v>
      </c>
      <c r="CI18" s="62">
        <f t="shared" ref="CI18:CI26" si="11">Y11</f>
        <v>0.26164462975144787</v>
      </c>
      <c r="CJ18" s="59">
        <v>0.45194747920455558</v>
      </c>
      <c r="CK18" s="60">
        <v>0.36156195253570256</v>
      </c>
      <c r="CL18" s="60">
        <v>0.26001001908112459</v>
      </c>
      <c r="CN18"/>
      <c r="CO18"/>
      <c r="CP18"/>
      <c r="CQ18"/>
      <c r="CR18"/>
      <c r="CS18"/>
      <c r="CT18"/>
      <c r="CU18"/>
      <c r="CV18"/>
      <c r="CW18"/>
      <c r="CX18"/>
      <c r="CY18"/>
      <c r="CZ18"/>
      <c r="DA18"/>
      <c r="DB18"/>
      <c r="DC18"/>
      <c r="DD18"/>
    </row>
    <row r="19" spans="1:108" s="41" customFormat="1">
      <c r="A19" s="74">
        <v>2</v>
      </c>
      <c r="B19" s="75">
        <f>AK62/$AK$5</f>
        <v>1</v>
      </c>
      <c r="C19" s="75">
        <f t="shared" si="0"/>
        <v>0.80156193166428047</v>
      </c>
      <c r="D19" s="75">
        <f>AL66/$AL$5</f>
        <v>1.8843271550000647E-2</v>
      </c>
      <c r="E19" s="75">
        <f>AM66/AM$5</f>
        <v>0.1931148344490449</v>
      </c>
      <c r="F19" s="75">
        <f>AN66/AN$5</f>
        <v>0.82311135188123152</v>
      </c>
      <c r="G19" s="75">
        <f>AO66/AO$5</f>
        <v>0.99650453378735704</v>
      </c>
      <c r="H19" s="76">
        <f t="shared" si="1"/>
        <v>0.67091024003921118</v>
      </c>
      <c r="I19" s="75">
        <f>AP66/$AP$5</f>
        <v>0.99742032013827087</v>
      </c>
      <c r="J19" s="75">
        <f>(($C$5*D19)+($D$5*E19)+($E$5*F19)+($F$5*G19)+($G$5*I19))</f>
        <v>0.66879477356860018</v>
      </c>
      <c r="K19"/>
      <c r="L19" s="68">
        <v>2</v>
      </c>
      <c r="M19" s="69">
        <f>AU62/$AK$5</f>
        <v>1</v>
      </c>
      <c r="N19" s="69">
        <f t="shared" si="2"/>
        <v>0.81783680945194703</v>
      </c>
      <c r="O19" s="69">
        <f>AV66/$AL$5</f>
        <v>2.2229101368520167E-2</v>
      </c>
      <c r="P19" s="69">
        <f>AW66/AW$5</f>
        <v>0.22017567619858378</v>
      </c>
      <c r="Q19" s="69">
        <f>AX66/AX$5</f>
        <v>0.89649034554811746</v>
      </c>
      <c r="R19" s="69">
        <f>AY66/AY$5</f>
        <v>0.99861987127397489</v>
      </c>
      <c r="S19" s="70">
        <f t="shared" si="3"/>
        <v>0.70509529767355872</v>
      </c>
      <c r="T19" s="69">
        <f>AZ66/$AP$5</f>
        <v>0.99886494086083921</v>
      </c>
      <c r="U19" s="69">
        <f>(($C$5*O19)+($D$5*P19)+($E$5*Q19)+($F$5*R19)+($G$5*T19))</f>
        <v>0.70446465193669483</v>
      </c>
      <c r="V19"/>
      <c r="W19" s="84">
        <v>2</v>
      </c>
      <c r="X19" s="85">
        <f>BF62/$AK$5</f>
        <v>1</v>
      </c>
      <c r="Y19" s="85">
        <f t="shared" si="4"/>
        <v>0.83293851333049562</v>
      </c>
      <c r="Z19" s="85">
        <f>BG66/$AL$5</f>
        <v>2.7135652465529028E-2</v>
      </c>
      <c r="AA19" s="85">
        <f>BH66/BH$5</f>
        <v>0.26348850107701632</v>
      </c>
      <c r="AB19" s="85">
        <f>BI66/BI$5</f>
        <v>0.95043145145687424</v>
      </c>
      <c r="AC19" s="85">
        <f>BJ66/BJ$5</f>
        <v>0.99916160404493803</v>
      </c>
      <c r="AD19" s="86">
        <f t="shared" si="5"/>
        <v>0.73769385219294292</v>
      </c>
      <c r="AE19" s="85">
        <f>BK66/$AP$5</f>
        <v>0.9992389944407899</v>
      </c>
      <c r="AF19" s="85">
        <f>(($C$5*Z19)+($D$5*AA19)+($E$5*AB19)+($F$5*AC19)+($G$5*AE19))</f>
        <v>0.73534006629777249</v>
      </c>
      <c r="AG19"/>
      <c r="AH19" s="37"/>
      <c r="AI19" s="56">
        <v>0.4</v>
      </c>
      <c r="AJ19" s="37" t="s">
        <v>0</v>
      </c>
      <c r="AK19" s="57">
        <v>1241800</v>
      </c>
      <c r="AL19" s="57">
        <v>7752.9</v>
      </c>
      <c r="AM19" s="57">
        <v>7752.9</v>
      </c>
      <c r="AN19" s="57">
        <v>7752.9</v>
      </c>
      <c r="AO19" s="57">
        <v>7752.9</v>
      </c>
      <c r="AP19" s="57">
        <v>7752.9</v>
      </c>
      <c r="AQ19" s="37"/>
      <c r="AR19" s="37"/>
      <c r="AS19" s="56">
        <v>0.4</v>
      </c>
      <c r="AT19" s="37" t="s">
        <v>0</v>
      </c>
      <c r="AU19" s="57">
        <v>1241800</v>
      </c>
      <c r="AV19" s="57">
        <v>7752.9</v>
      </c>
      <c r="AW19" s="57">
        <v>7752.9</v>
      </c>
      <c r="AX19" s="57">
        <v>7752.9</v>
      </c>
      <c r="AY19" s="57">
        <v>7752.9</v>
      </c>
      <c r="AZ19" s="57">
        <v>7752.9</v>
      </c>
      <c r="BA19" s="37"/>
      <c r="BB19" s="37"/>
      <c r="BC19" s="37"/>
      <c r="BD19" s="56">
        <v>0.4</v>
      </c>
      <c r="BE19" s="37" t="s">
        <v>0</v>
      </c>
      <c r="BF19" s="57">
        <v>1241800</v>
      </c>
      <c r="BG19" s="57">
        <v>7752.9</v>
      </c>
      <c r="BH19" s="57">
        <v>7752.9</v>
      </c>
      <c r="BI19" s="57">
        <v>7752.9</v>
      </c>
      <c r="BJ19" s="57">
        <v>7752.9</v>
      </c>
      <c r="BK19" s="57">
        <v>7752.9</v>
      </c>
      <c r="BL19" s="37"/>
      <c r="BM19" s="37"/>
      <c r="BN19" s="37"/>
      <c r="BO19" s="37"/>
      <c r="BY19" s="37"/>
      <c r="BZ19" s="37"/>
      <c r="CA19" s="37"/>
      <c r="CB19" s="37"/>
      <c r="CC19" s="61">
        <v>0.2</v>
      </c>
      <c r="CD19" s="62">
        <v>0.77280172734718189</v>
      </c>
      <c r="CE19" s="62">
        <v>0.62134241679696223</v>
      </c>
      <c r="CF19" s="62">
        <v>0.48760330578512395</v>
      </c>
      <c r="CG19" s="62">
        <f t="shared" si="9"/>
        <v>0.56142963923177136</v>
      </c>
      <c r="CH19" s="62">
        <f t="shared" si="10"/>
        <v>0.50327289143417298</v>
      </c>
      <c r="CI19" s="62">
        <f t="shared" si="11"/>
        <v>0.44088283738987993</v>
      </c>
      <c r="CJ19" s="59">
        <v>0.66978064160281447</v>
      </c>
      <c r="CK19" s="60">
        <v>0.5819021779314868</v>
      </c>
      <c r="CL19" s="60">
        <v>0.46206366834620316</v>
      </c>
      <c r="CN19"/>
      <c r="CO19"/>
      <c r="CP19"/>
      <c r="CQ19"/>
      <c r="CR19"/>
      <c r="CS19"/>
      <c r="CT19"/>
      <c r="CU19"/>
      <c r="CV19"/>
      <c r="CW19"/>
      <c r="CX19"/>
      <c r="CY19"/>
      <c r="CZ19"/>
      <c r="DA19"/>
      <c r="DB19"/>
      <c r="DC19"/>
      <c r="DD19"/>
    </row>
    <row r="20" spans="1:108" s="41" customFormat="1">
      <c r="A20"/>
      <c r="B20"/>
      <c r="C20"/>
      <c r="D20"/>
      <c r="E20"/>
      <c r="F20"/>
      <c r="G20"/>
      <c r="H20"/>
      <c r="I20"/>
      <c r="J20"/>
      <c r="K20"/>
      <c r="L20"/>
      <c r="M20"/>
      <c r="N20"/>
      <c r="O20"/>
      <c r="P20"/>
      <c r="Q20"/>
      <c r="R20"/>
      <c r="S20"/>
      <c r="T20"/>
      <c r="U20"/>
      <c r="V20"/>
      <c r="W20"/>
      <c r="X20"/>
      <c r="Y20"/>
      <c r="Z20"/>
      <c r="AA20"/>
      <c r="AB20"/>
      <c r="AC20"/>
      <c r="AD20"/>
      <c r="AE20"/>
      <c r="AF20"/>
      <c r="AG20"/>
      <c r="AH20" s="37"/>
      <c r="AI20" s="56"/>
      <c r="AJ20" s="37" t="s">
        <v>1</v>
      </c>
      <c r="AK20" s="57">
        <v>1140900</v>
      </c>
      <c r="AL20" s="57">
        <v>7123.1</v>
      </c>
      <c r="AM20" s="57">
        <v>7123.1</v>
      </c>
      <c r="AN20" s="57">
        <v>7123.1</v>
      </c>
      <c r="AO20" s="57">
        <v>7123.1</v>
      </c>
      <c r="AP20" s="57">
        <v>7123.1</v>
      </c>
      <c r="AQ20" s="37"/>
      <c r="AR20" s="37"/>
      <c r="AS20" s="56"/>
      <c r="AT20" s="37" t="s">
        <v>1</v>
      </c>
      <c r="AU20" s="57">
        <v>1063800</v>
      </c>
      <c r="AV20" s="57">
        <v>6641.4</v>
      </c>
      <c r="AW20" s="57">
        <v>6641.4</v>
      </c>
      <c r="AX20" s="57">
        <v>6641.4</v>
      </c>
      <c r="AY20" s="57">
        <v>6641.4</v>
      </c>
      <c r="AZ20" s="57">
        <v>6641.4</v>
      </c>
      <c r="BA20" s="37"/>
      <c r="BB20" s="37"/>
      <c r="BC20" s="37"/>
      <c r="BD20" s="56"/>
      <c r="BE20" s="37" t="s">
        <v>1</v>
      </c>
      <c r="BF20" s="57">
        <v>956240</v>
      </c>
      <c r="BG20" s="57">
        <v>5970.4</v>
      </c>
      <c r="BH20" s="57">
        <v>5970.4</v>
      </c>
      <c r="BI20" s="57">
        <v>5970.4</v>
      </c>
      <c r="BJ20" s="57">
        <v>5970.4</v>
      </c>
      <c r="BK20" s="57">
        <v>5970.4</v>
      </c>
      <c r="BL20" s="37"/>
      <c r="BM20" s="37"/>
      <c r="BN20" s="37"/>
      <c r="BO20" s="37"/>
      <c r="BY20" s="37"/>
      <c r="BZ20" s="37"/>
      <c r="CA20" s="37"/>
      <c r="CB20" s="37"/>
      <c r="CC20" s="61">
        <v>0.4</v>
      </c>
      <c r="CD20" s="62">
        <v>0.93740227831136924</v>
      </c>
      <c r="CE20" s="62">
        <v>0.83551113096567642</v>
      </c>
      <c r="CF20" s="62">
        <v>0.7119350755714392</v>
      </c>
      <c r="CG20" s="62">
        <f t="shared" si="9"/>
        <v>0.68037144810329042</v>
      </c>
      <c r="CH20" s="62">
        <f t="shared" si="10"/>
        <v>0.65891475447896919</v>
      </c>
      <c r="CI20" s="62">
        <f t="shared" si="11"/>
        <v>0.61647678288124452</v>
      </c>
      <c r="CJ20" s="59">
        <v>0.83237753793864233</v>
      </c>
      <c r="CK20" s="60">
        <v>0.78453640320801399</v>
      </c>
      <c r="CL20" s="60">
        <v>0.67560285918726337</v>
      </c>
      <c r="CN20"/>
      <c r="CO20"/>
      <c r="CP20"/>
      <c r="CQ20"/>
      <c r="CR20"/>
      <c r="CS20"/>
      <c r="CT20"/>
      <c r="CU20"/>
      <c r="CV20"/>
      <c r="CW20"/>
      <c r="CX20"/>
      <c r="CY20"/>
      <c r="CZ20"/>
      <c r="DA20"/>
      <c r="DB20"/>
      <c r="DC20"/>
      <c r="DD20"/>
    </row>
    <row r="21" spans="1:108" s="41" customFormat="1">
      <c r="A21"/>
      <c r="B21"/>
      <c r="C21"/>
      <c r="D21"/>
      <c r="E21"/>
      <c r="F21"/>
      <c r="G21"/>
      <c r="H21"/>
      <c r="I21"/>
      <c r="J21"/>
      <c r="K21"/>
      <c r="L21"/>
      <c r="M21"/>
      <c r="N21"/>
      <c r="O21"/>
      <c r="P21"/>
      <c r="Q21"/>
      <c r="R21"/>
      <c r="S21"/>
      <c r="T21"/>
      <c r="U21"/>
      <c r="V21"/>
      <c r="W21"/>
      <c r="X21"/>
      <c r="Y21"/>
      <c r="Z21"/>
      <c r="AA21"/>
      <c r="AB21"/>
      <c r="AC21"/>
      <c r="AD21"/>
      <c r="AE21"/>
      <c r="AF21"/>
      <c r="AG21"/>
      <c r="AH21" s="37"/>
      <c r="AI21" s="56"/>
      <c r="AJ21" s="37" t="s">
        <v>2</v>
      </c>
      <c r="AK21" s="57">
        <v>100880</v>
      </c>
      <c r="AL21" s="57">
        <v>629.85</v>
      </c>
      <c r="AM21" s="57">
        <v>629.85</v>
      </c>
      <c r="AN21" s="57">
        <v>629.85</v>
      </c>
      <c r="AO21" s="57">
        <v>629.85</v>
      </c>
      <c r="AP21" s="57">
        <v>629.85</v>
      </c>
      <c r="AQ21" s="57"/>
      <c r="AR21" s="37"/>
      <c r="AS21" s="56"/>
      <c r="AT21" s="37" t="s">
        <v>2</v>
      </c>
      <c r="AU21" s="57">
        <v>178030</v>
      </c>
      <c r="AV21" s="57">
        <v>1111.5</v>
      </c>
      <c r="AW21" s="57">
        <v>1111.5</v>
      </c>
      <c r="AX21" s="57">
        <v>1111.5</v>
      </c>
      <c r="AY21" s="57">
        <v>1111.5</v>
      </c>
      <c r="AZ21" s="57">
        <v>1111.5</v>
      </c>
      <c r="BA21" s="57"/>
      <c r="BB21" s="37"/>
      <c r="BC21" s="37"/>
      <c r="BD21" s="56"/>
      <c r="BE21" s="37" t="s">
        <v>2</v>
      </c>
      <c r="BF21" s="57">
        <v>285510</v>
      </c>
      <c r="BG21" s="57">
        <v>1782.5</v>
      </c>
      <c r="BH21" s="57">
        <v>1782.5</v>
      </c>
      <c r="BI21" s="57">
        <v>1782.5</v>
      </c>
      <c r="BJ21" s="57">
        <v>1782.5</v>
      </c>
      <c r="BK21" s="57">
        <v>1782.5</v>
      </c>
      <c r="BL21" s="57"/>
      <c r="BM21" s="57"/>
      <c r="BN21" s="57"/>
      <c r="BO21" s="37"/>
      <c r="BY21" s="37"/>
      <c r="BZ21" s="37"/>
      <c r="CA21" s="37"/>
      <c r="CB21" s="37"/>
      <c r="CC21" s="61">
        <v>0.6</v>
      </c>
      <c r="CD21" s="62">
        <v>0.98157248157248156</v>
      </c>
      <c r="CE21" s="62">
        <v>0.93494527585436671</v>
      </c>
      <c r="CF21" s="62">
        <v>0.84556250465341376</v>
      </c>
      <c r="CG21" s="62">
        <f t="shared" si="9"/>
        <v>0.72962021953075629</v>
      </c>
      <c r="CH21" s="62">
        <f t="shared" si="10"/>
        <v>0.72840804731132869</v>
      </c>
      <c r="CI21" s="62">
        <f t="shared" si="11"/>
        <v>0.71065073714352045</v>
      </c>
      <c r="CJ21" s="59">
        <v>0.88991590888763017</v>
      </c>
      <c r="CK21" s="60">
        <v>0.88021420053069388</v>
      </c>
      <c r="CL21" s="60">
        <v>0.80264449479741218</v>
      </c>
      <c r="CN21"/>
      <c r="CO21"/>
      <c r="CP21"/>
      <c r="CQ21"/>
      <c r="CR21"/>
      <c r="CS21"/>
      <c r="CT21"/>
      <c r="CU21"/>
      <c r="CV21"/>
      <c r="CW21"/>
      <c r="CX21"/>
      <c r="CY21"/>
      <c r="CZ21"/>
      <c r="DA21"/>
      <c r="DB21"/>
      <c r="DC21"/>
      <c r="DD21"/>
    </row>
    <row r="22" spans="1:108" s="41" customFormat="1">
      <c r="A22"/>
      <c r="B22"/>
      <c r="C22"/>
      <c r="D22"/>
      <c r="E22"/>
      <c r="F22"/>
      <c r="G22"/>
      <c r="H22"/>
      <c r="I22"/>
      <c r="J22"/>
      <c r="K22"/>
      <c r="L22"/>
      <c r="M22"/>
      <c r="N22"/>
      <c r="O22"/>
      <c r="P22"/>
      <c r="Q22"/>
      <c r="R22"/>
      <c r="S22"/>
      <c r="T22"/>
      <c r="U22"/>
      <c r="V22"/>
      <c r="W22"/>
      <c r="X22"/>
      <c r="Y22"/>
      <c r="Z22"/>
      <c r="AA22"/>
      <c r="AB22"/>
      <c r="AC22"/>
      <c r="AD22"/>
      <c r="AE22"/>
      <c r="AF22"/>
      <c r="AG22"/>
      <c r="AH22" s="37"/>
      <c r="AI22" s="56"/>
      <c r="AJ22" s="37" t="s">
        <v>3</v>
      </c>
      <c r="AK22" s="57">
        <v>1140700</v>
      </c>
      <c r="AL22" s="57">
        <v>7089.2</v>
      </c>
      <c r="AM22" s="57">
        <v>6682</v>
      </c>
      <c r="AN22" s="57">
        <v>3196.8</v>
      </c>
      <c r="AO22" s="57">
        <v>33.536999999999999</v>
      </c>
      <c r="AP22" s="57">
        <v>11.2</v>
      </c>
      <c r="AQ22" s="37"/>
      <c r="AR22" s="37"/>
      <c r="AS22" s="56"/>
      <c r="AT22" s="37" t="s">
        <v>3</v>
      </c>
      <c r="AU22" s="57">
        <v>1063500</v>
      </c>
      <c r="AV22" s="57">
        <v>6600.3</v>
      </c>
      <c r="AW22" s="57">
        <v>6107.2</v>
      </c>
      <c r="AX22" s="57">
        <v>1874.8</v>
      </c>
      <c r="AY22" s="57">
        <v>10.061</v>
      </c>
      <c r="AZ22" s="57">
        <v>4.5709999999999997</v>
      </c>
      <c r="BA22" s="37"/>
      <c r="BB22" s="37"/>
      <c r="BC22" s="37"/>
      <c r="BD22" s="56"/>
      <c r="BE22" s="37" t="s">
        <v>3</v>
      </c>
      <c r="BF22" s="57">
        <v>955780</v>
      </c>
      <c r="BG22" s="57">
        <v>5911.8</v>
      </c>
      <c r="BH22" s="57">
        <v>5223.8999999999996</v>
      </c>
      <c r="BI22" s="57">
        <v>713.39</v>
      </c>
      <c r="BJ22" s="57">
        <v>3.2618999999999998</v>
      </c>
      <c r="BK22" s="57">
        <v>1.4446000000000001</v>
      </c>
      <c r="BL22" s="37"/>
      <c r="BM22" s="37"/>
      <c r="BN22" s="37"/>
      <c r="BO22" s="37"/>
      <c r="BY22" s="37"/>
      <c r="BZ22" s="37"/>
      <c r="CA22" s="37"/>
      <c r="CB22" s="37"/>
      <c r="CC22" s="61">
        <v>0.8</v>
      </c>
      <c r="CD22" s="62">
        <v>0.99348522075794798</v>
      </c>
      <c r="CE22" s="62">
        <v>0.97371751917206462</v>
      </c>
      <c r="CF22" s="62">
        <v>0.92195294468021738</v>
      </c>
      <c r="CG22" s="62">
        <f t="shared" si="9"/>
        <v>0.75502597092700796</v>
      </c>
      <c r="CH22" s="62">
        <f t="shared" si="10"/>
        <v>0.76632235679552174</v>
      </c>
      <c r="CI22" s="62">
        <f t="shared" si="11"/>
        <v>0.75890021798294827</v>
      </c>
      <c r="CJ22" s="59">
        <v>0.91185407411824349</v>
      </c>
      <c r="CK22" s="60">
        <v>0.92000646969380773</v>
      </c>
      <c r="CL22" s="60">
        <v>0.87511845204376737</v>
      </c>
      <c r="CN22"/>
      <c r="CO22"/>
      <c r="CP22"/>
      <c r="CQ22"/>
      <c r="CR22"/>
      <c r="CS22"/>
      <c r="CT22"/>
      <c r="CU22"/>
      <c r="CV22"/>
      <c r="CW22"/>
      <c r="CX22"/>
      <c r="CY22"/>
      <c r="CZ22"/>
      <c r="DA22"/>
      <c r="DB22"/>
      <c r="DC22"/>
      <c r="DD22"/>
    </row>
    <row r="23" spans="1:108" s="41" customFormat="1">
      <c r="A23"/>
      <c r="B23"/>
      <c r="C23"/>
      <c r="D23"/>
      <c r="E23"/>
      <c r="F23"/>
      <c r="G23"/>
      <c r="H23"/>
      <c r="I23"/>
      <c r="J23"/>
      <c r="K23"/>
      <c r="L23"/>
      <c r="M23"/>
      <c r="N23"/>
      <c r="O23"/>
      <c r="P23"/>
      <c r="Q23"/>
      <c r="R23"/>
      <c r="S23"/>
      <c r="T23"/>
      <c r="U23"/>
      <c r="V23"/>
      <c r="W23"/>
      <c r="X23"/>
      <c r="Y23"/>
      <c r="Z23"/>
      <c r="AA23"/>
      <c r="AB23"/>
      <c r="AC23"/>
      <c r="AD23"/>
      <c r="AE23"/>
      <c r="AF23"/>
      <c r="AG23"/>
      <c r="AH23" s="37"/>
      <c r="AI23" s="56"/>
      <c r="AJ23" s="37" t="s">
        <v>4</v>
      </c>
      <c r="AK23" s="57">
        <v>0</v>
      </c>
      <c r="AL23" s="57">
        <v>0</v>
      </c>
      <c r="AM23" s="57">
        <v>0</v>
      </c>
      <c r="AN23" s="57">
        <v>0</v>
      </c>
      <c r="AO23" s="57">
        <v>0</v>
      </c>
      <c r="AP23" s="57">
        <v>0</v>
      </c>
      <c r="AQ23" s="37"/>
      <c r="AR23" s="37"/>
      <c r="AS23" s="56"/>
      <c r="AT23" s="37" t="s">
        <v>4</v>
      </c>
      <c r="AU23" s="57">
        <v>0</v>
      </c>
      <c r="AV23" s="57">
        <v>0</v>
      </c>
      <c r="AW23" s="57">
        <v>0</v>
      </c>
      <c r="AX23" s="57">
        <v>0</v>
      </c>
      <c r="AY23" s="57">
        <v>0</v>
      </c>
      <c r="AZ23" s="57">
        <v>0</v>
      </c>
      <c r="BA23" s="37"/>
      <c r="BB23" s="37"/>
      <c r="BC23" s="37"/>
      <c r="BD23" s="56"/>
      <c r="BE23" s="37" t="s">
        <v>4</v>
      </c>
      <c r="BF23" s="57">
        <v>0</v>
      </c>
      <c r="BG23" s="57">
        <v>0</v>
      </c>
      <c r="BH23" s="57">
        <v>0</v>
      </c>
      <c r="BI23" s="57">
        <v>0</v>
      </c>
      <c r="BJ23" s="57">
        <v>0</v>
      </c>
      <c r="BK23" s="57">
        <v>0</v>
      </c>
      <c r="BL23" s="37"/>
      <c r="BM23" s="37"/>
      <c r="BN23" s="37"/>
      <c r="BO23" s="37"/>
      <c r="BY23" s="37"/>
      <c r="BZ23" s="37"/>
      <c r="CA23" s="37"/>
      <c r="CB23" s="37"/>
      <c r="CC23" s="61">
        <v>1</v>
      </c>
      <c r="CD23" s="62">
        <v>0.99677983768892864</v>
      </c>
      <c r="CE23" s="62">
        <v>0.98808726081453357</v>
      </c>
      <c r="CF23" s="62">
        <v>0.95769116223661677</v>
      </c>
      <c r="CG23" s="62">
        <f t="shared" si="9"/>
        <v>0.77009875014510698</v>
      </c>
      <c r="CH23" s="62">
        <f t="shared" si="10"/>
        <v>0.78278597041107201</v>
      </c>
      <c r="CI23" s="62">
        <f t="shared" si="11"/>
        <v>0.78490139173728546</v>
      </c>
      <c r="CJ23" s="59">
        <v>0.92120145493575034</v>
      </c>
      <c r="CK23" s="60">
        <v>0.93202501416177219</v>
      </c>
      <c r="CL23" s="60">
        <v>0.90907273188038529</v>
      </c>
      <c r="CN23"/>
      <c r="CO23"/>
      <c r="CP23"/>
      <c r="CQ23"/>
      <c r="CR23"/>
      <c r="CS23"/>
      <c r="CT23"/>
      <c r="CU23"/>
      <c r="CV23"/>
      <c r="CW23"/>
      <c r="CX23"/>
      <c r="CY23"/>
      <c r="CZ23"/>
      <c r="DA23"/>
      <c r="DB23"/>
      <c r="DC23"/>
      <c r="DD23"/>
    </row>
    <row r="24" spans="1:108" s="41" customFormat="1">
      <c r="A24"/>
      <c r="B24"/>
      <c r="C24"/>
      <c r="D24"/>
      <c r="E24"/>
      <c r="F24"/>
      <c r="G24"/>
      <c r="H24"/>
      <c r="I24"/>
      <c r="J24"/>
      <c r="K24"/>
      <c r="L24"/>
      <c r="M24"/>
      <c r="N24"/>
      <c r="O24"/>
      <c r="P24"/>
      <c r="Q24"/>
      <c r="R24"/>
      <c r="S24"/>
      <c r="T24"/>
      <c r="U24"/>
      <c r="V24"/>
      <c r="W24"/>
      <c r="X24"/>
      <c r="Y24"/>
      <c r="Z24"/>
      <c r="AA24"/>
      <c r="AB24"/>
      <c r="AC24"/>
      <c r="AD24"/>
      <c r="AE24"/>
      <c r="AF24"/>
      <c r="AG24"/>
      <c r="AH24" s="37"/>
      <c r="AI24" s="56"/>
      <c r="AJ24" s="37" t="s">
        <v>5</v>
      </c>
      <c r="AK24" s="57">
        <v>0</v>
      </c>
      <c r="AL24" s="57">
        <v>32.576000000000001</v>
      </c>
      <c r="AM24" s="57">
        <v>439.62</v>
      </c>
      <c r="AN24" s="57">
        <v>3925</v>
      </c>
      <c r="AO24" s="57">
        <v>7088.2</v>
      </c>
      <c r="AP24" s="57">
        <v>7110.6</v>
      </c>
      <c r="AQ24" s="37"/>
      <c r="AR24" s="37"/>
      <c r="AS24" s="56"/>
      <c r="AT24" s="37" t="s">
        <v>5</v>
      </c>
      <c r="AU24" s="57">
        <v>0</v>
      </c>
      <c r="AV24" s="57">
        <v>39.264000000000003</v>
      </c>
      <c r="AW24" s="57">
        <v>532.17999999999995</v>
      </c>
      <c r="AX24" s="57">
        <v>4764.8</v>
      </c>
      <c r="AY24" s="57">
        <v>6629.6</v>
      </c>
      <c r="AZ24" s="57">
        <v>6635.1</v>
      </c>
      <c r="BA24" s="37"/>
      <c r="BB24" s="37"/>
      <c r="BC24" s="37"/>
      <c r="BD24" s="56"/>
      <c r="BE24" s="37" t="s">
        <v>5</v>
      </c>
      <c r="BF24" s="57">
        <v>0</v>
      </c>
      <c r="BG24" s="57">
        <v>55.197000000000003</v>
      </c>
      <c r="BH24" s="57">
        <v>742.52</v>
      </c>
      <c r="BI24" s="57">
        <v>5253.6</v>
      </c>
      <c r="BJ24" s="57">
        <v>5963.7</v>
      </c>
      <c r="BK24" s="57">
        <v>5965.5</v>
      </c>
      <c r="BL24" s="37"/>
      <c r="BM24" s="37"/>
      <c r="BN24" s="37"/>
      <c r="BO24" s="37"/>
      <c r="BY24" s="37"/>
      <c r="BZ24" s="37"/>
      <c r="CA24" s="37"/>
      <c r="CB24" s="37"/>
      <c r="CC24" s="61">
        <v>1.2</v>
      </c>
      <c r="CD24" s="62">
        <v>0.9987156578065669</v>
      </c>
      <c r="CE24" s="62">
        <v>0.99434144888690346</v>
      </c>
      <c r="CF24" s="62">
        <v>0.97799865981684164</v>
      </c>
      <c r="CG24" s="62">
        <f t="shared" si="9"/>
        <v>0.78003512234131755</v>
      </c>
      <c r="CH24" s="62">
        <f t="shared" si="10"/>
        <v>0.79556108036992623</v>
      </c>
      <c r="CI24" s="62">
        <f t="shared" si="11"/>
        <v>0.80455900372763733</v>
      </c>
      <c r="CJ24" s="59">
        <v>0.92762337139620177</v>
      </c>
      <c r="CK24" s="60">
        <v>0.93852583405384449</v>
      </c>
      <c r="CL24" s="60">
        <v>0.92841121314212449</v>
      </c>
      <c r="CN24"/>
      <c r="CO24"/>
      <c r="CP24"/>
      <c r="CQ24"/>
      <c r="CR24"/>
      <c r="CS24"/>
      <c r="CT24"/>
      <c r="CU24"/>
      <c r="CV24"/>
      <c r="CW24"/>
      <c r="CX24"/>
      <c r="CY24"/>
      <c r="CZ24"/>
      <c r="DA24"/>
      <c r="DB24"/>
      <c r="DC24"/>
      <c r="DD24"/>
    </row>
    <row r="25" spans="1:108" s="41" customFormat="1">
      <c r="A25"/>
      <c r="B25"/>
      <c r="C25"/>
      <c r="D25"/>
      <c r="E25"/>
      <c r="F25"/>
      <c r="G25"/>
      <c r="H25"/>
      <c r="I25"/>
      <c r="J25"/>
      <c r="K25"/>
      <c r="L25"/>
      <c r="M25"/>
      <c r="N25"/>
      <c r="O25"/>
      <c r="P25"/>
      <c r="Q25"/>
      <c r="R25"/>
      <c r="S25"/>
      <c r="T25"/>
      <c r="U25"/>
      <c r="V25"/>
      <c r="W25"/>
      <c r="X25"/>
      <c r="Y25"/>
      <c r="Z25"/>
      <c r="AA25"/>
      <c r="AB25"/>
      <c r="AC25"/>
      <c r="AD25"/>
      <c r="AE25"/>
      <c r="AF25"/>
      <c r="AG25"/>
      <c r="AH25" s="37"/>
      <c r="AI25" s="56"/>
      <c r="AJ25" s="37"/>
      <c r="AK25" s="37"/>
      <c r="AL25" s="37"/>
      <c r="AM25" s="37"/>
      <c r="AN25" s="37"/>
      <c r="AO25" s="37"/>
      <c r="AP25" s="37"/>
      <c r="AQ25" s="37"/>
      <c r="AR25" s="37"/>
      <c r="AS25" s="56"/>
      <c r="AT25" s="37"/>
      <c r="AU25" s="37"/>
      <c r="AV25" s="37"/>
      <c r="AW25" s="37"/>
      <c r="AX25" s="37"/>
      <c r="AY25" s="37"/>
      <c r="AZ25" s="37"/>
      <c r="BA25" s="37"/>
      <c r="BB25" s="37"/>
      <c r="BC25" s="37"/>
      <c r="BD25" s="56"/>
      <c r="BE25" s="37"/>
      <c r="BF25" s="37"/>
      <c r="BG25" s="37"/>
      <c r="BH25" s="37"/>
      <c r="BI25" s="37"/>
      <c r="BJ25" s="37"/>
      <c r="BK25" s="37"/>
      <c r="BL25" s="37"/>
      <c r="BM25" s="37"/>
      <c r="BN25" s="37"/>
      <c r="BO25" s="37"/>
      <c r="BY25" s="37"/>
      <c r="BZ25" s="37"/>
      <c r="CA25" s="37"/>
      <c r="CB25" s="37"/>
      <c r="CC25" s="61">
        <v>1.6</v>
      </c>
      <c r="CD25" s="62">
        <v>1</v>
      </c>
      <c r="CE25" s="62">
        <v>0.9992554538009083</v>
      </c>
      <c r="CF25" s="62">
        <v>0.99447174447174447</v>
      </c>
      <c r="CG25" s="62">
        <f t="shared" si="9"/>
        <v>0.79201260173612464</v>
      </c>
      <c r="CH25" s="62">
        <f t="shared" si="10"/>
        <v>0.80928201060248428</v>
      </c>
      <c r="CI25" s="62">
        <f t="shared" si="11"/>
        <v>0.82517954571837637</v>
      </c>
      <c r="CJ25" s="59">
        <v>0.93159709012849945</v>
      </c>
      <c r="CK25" s="60">
        <v>0.94183092334754481</v>
      </c>
      <c r="CL25" s="60">
        <v>0.93806700754300709</v>
      </c>
      <c r="CN25"/>
      <c r="CO25"/>
      <c r="CP25"/>
      <c r="CQ25"/>
      <c r="CR25"/>
      <c r="CS25"/>
      <c r="CT25"/>
      <c r="CU25"/>
      <c r="CV25"/>
      <c r="CW25"/>
      <c r="CX25"/>
      <c r="CY25"/>
      <c r="CZ25"/>
      <c r="DA25"/>
      <c r="DB25"/>
      <c r="DC25"/>
      <c r="DD25"/>
    </row>
    <row r="26" spans="1:108" s="41" customFormat="1">
      <c r="A26"/>
      <c r="B26"/>
      <c r="C26"/>
      <c r="D26"/>
      <c r="E26"/>
      <c r="F26"/>
      <c r="G26"/>
      <c r="H26"/>
      <c r="I26"/>
      <c r="J26"/>
      <c r="K26"/>
      <c r="L26"/>
      <c r="M26"/>
      <c r="N26"/>
      <c r="O26"/>
      <c r="P26"/>
      <c r="Q26"/>
      <c r="R26"/>
      <c r="S26"/>
      <c r="T26"/>
      <c r="U26"/>
      <c r="V26"/>
      <c r="W26"/>
      <c r="X26"/>
      <c r="Y26"/>
      <c r="Z26"/>
      <c r="AA26"/>
      <c r="AB26"/>
      <c r="AC26"/>
      <c r="AD26"/>
      <c r="AE26"/>
      <c r="AF26"/>
      <c r="AG26"/>
      <c r="AH26" s="37"/>
      <c r="AI26" s="56">
        <v>0.6</v>
      </c>
      <c r="AJ26" s="37" t="s">
        <v>0</v>
      </c>
      <c r="AK26" s="57">
        <v>1241800</v>
      </c>
      <c r="AL26" s="57">
        <v>7752.9</v>
      </c>
      <c r="AM26" s="57">
        <v>7752.9</v>
      </c>
      <c r="AN26" s="57">
        <v>7752.9</v>
      </c>
      <c r="AO26" s="57">
        <v>7752.9</v>
      </c>
      <c r="AP26" s="57">
        <v>7752.9</v>
      </c>
      <c r="AQ26" s="37"/>
      <c r="AR26" s="37"/>
      <c r="AS26" s="56">
        <v>0.6</v>
      </c>
      <c r="AT26" s="37" t="s">
        <v>0</v>
      </c>
      <c r="AU26" s="57">
        <v>1241800</v>
      </c>
      <c r="AV26" s="57">
        <v>7752.9</v>
      </c>
      <c r="AW26" s="57">
        <v>7752.9</v>
      </c>
      <c r="AX26" s="57">
        <v>7752.9</v>
      </c>
      <c r="AY26" s="57">
        <v>7752.9</v>
      </c>
      <c r="AZ26" s="57">
        <v>7752.9</v>
      </c>
      <c r="BA26" s="37"/>
      <c r="BB26" s="37"/>
      <c r="BC26" s="37"/>
      <c r="BD26" s="56">
        <v>0.6</v>
      </c>
      <c r="BE26" s="37" t="s">
        <v>0</v>
      </c>
      <c r="BF26" s="57">
        <v>1241800</v>
      </c>
      <c r="BG26" s="57">
        <v>7752.9</v>
      </c>
      <c r="BH26" s="57">
        <v>7752.9</v>
      </c>
      <c r="BI26" s="57">
        <v>7752.9</v>
      </c>
      <c r="BJ26" s="57">
        <v>7752.9</v>
      </c>
      <c r="BK26" s="57">
        <v>7752.9</v>
      </c>
      <c r="BL26" s="37"/>
      <c r="BM26" s="37"/>
      <c r="BN26" s="37"/>
      <c r="BO26" s="37"/>
      <c r="BY26" s="37"/>
      <c r="BZ26" s="37"/>
      <c r="CA26" s="37"/>
      <c r="CB26" s="37"/>
      <c r="CC26" s="61">
        <v>2</v>
      </c>
      <c r="CD26" s="62">
        <v>1</v>
      </c>
      <c r="CE26" s="62">
        <v>1</v>
      </c>
      <c r="CF26" s="62">
        <v>1</v>
      </c>
      <c r="CG26" s="62">
        <f t="shared" si="9"/>
        <v>0.80156193166428047</v>
      </c>
      <c r="CH26" s="62">
        <f t="shared" si="10"/>
        <v>0.81783680945194703</v>
      </c>
      <c r="CI26" s="62">
        <f t="shared" si="11"/>
        <v>0.83293851333049562</v>
      </c>
      <c r="CJ26" s="59">
        <v>0.93345451835067528</v>
      </c>
      <c r="CK26" s="60">
        <v>0.94311740854476622</v>
      </c>
      <c r="CL26" s="60">
        <v>0.93785234489132707</v>
      </c>
      <c r="CN26"/>
      <c r="CO26"/>
      <c r="CP26"/>
      <c r="CQ26"/>
      <c r="CR26"/>
      <c r="CS26"/>
      <c r="CT26"/>
      <c r="CU26"/>
      <c r="CV26"/>
      <c r="CW26"/>
      <c r="CX26"/>
      <c r="CY26"/>
      <c r="CZ26"/>
      <c r="DA26"/>
      <c r="DB26"/>
      <c r="DC26"/>
      <c r="DD26"/>
    </row>
    <row r="27" spans="1:108" s="41" customFormat="1">
      <c r="A27"/>
      <c r="B27"/>
      <c r="C27"/>
      <c r="D27"/>
      <c r="E27"/>
      <c r="F27"/>
      <c r="G27"/>
      <c r="H27"/>
      <c r="I27"/>
      <c r="J27"/>
      <c r="K27"/>
      <c r="L27"/>
      <c r="M27"/>
      <c r="N27"/>
      <c r="O27"/>
      <c r="P27"/>
      <c r="Q27"/>
      <c r="R27"/>
      <c r="S27"/>
      <c r="T27"/>
      <c r="U27"/>
      <c r="V27"/>
      <c r="W27"/>
      <c r="X27"/>
      <c r="Y27"/>
      <c r="Z27"/>
      <c r="AA27"/>
      <c r="AB27"/>
      <c r="AC27"/>
      <c r="AD27"/>
      <c r="AE27"/>
      <c r="AF27"/>
      <c r="AG27"/>
      <c r="AH27" s="37"/>
      <c r="AI27" s="56"/>
      <c r="AJ27" s="37" t="s">
        <v>1</v>
      </c>
      <c r="AK27" s="57">
        <v>1201200</v>
      </c>
      <c r="AL27" s="57">
        <v>7499.3</v>
      </c>
      <c r="AM27" s="57">
        <v>7499.3</v>
      </c>
      <c r="AN27" s="57">
        <v>7499.3</v>
      </c>
      <c r="AO27" s="57">
        <v>7499.3</v>
      </c>
      <c r="AP27" s="57">
        <v>7499.3</v>
      </c>
      <c r="AQ27" s="37"/>
      <c r="AR27" s="37"/>
      <c r="AS27" s="56"/>
      <c r="AT27" s="37" t="s">
        <v>1</v>
      </c>
      <c r="AU27" s="57">
        <v>1159700</v>
      </c>
      <c r="AV27" s="57">
        <v>7240.5</v>
      </c>
      <c r="AW27" s="57">
        <v>7240.5</v>
      </c>
      <c r="AX27" s="57">
        <v>7240.5</v>
      </c>
      <c r="AY27" s="57">
        <v>7240.5</v>
      </c>
      <c r="AZ27" s="57">
        <v>7240.5</v>
      </c>
      <c r="BA27" s="37"/>
      <c r="BB27" s="37"/>
      <c r="BC27" s="37"/>
      <c r="BD27" s="56"/>
      <c r="BE27" s="37" t="s">
        <v>1</v>
      </c>
      <c r="BF27" s="57">
        <v>1093900</v>
      </c>
      <c r="BG27" s="57">
        <v>6829.9</v>
      </c>
      <c r="BH27" s="57">
        <v>6829.9</v>
      </c>
      <c r="BI27" s="57">
        <v>6829.9</v>
      </c>
      <c r="BJ27" s="57">
        <v>6829.9</v>
      </c>
      <c r="BK27" s="57">
        <v>6829.9</v>
      </c>
      <c r="BL27" s="37"/>
      <c r="BM27" s="37"/>
      <c r="BN27" s="37"/>
      <c r="BO27" s="37"/>
      <c r="BP27" s="56"/>
      <c r="BQ27" s="37"/>
      <c r="BR27" s="37"/>
      <c r="BS27" s="37"/>
      <c r="BT27" s="37"/>
      <c r="BU27" s="37"/>
      <c r="BV27" s="37"/>
      <c r="BW27" s="37"/>
      <c r="BX27" s="37"/>
      <c r="BY27" s="37"/>
      <c r="BZ27" s="37"/>
      <c r="CA27" s="37"/>
      <c r="CB27" s="37"/>
      <c r="CC27" s="37"/>
      <c r="CD27" s="37"/>
      <c r="CE27" s="37"/>
      <c r="CF27" s="37"/>
      <c r="CG27" s="37"/>
      <c r="CH27" s="37"/>
      <c r="CI27" s="37"/>
      <c r="CJ27" s="37"/>
      <c r="CN27"/>
      <c r="CO27"/>
      <c r="CP27"/>
      <c r="CQ27"/>
      <c r="CR27"/>
      <c r="CS27"/>
      <c r="CT27"/>
      <c r="CU27"/>
      <c r="CV27"/>
      <c r="CW27"/>
      <c r="CX27"/>
      <c r="CY27"/>
      <c r="CZ27"/>
      <c r="DA27"/>
      <c r="DB27"/>
      <c r="DC27"/>
      <c r="DD27"/>
    </row>
    <row r="28" spans="1:108" s="41" customFormat="1">
      <c r="A28"/>
      <c r="B28"/>
      <c r="C28"/>
      <c r="D28"/>
      <c r="E28"/>
      <c r="F28"/>
      <c r="G28"/>
      <c r="H28"/>
      <c r="I28"/>
      <c r="J28"/>
      <c r="K28"/>
      <c r="L28"/>
      <c r="M28"/>
      <c r="N28"/>
      <c r="O28"/>
      <c r="P28"/>
      <c r="Q28"/>
      <c r="R28"/>
      <c r="S28"/>
      <c r="T28"/>
      <c r="U28"/>
      <c r="V28"/>
      <c r="W28"/>
      <c r="X28"/>
      <c r="Y28"/>
      <c r="Z28"/>
      <c r="AA28"/>
      <c r="AB28"/>
      <c r="AC28"/>
      <c r="AD28"/>
      <c r="AE28"/>
      <c r="AF28"/>
      <c r="AG28"/>
      <c r="AH28" s="37"/>
      <c r="AI28" s="56"/>
      <c r="AJ28" s="37" t="s">
        <v>2</v>
      </c>
      <c r="AK28" s="57">
        <v>40624</v>
      </c>
      <c r="AL28" s="57">
        <v>253.63</v>
      </c>
      <c r="AM28" s="57">
        <v>253.63</v>
      </c>
      <c r="AN28" s="57">
        <v>253.63</v>
      </c>
      <c r="AO28" s="57">
        <v>253.63</v>
      </c>
      <c r="AP28" s="57">
        <v>253.63</v>
      </c>
      <c r="AQ28" s="37"/>
      <c r="AR28" s="37"/>
      <c r="AS28" s="56"/>
      <c r="AT28" s="37" t="s">
        <v>2</v>
      </c>
      <c r="AU28" s="57">
        <v>82073</v>
      </c>
      <c r="AV28" s="57">
        <v>512.41</v>
      </c>
      <c r="AW28" s="57">
        <v>512.41</v>
      </c>
      <c r="AX28" s="57">
        <v>512.41</v>
      </c>
      <c r="AY28" s="57">
        <v>512.41</v>
      </c>
      <c r="AZ28" s="57">
        <v>512.41</v>
      </c>
      <c r="BA28" s="37"/>
      <c r="BB28" s="37"/>
      <c r="BC28" s="37"/>
      <c r="BD28" s="56"/>
      <c r="BE28" s="37" t="s">
        <v>2</v>
      </c>
      <c r="BF28" s="57">
        <v>147820</v>
      </c>
      <c r="BG28" s="57">
        <v>922.92</v>
      </c>
      <c r="BH28" s="57">
        <v>922.92</v>
      </c>
      <c r="BI28" s="57">
        <v>922.92</v>
      </c>
      <c r="BJ28" s="57">
        <v>922.92</v>
      </c>
      <c r="BK28" s="57">
        <v>922.92</v>
      </c>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N28"/>
      <c r="CO28"/>
      <c r="CP28"/>
      <c r="CQ28"/>
      <c r="CR28"/>
      <c r="CS28"/>
      <c r="CT28"/>
      <c r="CU28"/>
      <c r="CV28"/>
      <c r="CW28"/>
      <c r="CX28"/>
      <c r="CY28"/>
      <c r="CZ28"/>
      <c r="DA28"/>
      <c r="DB28"/>
      <c r="DC28"/>
      <c r="DD28"/>
    </row>
    <row r="29" spans="1:108" s="41" customFormat="1">
      <c r="A29"/>
      <c r="B29"/>
      <c r="C29"/>
      <c r="D29"/>
      <c r="E29"/>
      <c r="F29"/>
      <c r="G29"/>
      <c r="H29"/>
      <c r="I29"/>
      <c r="J29"/>
      <c r="K29"/>
      <c r="L29"/>
      <c r="M29"/>
      <c r="N29"/>
      <c r="O29"/>
      <c r="P29"/>
      <c r="Q29"/>
      <c r="R29"/>
      <c r="S29"/>
      <c r="T29"/>
      <c r="U29"/>
      <c r="V29"/>
      <c r="W29"/>
      <c r="X29"/>
      <c r="Y29"/>
      <c r="Z29"/>
      <c r="AA29"/>
      <c r="AB29"/>
      <c r="AC29"/>
      <c r="AD29"/>
      <c r="AE29"/>
      <c r="AF29"/>
      <c r="AG29"/>
      <c r="AH29" s="37"/>
      <c r="AI29" s="56"/>
      <c r="AJ29" s="37" t="s">
        <v>3</v>
      </c>
      <c r="AK29" s="57">
        <v>1201000</v>
      </c>
      <c r="AL29" s="57">
        <v>7450.2</v>
      </c>
      <c r="AM29" s="57">
        <v>6888</v>
      </c>
      <c r="AN29" s="57">
        <v>2826.5</v>
      </c>
      <c r="AO29" s="57">
        <v>32.72</v>
      </c>
      <c r="AP29" s="57">
        <v>13.553000000000001</v>
      </c>
      <c r="AQ29" s="37"/>
      <c r="AR29" s="37"/>
      <c r="AS29" s="56"/>
      <c r="AT29" s="37" t="s">
        <v>3</v>
      </c>
      <c r="AU29" s="57">
        <v>1159400</v>
      </c>
      <c r="AV29" s="57">
        <v>7179.8</v>
      </c>
      <c r="AW29" s="57">
        <v>6502.2</v>
      </c>
      <c r="AX29" s="57">
        <v>1687</v>
      </c>
      <c r="AY29" s="57">
        <v>9.8564000000000007</v>
      </c>
      <c r="AZ29" s="57">
        <v>4.9244000000000003</v>
      </c>
      <c r="BA29" s="37"/>
      <c r="BB29" s="37"/>
      <c r="BC29" s="37"/>
      <c r="BD29" s="56"/>
      <c r="BE29" s="37" t="s">
        <v>3</v>
      </c>
      <c r="BF29" s="57">
        <v>1093500</v>
      </c>
      <c r="BG29" s="57">
        <v>6748.2</v>
      </c>
      <c r="BH29" s="57">
        <v>5836.4</v>
      </c>
      <c r="BI29" s="57">
        <v>685.03</v>
      </c>
      <c r="BJ29" s="57">
        <v>3.3622999999999998</v>
      </c>
      <c r="BK29" s="57">
        <v>1.7278</v>
      </c>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N29"/>
      <c r="CO29"/>
      <c r="CP29"/>
      <c r="CQ29"/>
      <c r="CR29"/>
      <c r="CS29"/>
      <c r="CT29"/>
      <c r="CU29"/>
      <c r="CV29"/>
      <c r="CW29"/>
      <c r="CX29"/>
      <c r="CY29"/>
      <c r="CZ29"/>
      <c r="DA29"/>
      <c r="DB29"/>
      <c r="DC29"/>
      <c r="DD29"/>
    </row>
    <row r="30" spans="1:108" s="41" customFormat="1">
      <c r="A30"/>
      <c r="B30"/>
      <c r="C30"/>
      <c r="D30"/>
      <c r="E30"/>
      <c r="F30"/>
      <c r="G30"/>
      <c r="H30"/>
      <c r="I30"/>
      <c r="J30"/>
      <c r="K30"/>
      <c r="L30"/>
      <c r="M30"/>
      <c r="N30"/>
      <c r="O30"/>
      <c r="P30"/>
      <c r="Q30"/>
      <c r="R30"/>
      <c r="S30"/>
      <c r="T30"/>
      <c r="U30"/>
      <c r="V30"/>
      <c r="W30"/>
      <c r="X30"/>
      <c r="Y30"/>
      <c r="Z30"/>
      <c r="AA30"/>
      <c r="AB30"/>
      <c r="AC30"/>
      <c r="AD30"/>
      <c r="AE30"/>
      <c r="AF30"/>
      <c r="AG30"/>
      <c r="AH30" s="37"/>
      <c r="AI30" s="56"/>
      <c r="AJ30" s="37" t="s">
        <v>4</v>
      </c>
      <c r="AK30" s="57">
        <v>0</v>
      </c>
      <c r="AL30" s="57">
        <v>0</v>
      </c>
      <c r="AM30" s="57">
        <v>0</v>
      </c>
      <c r="AN30" s="57">
        <v>0</v>
      </c>
      <c r="AO30" s="57">
        <v>0</v>
      </c>
      <c r="AP30" s="57">
        <v>0</v>
      </c>
      <c r="AQ30" s="37"/>
      <c r="AR30" s="37"/>
      <c r="AS30" s="56"/>
      <c r="AT30" s="37" t="s">
        <v>4</v>
      </c>
      <c r="AU30" s="57">
        <v>0</v>
      </c>
      <c r="AV30" s="57">
        <v>0</v>
      </c>
      <c r="AW30" s="57">
        <v>0</v>
      </c>
      <c r="AX30" s="57">
        <v>0</v>
      </c>
      <c r="AY30" s="57">
        <v>0</v>
      </c>
      <c r="AZ30" s="57">
        <v>0</v>
      </c>
      <c r="BA30" s="37"/>
      <c r="BB30" s="37"/>
      <c r="BC30" s="37"/>
      <c r="BD30" s="56"/>
      <c r="BE30" s="37" t="s">
        <v>4</v>
      </c>
      <c r="BF30" s="57">
        <v>0</v>
      </c>
      <c r="BG30" s="57">
        <v>0</v>
      </c>
      <c r="BH30" s="57">
        <v>0</v>
      </c>
      <c r="BI30" s="57">
        <v>0</v>
      </c>
      <c r="BJ30" s="57">
        <v>0</v>
      </c>
      <c r="BK30" s="57">
        <v>0</v>
      </c>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N30"/>
      <c r="CO30"/>
      <c r="CP30"/>
      <c r="CQ30"/>
      <c r="CR30"/>
      <c r="CS30"/>
      <c r="CT30"/>
      <c r="CU30"/>
      <c r="CV30"/>
      <c r="CW30"/>
      <c r="CX30"/>
      <c r="CY30"/>
      <c r="CZ30"/>
      <c r="DA30"/>
      <c r="DB30"/>
      <c r="DC30"/>
      <c r="DD30"/>
    </row>
    <row r="31" spans="1:108" s="41" customFormat="1">
      <c r="A31"/>
      <c r="B31"/>
      <c r="C31"/>
      <c r="D31"/>
      <c r="E31"/>
      <c r="F31"/>
      <c r="G31"/>
      <c r="H31"/>
      <c r="I31"/>
      <c r="J31"/>
      <c r="K31"/>
      <c r="L31"/>
      <c r="M31"/>
      <c r="N31"/>
      <c r="O31"/>
      <c r="P31"/>
      <c r="Q31"/>
      <c r="R31"/>
      <c r="S31"/>
      <c r="T31"/>
      <c r="U31"/>
      <c r="V31"/>
      <c r="W31"/>
      <c r="X31"/>
      <c r="Y31"/>
      <c r="Z31"/>
      <c r="AA31"/>
      <c r="AB31"/>
      <c r="AC31"/>
      <c r="AD31"/>
      <c r="AE31"/>
      <c r="AF31"/>
      <c r="AG31"/>
      <c r="AH31" s="37"/>
      <c r="AI31" s="56"/>
      <c r="AJ31" s="37" t="s">
        <v>5</v>
      </c>
      <c r="AK31" s="57">
        <v>0</v>
      </c>
      <c r="AL31" s="57">
        <v>47.811999999999998</v>
      </c>
      <c r="AM31" s="57">
        <v>609.88</v>
      </c>
      <c r="AN31" s="57">
        <v>4671.6000000000004</v>
      </c>
      <c r="AO31" s="57">
        <v>7465.4</v>
      </c>
      <c r="AP31" s="57">
        <v>7484.5</v>
      </c>
      <c r="AQ31" s="37"/>
      <c r="AR31" s="37"/>
      <c r="AS31" s="56"/>
      <c r="AT31" s="37" t="s">
        <v>5</v>
      </c>
      <c r="AU31" s="57">
        <v>0</v>
      </c>
      <c r="AV31" s="57">
        <v>58.505000000000003</v>
      </c>
      <c r="AW31" s="57">
        <v>735.83</v>
      </c>
      <c r="AX31" s="57">
        <v>5551.6</v>
      </c>
      <c r="AY31" s="57">
        <v>7228.9</v>
      </c>
      <c r="AZ31" s="57">
        <v>7233.8</v>
      </c>
      <c r="BA31" s="37"/>
      <c r="BB31" s="37"/>
      <c r="BC31" s="37"/>
      <c r="BD31" s="56"/>
      <c r="BE31" s="37" t="s">
        <v>5</v>
      </c>
      <c r="BF31" s="57">
        <v>0</v>
      </c>
      <c r="BG31" s="57">
        <v>78.281999999999996</v>
      </c>
      <c r="BH31" s="57">
        <v>989.5</v>
      </c>
      <c r="BI31" s="57">
        <v>6141.7</v>
      </c>
      <c r="BJ31" s="57">
        <v>6823.4</v>
      </c>
      <c r="BK31" s="57">
        <v>6825</v>
      </c>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N31"/>
      <c r="CO31"/>
      <c r="CP31"/>
      <c r="CQ31"/>
      <c r="CR31"/>
      <c r="CS31"/>
      <c r="CT31"/>
      <c r="CU31"/>
      <c r="CV31"/>
      <c r="CW31"/>
      <c r="CX31"/>
      <c r="CY31"/>
      <c r="CZ31"/>
      <c r="DA31"/>
      <c r="DB31"/>
      <c r="DC31"/>
      <c r="DD31"/>
    </row>
    <row r="32" spans="1:108" s="41" customFormat="1">
      <c r="A32"/>
      <c r="B32"/>
      <c r="C32"/>
      <c r="D32"/>
      <c r="E32"/>
      <c r="F32"/>
      <c r="G32"/>
      <c r="H32"/>
      <c r="I32"/>
      <c r="J32"/>
      <c r="K32"/>
      <c r="L32"/>
      <c r="M32"/>
      <c r="N32"/>
      <c r="O32"/>
      <c r="P32"/>
      <c r="Q32"/>
      <c r="R32"/>
      <c r="S32"/>
      <c r="T32"/>
      <c r="U32"/>
      <c r="V32"/>
      <c r="W32"/>
      <c r="X32"/>
      <c r="Y32"/>
      <c r="Z32"/>
      <c r="AA32"/>
      <c r="AB32"/>
      <c r="AC32"/>
      <c r="AD32"/>
      <c r="AE32"/>
      <c r="AF32"/>
      <c r="AG32"/>
      <c r="AH32" s="37"/>
      <c r="AI32" s="56"/>
      <c r="AJ32" s="37"/>
      <c r="AK32" s="37"/>
      <c r="AL32" s="37"/>
      <c r="AM32" s="37"/>
      <c r="AN32" s="37"/>
      <c r="AO32" s="37"/>
      <c r="AP32" s="37"/>
      <c r="AQ32" s="37"/>
      <c r="AR32" s="37"/>
      <c r="AS32" s="56"/>
      <c r="AT32" s="37"/>
      <c r="AU32" s="37"/>
      <c r="AV32" s="37"/>
      <c r="AW32" s="37"/>
      <c r="AX32" s="37"/>
      <c r="AY32" s="37"/>
      <c r="AZ32" s="37"/>
      <c r="BA32" s="37"/>
      <c r="BB32" s="37"/>
      <c r="BC32" s="37"/>
      <c r="BD32" s="56"/>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N32"/>
      <c r="CO32"/>
      <c r="CP32"/>
      <c r="CQ32"/>
      <c r="CR32"/>
      <c r="CS32"/>
      <c r="CT32"/>
      <c r="CU32"/>
      <c r="CV32"/>
      <c r="CW32"/>
      <c r="CX32"/>
      <c r="CY32"/>
      <c r="CZ32"/>
      <c r="DA32"/>
      <c r="DB32"/>
      <c r="DC32"/>
      <c r="DD32"/>
    </row>
    <row r="33" spans="1:108" s="41" customFormat="1">
      <c r="A33"/>
      <c r="B33"/>
      <c r="C33"/>
      <c r="D33"/>
      <c r="E33"/>
      <c r="F33"/>
      <c r="G33"/>
      <c r="H33"/>
      <c r="I33"/>
      <c r="J33"/>
      <c r="K33"/>
      <c r="L33"/>
      <c r="M33"/>
      <c r="N33"/>
      <c r="O33"/>
      <c r="P33"/>
      <c r="Q33"/>
      <c r="R33"/>
      <c r="S33"/>
      <c r="T33"/>
      <c r="U33"/>
      <c r="V33"/>
      <c r="W33"/>
      <c r="X33"/>
      <c r="Y33"/>
      <c r="Z33"/>
      <c r="AA33"/>
      <c r="AB33"/>
      <c r="AC33"/>
      <c r="AD33"/>
      <c r="AE33"/>
      <c r="AF33"/>
      <c r="AG33"/>
      <c r="AH33" s="37"/>
      <c r="AI33" s="56">
        <v>0.8</v>
      </c>
      <c r="AJ33" s="37" t="s">
        <v>0</v>
      </c>
      <c r="AK33" s="57">
        <v>1241800</v>
      </c>
      <c r="AL33" s="57">
        <v>7752.9</v>
      </c>
      <c r="AM33" s="57">
        <v>7752.9</v>
      </c>
      <c r="AN33" s="57">
        <v>7752.9</v>
      </c>
      <c r="AO33" s="57">
        <v>7752.9</v>
      </c>
      <c r="AP33" s="57">
        <v>7752.9</v>
      </c>
      <c r="AQ33" s="37"/>
      <c r="AR33" s="37"/>
      <c r="AS33" s="56">
        <v>0.8</v>
      </c>
      <c r="AT33" s="37" t="s">
        <v>0</v>
      </c>
      <c r="AU33" s="57">
        <v>1241800</v>
      </c>
      <c r="AV33" s="57">
        <v>7752.9</v>
      </c>
      <c r="AW33" s="57">
        <v>7752.9</v>
      </c>
      <c r="AX33" s="57">
        <v>7752.9</v>
      </c>
      <c r="AY33" s="57">
        <v>7752.9</v>
      </c>
      <c r="AZ33" s="57">
        <v>7752.9</v>
      </c>
      <c r="BA33" s="37"/>
      <c r="BB33" s="37"/>
      <c r="BC33" s="37"/>
      <c r="BD33" s="56">
        <v>0.8</v>
      </c>
      <c r="BE33" s="37" t="s">
        <v>0</v>
      </c>
      <c r="BF33" s="57">
        <v>1241800</v>
      </c>
      <c r="BG33" s="57">
        <v>7752.9</v>
      </c>
      <c r="BH33" s="57">
        <v>7752.9</v>
      </c>
      <c r="BI33" s="57">
        <v>7752.9</v>
      </c>
      <c r="BJ33" s="57">
        <v>7752.9</v>
      </c>
      <c r="BK33" s="57">
        <v>7752.9</v>
      </c>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N33"/>
      <c r="CO33"/>
      <c r="CP33"/>
      <c r="CQ33"/>
      <c r="CR33"/>
      <c r="CS33"/>
      <c r="CT33"/>
      <c r="CU33"/>
      <c r="CV33"/>
      <c r="CW33"/>
      <c r="CX33"/>
      <c r="CY33"/>
      <c r="CZ33"/>
      <c r="DA33"/>
      <c r="DB33"/>
      <c r="DC33"/>
      <c r="DD33"/>
    </row>
    <row r="34" spans="1:108" s="41" customFormat="1">
      <c r="A34"/>
      <c r="B34"/>
      <c r="C34"/>
      <c r="D34"/>
      <c r="E34"/>
      <c r="F34"/>
      <c r="G34"/>
      <c r="H34"/>
      <c r="I34"/>
      <c r="J34"/>
      <c r="K34"/>
      <c r="L34"/>
      <c r="M34"/>
      <c r="N34"/>
      <c r="O34"/>
      <c r="P34"/>
      <c r="Q34"/>
      <c r="R34"/>
      <c r="S34"/>
      <c r="T34"/>
      <c r="U34"/>
      <c r="V34"/>
      <c r="W34"/>
      <c r="X34"/>
      <c r="Y34"/>
      <c r="Z34"/>
      <c r="AA34"/>
      <c r="AB34"/>
      <c r="AC34"/>
      <c r="AD34"/>
      <c r="AE34"/>
      <c r="AF34"/>
      <c r="AG34"/>
      <c r="AH34" s="37"/>
      <c r="AI34" s="56"/>
      <c r="AJ34" s="37" t="s">
        <v>1</v>
      </c>
      <c r="AK34" s="57">
        <v>1226500</v>
      </c>
      <c r="AL34" s="57">
        <v>7657.7</v>
      </c>
      <c r="AM34" s="57">
        <v>7657.7</v>
      </c>
      <c r="AN34" s="57">
        <v>7657.7</v>
      </c>
      <c r="AO34" s="57">
        <v>7657.7</v>
      </c>
      <c r="AP34" s="57">
        <v>7657.7</v>
      </c>
      <c r="AQ34" s="37"/>
      <c r="AR34" s="37"/>
      <c r="AS34" s="56"/>
      <c r="AT34" s="37" t="s">
        <v>1</v>
      </c>
      <c r="AU34" s="57">
        <v>1204600</v>
      </c>
      <c r="AV34" s="57">
        <v>7520.9</v>
      </c>
      <c r="AW34" s="57">
        <v>7520.9</v>
      </c>
      <c r="AX34" s="57">
        <v>7520.9</v>
      </c>
      <c r="AY34" s="57">
        <v>7520.9</v>
      </c>
      <c r="AZ34" s="57">
        <v>7520.9</v>
      </c>
      <c r="BA34" s="37"/>
      <c r="BB34" s="37"/>
      <c r="BC34" s="37"/>
      <c r="BD34" s="56"/>
      <c r="BE34" s="37" t="s">
        <v>1</v>
      </c>
      <c r="BF34" s="57">
        <v>1160900</v>
      </c>
      <c r="BG34" s="57">
        <v>7247.7</v>
      </c>
      <c r="BH34" s="57">
        <v>7247.7</v>
      </c>
      <c r="BI34" s="57">
        <v>7247.7</v>
      </c>
      <c r="BJ34" s="57">
        <v>7247.7</v>
      </c>
      <c r="BK34" s="57">
        <v>7247.7</v>
      </c>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N34"/>
      <c r="CO34"/>
      <c r="CP34"/>
      <c r="CQ34"/>
      <c r="CR34"/>
      <c r="CS34"/>
      <c r="CT34"/>
      <c r="CU34"/>
      <c r="CV34"/>
      <c r="CW34"/>
      <c r="CX34"/>
      <c r="CY34"/>
      <c r="CZ34"/>
      <c r="DA34"/>
      <c r="DB34"/>
      <c r="DC34"/>
      <c r="DD34"/>
    </row>
    <row r="35" spans="1:108" s="41" customFormat="1">
      <c r="A35"/>
      <c r="B35"/>
      <c r="C35"/>
      <c r="D35"/>
      <c r="E35"/>
      <c r="F35"/>
      <c r="G35"/>
      <c r="H35"/>
      <c r="I35"/>
      <c r="J35"/>
      <c r="K35"/>
      <c r="L35"/>
      <c r="M35"/>
      <c r="N35"/>
      <c r="O35"/>
      <c r="P35"/>
      <c r="Q35"/>
      <c r="R35"/>
      <c r="S35"/>
      <c r="T35"/>
      <c r="U35"/>
      <c r="V35"/>
      <c r="W35"/>
      <c r="X35"/>
      <c r="Y35"/>
      <c r="Z35"/>
      <c r="AA35"/>
      <c r="AB35"/>
      <c r="AC35"/>
      <c r="AD35"/>
      <c r="AE35"/>
      <c r="AF35"/>
      <c r="AG35"/>
      <c r="AH35" s="37"/>
      <c r="AI35" s="56"/>
      <c r="AJ35" s="37" t="s">
        <v>2</v>
      </c>
      <c r="AK35" s="57">
        <v>15252</v>
      </c>
      <c r="AL35" s="57">
        <v>95.224000000000004</v>
      </c>
      <c r="AM35" s="57">
        <v>95.224000000000004</v>
      </c>
      <c r="AN35" s="57">
        <v>95.224000000000004</v>
      </c>
      <c r="AO35" s="57">
        <v>95.224000000000004</v>
      </c>
      <c r="AP35" s="57">
        <v>95.224000000000004</v>
      </c>
      <c r="AQ35" s="37"/>
      <c r="AR35" s="37"/>
      <c r="AS35" s="56"/>
      <c r="AT35" s="37" t="s">
        <v>2</v>
      </c>
      <c r="AU35" s="57">
        <v>37174</v>
      </c>
      <c r="AV35" s="57">
        <v>232.09</v>
      </c>
      <c r="AW35" s="57">
        <v>232.09</v>
      </c>
      <c r="AX35" s="57">
        <v>232.09</v>
      </c>
      <c r="AY35" s="57">
        <v>232.09</v>
      </c>
      <c r="AZ35" s="57">
        <v>232.09</v>
      </c>
      <c r="BA35" s="37"/>
      <c r="BB35" s="37"/>
      <c r="BC35" s="37"/>
      <c r="BD35" s="56"/>
      <c r="BE35" s="37" t="s">
        <v>2</v>
      </c>
      <c r="BF35" s="57">
        <v>80918</v>
      </c>
      <c r="BG35" s="57">
        <v>505.2</v>
      </c>
      <c r="BH35" s="57">
        <v>505.2</v>
      </c>
      <c r="BI35" s="57">
        <v>505.2</v>
      </c>
      <c r="BJ35" s="57">
        <v>505.2</v>
      </c>
      <c r="BK35" s="57">
        <v>505.2</v>
      </c>
      <c r="BL35" s="37"/>
      <c r="BM35" s="37"/>
      <c r="BN35" s="37"/>
      <c r="BO35" s="37"/>
      <c r="BP35" s="37"/>
      <c r="BQ35" s="37"/>
      <c r="BR35" s="37"/>
      <c r="BS35" s="37"/>
      <c r="BT35" s="37"/>
      <c r="BU35" s="37"/>
      <c r="BV35" s="37"/>
      <c r="BW35" s="37"/>
      <c r="BX35" s="37"/>
      <c r="BY35" s="37"/>
      <c r="BZ35" s="37"/>
      <c r="CN35"/>
      <c r="CO35"/>
      <c r="CP35"/>
      <c r="CQ35"/>
      <c r="CR35"/>
      <c r="CS35"/>
      <c r="CT35"/>
      <c r="CU35"/>
      <c r="CV35"/>
      <c r="CW35"/>
      <c r="CX35"/>
      <c r="CY35"/>
      <c r="CZ35"/>
      <c r="DA35"/>
      <c r="DB35"/>
      <c r="DC35"/>
      <c r="DD35"/>
    </row>
    <row r="36" spans="1:108" s="41" customFormat="1">
      <c r="A36"/>
      <c r="B36"/>
      <c r="C36"/>
      <c r="D36"/>
      <c r="E36"/>
      <c r="F36"/>
      <c r="G36"/>
      <c r="H36"/>
      <c r="I36"/>
      <c r="J36"/>
      <c r="K36"/>
      <c r="L36"/>
      <c r="M36"/>
      <c r="N36"/>
      <c r="O36"/>
      <c r="P36"/>
      <c r="Q36"/>
      <c r="R36"/>
      <c r="S36"/>
      <c r="T36"/>
      <c r="U36"/>
      <c r="V36"/>
      <c r="W36"/>
      <c r="X36"/>
      <c r="Y36"/>
      <c r="Z36"/>
      <c r="AA36"/>
      <c r="AB36"/>
      <c r="AC36"/>
      <c r="AD36"/>
      <c r="AE36"/>
      <c r="AF36"/>
      <c r="AG36"/>
      <c r="AH36" s="37"/>
      <c r="AI36" s="56"/>
      <c r="AJ36" s="37" t="s">
        <v>3</v>
      </c>
      <c r="AK36" s="57">
        <v>1226300</v>
      </c>
      <c r="AL36" s="57">
        <v>7593.8</v>
      </c>
      <c r="AM36" s="57">
        <v>6893.9</v>
      </c>
      <c r="AN36" s="57">
        <v>2509.6</v>
      </c>
      <c r="AO36" s="57">
        <v>32.006</v>
      </c>
      <c r="AP36" s="57">
        <v>15.603</v>
      </c>
      <c r="AQ36" s="37"/>
      <c r="AR36" s="37"/>
      <c r="AS36" s="56"/>
      <c r="AT36" s="37" t="s">
        <v>3</v>
      </c>
      <c r="AU36" s="57">
        <v>1204300</v>
      </c>
      <c r="AV36" s="57">
        <v>7441.4</v>
      </c>
      <c r="AW36" s="57">
        <v>6598</v>
      </c>
      <c r="AX36" s="57">
        <v>1412.4</v>
      </c>
      <c r="AY36" s="57">
        <v>8.1056000000000008</v>
      </c>
      <c r="AZ36" s="57">
        <v>5.1269999999999998</v>
      </c>
      <c r="BA36" s="37"/>
      <c r="BB36" s="37"/>
      <c r="BC36" s="37"/>
      <c r="BD36" s="56"/>
      <c r="BE36" s="37" t="s">
        <v>3</v>
      </c>
      <c r="BF36" s="57">
        <v>1160400</v>
      </c>
      <c r="BG36" s="57">
        <v>7144.5</v>
      </c>
      <c r="BH36" s="57">
        <v>6050.5</v>
      </c>
      <c r="BI36" s="57">
        <v>628.4</v>
      </c>
      <c r="BJ36" s="57">
        <v>3.46</v>
      </c>
      <c r="BK36" s="57">
        <v>1.95</v>
      </c>
      <c r="BL36" s="37"/>
      <c r="BM36" s="37"/>
      <c r="BN36" s="37"/>
      <c r="BO36" s="37"/>
      <c r="BP36" s="37"/>
      <c r="BQ36" s="37"/>
      <c r="BR36" s="37"/>
      <c r="BS36" s="37"/>
      <c r="BT36" s="37"/>
      <c r="BU36" s="37"/>
      <c r="BV36" s="37"/>
      <c r="BW36" s="37"/>
      <c r="BX36" s="37"/>
      <c r="BY36" s="37"/>
      <c r="BZ36" s="37"/>
      <c r="CN36"/>
      <c r="CO36"/>
      <c r="CP36"/>
      <c r="CQ36"/>
      <c r="CR36"/>
      <c r="CS36"/>
      <c r="CT36"/>
      <c r="CU36"/>
      <c r="CV36"/>
      <c r="CW36"/>
      <c r="CX36"/>
      <c r="CY36"/>
      <c r="CZ36"/>
      <c r="DA36"/>
      <c r="DB36"/>
      <c r="DC36"/>
      <c r="DD36"/>
    </row>
    <row r="37" spans="1:108" s="41" customFormat="1">
      <c r="A37"/>
      <c r="B37"/>
      <c r="C37"/>
      <c r="D37"/>
      <c r="E37"/>
      <c r="F37"/>
      <c r="G37"/>
      <c r="H37"/>
      <c r="I37"/>
      <c r="J37"/>
      <c r="K37"/>
      <c r="L37"/>
      <c r="M37"/>
      <c r="N37"/>
      <c r="O37"/>
      <c r="P37"/>
      <c r="Q37"/>
      <c r="R37"/>
      <c r="S37"/>
      <c r="T37"/>
      <c r="U37"/>
      <c r="V37"/>
      <c r="W37"/>
      <c r="X37"/>
      <c r="Y37"/>
      <c r="Z37"/>
      <c r="AA37"/>
      <c r="AB37"/>
      <c r="AC37"/>
      <c r="AD37"/>
      <c r="AE37"/>
      <c r="AF37"/>
      <c r="AG37"/>
      <c r="AH37" s="37"/>
      <c r="AI37" s="56"/>
      <c r="AJ37" s="37" t="s">
        <v>4</v>
      </c>
      <c r="AK37" s="57">
        <v>0</v>
      </c>
      <c r="AL37" s="57">
        <v>0</v>
      </c>
      <c r="AM37" s="57">
        <v>0</v>
      </c>
      <c r="AN37" s="57">
        <v>0</v>
      </c>
      <c r="AO37" s="57">
        <v>0</v>
      </c>
      <c r="AP37" s="57">
        <v>0</v>
      </c>
      <c r="AQ37" s="37"/>
      <c r="AR37" s="37"/>
      <c r="AS37" s="56"/>
      <c r="AT37" s="37" t="s">
        <v>4</v>
      </c>
      <c r="AU37" s="57">
        <v>0</v>
      </c>
      <c r="AV37" s="57">
        <v>0</v>
      </c>
      <c r="AW37" s="57">
        <v>0</v>
      </c>
      <c r="AX37" s="57">
        <v>0</v>
      </c>
      <c r="AY37" s="57">
        <v>0</v>
      </c>
      <c r="AZ37" s="57">
        <v>0</v>
      </c>
      <c r="BA37" s="37"/>
      <c r="BB37" s="37"/>
      <c r="BC37" s="37"/>
      <c r="BD37" s="56"/>
      <c r="BE37" s="37" t="s">
        <v>4</v>
      </c>
      <c r="BF37" s="57">
        <v>0</v>
      </c>
      <c r="BG37" s="57">
        <v>0</v>
      </c>
      <c r="BH37" s="57">
        <v>0</v>
      </c>
      <c r="BI37" s="57">
        <v>0</v>
      </c>
      <c r="BJ37" s="57">
        <v>0</v>
      </c>
      <c r="BK37" s="57">
        <v>0</v>
      </c>
      <c r="BL37" s="37"/>
      <c r="BM37" s="37"/>
      <c r="BN37" s="37"/>
      <c r="BO37" s="37"/>
      <c r="BP37" s="37"/>
      <c r="BQ37" s="37"/>
      <c r="BR37" s="37"/>
      <c r="BS37" s="37"/>
      <c r="BT37" s="37"/>
      <c r="BU37" s="37"/>
      <c r="BV37" s="37"/>
      <c r="BW37" s="37"/>
      <c r="BX37" s="37"/>
      <c r="BY37" s="37"/>
      <c r="BZ37" s="37"/>
      <c r="CN37"/>
      <c r="CO37"/>
      <c r="CP37"/>
      <c r="CQ37"/>
      <c r="CR37"/>
      <c r="CS37"/>
      <c r="CT37"/>
      <c r="CU37"/>
      <c r="CV37"/>
      <c r="CW37"/>
      <c r="CX37"/>
      <c r="CY37"/>
      <c r="CZ37"/>
      <c r="DA37"/>
      <c r="DB37"/>
      <c r="DC37"/>
      <c r="DD37"/>
    </row>
    <row r="38" spans="1:108" s="41" customFormat="1">
      <c r="A38"/>
      <c r="B38"/>
      <c r="C38"/>
      <c r="D38"/>
      <c r="E38"/>
      <c r="F38"/>
      <c r="G38"/>
      <c r="H38"/>
      <c r="I38"/>
      <c r="J38"/>
      <c r="K38"/>
      <c r="L38"/>
      <c r="M38"/>
      <c r="N38"/>
      <c r="O38"/>
      <c r="P38"/>
      <c r="Q38"/>
      <c r="R38"/>
      <c r="S38"/>
      <c r="T38"/>
      <c r="U38"/>
      <c r="V38"/>
      <c r="W38"/>
      <c r="X38"/>
      <c r="Y38"/>
      <c r="Z38"/>
      <c r="AA38"/>
      <c r="AB38"/>
      <c r="AC38"/>
      <c r="AD38"/>
      <c r="AE38"/>
      <c r="AF38"/>
      <c r="AG38"/>
      <c r="AH38" s="37"/>
      <c r="AI38" s="56"/>
      <c r="AJ38" s="37" t="s">
        <v>5</v>
      </c>
      <c r="AK38" s="57">
        <v>0</v>
      </c>
      <c r="AL38" s="57">
        <v>62.597000000000001</v>
      </c>
      <c r="AM38" s="57">
        <v>762.44</v>
      </c>
      <c r="AN38" s="57">
        <v>5146.8</v>
      </c>
      <c r="AO38" s="57">
        <v>7624.5</v>
      </c>
      <c r="AP38" s="57">
        <v>7640.9</v>
      </c>
      <c r="AQ38" s="37"/>
      <c r="AR38" s="37"/>
      <c r="AS38" s="56"/>
      <c r="AT38" s="37" t="s">
        <v>5</v>
      </c>
      <c r="AU38" s="57">
        <v>0</v>
      </c>
      <c r="AV38" s="57">
        <v>77.201999999999998</v>
      </c>
      <c r="AW38" s="57">
        <v>920.27</v>
      </c>
      <c r="AX38" s="57">
        <v>6106.2</v>
      </c>
      <c r="AY38" s="57">
        <v>7510.6</v>
      </c>
      <c r="AZ38" s="57">
        <v>7513.6</v>
      </c>
      <c r="BA38" s="37"/>
      <c r="BB38" s="37"/>
      <c r="BC38" s="37"/>
      <c r="BD38" s="56"/>
      <c r="BE38" s="37" t="s">
        <v>5</v>
      </c>
      <c r="BF38" s="57">
        <v>0</v>
      </c>
      <c r="BG38" s="57">
        <v>99.55</v>
      </c>
      <c r="BH38" s="57">
        <v>1193.2</v>
      </c>
      <c r="BI38" s="57">
        <v>6615.9</v>
      </c>
      <c r="BJ38" s="57">
        <v>7240.9</v>
      </c>
      <c r="BK38" s="57">
        <v>7242.4</v>
      </c>
      <c r="BL38" s="37"/>
      <c r="BM38" s="37"/>
      <c r="BN38" s="37"/>
      <c r="BO38" s="37"/>
      <c r="BP38" s="37"/>
      <c r="BQ38" s="37"/>
      <c r="BR38" s="37"/>
      <c r="BS38" s="37"/>
      <c r="BT38" s="37"/>
      <c r="BU38" s="37"/>
      <c r="BV38" s="37"/>
      <c r="BW38" s="37"/>
      <c r="BX38" s="37"/>
      <c r="BY38" s="37"/>
      <c r="BZ38" s="37"/>
      <c r="CN38"/>
      <c r="CO38"/>
      <c r="CP38"/>
      <c r="CQ38"/>
      <c r="CR38"/>
      <c r="CS38"/>
      <c r="CT38"/>
      <c r="CU38"/>
      <c r="CV38"/>
      <c r="CW38"/>
      <c r="CX38"/>
      <c r="CY38"/>
      <c r="CZ38"/>
      <c r="DA38"/>
      <c r="DB38"/>
      <c r="DC38"/>
      <c r="DD38"/>
    </row>
    <row r="39" spans="1:108" s="41" customFormat="1">
      <c r="A39"/>
      <c r="B39"/>
      <c r="C39"/>
      <c r="D39"/>
      <c r="E39"/>
      <c r="F39"/>
      <c r="G39"/>
      <c r="H39"/>
      <c r="I39"/>
      <c r="J39"/>
      <c r="K39"/>
      <c r="L39"/>
      <c r="M39"/>
      <c r="N39"/>
      <c r="O39"/>
      <c r="P39"/>
      <c r="Q39"/>
      <c r="R39"/>
      <c r="S39"/>
      <c r="T39"/>
      <c r="U39"/>
      <c r="V39"/>
      <c r="W39"/>
      <c r="X39"/>
      <c r="Y39"/>
      <c r="Z39"/>
      <c r="AA39"/>
      <c r="AB39"/>
      <c r="AC39"/>
      <c r="AD39"/>
      <c r="AE39"/>
      <c r="AF39"/>
      <c r="AG39"/>
      <c r="AH39" s="37"/>
      <c r="AI39" s="56"/>
      <c r="AJ39" s="37"/>
      <c r="AK39" s="37"/>
      <c r="AL39" s="37"/>
      <c r="AM39" s="37"/>
      <c r="AN39" s="37"/>
      <c r="AO39" s="37"/>
      <c r="AP39" s="37"/>
      <c r="AQ39" s="37"/>
      <c r="AR39" s="37"/>
      <c r="AS39" s="56"/>
      <c r="AT39" s="37"/>
      <c r="AU39" s="37"/>
      <c r="AV39" s="37"/>
      <c r="AW39" s="37"/>
      <c r="AX39" s="37"/>
      <c r="AY39" s="37"/>
      <c r="AZ39" s="37"/>
      <c r="BA39" s="37"/>
      <c r="BB39" s="37"/>
      <c r="BC39" s="37"/>
      <c r="BD39" s="56"/>
      <c r="BE39" s="37"/>
      <c r="BF39" s="37"/>
      <c r="BG39" s="37"/>
      <c r="BH39" s="37"/>
      <c r="BI39" s="37"/>
      <c r="BJ39" s="37"/>
      <c r="BK39" s="37"/>
      <c r="BL39" s="37"/>
      <c r="BM39" s="37"/>
      <c r="BN39" s="37"/>
      <c r="BO39" s="37"/>
      <c r="BP39" s="37"/>
      <c r="BQ39" s="37"/>
      <c r="BR39" s="37"/>
      <c r="BS39" s="37"/>
      <c r="BT39" s="37"/>
      <c r="BU39" s="37"/>
      <c r="BV39" s="37"/>
      <c r="BW39" s="37"/>
      <c r="BX39" s="37"/>
      <c r="BY39" s="37"/>
      <c r="BZ39" s="37"/>
      <c r="CN39"/>
      <c r="CO39"/>
      <c r="CP39"/>
      <c r="CQ39"/>
      <c r="CR39"/>
      <c r="CS39"/>
      <c r="CT39"/>
      <c r="CU39"/>
      <c r="CV39"/>
      <c r="CW39"/>
      <c r="CX39"/>
      <c r="CY39"/>
      <c r="CZ39"/>
      <c r="DA39"/>
      <c r="DB39"/>
      <c r="DC39"/>
      <c r="DD39"/>
    </row>
    <row r="40" spans="1:108" s="41" customFormat="1">
      <c r="A40"/>
      <c r="B40"/>
      <c r="C40"/>
      <c r="D40"/>
      <c r="E40"/>
      <c r="F40"/>
      <c r="G40"/>
      <c r="H40"/>
      <c r="I40"/>
      <c r="J40"/>
      <c r="K40"/>
      <c r="L40"/>
      <c r="M40"/>
      <c r="N40"/>
      <c r="O40"/>
      <c r="P40"/>
      <c r="Q40"/>
      <c r="R40"/>
      <c r="S40"/>
      <c r="T40"/>
      <c r="U40"/>
      <c r="V40"/>
      <c r="W40"/>
      <c r="X40"/>
      <c r="Y40"/>
      <c r="Z40"/>
      <c r="AA40"/>
      <c r="AB40"/>
      <c r="AC40"/>
      <c r="AD40"/>
      <c r="AE40"/>
      <c r="AF40"/>
      <c r="AG40"/>
      <c r="AH40" s="37"/>
      <c r="AI40" s="56">
        <v>1</v>
      </c>
      <c r="AJ40" s="37" t="s">
        <v>0</v>
      </c>
      <c r="AK40" s="57">
        <v>1241800</v>
      </c>
      <c r="AL40" s="57">
        <v>7752.9</v>
      </c>
      <c r="AM40" s="57">
        <v>7752.9</v>
      </c>
      <c r="AN40" s="57">
        <v>7752.9</v>
      </c>
      <c r="AO40" s="57">
        <v>7752.9</v>
      </c>
      <c r="AP40" s="57">
        <v>7752.9</v>
      </c>
      <c r="AQ40" s="37"/>
      <c r="AR40" s="37"/>
      <c r="AS40" s="56">
        <v>1</v>
      </c>
      <c r="AT40" s="37" t="s">
        <v>0</v>
      </c>
      <c r="AU40" s="57">
        <v>1241800</v>
      </c>
      <c r="AV40" s="57">
        <v>7752.9</v>
      </c>
      <c r="AW40" s="57">
        <v>7752.9</v>
      </c>
      <c r="AX40" s="57">
        <v>7752.9</v>
      </c>
      <c r="AY40" s="57">
        <v>7752.9</v>
      </c>
      <c r="AZ40" s="57">
        <v>7752.9</v>
      </c>
      <c r="BA40" s="37"/>
      <c r="BB40" s="37"/>
      <c r="BC40" s="37"/>
      <c r="BD40" s="56">
        <v>1</v>
      </c>
      <c r="BE40" s="37" t="s">
        <v>0</v>
      </c>
      <c r="BF40" s="57">
        <v>1241800</v>
      </c>
      <c r="BG40" s="57">
        <v>7752.9</v>
      </c>
      <c r="BH40" s="57">
        <v>7752.9</v>
      </c>
      <c r="BI40" s="57">
        <v>7752.9</v>
      </c>
      <c r="BJ40" s="57">
        <v>7752.9</v>
      </c>
      <c r="BK40" s="57">
        <v>7752.9</v>
      </c>
      <c r="BL40" s="37"/>
      <c r="BM40" s="37"/>
      <c r="BN40" s="37"/>
      <c r="BO40" s="37"/>
      <c r="BP40" s="37"/>
      <c r="BQ40" s="37"/>
      <c r="BR40" s="37"/>
      <c r="BS40" s="37"/>
      <c r="BT40" s="37"/>
      <c r="BU40" s="37"/>
      <c r="BV40" s="37"/>
      <c r="BW40" s="37"/>
      <c r="BX40" s="37"/>
      <c r="BY40" s="37"/>
      <c r="BZ40" s="37"/>
      <c r="CN40"/>
      <c r="CO40"/>
      <c r="CP40"/>
      <c r="CQ40"/>
      <c r="CR40"/>
      <c r="CS40"/>
      <c r="CT40"/>
      <c r="CU40"/>
      <c r="CV40"/>
      <c r="CW40"/>
      <c r="CX40"/>
      <c r="CY40"/>
      <c r="CZ40"/>
      <c r="DA40"/>
      <c r="DB40"/>
      <c r="DC40"/>
      <c r="DD40"/>
    </row>
    <row r="41" spans="1:108" s="41" customFormat="1">
      <c r="A41"/>
      <c r="B41"/>
      <c r="C41"/>
      <c r="D41"/>
      <c r="E41"/>
      <c r="F41"/>
      <c r="G41"/>
      <c r="H41"/>
      <c r="I41"/>
      <c r="J41"/>
      <c r="K41"/>
      <c r="L41"/>
      <c r="M41"/>
      <c r="N41"/>
      <c r="O41"/>
      <c r="P41"/>
      <c r="Q41"/>
      <c r="R41"/>
      <c r="S41"/>
      <c r="T41"/>
      <c r="U41"/>
      <c r="V41"/>
      <c r="W41"/>
      <c r="X41"/>
      <c r="Y41"/>
      <c r="Z41"/>
      <c r="AA41"/>
      <c r="AB41"/>
      <c r="AC41"/>
      <c r="AD41"/>
      <c r="AE41"/>
      <c r="AF41"/>
      <c r="AG41"/>
      <c r="AH41" s="37"/>
      <c r="AI41" s="56"/>
      <c r="AJ41" s="37" t="s">
        <v>1</v>
      </c>
      <c r="AK41" s="57">
        <v>1237400</v>
      </c>
      <c r="AL41" s="57">
        <v>7725.4</v>
      </c>
      <c r="AM41" s="57">
        <v>7725.4</v>
      </c>
      <c r="AN41" s="57">
        <v>7725.4</v>
      </c>
      <c r="AO41" s="57">
        <v>7725.4</v>
      </c>
      <c r="AP41" s="57">
        <v>7725.4</v>
      </c>
      <c r="AQ41" s="37"/>
      <c r="AR41" s="37"/>
      <c r="AS41" s="56"/>
      <c r="AT41" s="37" t="s">
        <v>1</v>
      </c>
      <c r="AU41" s="57">
        <v>1224000</v>
      </c>
      <c r="AV41" s="57">
        <v>7641.6</v>
      </c>
      <c r="AW41" s="57">
        <v>7641.6</v>
      </c>
      <c r="AX41" s="57">
        <v>7641.6</v>
      </c>
      <c r="AY41" s="57">
        <v>7641.6</v>
      </c>
      <c r="AZ41" s="57">
        <v>7641.6</v>
      </c>
      <c r="BA41" s="37"/>
      <c r="BB41" s="37"/>
      <c r="BC41" s="37"/>
      <c r="BD41" s="56"/>
      <c r="BE41" s="37" t="s">
        <v>1</v>
      </c>
      <c r="BF41" s="57">
        <v>1194200</v>
      </c>
      <c r="BG41" s="57">
        <v>7455.7</v>
      </c>
      <c r="BH41" s="57">
        <v>7455.7</v>
      </c>
      <c r="BI41" s="57">
        <v>7455.7</v>
      </c>
      <c r="BJ41" s="57">
        <v>7455.7</v>
      </c>
      <c r="BK41" s="57">
        <v>7455.7</v>
      </c>
      <c r="BL41" s="37"/>
      <c r="BM41" s="37"/>
      <c r="BN41" s="37"/>
      <c r="BO41" s="37"/>
      <c r="BP41" s="37"/>
      <c r="BQ41" s="37"/>
      <c r="BR41" s="37"/>
      <c r="BS41" s="37"/>
      <c r="BT41" s="37"/>
      <c r="BU41" s="37"/>
      <c r="BV41" s="37"/>
      <c r="BW41" s="37"/>
      <c r="BX41" s="37"/>
      <c r="BY41" s="37"/>
      <c r="BZ41" s="37"/>
      <c r="CN41"/>
      <c r="CO41"/>
      <c r="CP41"/>
      <c r="CQ41"/>
      <c r="CR41"/>
      <c r="CS41"/>
      <c r="CT41"/>
      <c r="CU41"/>
      <c r="CV41"/>
      <c r="CW41"/>
      <c r="CX41"/>
      <c r="CY41"/>
      <c r="CZ41"/>
      <c r="DA41"/>
      <c r="DB41"/>
      <c r="DC41"/>
      <c r="DD41"/>
    </row>
    <row r="42" spans="1:108" s="41" customFormat="1">
      <c r="A42"/>
      <c r="B42"/>
      <c r="C42"/>
      <c r="D42"/>
      <c r="E42"/>
      <c r="F42"/>
      <c r="G42"/>
      <c r="H42"/>
      <c r="I42"/>
      <c r="J42"/>
      <c r="K42"/>
      <c r="L42"/>
      <c r="M42"/>
      <c r="N42"/>
      <c r="O42"/>
      <c r="P42"/>
      <c r="Q42"/>
      <c r="R42"/>
      <c r="S42"/>
      <c r="T42"/>
      <c r="U42"/>
      <c r="V42"/>
      <c r="W42"/>
      <c r="X42"/>
      <c r="Y42"/>
      <c r="Z42"/>
      <c r="AA42"/>
      <c r="AB42"/>
      <c r="AC42"/>
      <c r="AD42"/>
      <c r="AE42"/>
      <c r="AF42"/>
      <c r="AG42"/>
      <c r="AH42" s="37"/>
      <c r="AI42" s="56"/>
      <c r="AJ42" s="37" t="s">
        <v>2</v>
      </c>
      <c r="AK42" s="57">
        <v>4415.1000000000004</v>
      </c>
      <c r="AL42" s="57">
        <v>27.565000000000001</v>
      </c>
      <c r="AM42" s="57">
        <v>27.565000000000001</v>
      </c>
      <c r="AN42" s="57">
        <v>27.565000000000001</v>
      </c>
      <c r="AO42" s="57">
        <v>27.565000000000001</v>
      </c>
      <c r="AP42" s="57">
        <v>27.565000000000001</v>
      </c>
      <c r="AQ42" s="37"/>
      <c r="AR42" s="37"/>
      <c r="AS42" s="56"/>
      <c r="AT42" s="37" t="s">
        <v>2</v>
      </c>
      <c r="AU42" s="57">
        <v>17830</v>
      </c>
      <c r="AV42" s="57">
        <v>111.32</v>
      </c>
      <c r="AW42" s="57">
        <v>111.32</v>
      </c>
      <c r="AX42" s="57">
        <v>111.32</v>
      </c>
      <c r="AY42" s="57">
        <v>111.32</v>
      </c>
      <c r="AZ42" s="57">
        <v>111.32</v>
      </c>
      <c r="BA42" s="37"/>
      <c r="BB42" s="37"/>
      <c r="BC42" s="37"/>
      <c r="BD42" s="56"/>
      <c r="BE42" s="37" t="s">
        <v>2</v>
      </c>
      <c r="BF42" s="57">
        <v>47608</v>
      </c>
      <c r="BG42" s="57">
        <v>297.23</v>
      </c>
      <c r="BH42" s="57">
        <v>297.23</v>
      </c>
      <c r="BI42" s="57">
        <v>297.23</v>
      </c>
      <c r="BJ42" s="57">
        <v>297.23</v>
      </c>
      <c r="BK42" s="57">
        <v>297.23</v>
      </c>
      <c r="BL42" s="37"/>
      <c r="BM42" s="37"/>
      <c r="BN42" s="37"/>
      <c r="BO42" s="37"/>
      <c r="BP42" s="37"/>
      <c r="BQ42" s="37"/>
      <c r="BR42" s="37"/>
      <c r="BS42" s="37"/>
      <c r="BT42" s="37"/>
      <c r="BU42" s="37"/>
      <c r="BV42" s="37"/>
      <c r="BW42" s="37"/>
      <c r="BX42" s="37"/>
      <c r="BY42" s="37"/>
      <c r="BZ42" s="37"/>
      <c r="CN42"/>
      <c r="CO42"/>
      <c r="CP42"/>
      <c r="CQ42"/>
      <c r="CR42"/>
      <c r="CS42"/>
      <c r="CT42"/>
      <c r="CU42"/>
      <c r="CV42"/>
      <c r="CW42"/>
      <c r="CX42"/>
      <c r="CY42"/>
      <c r="CZ42"/>
      <c r="DA42"/>
      <c r="DB42"/>
      <c r="DC42"/>
      <c r="DD42"/>
    </row>
    <row r="43" spans="1:108" s="41" customFormat="1">
      <c r="A43"/>
      <c r="B43"/>
      <c r="C43"/>
      <c r="D43"/>
      <c r="E43"/>
      <c r="F43"/>
      <c r="G43"/>
      <c r="H43"/>
      <c r="I43"/>
      <c r="J43"/>
      <c r="K43"/>
      <c r="L43"/>
      <c r="M43"/>
      <c r="N43"/>
      <c r="O43"/>
      <c r="P43"/>
      <c r="Q43"/>
      <c r="R43"/>
      <c r="S43"/>
      <c r="T43"/>
      <c r="U43"/>
      <c r="V43"/>
      <c r="W43"/>
      <c r="X43"/>
      <c r="Y43"/>
      <c r="Z43"/>
      <c r="AA43"/>
      <c r="AB43"/>
      <c r="AC43"/>
      <c r="AD43"/>
      <c r="AE43"/>
      <c r="AF43"/>
      <c r="AG43"/>
      <c r="AH43" s="37"/>
      <c r="AI43" s="56"/>
      <c r="AJ43" s="37" t="s">
        <v>3</v>
      </c>
      <c r="AK43" s="57">
        <v>1237200</v>
      </c>
      <c r="AL43" s="57">
        <v>7646.8</v>
      </c>
      <c r="AM43" s="57">
        <v>6821.1</v>
      </c>
      <c r="AN43" s="57">
        <v>2236.4</v>
      </c>
      <c r="AO43" s="57">
        <v>30.638999999999999</v>
      </c>
      <c r="AP43" s="57">
        <v>15.815</v>
      </c>
      <c r="AQ43" s="37"/>
      <c r="AR43" s="37"/>
      <c r="AS43" s="56"/>
      <c r="AT43" s="37" t="s">
        <v>3</v>
      </c>
      <c r="AU43" s="57">
        <v>1223700</v>
      </c>
      <c r="AV43" s="57">
        <v>7548.3</v>
      </c>
      <c r="AW43" s="57">
        <v>6588</v>
      </c>
      <c r="AX43" s="57">
        <v>1336.9</v>
      </c>
      <c r="AY43" s="57">
        <v>10.161</v>
      </c>
      <c r="AZ43" s="57">
        <v>6.0835999999999997</v>
      </c>
      <c r="BA43" s="37"/>
      <c r="BB43" s="37"/>
      <c r="BC43" s="37"/>
      <c r="BD43" s="56"/>
      <c r="BE43" s="37" t="s">
        <v>3</v>
      </c>
      <c r="BF43" s="57">
        <v>1193700</v>
      </c>
      <c r="BG43" s="57">
        <v>7332.4</v>
      </c>
      <c r="BH43" s="57">
        <v>6084.6</v>
      </c>
      <c r="BI43" s="57">
        <v>573.63</v>
      </c>
      <c r="BJ43" s="57">
        <v>3.4014000000000002</v>
      </c>
      <c r="BK43" s="57">
        <v>2.0594000000000001</v>
      </c>
      <c r="BL43" s="37"/>
      <c r="BM43" s="37"/>
      <c r="BN43" s="37"/>
      <c r="BO43" s="37"/>
      <c r="BP43" s="37"/>
      <c r="BQ43" s="37"/>
      <c r="BR43" s="37"/>
      <c r="BS43" s="37"/>
      <c r="BT43" s="37"/>
      <c r="BU43" s="37"/>
      <c r="BV43" s="37"/>
      <c r="BW43" s="37"/>
      <c r="BX43" s="37"/>
      <c r="BY43" s="37"/>
      <c r="BZ43" s="37"/>
      <c r="CN43"/>
      <c r="CO43"/>
      <c r="CP43"/>
      <c r="CQ43"/>
      <c r="CR43"/>
      <c r="CS43"/>
      <c r="CT43"/>
      <c r="CU43"/>
      <c r="CV43"/>
      <c r="CW43"/>
      <c r="CX43"/>
      <c r="CY43"/>
      <c r="CZ43"/>
      <c r="DA43"/>
      <c r="DB43"/>
      <c r="DC43"/>
      <c r="DD43"/>
    </row>
    <row r="44" spans="1:108" s="41" customFormat="1">
      <c r="A44"/>
      <c r="B44"/>
      <c r="C44"/>
      <c r="D44"/>
      <c r="E44"/>
      <c r="F44"/>
      <c r="G44"/>
      <c r="H44"/>
      <c r="I44"/>
      <c r="J44"/>
      <c r="K44"/>
      <c r="L44"/>
      <c r="M44"/>
      <c r="N44"/>
      <c r="O44"/>
      <c r="P44"/>
      <c r="Q44"/>
      <c r="R44"/>
      <c r="S44"/>
      <c r="T44"/>
      <c r="U44"/>
      <c r="V44"/>
      <c r="W44"/>
      <c r="X44"/>
      <c r="Y44"/>
      <c r="Z44"/>
      <c r="AA44"/>
      <c r="AB44"/>
      <c r="AC44"/>
      <c r="AD44"/>
      <c r="AE44"/>
      <c r="AF44"/>
      <c r="AG44"/>
      <c r="AH44" s="37"/>
      <c r="AI44" s="56"/>
      <c r="AJ44" s="37" t="s">
        <v>4</v>
      </c>
      <c r="AK44" s="57">
        <v>0</v>
      </c>
      <c r="AL44" s="57">
        <v>0</v>
      </c>
      <c r="AM44" s="57">
        <v>0</v>
      </c>
      <c r="AN44" s="57">
        <v>0</v>
      </c>
      <c r="AO44" s="57">
        <v>0</v>
      </c>
      <c r="AP44" s="57">
        <v>0</v>
      </c>
      <c r="AQ44" s="37"/>
      <c r="AR44" s="37"/>
      <c r="AS44" s="56"/>
      <c r="AT44" s="37" t="s">
        <v>4</v>
      </c>
      <c r="AU44" s="57">
        <v>0</v>
      </c>
      <c r="AV44" s="57">
        <v>0</v>
      </c>
      <c r="AW44" s="57">
        <v>0</v>
      </c>
      <c r="AX44" s="57">
        <v>0</v>
      </c>
      <c r="AY44" s="57">
        <v>0</v>
      </c>
      <c r="AZ44" s="57">
        <v>0</v>
      </c>
      <c r="BA44" s="37"/>
      <c r="BB44" s="37"/>
      <c r="BC44" s="37"/>
      <c r="BD44" s="56"/>
      <c r="BE44" s="37" t="s">
        <v>4</v>
      </c>
      <c r="BF44" s="57">
        <v>0</v>
      </c>
      <c r="BG44" s="57">
        <v>0</v>
      </c>
      <c r="BH44" s="57">
        <v>0</v>
      </c>
      <c r="BI44" s="57">
        <v>0</v>
      </c>
      <c r="BJ44" s="57">
        <v>0</v>
      </c>
      <c r="BK44" s="57">
        <v>0</v>
      </c>
      <c r="BL44" s="37"/>
      <c r="BM44" s="37"/>
      <c r="BN44" s="37"/>
      <c r="BO44" s="37"/>
      <c r="BP44" s="37"/>
      <c r="BQ44" s="37"/>
      <c r="BR44" s="37"/>
      <c r="BS44" s="37"/>
      <c r="BT44" s="37"/>
      <c r="BU44" s="37"/>
      <c r="BV44" s="37"/>
      <c r="BW44" s="37"/>
      <c r="BX44" s="37"/>
      <c r="BY44" s="37"/>
      <c r="BZ44" s="37"/>
      <c r="CN44"/>
      <c r="CO44"/>
      <c r="CP44"/>
      <c r="CQ44"/>
      <c r="CR44"/>
      <c r="CS44"/>
      <c r="CT44"/>
      <c r="CU44"/>
      <c r="CV44"/>
      <c r="CW44"/>
      <c r="CX44"/>
      <c r="CY44"/>
      <c r="CZ44"/>
      <c r="DA44"/>
      <c r="DB44"/>
      <c r="DC44"/>
      <c r="DD44"/>
    </row>
    <row r="45" spans="1:108" s="41" customFormat="1">
      <c r="A45"/>
      <c r="B45"/>
      <c r="C45"/>
      <c r="D45"/>
      <c r="E45"/>
      <c r="F45"/>
      <c r="G45"/>
      <c r="H45"/>
      <c r="I45"/>
      <c r="J45"/>
      <c r="K45"/>
      <c r="L45"/>
      <c r="M45"/>
      <c r="N45"/>
      <c r="O45"/>
      <c r="P45"/>
      <c r="Q45"/>
      <c r="R45"/>
      <c r="S45"/>
      <c r="T45"/>
      <c r="U45"/>
      <c r="V45"/>
      <c r="W45"/>
      <c r="X45"/>
      <c r="Y45"/>
      <c r="Z45"/>
      <c r="AA45"/>
      <c r="AB45"/>
      <c r="AC45"/>
      <c r="AD45"/>
      <c r="AE45"/>
      <c r="AF45"/>
      <c r="AG45"/>
      <c r="AH45" s="37"/>
      <c r="AI45" s="56"/>
      <c r="AJ45" s="37" t="s">
        <v>5</v>
      </c>
      <c r="AK45" s="57">
        <v>0</v>
      </c>
      <c r="AL45" s="57">
        <v>77.111999999999995</v>
      </c>
      <c r="AM45" s="57">
        <v>902.72</v>
      </c>
      <c r="AN45" s="57">
        <v>5487.5</v>
      </c>
      <c r="AO45" s="57">
        <v>7693.4</v>
      </c>
      <c r="AP45" s="57">
        <v>7708.2</v>
      </c>
      <c r="AQ45" s="37"/>
      <c r="AR45" s="37"/>
      <c r="AS45" s="56"/>
      <c r="AT45" s="37" t="s">
        <v>5</v>
      </c>
      <c r="AU45" s="57">
        <v>0</v>
      </c>
      <c r="AV45" s="57">
        <v>91.027000000000001</v>
      </c>
      <c r="AW45" s="57">
        <v>1051.2</v>
      </c>
      <c r="AX45" s="57">
        <v>6302.7</v>
      </c>
      <c r="AY45" s="57">
        <v>7629.5</v>
      </c>
      <c r="AZ45" s="57">
        <v>7633.6</v>
      </c>
      <c r="BA45" s="37"/>
      <c r="BB45" s="37"/>
      <c r="BC45" s="37"/>
      <c r="BD45" s="56"/>
      <c r="BE45" s="37" t="s">
        <v>5</v>
      </c>
      <c r="BF45" s="57">
        <v>0</v>
      </c>
      <c r="BG45" s="57">
        <v>119.44</v>
      </c>
      <c r="BH45" s="57">
        <v>1367.2</v>
      </c>
      <c r="BI45" s="57">
        <v>6878.6</v>
      </c>
      <c r="BJ45" s="57">
        <v>7448.8</v>
      </c>
      <c r="BK45" s="57">
        <v>7450.2</v>
      </c>
      <c r="BL45" s="37"/>
      <c r="BM45" s="37"/>
      <c r="BN45" s="37"/>
      <c r="BO45" s="37"/>
      <c r="BP45" s="37"/>
      <c r="BQ45" s="37"/>
      <c r="BR45" s="37"/>
      <c r="BS45" s="37"/>
      <c r="BT45" s="37"/>
      <c r="BU45" s="37"/>
      <c r="BV45" s="37"/>
      <c r="BW45" s="37"/>
      <c r="BX45" s="37"/>
      <c r="BY45" s="37"/>
      <c r="BZ45" s="37"/>
      <c r="CN45"/>
      <c r="CO45"/>
      <c r="CP45"/>
      <c r="CQ45"/>
      <c r="CR45"/>
      <c r="CS45"/>
      <c r="CT45"/>
      <c r="CU45"/>
      <c r="CV45"/>
      <c r="CW45"/>
      <c r="CX45"/>
      <c r="CY45"/>
      <c r="CZ45"/>
      <c r="DA45"/>
      <c r="DB45"/>
      <c r="DC45"/>
      <c r="DD45"/>
    </row>
    <row r="46" spans="1:108" s="41" customFormat="1">
      <c r="A46"/>
      <c r="B46"/>
      <c r="C46"/>
      <c r="D46"/>
      <c r="E46"/>
      <c r="F46"/>
      <c r="G46"/>
      <c r="H46"/>
      <c r="I46"/>
      <c r="J46"/>
      <c r="K46"/>
      <c r="L46"/>
      <c r="M46"/>
      <c r="N46"/>
      <c r="O46"/>
      <c r="P46"/>
      <c r="Q46"/>
      <c r="R46"/>
      <c r="S46"/>
      <c r="T46"/>
      <c r="U46"/>
      <c r="V46"/>
      <c r="W46"/>
      <c r="X46"/>
      <c r="Y46"/>
      <c r="Z46"/>
      <c r="AA46"/>
      <c r="AB46"/>
      <c r="AC46"/>
      <c r="AD46"/>
      <c r="AE46"/>
      <c r="AF46"/>
      <c r="AG46"/>
      <c r="AH46" s="37"/>
      <c r="AI46" s="56"/>
      <c r="AJ46" s="37"/>
      <c r="AK46" s="37"/>
      <c r="AL46" s="37"/>
      <c r="AM46" s="37"/>
      <c r="AN46" s="37"/>
      <c r="AO46" s="37"/>
      <c r="AP46" s="37"/>
      <c r="AQ46" s="37"/>
      <c r="AR46" s="37"/>
      <c r="AS46" s="56"/>
      <c r="AT46" s="37"/>
      <c r="AU46" s="37"/>
      <c r="AV46" s="37"/>
      <c r="AW46" s="37"/>
      <c r="AX46" s="37"/>
      <c r="AY46" s="37"/>
      <c r="AZ46" s="37"/>
      <c r="BA46" s="37"/>
      <c r="BB46" s="37"/>
      <c r="BC46" s="37"/>
      <c r="BD46" s="56"/>
      <c r="BE46" s="37"/>
      <c r="BF46" s="37"/>
      <c r="BG46" s="37"/>
      <c r="BH46" s="37"/>
      <c r="BI46" s="37"/>
      <c r="BJ46" s="37"/>
      <c r="BK46" s="37"/>
      <c r="BL46" s="37"/>
      <c r="BM46" s="37"/>
      <c r="BN46" s="37"/>
      <c r="BO46" s="37"/>
      <c r="BP46" s="37"/>
      <c r="BQ46" s="37"/>
      <c r="BR46" s="37"/>
      <c r="BS46" s="37"/>
      <c r="BT46" s="37"/>
      <c r="BU46" s="37"/>
      <c r="BV46" s="37"/>
      <c r="BW46" s="37"/>
      <c r="BX46" s="37"/>
      <c r="BY46" s="37"/>
      <c r="BZ46" s="37"/>
      <c r="CN46"/>
      <c r="CO46"/>
      <c r="CP46"/>
      <c r="CQ46"/>
      <c r="CR46"/>
      <c r="CS46"/>
      <c r="CT46"/>
      <c r="CU46"/>
      <c r="CV46"/>
      <c r="CW46"/>
      <c r="CX46"/>
      <c r="CY46"/>
      <c r="CZ46"/>
      <c r="DA46"/>
      <c r="DB46"/>
      <c r="DC46"/>
      <c r="DD46"/>
    </row>
    <row r="47" spans="1:108" s="41" customFormat="1">
      <c r="A47"/>
      <c r="B47"/>
      <c r="C47"/>
      <c r="D47"/>
      <c r="E47"/>
      <c r="F47"/>
      <c r="G47"/>
      <c r="H47"/>
      <c r="I47"/>
      <c r="J47"/>
      <c r="K47"/>
      <c r="L47"/>
      <c r="M47"/>
      <c r="N47"/>
      <c r="O47"/>
      <c r="P47"/>
      <c r="Q47"/>
      <c r="R47"/>
      <c r="S47"/>
      <c r="T47"/>
      <c r="U47"/>
      <c r="V47"/>
      <c r="W47"/>
      <c r="X47"/>
      <c r="Y47"/>
      <c r="Z47"/>
      <c r="AA47"/>
      <c r="AB47"/>
      <c r="AC47"/>
      <c r="AD47"/>
      <c r="AE47"/>
      <c r="AF47"/>
      <c r="AG47"/>
      <c r="AH47" s="37"/>
      <c r="AI47" s="56">
        <v>1.2</v>
      </c>
      <c r="AJ47" s="37" t="s">
        <v>0</v>
      </c>
      <c r="AK47" s="57">
        <v>1241800</v>
      </c>
      <c r="AL47" s="57">
        <v>7752.9</v>
      </c>
      <c r="AM47" s="57">
        <v>7752.9</v>
      </c>
      <c r="AN47" s="57">
        <v>7752.9</v>
      </c>
      <c r="AO47" s="57">
        <v>7752.9</v>
      </c>
      <c r="AP47" s="57">
        <v>7752.9</v>
      </c>
      <c r="AQ47" s="37"/>
      <c r="AR47" s="37"/>
      <c r="AS47" s="56">
        <v>1.2</v>
      </c>
      <c r="AT47" s="37" t="s">
        <v>0</v>
      </c>
      <c r="AU47" s="57">
        <v>1241800</v>
      </c>
      <c r="AV47" s="57">
        <v>7752.9</v>
      </c>
      <c r="AW47" s="57">
        <v>7752.9</v>
      </c>
      <c r="AX47" s="57">
        <v>7752.9</v>
      </c>
      <c r="AY47" s="57">
        <v>7752.9</v>
      </c>
      <c r="AZ47" s="57">
        <v>7752.9</v>
      </c>
      <c r="BA47" s="37"/>
      <c r="BB47" s="37"/>
      <c r="BC47" s="37"/>
      <c r="BD47" s="56">
        <v>1.2</v>
      </c>
      <c r="BE47" s="37" t="s">
        <v>0</v>
      </c>
      <c r="BF47" s="57">
        <v>1241800</v>
      </c>
      <c r="BG47" s="57">
        <v>7752.9</v>
      </c>
      <c r="BH47" s="57">
        <v>7752.9</v>
      </c>
      <c r="BI47" s="57">
        <v>7752.9</v>
      </c>
      <c r="BJ47" s="57">
        <v>7752.9</v>
      </c>
      <c r="BK47" s="57">
        <v>7752.9</v>
      </c>
      <c r="BL47" s="37"/>
      <c r="BM47" s="37"/>
      <c r="BN47" s="37"/>
      <c r="BO47" s="37"/>
      <c r="BP47" s="37"/>
      <c r="BQ47" s="37"/>
      <c r="BR47" s="37"/>
      <c r="BS47" s="37"/>
      <c r="BT47" s="37"/>
      <c r="BU47" s="37"/>
      <c r="BV47" s="37"/>
      <c r="BW47" s="37"/>
      <c r="BX47" s="37"/>
      <c r="BY47" s="37"/>
      <c r="BZ47" s="37"/>
      <c r="CN47"/>
      <c r="CO47"/>
      <c r="CP47"/>
      <c r="CQ47"/>
      <c r="CR47"/>
      <c r="CS47"/>
      <c r="CT47"/>
      <c r="CU47"/>
      <c r="CV47"/>
      <c r="CW47"/>
      <c r="CX47"/>
      <c r="CY47"/>
      <c r="CZ47"/>
      <c r="DA47"/>
      <c r="DB47"/>
      <c r="DC47"/>
      <c r="DD47"/>
    </row>
    <row r="48" spans="1:108" s="41" customFormat="1">
      <c r="A48"/>
      <c r="B48"/>
      <c r="C48"/>
      <c r="D48"/>
      <c r="E48"/>
      <c r="F48"/>
      <c r="G48"/>
      <c r="H48"/>
      <c r="I48"/>
      <c r="J48"/>
      <c r="K48"/>
      <c r="L48"/>
      <c r="M48"/>
      <c r="N48"/>
      <c r="O48"/>
      <c r="P48"/>
      <c r="Q48"/>
      <c r="R48"/>
      <c r="S48"/>
      <c r="T48"/>
      <c r="U48"/>
      <c r="V48"/>
      <c r="W48"/>
      <c r="X48"/>
      <c r="Y48"/>
      <c r="Z48"/>
      <c r="AA48"/>
      <c r="AB48"/>
      <c r="AC48"/>
      <c r="AD48"/>
      <c r="AE48"/>
      <c r="AF48"/>
      <c r="AG48"/>
      <c r="AH48" s="37"/>
      <c r="AI48" s="56"/>
      <c r="AJ48" s="37" t="s">
        <v>1</v>
      </c>
      <c r="AK48" s="57">
        <v>1241400</v>
      </c>
      <c r="AL48" s="57">
        <v>7750.8</v>
      </c>
      <c r="AM48" s="57">
        <v>7750.8</v>
      </c>
      <c r="AN48" s="57">
        <v>7750.8</v>
      </c>
      <c r="AO48" s="57">
        <v>7750.8</v>
      </c>
      <c r="AP48" s="57">
        <v>7750.8</v>
      </c>
      <c r="AQ48" s="37"/>
      <c r="AR48" s="37"/>
      <c r="AS48" s="56"/>
      <c r="AT48" s="37" t="s">
        <v>1</v>
      </c>
      <c r="AU48" s="57">
        <v>1234700</v>
      </c>
      <c r="AV48" s="57">
        <v>7708.5</v>
      </c>
      <c r="AW48" s="57">
        <v>7708.5</v>
      </c>
      <c r="AX48" s="57">
        <v>7708.5</v>
      </c>
      <c r="AY48" s="57">
        <v>7708.5</v>
      </c>
      <c r="AZ48" s="57">
        <v>7708.5</v>
      </c>
      <c r="BA48" s="37"/>
      <c r="BB48" s="37"/>
      <c r="BC48" s="37"/>
      <c r="BD48" s="56"/>
      <c r="BE48" s="37" t="s">
        <v>1</v>
      </c>
      <c r="BF48" s="57">
        <v>1218300</v>
      </c>
      <c r="BG48" s="57">
        <v>7606.5</v>
      </c>
      <c r="BH48" s="57">
        <v>7606.5</v>
      </c>
      <c r="BI48" s="57">
        <v>7606.5</v>
      </c>
      <c r="BJ48" s="57">
        <v>7606.5</v>
      </c>
      <c r="BK48" s="57">
        <v>7606.5</v>
      </c>
      <c r="BL48" s="37"/>
      <c r="BM48" s="37"/>
      <c r="BN48" s="37"/>
      <c r="BO48" s="37"/>
      <c r="BP48" s="37"/>
      <c r="BQ48" s="37"/>
      <c r="BR48" s="37"/>
      <c r="BS48" s="37"/>
      <c r="BT48" s="37"/>
      <c r="BU48" s="37"/>
      <c r="BV48" s="37"/>
      <c r="BW48" s="37"/>
      <c r="BX48" s="37"/>
      <c r="BY48" s="37"/>
      <c r="BZ48" s="37"/>
      <c r="CN48"/>
      <c r="CO48"/>
      <c r="CP48"/>
      <c r="CQ48"/>
      <c r="CR48"/>
      <c r="CS48"/>
      <c r="CT48"/>
      <c r="CU48"/>
      <c r="CV48"/>
      <c r="CW48"/>
      <c r="CX48"/>
      <c r="CY48"/>
      <c r="CZ48"/>
      <c r="DA48"/>
      <c r="DB48"/>
      <c r="DC48"/>
      <c r="DD48"/>
    </row>
    <row r="49" spans="1:108" s="41" customFormat="1">
      <c r="A49"/>
      <c r="B49"/>
      <c r="C49"/>
      <c r="D49"/>
      <c r="E49"/>
      <c r="F49"/>
      <c r="G49"/>
      <c r="H49"/>
      <c r="I49"/>
      <c r="J49"/>
      <c r="K49"/>
      <c r="L49"/>
      <c r="M49"/>
      <c r="N49"/>
      <c r="O49"/>
      <c r="P49"/>
      <c r="Q49"/>
      <c r="R49"/>
      <c r="S49"/>
      <c r="T49"/>
      <c r="U49"/>
      <c r="V49"/>
      <c r="W49"/>
      <c r="X49"/>
      <c r="Y49"/>
      <c r="Z49"/>
      <c r="AA49"/>
      <c r="AB49"/>
      <c r="AC49"/>
      <c r="AD49"/>
      <c r="AE49"/>
      <c r="AF49"/>
      <c r="AG49"/>
      <c r="AH49" s="37"/>
      <c r="AI49" s="56"/>
      <c r="AJ49" s="37" t="s">
        <v>2</v>
      </c>
      <c r="AK49" s="57">
        <v>335.9</v>
      </c>
      <c r="AL49" s="57">
        <v>2.0972</v>
      </c>
      <c r="AM49" s="57">
        <v>2.0972</v>
      </c>
      <c r="AN49" s="57">
        <v>2.0972</v>
      </c>
      <c r="AO49" s="57">
        <v>2.0972</v>
      </c>
      <c r="AP49" s="57">
        <v>2.0972</v>
      </c>
      <c r="AQ49" s="37"/>
      <c r="AR49" s="37"/>
      <c r="AS49" s="56"/>
      <c r="AT49" s="37" t="s">
        <v>2</v>
      </c>
      <c r="AU49" s="57">
        <v>7123.3</v>
      </c>
      <c r="AV49" s="57">
        <v>44.473999999999997</v>
      </c>
      <c r="AW49" s="57">
        <v>44.473999999999997</v>
      </c>
      <c r="AX49" s="57">
        <v>44.473999999999997</v>
      </c>
      <c r="AY49" s="57">
        <v>44.473999999999997</v>
      </c>
      <c r="AZ49" s="57">
        <v>44.473999999999997</v>
      </c>
      <c r="BA49" s="37"/>
      <c r="BB49" s="37"/>
      <c r="BC49" s="37"/>
      <c r="BD49" s="56"/>
      <c r="BE49" s="37" t="s">
        <v>2</v>
      </c>
      <c r="BF49" s="57">
        <v>23460</v>
      </c>
      <c r="BG49" s="57">
        <v>146.47</v>
      </c>
      <c r="BH49" s="57">
        <v>146.47</v>
      </c>
      <c r="BI49" s="57">
        <v>146.47</v>
      </c>
      <c r="BJ49" s="57">
        <v>146.47</v>
      </c>
      <c r="BK49" s="57">
        <v>146.47</v>
      </c>
      <c r="BL49" s="37"/>
      <c r="BM49" s="37"/>
      <c r="BN49" s="37"/>
      <c r="BO49" s="37"/>
      <c r="BP49" s="37"/>
      <c r="BQ49" s="37"/>
      <c r="BR49" s="37"/>
      <c r="BS49" s="37"/>
      <c r="BT49" s="37"/>
      <c r="BU49" s="37"/>
      <c r="BV49" s="37"/>
      <c r="BW49" s="37"/>
      <c r="BX49" s="37"/>
      <c r="BY49" s="37"/>
      <c r="BZ49" s="37"/>
      <c r="CN49"/>
      <c r="CO49"/>
      <c r="CP49"/>
      <c r="CQ49"/>
      <c r="CR49"/>
      <c r="CS49"/>
      <c r="CT49"/>
      <c r="CU49"/>
      <c r="CV49"/>
      <c r="CW49"/>
      <c r="CX49"/>
      <c r="CY49"/>
      <c r="CZ49"/>
      <c r="DA49"/>
      <c r="DB49"/>
      <c r="DC49"/>
      <c r="DD49"/>
    </row>
    <row r="50" spans="1:108" s="41" customFormat="1">
      <c r="A50"/>
      <c r="B50"/>
      <c r="C50"/>
      <c r="D50"/>
      <c r="E50"/>
      <c r="F50"/>
      <c r="G50"/>
      <c r="H50"/>
      <c r="I50"/>
      <c r="J50"/>
      <c r="K50"/>
      <c r="L50"/>
      <c r="M50"/>
      <c r="N50"/>
      <c r="O50"/>
      <c r="P50"/>
      <c r="Q50"/>
      <c r="R50"/>
      <c r="S50"/>
      <c r="T50"/>
      <c r="U50"/>
      <c r="V50"/>
      <c r="W50"/>
      <c r="X50"/>
      <c r="Y50"/>
      <c r="Z50"/>
      <c r="AA50"/>
      <c r="AB50"/>
      <c r="AC50"/>
      <c r="AD50"/>
      <c r="AE50"/>
      <c r="AF50"/>
      <c r="AG50"/>
      <c r="AH50" s="37"/>
      <c r="AI50" s="56"/>
      <c r="AJ50" s="37" t="s">
        <v>3</v>
      </c>
      <c r="AK50" s="57">
        <v>1241300</v>
      </c>
      <c r="AL50" s="57">
        <v>7658</v>
      </c>
      <c r="AM50" s="57">
        <v>6713.7</v>
      </c>
      <c r="AN50" s="57">
        <v>1993.5</v>
      </c>
      <c r="AO50" s="57">
        <v>30.14</v>
      </c>
      <c r="AP50" s="57">
        <v>16.978000000000002</v>
      </c>
      <c r="AQ50" s="37"/>
      <c r="AR50" s="37"/>
      <c r="AS50" s="56"/>
      <c r="AT50" s="37" t="s">
        <v>3</v>
      </c>
      <c r="AU50" s="57">
        <v>1234400</v>
      </c>
      <c r="AV50" s="57">
        <v>7597.4</v>
      </c>
      <c r="AW50" s="57">
        <v>6502.4</v>
      </c>
      <c r="AX50" s="57">
        <v>1192.2</v>
      </c>
      <c r="AY50" s="57">
        <v>9.8367000000000004</v>
      </c>
      <c r="AZ50" s="57">
        <v>6.1247999999999996</v>
      </c>
      <c r="BA50" s="37"/>
      <c r="BB50" s="37"/>
      <c r="BC50" s="37"/>
      <c r="BD50" s="56"/>
      <c r="BE50" s="37" t="s">
        <v>3</v>
      </c>
      <c r="BF50" s="57">
        <v>1217800</v>
      </c>
      <c r="BG50" s="57">
        <v>7463.4</v>
      </c>
      <c r="BH50" s="57">
        <v>6073.6</v>
      </c>
      <c r="BI50" s="57">
        <v>530.15</v>
      </c>
      <c r="BJ50" s="57">
        <v>3.4198</v>
      </c>
      <c r="BK50" s="57">
        <v>2.1859999999999999</v>
      </c>
      <c r="BL50" s="37"/>
      <c r="BM50" s="37"/>
      <c r="BN50" s="37"/>
      <c r="BO50" s="37"/>
      <c r="BP50" s="37"/>
      <c r="BQ50" s="37"/>
      <c r="BR50" s="37"/>
      <c r="BS50" s="37"/>
      <c r="BT50" s="37"/>
      <c r="BU50" s="37"/>
      <c r="BV50" s="37"/>
      <c r="BW50" s="37"/>
      <c r="BX50" s="37"/>
      <c r="BY50" s="37"/>
      <c r="BZ50" s="37"/>
      <c r="CN50"/>
      <c r="CO50"/>
      <c r="CP50"/>
      <c r="CQ50"/>
      <c r="CR50"/>
      <c r="CS50"/>
      <c r="CT50"/>
      <c r="CU50"/>
      <c r="CV50"/>
      <c r="CW50"/>
      <c r="CX50"/>
      <c r="CY50"/>
      <c r="CZ50"/>
      <c r="DA50"/>
      <c r="DB50"/>
      <c r="DC50"/>
      <c r="DD50"/>
    </row>
    <row r="51" spans="1:108" s="41" customFormat="1">
      <c r="A51"/>
      <c r="B51"/>
      <c r="C51"/>
      <c r="D51"/>
      <c r="E51"/>
      <c r="F51"/>
      <c r="G51"/>
      <c r="H51"/>
      <c r="I51"/>
      <c r="J51"/>
      <c r="K51"/>
      <c r="L51"/>
      <c r="M51"/>
      <c r="N51"/>
      <c r="O51"/>
      <c r="P51"/>
      <c r="Q51"/>
      <c r="R51"/>
      <c r="S51"/>
      <c r="T51"/>
      <c r="U51"/>
      <c r="V51"/>
      <c r="W51"/>
      <c r="X51"/>
      <c r="Y51"/>
      <c r="Z51"/>
      <c r="AA51"/>
      <c r="AB51"/>
      <c r="AC51"/>
      <c r="AD51"/>
      <c r="AE51"/>
      <c r="AF51"/>
      <c r="AG51"/>
      <c r="AH51" s="37"/>
      <c r="AI51" s="56"/>
      <c r="AJ51" s="37" t="s">
        <v>4</v>
      </c>
      <c r="AK51" s="57">
        <v>0</v>
      </c>
      <c r="AL51" s="57">
        <v>0</v>
      </c>
      <c r="AM51" s="57">
        <v>0</v>
      </c>
      <c r="AN51" s="57">
        <v>0</v>
      </c>
      <c r="AO51" s="57">
        <v>0</v>
      </c>
      <c r="AP51" s="57">
        <v>0</v>
      </c>
      <c r="AQ51" s="37"/>
      <c r="AR51" s="37"/>
      <c r="AS51" s="56"/>
      <c r="AT51" s="37" t="s">
        <v>4</v>
      </c>
      <c r="AU51" s="57">
        <v>0</v>
      </c>
      <c r="AV51" s="57">
        <v>0</v>
      </c>
      <c r="AW51" s="57">
        <v>0</v>
      </c>
      <c r="AX51" s="57">
        <v>0</v>
      </c>
      <c r="AY51" s="57">
        <v>0</v>
      </c>
      <c r="AZ51" s="57">
        <v>0</v>
      </c>
      <c r="BA51" s="37"/>
      <c r="BB51" s="37"/>
      <c r="BC51" s="37"/>
      <c r="BD51" s="56"/>
      <c r="BE51" s="37" t="s">
        <v>4</v>
      </c>
      <c r="BF51" s="57">
        <v>0</v>
      </c>
      <c r="BG51" s="57">
        <v>0</v>
      </c>
      <c r="BH51" s="57">
        <v>0</v>
      </c>
      <c r="BI51" s="57">
        <v>0</v>
      </c>
      <c r="BJ51" s="57">
        <v>0</v>
      </c>
      <c r="BK51" s="57">
        <v>0</v>
      </c>
      <c r="BL51" s="37"/>
      <c r="BM51" s="37"/>
      <c r="BN51" s="37"/>
      <c r="BO51" s="37"/>
      <c r="BP51" s="37"/>
      <c r="BQ51" s="37"/>
      <c r="BR51" s="37"/>
      <c r="BS51" s="37"/>
      <c r="BT51" s="37"/>
      <c r="BU51" s="37"/>
      <c r="BV51" s="37"/>
      <c r="BW51" s="37"/>
      <c r="BX51" s="37"/>
      <c r="BY51" s="37"/>
      <c r="BZ51" s="37"/>
      <c r="CN51"/>
      <c r="CO51"/>
      <c r="CP51"/>
      <c r="CQ51"/>
      <c r="CR51"/>
      <c r="CS51"/>
      <c r="CT51"/>
      <c r="CU51"/>
      <c r="CV51"/>
      <c r="CW51"/>
      <c r="CX51"/>
      <c r="CY51"/>
      <c r="CZ51"/>
      <c r="DA51"/>
      <c r="DB51"/>
      <c r="DC51"/>
      <c r="DD51"/>
    </row>
    <row r="52" spans="1:108" s="41" customFormat="1">
      <c r="A52"/>
      <c r="B52"/>
      <c r="C52"/>
      <c r="D52"/>
      <c r="E52"/>
      <c r="F52"/>
      <c r="G52"/>
      <c r="H52"/>
      <c r="I52"/>
      <c r="J52"/>
      <c r="K52"/>
      <c r="L52"/>
      <c r="M52"/>
      <c r="N52"/>
      <c r="O52"/>
      <c r="P52"/>
      <c r="Q52"/>
      <c r="R52"/>
      <c r="S52"/>
      <c r="T52"/>
      <c r="U52"/>
      <c r="V52"/>
      <c r="W52"/>
      <c r="X52"/>
      <c r="Y52"/>
      <c r="Z52"/>
      <c r="AA52"/>
      <c r="AB52"/>
      <c r="AC52"/>
      <c r="AD52"/>
      <c r="AE52"/>
      <c r="AF52"/>
      <c r="AG52"/>
      <c r="AH52" s="37"/>
      <c r="AI52" s="56"/>
      <c r="AJ52" s="37" t="s">
        <v>5</v>
      </c>
      <c r="AK52" s="57">
        <v>0</v>
      </c>
      <c r="AL52" s="57">
        <v>91.385999999999996</v>
      </c>
      <c r="AM52" s="57">
        <v>1035.7</v>
      </c>
      <c r="AN52" s="57">
        <v>5756</v>
      </c>
      <c r="AO52" s="57">
        <v>7719.4</v>
      </c>
      <c r="AP52" s="57">
        <v>7732.6</v>
      </c>
      <c r="AQ52" s="37"/>
      <c r="AR52" s="37"/>
      <c r="AS52" s="56"/>
      <c r="AT52" s="37" t="s">
        <v>5</v>
      </c>
      <c r="AU52" s="57">
        <v>0</v>
      </c>
      <c r="AV52" s="57">
        <v>108.71</v>
      </c>
      <c r="AW52" s="57">
        <v>1203.7</v>
      </c>
      <c r="AX52" s="57">
        <v>6514.3</v>
      </c>
      <c r="AY52" s="57">
        <v>7696.8</v>
      </c>
      <c r="AZ52" s="57">
        <v>7700.5</v>
      </c>
      <c r="BA52" s="37"/>
      <c r="BB52" s="37"/>
      <c r="BC52" s="37"/>
      <c r="BD52" s="56"/>
      <c r="BE52" s="37" t="s">
        <v>5</v>
      </c>
      <c r="BF52" s="57">
        <v>0</v>
      </c>
      <c r="BG52" s="57">
        <v>139.21</v>
      </c>
      <c r="BH52" s="57">
        <v>1529</v>
      </c>
      <c r="BI52" s="57">
        <v>7073</v>
      </c>
      <c r="BJ52" s="57">
        <v>7599.7</v>
      </c>
      <c r="BK52" s="57">
        <v>7600.9</v>
      </c>
      <c r="BL52" s="37"/>
      <c r="BM52" s="37"/>
      <c r="BN52" s="37"/>
      <c r="BO52" s="37"/>
      <c r="BP52" s="37"/>
      <c r="BQ52" s="37"/>
      <c r="BR52" s="37"/>
      <c r="BS52" s="37"/>
      <c r="BT52" s="37"/>
      <c r="BU52" s="37"/>
      <c r="BV52" s="37"/>
      <c r="BW52" s="37"/>
      <c r="BX52" s="37"/>
      <c r="BY52" s="37"/>
      <c r="BZ52" s="37"/>
      <c r="CN52"/>
      <c r="CO52"/>
      <c r="CP52"/>
      <c r="CQ52"/>
      <c r="CR52"/>
      <c r="CS52"/>
      <c r="CT52"/>
      <c r="CU52"/>
      <c r="CV52"/>
      <c r="CW52"/>
      <c r="CX52"/>
      <c r="CY52"/>
      <c r="CZ52"/>
      <c r="DA52"/>
      <c r="DB52"/>
      <c r="DC52"/>
      <c r="DD52"/>
    </row>
    <row r="53" spans="1:108" s="41" customFormat="1">
      <c r="A53"/>
      <c r="B53"/>
      <c r="C53"/>
      <c r="D53"/>
      <c r="E53"/>
      <c r="F53"/>
      <c r="G53"/>
      <c r="H53"/>
      <c r="I53"/>
      <c r="J53"/>
      <c r="K53"/>
      <c r="L53"/>
      <c r="M53"/>
      <c r="N53"/>
      <c r="O53"/>
      <c r="P53"/>
      <c r="Q53"/>
      <c r="R53"/>
      <c r="S53"/>
      <c r="T53"/>
      <c r="U53"/>
      <c r="V53"/>
      <c r="W53"/>
      <c r="X53"/>
      <c r="Y53"/>
      <c r="Z53"/>
      <c r="AA53"/>
      <c r="AB53"/>
      <c r="AC53"/>
      <c r="AD53"/>
      <c r="AE53"/>
      <c r="AF53"/>
      <c r="AG53"/>
      <c r="AH53" s="37"/>
      <c r="AI53" s="56"/>
      <c r="AJ53" s="37"/>
      <c r="AK53" s="37"/>
      <c r="AL53" s="37"/>
      <c r="AM53" s="37"/>
      <c r="AN53" s="37"/>
      <c r="AO53" s="37"/>
      <c r="AP53" s="37"/>
      <c r="AQ53" s="37"/>
      <c r="AR53" s="37"/>
      <c r="AS53" s="56"/>
      <c r="AT53" s="37"/>
      <c r="AU53" s="37"/>
      <c r="AV53" s="37"/>
      <c r="AW53" s="37"/>
      <c r="AX53" s="37"/>
      <c r="AY53" s="37"/>
      <c r="AZ53" s="37"/>
      <c r="BA53" s="37"/>
      <c r="BB53" s="37"/>
      <c r="BC53" s="37"/>
      <c r="BD53" s="56"/>
      <c r="BE53" s="37"/>
      <c r="BF53" s="37"/>
      <c r="BG53" s="37"/>
      <c r="BH53" s="37"/>
      <c r="BI53" s="37"/>
      <c r="BJ53" s="37"/>
      <c r="BK53" s="37"/>
      <c r="BL53" s="37"/>
      <c r="BM53" s="37"/>
      <c r="BN53" s="37"/>
      <c r="BO53" s="37"/>
      <c r="BP53" s="37"/>
      <c r="BQ53" s="37"/>
      <c r="BR53" s="37"/>
      <c r="BS53" s="37"/>
      <c r="BT53" s="37"/>
      <c r="BU53" s="37"/>
      <c r="BV53" s="37"/>
      <c r="BW53" s="37"/>
      <c r="BX53" s="37"/>
      <c r="BY53" s="37"/>
      <c r="BZ53" s="37"/>
      <c r="CN53"/>
      <c r="CO53"/>
      <c r="CP53"/>
      <c r="CQ53"/>
      <c r="CR53"/>
      <c r="CS53"/>
      <c r="CT53"/>
      <c r="CU53"/>
      <c r="CV53"/>
      <c r="CW53"/>
      <c r="CX53"/>
      <c r="CY53"/>
      <c r="CZ53"/>
      <c r="DA53"/>
      <c r="DB53"/>
      <c r="DC53"/>
      <c r="DD53"/>
    </row>
    <row r="54" spans="1:108" s="41" customFormat="1">
      <c r="A54"/>
      <c r="B54"/>
      <c r="C54"/>
      <c r="D54"/>
      <c r="E54"/>
      <c r="F54"/>
      <c r="G54"/>
      <c r="H54"/>
      <c r="I54"/>
      <c r="J54"/>
      <c r="K54"/>
      <c r="L54"/>
      <c r="M54"/>
      <c r="N54"/>
      <c r="O54"/>
      <c r="P54"/>
      <c r="Q54"/>
      <c r="R54"/>
      <c r="S54"/>
      <c r="T54"/>
      <c r="U54"/>
      <c r="V54"/>
      <c r="W54"/>
      <c r="X54"/>
      <c r="Y54"/>
      <c r="Z54"/>
      <c r="AA54"/>
      <c r="AB54"/>
      <c r="AC54"/>
      <c r="AD54"/>
      <c r="AE54"/>
      <c r="AF54"/>
      <c r="AG54"/>
      <c r="AH54" s="37"/>
      <c r="AI54" s="56">
        <v>1.6</v>
      </c>
      <c r="AJ54" s="37" t="s">
        <v>0</v>
      </c>
      <c r="AK54" s="57">
        <v>1241800</v>
      </c>
      <c r="AL54" s="57">
        <v>7752.9</v>
      </c>
      <c r="AM54" s="57">
        <v>7752.9</v>
      </c>
      <c r="AN54" s="57">
        <v>7752.9</v>
      </c>
      <c r="AO54" s="57">
        <v>7752.9</v>
      </c>
      <c r="AP54" s="57">
        <v>7752.9</v>
      </c>
      <c r="AQ54" s="37"/>
      <c r="AR54" s="37"/>
      <c r="AS54" s="56">
        <v>1.6</v>
      </c>
      <c r="AT54" s="37" t="s">
        <v>0</v>
      </c>
      <c r="AU54" s="57">
        <v>1241800</v>
      </c>
      <c r="AV54" s="57">
        <v>7752.9</v>
      </c>
      <c r="AW54" s="57">
        <v>7752.9</v>
      </c>
      <c r="AX54" s="57">
        <v>7752.9</v>
      </c>
      <c r="AY54" s="57">
        <v>7752.9</v>
      </c>
      <c r="AZ54" s="57">
        <v>7752.9</v>
      </c>
      <c r="BA54" s="37"/>
      <c r="BB54" s="37"/>
      <c r="BC54" s="37"/>
      <c r="BD54" s="56">
        <v>1.6</v>
      </c>
      <c r="BE54" s="37" t="s">
        <v>0</v>
      </c>
      <c r="BF54" s="57">
        <v>1241800</v>
      </c>
      <c r="BG54" s="57">
        <v>7752.9</v>
      </c>
      <c r="BH54" s="57">
        <v>7752.9</v>
      </c>
      <c r="BI54" s="57">
        <v>7752.9</v>
      </c>
      <c r="BJ54" s="57">
        <v>7752.9</v>
      </c>
      <c r="BK54" s="57">
        <v>7752.9</v>
      </c>
      <c r="BL54" s="37"/>
      <c r="BM54" s="37"/>
      <c r="BN54" s="37"/>
      <c r="BO54" s="37"/>
      <c r="BP54" s="37"/>
      <c r="BQ54" s="37"/>
      <c r="BR54" s="37"/>
      <c r="BS54" s="37"/>
      <c r="BT54" s="37"/>
      <c r="BU54" s="37"/>
      <c r="BV54" s="37"/>
      <c r="BW54" s="37"/>
      <c r="BX54" s="37"/>
      <c r="BY54" s="37"/>
      <c r="BZ54" s="37"/>
      <c r="CN54"/>
      <c r="CO54"/>
      <c r="CP54"/>
      <c r="CQ54"/>
      <c r="CR54"/>
      <c r="CS54"/>
      <c r="CT54"/>
      <c r="CU54"/>
      <c r="CV54"/>
      <c r="CW54"/>
      <c r="CX54"/>
      <c r="CY54"/>
      <c r="CZ54"/>
      <c r="DA54"/>
      <c r="DB54"/>
      <c r="DC54"/>
      <c r="DD54"/>
    </row>
    <row r="55" spans="1:108" s="41" customFormat="1">
      <c r="A55"/>
      <c r="B55"/>
      <c r="C55"/>
      <c r="D55"/>
      <c r="E55"/>
      <c r="F55"/>
      <c r="G55"/>
      <c r="H55"/>
      <c r="I55"/>
      <c r="J55"/>
      <c r="K55"/>
      <c r="L55"/>
      <c r="M55"/>
      <c r="N55"/>
      <c r="O55"/>
      <c r="P55"/>
      <c r="Q55"/>
      <c r="R55"/>
      <c r="S55"/>
      <c r="T55"/>
      <c r="U55"/>
      <c r="V55"/>
      <c r="W55"/>
      <c r="X55"/>
      <c r="Y55"/>
      <c r="Z55"/>
      <c r="AA55"/>
      <c r="AB55"/>
      <c r="AC55"/>
      <c r="AD55"/>
      <c r="AE55"/>
      <c r="AF55"/>
      <c r="AG55"/>
      <c r="AH55" s="37"/>
      <c r="AI55" s="56"/>
      <c r="AJ55" s="37" t="s">
        <v>1</v>
      </c>
      <c r="AK55" s="57">
        <v>1241800</v>
      </c>
      <c r="AL55" s="57">
        <v>7752.9</v>
      </c>
      <c r="AM55" s="57">
        <v>7752.9</v>
      </c>
      <c r="AN55" s="57">
        <v>7752.9</v>
      </c>
      <c r="AO55" s="57">
        <v>7752.9</v>
      </c>
      <c r="AP55" s="57">
        <v>7752.9</v>
      </c>
      <c r="AQ55" s="37"/>
      <c r="AR55" s="37"/>
      <c r="AS55" s="56"/>
      <c r="AT55" s="37" t="s">
        <v>1</v>
      </c>
      <c r="AU55" s="57">
        <v>1241800</v>
      </c>
      <c r="AV55" s="57">
        <v>7752.9</v>
      </c>
      <c r="AW55" s="57">
        <v>7752.9</v>
      </c>
      <c r="AX55" s="57">
        <v>7752.9</v>
      </c>
      <c r="AY55" s="57">
        <v>7752.9</v>
      </c>
      <c r="AZ55" s="57">
        <v>7752.9</v>
      </c>
      <c r="BA55" s="37"/>
      <c r="BB55" s="37"/>
      <c r="BC55" s="37"/>
      <c r="BD55" s="56"/>
      <c r="BE55" s="37" t="s">
        <v>1</v>
      </c>
      <c r="BF55" s="57">
        <v>1238400</v>
      </c>
      <c r="BG55" s="57">
        <v>7732.1</v>
      </c>
      <c r="BH55" s="57">
        <v>7732.1</v>
      </c>
      <c r="BI55" s="57">
        <v>7732.1</v>
      </c>
      <c r="BJ55" s="57">
        <v>7732.1</v>
      </c>
      <c r="BK55" s="57">
        <v>7732.1</v>
      </c>
      <c r="BL55" s="37"/>
      <c r="BM55" s="37"/>
      <c r="BN55" s="37"/>
      <c r="BO55" s="37"/>
      <c r="BP55" s="37"/>
      <c r="BQ55" s="37"/>
      <c r="BR55" s="37"/>
      <c r="BS55" s="37"/>
      <c r="BT55" s="37"/>
      <c r="BU55" s="37"/>
      <c r="BV55" s="37"/>
      <c r="BW55" s="37"/>
      <c r="BX55" s="37"/>
      <c r="BY55" s="37"/>
      <c r="BZ55" s="37"/>
      <c r="CN55"/>
      <c r="CO55"/>
      <c r="CP55"/>
      <c r="CQ55"/>
      <c r="CR55"/>
      <c r="CS55"/>
      <c r="CT55"/>
      <c r="CU55"/>
      <c r="CV55"/>
      <c r="CW55"/>
      <c r="CX55"/>
      <c r="CY55"/>
      <c r="CZ55"/>
      <c r="DA55"/>
      <c r="DB55"/>
      <c r="DC55"/>
      <c r="DD55"/>
    </row>
    <row r="56" spans="1:108" s="41" customFormat="1">
      <c r="A56"/>
      <c r="B56"/>
      <c r="C56"/>
      <c r="D56"/>
      <c r="E56"/>
      <c r="F56"/>
      <c r="G56"/>
      <c r="H56"/>
      <c r="I56"/>
      <c r="J56"/>
      <c r="K56"/>
      <c r="L56"/>
      <c r="M56"/>
      <c r="N56"/>
      <c r="O56"/>
      <c r="P56"/>
      <c r="Q56"/>
      <c r="R56"/>
      <c r="S56"/>
      <c r="T56"/>
      <c r="U56"/>
      <c r="V56"/>
      <c r="W56"/>
      <c r="X56"/>
      <c r="Y56"/>
      <c r="Z56"/>
      <c r="AA56"/>
      <c r="AB56"/>
      <c r="AC56"/>
      <c r="AD56"/>
      <c r="AE56"/>
      <c r="AF56"/>
      <c r="AG56"/>
      <c r="AH56" s="37"/>
      <c r="AI56" s="56"/>
      <c r="AJ56" s="37" t="s">
        <v>2</v>
      </c>
      <c r="AK56" s="57">
        <v>0</v>
      </c>
      <c r="AL56" s="57">
        <v>0</v>
      </c>
      <c r="AM56" s="57">
        <v>0</v>
      </c>
      <c r="AN56" s="57">
        <v>0</v>
      </c>
      <c r="AO56" s="57">
        <v>0</v>
      </c>
      <c r="AP56" s="57">
        <v>0</v>
      </c>
      <c r="AQ56" s="37"/>
      <c r="AR56" s="37"/>
      <c r="AS56" s="56"/>
      <c r="AT56" s="37" t="s">
        <v>2</v>
      </c>
      <c r="AU56" s="57">
        <v>0</v>
      </c>
      <c r="AV56" s="57">
        <v>0</v>
      </c>
      <c r="AW56" s="57">
        <v>0</v>
      </c>
      <c r="AX56" s="57">
        <v>0</v>
      </c>
      <c r="AY56" s="57">
        <v>0</v>
      </c>
      <c r="AZ56" s="57">
        <v>0</v>
      </c>
      <c r="BA56" s="37"/>
      <c r="BB56" s="37"/>
      <c r="BC56" s="37"/>
      <c r="BD56" s="56"/>
      <c r="BE56" s="37" t="s">
        <v>2</v>
      </c>
      <c r="BF56" s="57">
        <v>3339.2</v>
      </c>
      <c r="BG56" s="57">
        <v>20.847999999999999</v>
      </c>
      <c r="BH56" s="57">
        <v>20.847999999999999</v>
      </c>
      <c r="BI56" s="57">
        <v>20.847999999999999</v>
      </c>
      <c r="BJ56" s="57">
        <v>20.847999999999999</v>
      </c>
      <c r="BK56" s="57">
        <v>20.847999999999999</v>
      </c>
      <c r="BL56" s="37"/>
      <c r="BM56" s="37"/>
      <c r="BN56" s="37"/>
      <c r="BO56" s="37"/>
      <c r="BP56" s="37"/>
      <c r="BQ56" s="37"/>
      <c r="BR56" s="37"/>
      <c r="BS56" s="37"/>
      <c r="BT56" s="37"/>
      <c r="BU56" s="37"/>
      <c r="BV56" s="37"/>
      <c r="BW56" s="37"/>
      <c r="BX56" s="37"/>
      <c r="BY56" s="37"/>
      <c r="BZ56" s="37"/>
      <c r="CN56"/>
      <c r="CO56"/>
      <c r="CP56"/>
      <c r="CQ56"/>
      <c r="CR56"/>
      <c r="CS56"/>
      <c r="CT56"/>
      <c r="CU56"/>
      <c r="CV56"/>
      <c r="CW56"/>
      <c r="CX56"/>
      <c r="CY56"/>
      <c r="CZ56"/>
      <c r="DA56"/>
      <c r="DB56"/>
      <c r="DC56"/>
      <c r="DD56"/>
    </row>
    <row r="57" spans="1:108" s="41" customFormat="1">
      <c r="A57"/>
      <c r="B57"/>
      <c r="C57"/>
      <c r="D57"/>
      <c r="E57"/>
      <c r="F57"/>
      <c r="G57"/>
      <c r="H57"/>
      <c r="I57"/>
      <c r="J57"/>
      <c r="K57"/>
      <c r="L57"/>
      <c r="M57"/>
      <c r="N57"/>
      <c r="O57"/>
      <c r="P57"/>
      <c r="Q57"/>
      <c r="R57"/>
      <c r="S57"/>
      <c r="T57"/>
      <c r="U57"/>
      <c r="V57"/>
      <c r="W57"/>
      <c r="X57"/>
      <c r="Y57"/>
      <c r="Z57"/>
      <c r="AA57"/>
      <c r="AB57"/>
      <c r="AC57"/>
      <c r="AD57"/>
      <c r="AE57"/>
      <c r="AF57"/>
      <c r="AG57"/>
      <c r="AH57" s="37"/>
      <c r="AI57" s="56"/>
      <c r="AJ57" s="37" t="s">
        <v>3</v>
      </c>
      <c r="AK57" s="57">
        <v>1241600</v>
      </c>
      <c r="AL57" s="57">
        <v>7632.9</v>
      </c>
      <c r="AM57" s="57">
        <v>6476.8</v>
      </c>
      <c r="AN57" s="57">
        <v>1630.7</v>
      </c>
      <c r="AO57" s="57">
        <v>28.32</v>
      </c>
      <c r="AP57" s="57">
        <v>18.7</v>
      </c>
      <c r="AQ57" s="37"/>
      <c r="AR57" s="37"/>
      <c r="AS57" s="56"/>
      <c r="AT57" s="37" t="s">
        <v>3</v>
      </c>
      <c r="AU57" s="57">
        <v>1241500</v>
      </c>
      <c r="AV57" s="57">
        <v>7611.2</v>
      </c>
      <c r="AW57" s="57">
        <v>6294.5</v>
      </c>
      <c r="AX57" s="57">
        <v>980.07</v>
      </c>
      <c r="AY57" s="57">
        <v>9.5829000000000004</v>
      </c>
      <c r="AZ57" s="57">
        <v>6.8635000000000002</v>
      </c>
      <c r="BA57" s="37"/>
      <c r="BB57" s="37"/>
      <c r="BC57" s="37"/>
      <c r="BD57" s="56"/>
      <c r="BE57" s="37" t="s">
        <v>3</v>
      </c>
      <c r="BF57" s="57">
        <v>1237900</v>
      </c>
      <c r="BG57" s="57">
        <v>7547.5</v>
      </c>
      <c r="BH57" s="57">
        <v>5896.8</v>
      </c>
      <c r="BI57" s="57">
        <v>448.84</v>
      </c>
      <c r="BJ57" s="57">
        <v>3.0680999999999998</v>
      </c>
      <c r="BK57" s="57">
        <v>2.1709999999999998</v>
      </c>
      <c r="BL57" s="37"/>
      <c r="BM57" s="37"/>
      <c r="BN57" s="37"/>
      <c r="BO57" s="37"/>
      <c r="BP57" s="37"/>
      <c r="BQ57" s="37"/>
      <c r="BR57" s="37"/>
      <c r="BS57" s="37"/>
      <c r="BT57" s="37"/>
      <c r="BU57" s="37"/>
      <c r="BV57" s="37"/>
      <c r="BW57" s="37"/>
      <c r="BX57" s="37"/>
      <c r="BY57" s="37"/>
      <c r="BZ57" s="37"/>
      <c r="CN57"/>
      <c r="CO57"/>
      <c r="CP57"/>
      <c r="CQ57"/>
      <c r="CR57"/>
      <c r="CS57"/>
      <c r="CT57"/>
      <c r="CU57"/>
      <c r="CV57"/>
      <c r="CW57"/>
      <c r="CX57"/>
      <c r="CY57"/>
      <c r="CZ57"/>
      <c r="DA57"/>
      <c r="DB57"/>
      <c r="DC57"/>
      <c r="DD57"/>
    </row>
    <row r="58" spans="1:108" s="41" customFormat="1">
      <c r="A58"/>
      <c r="B58"/>
      <c r="C58"/>
      <c r="D58"/>
      <c r="E58"/>
      <c r="F58"/>
      <c r="G58"/>
      <c r="H58"/>
      <c r="I58"/>
      <c r="J58"/>
      <c r="K58"/>
      <c r="L58"/>
      <c r="M58"/>
      <c r="N58"/>
      <c r="O58"/>
      <c r="P58"/>
      <c r="Q58"/>
      <c r="R58"/>
      <c r="S58"/>
      <c r="T58"/>
      <c r="U58"/>
      <c r="V58"/>
      <c r="W58"/>
      <c r="X58"/>
      <c r="Y58"/>
      <c r="Z58"/>
      <c r="AA58"/>
      <c r="AB58"/>
      <c r="AC58"/>
      <c r="AD58"/>
      <c r="AE58"/>
      <c r="AF58"/>
      <c r="AG58"/>
      <c r="AH58" s="37"/>
      <c r="AI58" s="56"/>
      <c r="AJ58" s="37" t="s">
        <v>4</v>
      </c>
      <c r="AK58" s="57">
        <v>0</v>
      </c>
      <c r="AL58" s="57">
        <v>0</v>
      </c>
      <c r="AM58" s="57">
        <v>0</v>
      </c>
      <c r="AN58" s="57">
        <v>0</v>
      </c>
      <c r="AO58" s="57">
        <v>0</v>
      </c>
      <c r="AP58" s="57">
        <v>0</v>
      </c>
      <c r="AQ58" s="37"/>
      <c r="AR58" s="37"/>
      <c r="AS58" s="56"/>
      <c r="AT58" s="37" t="s">
        <v>4</v>
      </c>
      <c r="AU58" s="57">
        <v>0</v>
      </c>
      <c r="AV58" s="57">
        <v>0</v>
      </c>
      <c r="AW58" s="57">
        <v>0</v>
      </c>
      <c r="AX58" s="57">
        <v>0</v>
      </c>
      <c r="AY58" s="57">
        <v>0</v>
      </c>
      <c r="AZ58" s="57">
        <v>0</v>
      </c>
      <c r="BA58" s="37"/>
      <c r="BB58" s="37"/>
      <c r="BC58" s="37"/>
      <c r="BD58" s="56"/>
      <c r="BE58" s="37" t="s">
        <v>4</v>
      </c>
      <c r="BF58" s="57">
        <v>0</v>
      </c>
      <c r="BG58" s="57">
        <v>0</v>
      </c>
      <c r="BH58" s="57">
        <v>0</v>
      </c>
      <c r="BI58" s="57">
        <v>0</v>
      </c>
      <c r="BJ58" s="57">
        <v>0</v>
      </c>
      <c r="BK58" s="57">
        <v>0</v>
      </c>
      <c r="BL58" s="37"/>
      <c r="BM58" s="37"/>
      <c r="BN58" s="37"/>
      <c r="BO58" s="37"/>
      <c r="BP58" s="37"/>
      <c r="BQ58" s="37"/>
      <c r="BR58" s="37"/>
      <c r="BS58" s="37"/>
      <c r="BT58" s="37"/>
      <c r="BU58" s="37"/>
      <c r="BV58" s="37"/>
      <c r="BW58" s="37"/>
      <c r="BX58" s="37"/>
      <c r="BY58" s="37"/>
      <c r="BZ58" s="37"/>
      <c r="CN58"/>
      <c r="CO58"/>
      <c r="CP58"/>
      <c r="CQ58"/>
      <c r="CR58"/>
      <c r="CS58"/>
      <c r="CT58"/>
      <c r="CU58"/>
      <c r="CV58"/>
      <c r="CW58"/>
      <c r="CX58"/>
      <c r="CY58"/>
      <c r="CZ58"/>
      <c r="DA58"/>
      <c r="DB58"/>
      <c r="DC58"/>
      <c r="DD58"/>
    </row>
    <row r="59" spans="1:108" s="41" customFormat="1">
      <c r="A59"/>
      <c r="B59"/>
      <c r="C59"/>
      <c r="D59"/>
      <c r="E59"/>
      <c r="F59"/>
      <c r="G59"/>
      <c r="H59"/>
      <c r="I59"/>
      <c r="J59"/>
      <c r="K59"/>
      <c r="L59"/>
      <c r="M59"/>
      <c r="N59"/>
      <c r="O59"/>
      <c r="P59"/>
      <c r="Q59"/>
      <c r="R59"/>
      <c r="S59"/>
      <c r="T59"/>
      <c r="U59"/>
      <c r="V59"/>
      <c r="W59"/>
      <c r="X59"/>
      <c r="Y59"/>
      <c r="Z59"/>
      <c r="AA59"/>
      <c r="AB59"/>
      <c r="AC59"/>
      <c r="AD59"/>
      <c r="AE59"/>
      <c r="AF59"/>
      <c r="AG59"/>
      <c r="AH59" s="37"/>
      <c r="AI59" s="56"/>
      <c r="AJ59" s="37" t="s">
        <v>5</v>
      </c>
      <c r="AK59" s="57">
        <v>0</v>
      </c>
      <c r="AL59" s="57">
        <v>118.69</v>
      </c>
      <c r="AM59" s="57">
        <v>1274.8</v>
      </c>
      <c r="AN59" s="57">
        <v>6121.1</v>
      </c>
      <c r="AO59" s="57">
        <v>7723.5</v>
      </c>
      <c r="AP59" s="57">
        <v>7733.1</v>
      </c>
      <c r="AQ59" s="37"/>
      <c r="AR59" s="37"/>
      <c r="AS59" s="56"/>
      <c r="AT59" s="37" t="s">
        <v>5</v>
      </c>
      <c r="AU59" s="57">
        <v>0</v>
      </c>
      <c r="AV59" s="57">
        <v>139.44999999999999</v>
      </c>
      <c r="AW59" s="57">
        <v>1456.2</v>
      </c>
      <c r="AX59" s="57">
        <v>6770.9</v>
      </c>
      <c r="AY59" s="57">
        <v>7741.3</v>
      </c>
      <c r="AZ59" s="57">
        <v>7744.1</v>
      </c>
      <c r="BA59" s="37"/>
      <c r="BB59" s="37"/>
      <c r="BC59" s="37"/>
      <c r="BD59" s="56"/>
      <c r="BE59" s="37" t="s">
        <v>5</v>
      </c>
      <c r="BF59" s="57">
        <v>0</v>
      </c>
      <c r="BG59" s="57">
        <v>180.39</v>
      </c>
      <c r="BH59" s="57">
        <v>1831.3</v>
      </c>
      <c r="BI59" s="57">
        <v>7279.5</v>
      </c>
      <c r="BJ59" s="57">
        <v>7725.3</v>
      </c>
      <c r="BK59" s="57">
        <v>7726.2</v>
      </c>
      <c r="BL59" s="37"/>
      <c r="BM59" s="37"/>
      <c r="BN59" s="37"/>
      <c r="BO59" s="37"/>
      <c r="BP59" s="37"/>
      <c r="BQ59" s="37"/>
      <c r="BR59" s="37"/>
      <c r="BS59" s="37"/>
      <c r="BT59" s="37"/>
      <c r="BU59" s="37"/>
      <c r="BV59" s="37"/>
      <c r="BW59" s="37"/>
      <c r="BX59" s="37"/>
      <c r="BY59" s="37"/>
      <c r="BZ59" s="37"/>
      <c r="CN59"/>
      <c r="CO59"/>
      <c r="CP59"/>
      <c r="CQ59"/>
      <c r="CR59"/>
      <c r="CS59"/>
      <c r="CT59"/>
      <c r="CU59"/>
      <c r="CV59"/>
      <c r="CW59"/>
      <c r="CX59"/>
      <c r="CY59"/>
      <c r="CZ59"/>
      <c r="DA59"/>
      <c r="DB59"/>
      <c r="DC59"/>
      <c r="DD59"/>
    </row>
    <row r="60" spans="1:108" s="41" customFormat="1">
      <c r="A60"/>
      <c r="B60"/>
      <c r="C60"/>
      <c r="D60"/>
      <c r="E60"/>
      <c r="F60"/>
      <c r="G60"/>
      <c r="H60"/>
      <c r="I60"/>
      <c r="J60"/>
      <c r="K60"/>
      <c r="L60"/>
      <c r="M60"/>
      <c r="N60"/>
      <c r="O60"/>
      <c r="P60"/>
      <c r="Q60"/>
      <c r="R60"/>
      <c r="S60"/>
      <c r="T60"/>
      <c r="U60"/>
      <c r="V60"/>
      <c r="W60"/>
      <c r="X60"/>
      <c r="Y60"/>
      <c r="Z60"/>
      <c r="AA60"/>
      <c r="AB60"/>
      <c r="AC60"/>
      <c r="AD60"/>
      <c r="AE60"/>
      <c r="AF60"/>
      <c r="AG60"/>
      <c r="AH60" s="37"/>
      <c r="AI60" s="56"/>
      <c r="AJ60" s="37"/>
      <c r="AK60" s="37"/>
      <c r="AL60" s="37"/>
      <c r="AM60" s="37"/>
      <c r="AN60" s="37"/>
      <c r="AO60" s="37"/>
      <c r="AP60" s="37"/>
      <c r="AQ60" s="37"/>
      <c r="AR60" s="37"/>
      <c r="AS60" s="56"/>
      <c r="AT60" s="37"/>
      <c r="AU60" s="37"/>
      <c r="AV60" s="37"/>
      <c r="AW60" s="37"/>
      <c r="AX60" s="37"/>
      <c r="AY60" s="37"/>
      <c r="AZ60" s="37"/>
      <c r="BA60" s="37"/>
      <c r="BB60" s="37"/>
      <c r="BC60" s="37"/>
      <c r="BD60" s="56"/>
      <c r="BE60" s="37"/>
      <c r="BF60" s="37"/>
      <c r="BG60" s="37"/>
      <c r="BH60" s="37"/>
      <c r="BI60" s="37"/>
      <c r="BJ60" s="37"/>
      <c r="BK60" s="37"/>
      <c r="BL60" s="37"/>
      <c r="BM60" s="37"/>
      <c r="BN60" s="37"/>
      <c r="BO60" s="37"/>
      <c r="BP60" s="37"/>
      <c r="BQ60" s="37"/>
      <c r="BR60" s="37"/>
      <c r="BS60" s="37"/>
      <c r="BT60" s="37"/>
      <c r="BU60" s="37"/>
      <c r="BV60" s="37"/>
      <c r="BW60" s="37"/>
      <c r="BX60" s="37"/>
      <c r="BY60" s="37"/>
      <c r="BZ60" s="37"/>
      <c r="CN60"/>
      <c r="CO60"/>
      <c r="CP60"/>
      <c r="CQ60"/>
      <c r="CR60"/>
      <c r="CS60"/>
      <c r="CT60"/>
      <c r="CU60"/>
      <c r="CV60"/>
      <c r="CW60"/>
      <c r="CX60"/>
      <c r="CY60"/>
      <c r="CZ60"/>
      <c r="DA60"/>
      <c r="DB60"/>
      <c r="DC60"/>
      <c r="DD60"/>
    </row>
    <row r="61" spans="1:108" s="41" customFormat="1">
      <c r="A61"/>
      <c r="B61"/>
      <c r="C61"/>
      <c r="D61"/>
      <c r="E61"/>
      <c r="F61"/>
      <c r="G61"/>
      <c r="H61"/>
      <c r="I61"/>
      <c r="J61"/>
      <c r="K61"/>
      <c r="L61"/>
      <c r="M61"/>
      <c r="N61"/>
      <c r="O61"/>
      <c r="P61"/>
      <c r="Q61"/>
      <c r="R61"/>
      <c r="S61"/>
      <c r="T61"/>
      <c r="U61"/>
      <c r="V61"/>
      <c r="W61"/>
      <c r="X61"/>
      <c r="Y61"/>
      <c r="Z61"/>
      <c r="AA61"/>
      <c r="AB61"/>
      <c r="AC61"/>
      <c r="AD61"/>
      <c r="AE61"/>
      <c r="AF61"/>
      <c r="AG61"/>
      <c r="AH61" s="37"/>
      <c r="AI61" s="56">
        <v>2</v>
      </c>
      <c r="AJ61" s="37" t="s">
        <v>0</v>
      </c>
      <c r="AK61" s="57">
        <v>1241800</v>
      </c>
      <c r="AL61" s="57">
        <v>7752.9</v>
      </c>
      <c r="AM61" s="57">
        <v>7752.9</v>
      </c>
      <c r="AN61" s="57">
        <v>7752.9</v>
      </c>
      <c r="AO61" s="57">
        <v>7752.9</v>
      </c>
      <c r="AP61" s="57">
        <v>7752.9</v>
      </c>
      <c r="AQ61" s="37"/>
      <c r="AR61" s="37"/>
      <c r="AS61" s="56">
        <v>2</v>
      </c>
      <c r="AT61" s="37" t="s">
        <v>0</v>
      </c>
      <c r="AU61" s="57">
        <v>1241800</v>
      </c>
      <c r="AV61" s="57">
        <v>7752.9</v>
      </c>
      <c r="AW61" s="57">
        <v>7752.9</v>
      </c>
      <c r="AX61" s="57">
        <v>7752.9</v>
      </c>
      <c r="AY61" s="57">
        <v>7752.9</v>
      </c>
      <c r="AZ61" s="57">
        <v>7752.9</v>
      </c>
      <c r="BA61" s="37"/>
      <c r="BB61" s="37"/>
      <c r="BC61" s="37"/>
      <c r="BD61" s="56">
        <v>2</v>
      </c>
      <c r="BE61" s="37" t="s">
        <v>0</v>
      </c>
      <c r="BF61" s="57">
        <v>1241800</v>
      </c>
      <c r="BG61" s="57">
        <v>7752.9</v>
      </c>
      <c r="BH61" s="57">
        <v>7752.9</v>
      </c>
      <c r="BI61" s="57">
        <v>7752.9</v>
      </c>
      <c r="BJ61" s="57">
        <v>7752.9</v>
      </c>
      <c r="BK61" s="57">
        <v>7752.9</v>
      </c>
      <c r="BL61" s="37"/>
      <c r="BM61" s="37"/>
      <c r="BN61" s="37"/>
      <c r="BO61" s="37"/>
      <c r="BP61" s="37"/>
      <c r="BQ61" s="37"/>
      <c r="BR61" s="37"/>
      <c r="BS61" s="37"/>
      <c r="BT61" s="37"/>
      <c r="BU61" s="37"/>
      <c r="BV61" s="37"/>
      <c r="BW61" s="37"/>
      <c r="BX61" s="37"/>
      <c r="BY61" s="37"/>
      <c r="BZ61" s="37"/>
      <c r="CN61"/>
      <c r="CO61"/>
      <c r="CP61"/>
      <c r="CQ61"/>
      <c r="CR61"/>
      <c r="CS61"/>
      <c r="CT61"/>
      <c r="CU61"/>
      <c r="CV61"/>
      <c r="CW61"/>
      <c r="CX61"/>
      <c r="CY61"/>
      <c r="CZ61"/>
      <c r="DA61"/>
      <c r="DB61"/>
      <c r="DC61"/>
      <c r="DD61"/>
    </row>
    <row r="62" spans="1:108" s="41" customFormat="1">
      <c r="A62"/>
      <c r="B62"/>
      <c r="C62"/>
      <c r="D62"/>
      <c r="E62"/>
      <c r="F62"/>
      <c r="G62"/>
      <c r="H62"/>
      <c r="I62"/>
      <c r="J62"/>
      <c r="K62"/>
      <c r="L62"/>
      <c r="M62"/>
      <c r="N62"/>
      <c r="O62"/>
      <c r="P62"/>
      <c r="Q62"/>
      <c r="R62"/>
      <c r="S62"/>
      <c r="T62"/>
      <c r="U62"/>
      <c r="V62"/>
      <c r="W62"/>
      <c r="X62"/>
      <c r="Y62"/>
      <c r="Z62"/>
      <c r="AA62"/>
      <c r="AB62"/>
      <c r="AC62"/>
      <c r="AD62"/>
      <c r="AE62"/>
      <c r="AF62"/>
      <c r="AG62"/>
      <c r="AH62" s="37"/>
      <c r="AI62" s="37"/>
      <c r="AJ62" s="37" t="s">
        <v>1</v>
      </c>
      <c r="AK62" s="57">
        <v>1241800</v>
      </c>
      <c r="AL62" s="57">
        <v>7752.9</v>
      </c>
      <c r="AM62" s="57">
        <v>7752.9</v>
      </c>
      <c r="AN62" s="57">
        <v>7752.9</v>
      </c>
      <c r="AO62" s="57">
        <v>7752.9</v>
      </c>
      <c r="AP62" s="57">
        <v>7752.9</v>
      </c>
      <c r="AQ62" s="37"/>
      <c r="AR62" s="37"/>
      <c r="AS62" s="37"/>
      <c r="AT62" s="37" t="s">
        <v>1</v>
      </c>
      <c r="AU62" s="57">
        <v>1241800</v>
      </c>
      <c r="AV62" s="57">
        <v>7752.9</v>
      </c>
      <c r="AW62" s="57">
        <v>7752.9</v>
      </c>
      <c r="AX62" s="57">
        <v>7752.9</v>
      </c>
      <c r="AY62" s="57">
        <v>7752.9</v>
      </c>
      <c r="AZ62" s="57">
        <v>7752.9</v>
      </c>
      <c r="BA62" s="37"/>
      <c r="BB62" s="37"/>
      <c r="BC62" s="37"/>
      <c r="BD62" s="37"/>
      <c r="BE62" s="37" t="s">
        <v>1</v>
      </c>
      <c r="BF62" s="57">
        <v>1241800</v>
      </c>
      <c r="BG62" s="57">
        <v>7752.9</v>
      </c>
      <c r="BH62" s="57">
        <v>7752.9</v>
      </c>
      <c r="BI62" s="57">
        <v>7752.9</v>
      </c>
      <c r="BJ62" s="57">
        <v>7752.9</v>
      </c>
      <c r="BK62" s="57">
        <v>7752.9</v>
      </c>
      <c r="BL62" s="37"/>
      <c r="BM62" s="37"/>
      <c r="BN62" s="37"/>
      <c r="BO62" s="37"/>
      <c r="BP62" s="37"/>
      <c r="BQ62" s="37"/>
      <c r="BR62" s="37"/>
      <c r="BS62" s="37"/>
      <c r="BT62" s="37"/>
      <c r="BU62" s="37"/>
      <c r="BV62" s="37"/>
      <c r="BW62" s="37"/>
      <c r="BX62" s="37"/>
      <c r="BY62" s="37"/>
      <c r="BZ62" s="37"/>
      <c r="CN62"/>
      <c r="CO62"/>
      <c r="CP62"/>
      <c r="CQ62"/>
      <c r="CR62"/>
      <c r="CS62"/>
      <c r="CT62"/>
      <c r="CU62"/>
      <c r="CV62"/>
      <c r="CW62"/>
      <c r="CX62"/>
      <c r="CY62"/>
      <c r="CZ62"/>
      <c r="DA62"/>
      <c r="DB62"/>
      <c r="DC62"/>
      <c r="DD62"/>
    </row>
    <row r="63" spans="1:108" s="41" customFormat="1">
      <c r="A63"/>
      <c r="B63"/>
      <c r="C63"/>
      <c r="D63"/>
      <c r="E63"/>
      <c r="F63"/>
      <c r="G63"/>
      <c r="H63"/>
      <c r="I63"/>
      <c r="J63"/>
      <c r="K63"/>
      <c r="L63"/>
      <c r="M63"/>
      <c r="N63"/>
      <c r="O63"/>
      <c r="P63"/>
      <c r="Q63"/>
      <c r="R63"/>
      <c r="S63"/>
      <c r="T63"/>
      <c r="U63"/>
      <c r="V63"/>
      <c r="W63"/>
      <c r="X63"/>
      <c r="Y63"/>
      <c r="Z63"/>
      <c r="AA63"/>
      <c r="AB63"/>
      <c r="AC63"/>
      <c r="AD63"/>
      <c r="AE63"/>
      <c r="AF63"/>
      <c r="AG63"/>
      <c r="AH63" s="37"/>
      <c r="AI63" s="37"/>
      <c r="AJ63" s="37" t="s">
        <v>2</v>
      </c>
      <c r="AK63" s="57">
        <v>0</v>
      </c>
      <c r="AL63" s="57">
        <v>0</v>
      </c>
      <c r="AM63" s="57">
        <v>0</v>
      </c>
      <c r="AN63" s="57">
        <v>0</v>
      </c>
      <c r="AO63" s="57">
        <v>0</v>
      </c>
      <c r="AP63" s="57">
        <v>0</v>
      </c>
      <c r="AQ63" s="37"/>
      <c r="AR63" s="37"/>
      <c r="AS63" s="37"/>
      <c r="AT63" s="37" t="s">
        <v>2</v>
      </c>
      <c r="AU63" s="57">
        <v>0</v>
      </c>
      <c r="AV63" s="57">
        <v>0</v>
      </c>
      <c r="AW63" s="57">
        <v>0</v>
      </c>
      <c r="AX63" s="57">
        <v>0</v>
      </c>
      <c r="AY63" s="57">
        <v>0</v>
      </c>
      <c r="AZ63" s="57">
        <v>0</v>
      </c>
      <c r="BA63" s="37"/>
      <c r="BB63" s="37"/>
      <c r="BC63" s="37"/>
      <c r="BD63" s="37"/>
      <c r="BE63" s="37" t="s">
        <v>2</v>
      </c>
      <c r="BF63" s="57">
        <v>0</v>
      </c>
      <c r="BG63" s="57">
        <v>0</v>
      </c>
      <c r="BH63" s="57">
        <v>0</v>
      </c>
      <c r="BI63" s="57">
        <v>0</v>
      </c>
      <c r="BJ63" s="57">
        <v>0</v>
      </c>
      <c r="BK63" s="57">
        <v>0</v>
      </c>
      <c r="BL63" s="37"/>
      <c r="BM63" s="37"/>
      <c r="BN63" s="37"/>
      <c r="BO63" s="37"/>
      <c r="BP63" s="37"/>
      <c r="BQ63" s="37"/>
      <c r="BR63" s="37"/>
      <c r="BS63" s="37"/>
      <c r="BT63" s="37"/>
      <c r="BU63" s="37"/>
      <c r="BV63" s="37"/>
      <c r="BW63" s="37"/>
      <c r="BX63" s="37"/>
      <c r="BY63" s="37"/>
      <c r="BZ63" s="37"/>
      <c r="CN63"/>
      <c r="CO63"/>
      <c r="CP63"/>
      <c r="CQ63"/>
      <c r="CR63"/>
      <c r="CS63"/>
      <c r="CT63"/>
      <c r="CU63"/>
      <c r="CV63"/>
      <c r="CW63"/>
      <c r="CX63"/>
      <c r="CY63"/>
      <c r="CZ63"/>
      <c r="DA63"/>
      <c r="DB63"/>
      <c r="DC63"/>
      <c r="DD63"/>
    </row>
    <row r="64" spans="1:108" s="41" customFormat="1">
      <c r="A64"/>
      <c r="B64"/>
      <c r="C64"/>
      <c r="D64"/>
      <c r="E64"/>
      <c r="F64"/>
      <c r="G64"/>
      <c r="H64"/>
      <c r="I64"/>
      <c r="J64"/>
      <c r="K64"/>
      <c r="L64"/>
      <c r="M64"/>
      <c r="N64"/>
      <c r="O64"/>
      <c r="P64"/>
      <c r="Q64"/>
      <c r="R64"/>
      <c r="S64"/>
      <c r="T64"/>
      <c r="U64"/>
      <c r="V64"/>
      <c r="W64"/>
      <c r="X64"/>
      <c r="Y64"/>
      <c r="Z64"/>
      <c r="AA64"/>
      <c r="AB64"/>
      <c r="AC64"/>
      <c r="AD64"/>
      <c r="AE64"/>
      <c r="AF64"/>
      <c r="AG64"/>
      <c r="AH64" s="37"/>
      <c r="AI64" s="37"/>
      <c r="AJ64" s="37" t="s">
        <v>3</v>
      </c>
      <c r="AK64" s="57">
        <v>1241600</v>
      </c>
      <c r="AL64" s="57">
        <v>7605.4</v>
      </c>
      <c r="AM64" s="57">
        <v>6254.4</v>
      </c>
      <c r="AN64" s="57">
        <v>1370.3</v>
      </c>
      <c r="AO64" s="57">
        <v>25.934000000000001</v>
      </c>
      <c r="AP64" s="57">
        <v>18.872</v>
      </c>
      <c r="AQ64" s="37"/>
      <c r="AR64" s="37"/>
      <c r="AS64" s="37"/>
      <c r="AT64" s="37" t="s">
        <v>3</v>
      </c>
      <c r="AU64" s="57">
        <v>1241500</v>
      </c>
      <c r="AV64" s="57">
        <v>7578.2</v>
      </c>
      <c r="AW64" s="57">
        <v>6043.7</v>
      </c>
      <c r="AX64" s="57">
        <v>800.36</v>
      </c>
      <c r="AY64" s="57">
        <v>8.6323000000000008</v>
      </c>
      <c r="AZ64" s="57">
        <v>6.6710000000000003</v>
      </c>
      <c r="BA64" s="37"/>
      <c r="BB64" s="37"/>
      <c r="BC64" s="37"/>
      <c r="BD64" s="37"/>
      <c r="BE64" s="37" t="s">
        <v>3</v>
      </c>
      <c r="BF64" s="57">
        <v>1241300</v>
      </c>
      <c r="BG64" s="57">
        <v>7538.7</v>
      </c>
      <c r="BH64" s="57">
        <v>5706.6</v>
      </c>
      <c r="BI64" s="57">
        <v>380.97</v>
      </c>
      <c r="BJ64" s="57">
        <v>3.3071000000000002</v>
      </c>
      <c r="BK64" s="57">
        <v>2.6459000000000001</v>
      </c>
      <c r="BL64" s="37"/>
      <c r="BM64" s="37"/>
      <c r="BN64" s="37"/>
      <c r="BO64" s="37"/>
      <c r="BP64" s="37"/>
      <c r="BQ64" s="37"/>
      <c r="BR64" s="37"/>
      <c r="BS64" s="37"/>
      <c r="BT64" s="37"/>
      <c r="BU64" s="37"/>
      <c r="BV64" s="37"/>
      <c r="BW64" s="37"/>
      <c r="BX64" s="37"/>
      <c r="BY64" s="37"/>
      <c r="BZ64" s="37"/>
      <c r="CN64"/>
      <c r="CO64"/>
      <c r="CP64"/>
      <c r="CQ64"/>
      <c r="CR64"/>
      <c r="CS64"/>
      <c r="CT64"/>
      <c r="CU64"/>
      <c r="CV64"/>
      <c r="CW64"/>
      <c r="CX64"/>
      <c r="CY64"/>
      <c r="CZ64"/>
      <c r="DA64"/>
      <c r="DB64"/>
      <c r="DC64"/>
      <c r="DD64"/>
    </row>
    <row r="65" spans="1:108" s="41" customFormat="1">
      <c r="A65"/>
      <c r="B65"/>
      <c r="C65"/>
      <c r="D65"/>
      <c r="E65"/>
      <c r="F65"/>
      <c r="G65"/>
      <c r="H65"/>
      <c r="I65"/>
      <c r="J65"/>
      <c r="K65"/>
      <c r="L65"/>
      <c r="M65"/>
      <c r="N65"/>
      <c r="O65"/>
      <c r="P65"/>
      <c r="Q65"/>
      <c r="R65"/>
      <c r="S65"/>
      <c r="T65"/>
      <c r="U65"/>
      <c r="V65"/>
      <c r="W65"/>
      <c r="X65"/>
      <c r="Y65"/>
      <c r="Z65"/>
      <c r="AA65"/>
      <c r="AB65"/>
      <c r="AC65"/>
      <c r="AD65"/>
      <c r="AE65"/>
      <c r="AF65"/>
      <c r="AG65"/>
      <c r="AH65" s="37"/>
      <c r="AI65" s="37"/>
      <c r="AJ65" s="37" t="s">
        <v>4</v>
      </c>
      <c r="AK65" s="57">
        <v>0</v>
      </c>
      <c r="AL65" s="57">
        <v>0</v>
      </c>
      <c r="AM65" s="57">
        <v>0</v>
      </c>
      <c r="AN65" s="57">
        <v>0</v>
      </c>
      <c r="AO65" s="57">
        <v>0</v>
      </c>
      <c r="AP65" s="57">
        <v>0</v>
      </c>
      <c r="AQ65" s="37"/>
      <c r="AR65" s="37"/>
      <c r="AS65" s="37"/>
      <c r="AT65" s="37" t="s">
        <v>4</v>
      </c>
      <c r="AU65" s="57">
        <v>0</v>
      </c>
      <c r="AV65" s="57">
        <v>0</v>
      </c>
      <c r="AW65" s="57">
        <v>0</v>
      </c>
      <c r="AX65" s="57">
        <v>0</v>
      </c>
      <c r="AY65" s="57">
        <v>0</v>
      </c>
      <c r="AZ65" s="57">
        <v>0</v>
      </c>
      <c r="BA65" s="37"/>
      <c r="BB65" s="37"/>
      <c r="BC65" s="37"/>
      <c r="BD65" s="37"/>
      <c r="BE65" s="37" t="s">
        <v>4</v>
      </c>
      <c r="BF65" s="57">
        <v>0</v>
      </c>
      <c r="BG65" s="57">
        <v>0</v>
      </c>
      <c r="BH65" s="57">
        <v>0</v>
      </c>
      <c r="BI65" s="57">
        <v>0</v>
      </c>
      <c r="BJ65" s="57">
        <v>0</v>
      </c>
      <c r="BK65" s="57">
        <v>0</v>
      </c>
      <c r="BL65" s="37"/>
      <c r="BM65" s="37"/>
      <c r="BN65" s="37"/>
      <c r="BO65" s="37"/>
      <c r="BP65" s="37"/>
      <c r="BQ65" s="37"/>
      <c r="BR65" s="37"/>
      <c r="BS65" s="37"/>
      <c r="BT65" s="37"/>
      <c r="BU65" s="37"/>
      <c r="BV65" s="37"/>
      <c r="BW65" s="37"/>
      <c r="BX65" s="37"/>
      <c r="BY65" s="37"/>
      <c r="BZ65" s="37"/>
      <c r="CN65"/>
      <c r="CO65"/>
      <c r="CP65"/>
      <c r="CQ65"/>
      <c r="CR65"/>
      <c r="CS65"/>
      <c r="CT65"/>
      <c r="CU65"/>
      <c r="CV65"/>
      <c r="CW65"/>
      <c r="CX65"/>
      <c r="CY65"/>
      <c r="CZ65"/>
      <c r="DA65"/>
      <c r="DB65"/>
      <c r="DC65"/>
      <c r="DD65"/>
    </row>
    <row r="66" spans="1:108" s="41" customFormat="1">
      <c r="A66"/>
      <c r="B66"/>
      <c r="C66"/>
      <c r="D66"/>
      <c r="E66"/>
      <c r="F66"/>
      <c r="G66"/>
      <c r="H66"/>
      <c r="I66"/>
      <c r="J66"/>
      <c r="K66"/>
      <c r="L66"/>
      <c r="M66"/>
      <c r="N66"/>
      <c r="O66"/>
      <c r="P66"/>
      <c r="Q66"/>
      <c r="R66"/>
      <c r="S66"/>
      <c r="T66"/>
      <c r="U66"/>
      <c r="V66"/>
      <c r="W66"/>
      <c r="X66"/>
      <c r="Y66"/>
      <c r="Z66"/>
      <c r="AA66"/>
      <c r="AB66"/>
      <c r="AC66"/>
      <c r="AD66"/>
      <c r="AE66"/>
      <c r="AF66"/>
      <c r="AG66"/>
      <c r="AH66" s="37"/>
      <c r="AI66" s="37"/>
      <c r="AJ66" s="37" t="s">
        <v>5</v>
      </c>
      <c r="AK66" s="57">
        <v>0</v>
      </c>
      <c r="AL66" s="57">
        <v>146.09</v>
      </c>
      <c r="AM66" s="57">
        <v>1497.2</v>
      </c>
      <c r="AN66" s="57">
        <v>6381.5</v>
      </c>
      <c r="AO66" s="57">
        <v>7725.8</v>
      </c>
      <c r="AP66" s="57">
        <v>7732.9</v>
      </c>
      <c r="AQ66" s="37"/>
      <c r="AR66" s="37"/>
      <c r="AS66" s="37"/>
      <c r="AT66" s="37" t="s">
        <v>5</v>
      </c>
      <c r="AU66" s="57">
        <v>0</v>
      </c>
      <c r="AV66" s="57">
        <v>172.34</v>
      </c>
      <c r="AW66" s="57">
        <v>1707</v>
      </c>
      <c r="AX66" s="57">
        <v>6950.4</v>
      </c>
      <c r="AY66" s="57">
        <v>7742.2</v>
      </c>
      <c r="AZ66" s="57">
        <v>7744.1</v>
      </c>
      <c r="BA66" s="37"/>
      <c r="BB66" s="37"/>
      <c r="BC66" s="37"/>
      <c r="BD66" s="37"/>
      <c r="BE66" s="37" t="s">
        <v>5</v>
      </c>
      <c r="BF66" s="57">
        <v>0</v>
      </c>
      <c r="BG66" s="57">
        <v>210.38</v>
      </c>
      <c r="BH66" s="57">
        <v>2042.8</v>
      </c>
      <c r="BI66" s="57">
        <v>7368.6</v>
      </c>
      <c r="BJ66" s="57">
        <v>7746.4</v>
      </c>
      <c r="BK66" s="57">
        <v>7747</v>
      </c>
      <c r="BL66" s="37"/>
      <c r="BM66" s="37"/>
      <c r="BN66" s="37"/>
      <c r="BO66" s="37"/>
      <c r="BP66" s="37"/>
      <c r="BQ66" s="37"/>
      <c r="BR66" s="37"/>
      <c r="BS66" s="37"/>
      <c r="BT66" s="37"/>
      <c r="BU66" s="37"/>
      <c r="BV66" s="37"/>
      <c r="BW66" s="37"/>
      <c r="BX66" s="37"/>
      <c r="BY66" s="37"/>
      <c r="BZ66" s="37"/>
      <c r="CN66"/>
      <c r="CO66"/>
      <c r="CP66"/>
      <c r="CQ66"/>
      <c r="CR66"/>
      <c r="CS66"/>
      <c r="CT66"/>
      <c r="CU66"/>
      <c r="CV66"/>
      <c r="CW66"/>
      <c r="CX66"/>
      <c r="CY66"/>
      <c r="CZ66"/>
      <c r="DA66"/>
      <c r="DB66"/>
      <c r="DC66"/>
      <c r="DD66"/>
    </row>
    <row r="67" spans="1:108" s="41" customFormat="1">
      <c r="A67"/>
      <c r="B67"/>
      <c r="C67"/>
      <c r="D67"/>
      <c r="E67"/>
      <c r="F67"/>
      <c r="G67"/>
      <c r="H67"/>
      <c r="I67"/>
      <c r="J67"/>
      <c r="K67"/>
      <c r="L67"/>
      <c r="M67"/>
      <c r="N67"/>
      <c r="O67"/>
      <c r="P67"/>
      <c r="Q67"/>
      <c r="R67"/>
      <c r="S67"/>
      <c r="T67"/>
      <c r="U67"/>
      <c r="V67"/>
      <c r="W67"/>
      <c r="X67"/>
      <c r="Y67"/>
      <c r="Z67"/>
      <c r="AA67"/>
      <c r="AB67"/>
      <c r="AC67"/>
      <c r="AD67"/>
      <c r="AE67"/>
      <c r="AF67"/>
      <c r="AG67"/>
      <c r="AH67" s="37"/>
      <c r="AQ67" s="37"/>
      <c r="AR67" s="37"/>
      <c r="BA67" s="37"/>
      <c r="BB67" s="37"/>
      <c r="BC67" s="37"/>
      <c r="BL67" s="37"/>
      <c r="BM67" s="37"/>
      <c r="BN67" s="37"/>
      <c r="BO67" s="37"/>
      <c r="BP67" s="37"/>
      <c r="BQ67" s="37"/>
      <c r="BR67" s="37"/>
      <c r="BS67" s="37"/>
      <c r="BT67" s="37"/>
      <c r="BU67" s="37"/>
      <c r="BV67" s="37"/>
      <c r="BW67" s="37"/>
      <c r="BX67" s="37"/>
      <c r="BY67" s="37"/>
      <c r="BZ67" s="37"/>
      <c r="CN67"/>
      <c r="CO67"/>
      <c r="CP67"/>
      <c r="CQ67"/>
      <c r="CR67"/>
      <c r="CS67"/>
      <c r="CT67"/>
      <c r="CU67"/>
      <c r="CV67"/>
      <c r="CW67"/>
      <c r="CX67"/>
      <c r="CY67"/>
      <c r="CZ67"/>
      <c r="DA67"/>
      <c r="DB67"/>
      <c r="DC67"/>
      <c r="DD67"/>
    </row>
    <row r="68" spans="1:108" s="41" customFormat="1">
      <c r="A68"/>
      <c r="B68"/>
      <c r="C68"/>
      <c r="D68"/>
      <c r="E68"/>
      <c r="F68"/>
      <c r="G68"/>
      <c r="H68"/>
      <c r="I68"/>
      <c r="J68"/>
      <c r="K68"/>
      <c r="L68"/>
      <c r="M68"/>
      <c r="N68"/>
      <c r="O68"/>
      <c r="P68"/>
      <c r="Q68"/>
      <c r="R68"/>
      <c r="S68"/>
      <c r="T68"/>
      <c r="U68"/>
      <c r="V68"/>
      <c r="W68"/>
      <c r="X68"/>
      <c r="Y68"/>
      <c r="Z68"/>
      <c r="AA68"/>
      <c r="AB68"/>
      <c r="AC68"/>
      <c r="AD68"/>
      <c r="AE68"/>
      <c r="AF68"/>
      <c r="AG68"/>
      <c r="AH68" s="37"/>
      <c r="AQ68" s="37"/>
      <c r="AR68" s="37"/>
      <c r="BA68" s="37"/>
      <c r="BB68" s="37"/>
      <c r="BC68" s="37"/>
      <c r="BL68" s="37"/>
      <c r="BM68" s="37"/>
      <c r="BN68" s="37"/>
      <c r="BO68" s="37"/>
      <c r="BP68" s="37"/>
      <c r="BQ68" s="37"/>
      <c r="BR68" s="37"/>
      <c r="BS68" s="37"/>
      <c r="BT68" s="37"/>
      <c r="BU68" s="37"/>
      <c r="BV68" s="37"/>
      <c r="BW68" s="37"/>
      <c r="BX68" s="37"/>
      <c r="BY68" s="37"/>
      <c r="BZ68" s="37"/>
      <c r="CN68"/>
      <c r="CO68"/>
      <c r="CP68"/>
      <c r="CQ68"/>
      <c r="CR68"/>
      <c r="CS68"/>
      <c r="CT68"/>
      <c r="CU68"/>
      <c r="CV68"/>
      <c r="CW68"/>
      <c r="CX68"/>
      <c r="CY68"/>
      <c r="CZ68"/>
      <c r="DA68"/>
      <c r="DB68"/>
      <c r="DC68"/>
      <c r="DD68"/>
    </row>
    <row r="69" spans="1:108" s="41" customFormat="1">
      <c r="A69"/>
      <c r="B69"/>
      <c r="C69"/>
      <c r="D69"/>
      <c r="E69"/>
      <c r="F69"/>
      <c r="G69"/>
      <c r="H69"/>
      <c r="I69"/>
      <c r="J69"/>
      <c r="K69"/>
      <c r="L69"/>
      <c r="M69"/>
      <c r="N69"/>
      <c r="O69"/>
      <c r="P69"/>
      <c r="Q69"/>
      <c r="R69"/>
      <c r="S69"/>
      <c r="T69"/>
      <c r="U69"/>
      <c r="V69"/>
      <c r="W69"/>
      <c r="X69"/>
      <c r="Y69"/>
      <c r="Z69"/>
      <c r="AA69"/>
      <c r="AB69"/>
      <c r="AC69"/>
      <c r="AD69"/>
      <c r="AE69"/>
      <c r="AF69"/>
      <c r="AG69"/>
      <c r="AH69" s="37"/>
      <c r="AQ69" s="37"/>
      <c r="AR69" s="37"/>
      <c r="BA69" s="37"/>
      <c r="BB69" s="37"/>
      <c r="BC69" s="37"/>
      <c r="BL69" s="37"/>
      <c r="BM69" s="37"/>
      <c r="BN69" s="37"/>
      <c r="BO69" s="37"/>
      <c r="BP69" s="37"/>
      <c r="BQ69" s="37"/>
      <c r="BR69" s="37"/>
      <c r="BS69" s="37"/>
      <c r="BT69" s="37"/>
      <c r="BU69" s="37"/>
      <c r="BV69" s="37"/>
      <c r="BW69" s="37"/>
      <c r="BX69" s="37"/>
      <c r="BY69" s="37"/>
      <c r="BZ69" s="37"/>
      <c r="CN69"/>
      <c r="CO69"/>
      <c r="CP69"/>
      <c r="CQ69"/>
      <c r="CR69"/>
      <c r="CS69"/>
      <c r="CT69"/>
      <c r="CU69"/>
      <c r="CV69"/>
      <c r="CW69"/>
      <c r="CX69"/>
      <c r="CY69"/>
      <c r="CZ69"/>
      <c r="DA69"/>
      <c r="DB69"/>
      <c r="DC69"/>
      <c r="DD69"/>
    </row>
    <row r="70" spans="1:108" s="41" customFormat="1">
      <c r="A70"/>
      <c r="B70"/>
      <c r="C70"/>
      <c r="D70"/>
      <c r="E70"/>
      <c r="F70"/>
      <c r="G70"/>
      <c r="H70"/>
      <c r="I70"/>
      <c r="J70"/>
      <c r="K70"/>
      <c r="L70"/>
      <c r="M70"/>
      <c r="N70"/>
      <c r="O70"/>
      <c r="P70"/>
      <c r="Q70"/>
      <c r="R70"/>
      <c r="S70"/>
      <c r="T70"/>
      <c r="U70"/>
      <c r="V70"/>
      <c r="W70"/>
      <c r="X70"/>
      <c r="Y70"/>
      <c r="Z70"/>
      <c r="AA70"/>
      <c r="AB70"/>
      <c r="AC70"/>
      <c r="AD70"/>
      <c r="AE70"/>
      <c r="AF70"/>
      <c r="AG70"/>
      <c r="AH70" s="37"/>
      <c r="AQ70" s="37"/>
      <c r="AR70" s="37"/>
      <c r="BA70" s="37"/>
      <c r="BB70" s="37"/>
      <c r="BC70" s="37"/>
      <c r="BL70" s="37"/>
      <c r="BM70" s="37"/>
      <c r="BN70" s="37"/>
      <c r="BO70" s="37"/>
      <c r="BP70" s="37"/>
      <c r="BQ70" s="37"/>
      <c r="BR70" s="37"/>
      <c r="BS70" s="37"/>
      <c r="BT70" s="37"/>
      <c r="BU70" s="37"/>
      <c r="BV70" s="37"/>
      <c r="BW70" s="37"/>
      <c r="BX70" s="37"/>
      <c r="BY70" s="37"/>
      <c r="BZ70" s="37"/>
      <c r="CN70"/>
      <c r="CO70"/>
      <c r="CP70"/>
      <c r="CQ70"/>
      <c r="CR70"/>
      <c r="CS70"/>
      <c r="CT70"/>
      <c r="CU70"/>
      <c r="CV70"/>
      <c r="CW70"/>
      <c r="CX70"/>
      <c r="CY70"/>
      <c r="CZ70"/>
      <c r="DA70"/>
      <c r="DB70"/>
      <c r="DC70"/>
      <c r="DD70"/>
    </row>
    <row r="71" spans="1:108" s="41" customFormat="1">
      <c r="A71"/>
      <c r="B71"/>
      <c r="C71"/>
      <c r="D71"/>
      <c r="E71"/>
      <c r="F71"/>
      <c r="G71"/>
      <c r="H71"/>
      <c r="I71"/>
      <c r="J71"/>
      <c r="K71"/>
      <c r="L71"/>
      <c r="M71"/>
      <c r="N71"/>
      <c r="O71"/>
      <c r="P71"/>
      <c r="Q71"/>
      <c r="R71"/>
      <c r="S71"/>
      <c r="T71"/>
      <c r="U71"/>
      <c r="V71"/>
      <c r="W71"/>
      <c r="X71"/>
      <c r="Y71"/>
      <c r="Z71"/>
      <c r="AA71"/>
      <c r="AB71"/>
      <c r="AC71"/>
      <c r="AD71"/>
      <c r="AE71"/>
      <c r="AF71"/>
      <c r="AG71"/>
      <c r="AH71" s="37"/>
      <c r="AQ71" s="37"/>
      <c r="AR71" s="37"/>
      <c r="BA71" s="37"/>
      <c r="BB71" s="37"/>
      <c r="BC71" s="37"/>
      <c r="BL71" s="37"/>
      <c r="BM71" s="37"/>
      <c r="BN71" s="37"/>
      <c r="BO71" s="37"/>
      <c r="BP71" s="37"/>
      <c r="BQ71" s="37"/>
      <c r="BR71" s="37"/>
      <c r="BS71" s="37"/>
      <c r="BT71" s="37"/>
      <c r="BU71" s="37"/>
      <c r="BV71" s="37"/>
      <c r="BW71" s="37"/>
      <c r="BX71" s="37"/>
      <c r="BY71" s="37"/>
      <c r="BZ71" s="37"/>
      <c r="CN71"/>
      <c r="CO71"/>
      <c r="CP71"/>
      <c r="CQ71"/>
      <c r="CR71"/>
      <c r="CS71"/>
      <c r="CT71"/>
      <c r="CU71"/>
      <c r="CV71"/>
      <c r="CW71"/>
      <c r="CX71"/>
      <c r="CY71"/>
      <c r="CZ71"/>
      <c r="DA71"/>
      <c r="DB71"/>
      <c r="DC71"/>
      <c r="DD71"/>
    </row>
    <row r="72" spans="1:108" s="41" customFormat="1">
      <c r="A72"/>
      <c r="B72"/>
      <c r="C72"/>
      <c r="D72"/>
      <c r="E72"/>
      <c r="F72"/>
      <c r="G72"/>
      <c r="H72"/>
      <c r="I72"/>
      <c r="J72"/>
      <c r="K72"/>
      <c r="L72"/>
      <c r="M72"/>
      <c r="N72"/>
      <c r="O72"/>
      <c r="P72"/>
      <c r="Q72"/>
      <c r="R72"/>
      <c r="S72"/>
      <c r="T72"/>
      <c r="U72"/>
      <c r="V72"/>
      <c r="W72"/>
      <c r="X72"/>
      <c r="Y72"/>
      <c r="Z72"/>
      <c r="AA72"/>
      <c r="AB72"/>
      <c r="AC72"/>
      <c r="AD72"/>
      <c r="AE72"/>
      <c r="AF72"/>
      <c r="AG72"/>
      <c r="AH72" s="37"/>
      <c r="AQ72" s="37"/>
      <c r="AR72" s="37"/>
      <c r="BA72" s="37"/>
      <c r="BB72" s="37"/>
      <c r="BC72" s="37"/>
      <c r="BL72" s="37"/>
      <c r="BM72" s="37"/>
      <c r="BN72" s="37"/>
      <c r="BO72" s="37"/>
      <c r="BP72" s="37"/>
      <c r="BQ72" s="37"/>
      <c r="BR72" s="37"/>
      <c r="BS72" s="37"/>
      <c r="BT72" s="37"/>
      <c r="BU72" s="37"/>
      <c r="BV72" s="37"/>
      <c r="BW72" s="37"/>
      <c r="BX72" s="37"/>
      <c r="BY72" s="37"/>
      <c r="BZ72" s="37"/>
      <c r="CN72"/>
      <c r="CO72"/>
      <c r="CP72"/>
      <c r="CQ72"/>
      <c r="CR72"/>
      <c r="CS72"/>
      <c r="CT72"/>
      <c r="CU72"/>
      <c r="CV72"/>
      <c r="CW72"/>
      <c r="CX72"/>
      <c r="CY72"/>
      <c r="CZ72"/>
      <c r="DA72"/>
      <c r="DB72"/>
      <c r="DC72"/>
      <c r="DD72"/>
    </row>
    <row r="73" spans="1:108" s="41" customFormat="1">
      <c r="A73"/>
      <c r="B73"/>
      <c r="C73"/>
      <c r="D73"/>
      <c r="E73"/>
      <c r="F73"/>
      <c r="G73"/>
      <c r="H73"/>
      <c r="I73"/>
      <c r="J73"/>
      <c r="K73"/>
      <c r="L73"/>
      <c r="M73"/>
      <c r="N73"/>
      <c r="O73"/>
      <c r="P73"/>
      <c r="Q73"/>
      <c r="R73"/>
      <c r="S73"/>
      <c r="T73"/>
      <c r="U73"/>
      <c r="V73"/>
      <c r="W73"/>
      <c r="X73"/>
      <c r="Y73"/>
      <c r="Z73"/>
      <c r="AA73"/>
      <c r="AB73"/>
      <c r="AC73"/>
      <c r="AD73"/>
      <c r="AE73"/>
      <c r="AF73"/>
      <c r="AG73"/>
      <c r="AH73" s="37"/>
      <c r="AQ73" s="37"/>
      <c r="AR73" s="37"/>
      <c r="BA73" s="37"/>
      <c r="BB73" s="37"/>
      <c r="BC73" s="37"/>
      <c r="BL73" s="37"/>
      <c r="BM73" s="37"/>
      <c r="BN73" s="37"/>
      <c r="BO73" s="37"/>
      <c r="BP73" s="37"/>
      <c r="BQ73" s="37"/>
      <c r="BR73" s="37"/>
      <c r="BS73" s="37"/>
      <c r="BT73" s="37"/>
      <c r="BU73" s="37"/>
      <c r="BV73" s="37"/>
      <c r="BW73" s="37"/>
      <c r="BX73" s="37"/>
      <c r="BY73" s="37"/>
      <c r="BZ73" s="37"/>
      <c r="CN73"/>
      <c r="CO73"/>
      <c r="CP73"/>
      <c r="CQ73"/>
      <c r="CR73"/>
      <c r="CS73"/>
      <c r="CT73"/>
      <c r="CU73"/>
      <c r="CV73"/>
      <c r="CW73"/>
      <c r="CX73"/>
      <c r="CY73"/>
      <c r="CZ73"/>
      <c r="DA73"/>
      <c r="DB73"/>
      <c r="DC73"/>
      <c r="DD73"/>
    </row>
    <row r="74" spans="1:108" s="41" customFormat="1">
      <c r="A74"/>
      <c r="B74"/>
      <c r="C74"/>
      <c r="D74"/>
      <c r="E74"/>
      <c r="F74"/>
      <c r="G74"/>
      <c r="H74"/>
      <c r="I74"/>
      <c r="J74"/>
      <c r="K74"/>
      <c r="L74"/>
      <c r="M74"/>
      <c r="N74"/>
      <c r="O74"/>
      <c r="P74"/>
      <c r="Q74"/>
      <c r="R74"/>
      <c r="S74"/>
      <c r="T74"/>
      <c r="U74"/>
      <c r="V74"/>
      <c r="W74"/>
      <c r="X74"/>
      <c r="Y74"/>
      <c r="Z74"/>
      <c r="AA74"/>
      <c r="AB74"/>
      <c r="AC74"/>
      <c r="AD74"/>
      <c r="AE74"/>
      <c r="AF74"/>
      <c r="AG74"/>
      <c r="AH74" s="37"/>
      <c r="AQ74" s="37"/>
      <c r="AR74" s="37"/>
      <c r="BA74" s="37"/>
      <c r="BB74" s="37"/>
      <c r="BC74" s="37"/>
      <c r="BL74" s="37"/>
      <c r="BM74" s="37"/>
      <c r="BN74" s="37"/>
      <c r="BO74" s="37"/>
      <c r="BP74" s="37"/>
      <c r="BQ74" s="37"/>
      <c r="BR74" s="37"/>
      <c r="BS74" s="37"/>
      <c r="BT74" s="37"/>
      <c r="BU74" s="37"/>
      <c r="BV74" s="37"/>
      <c r="BW74" s="37"/>
      <c r="BX74" s="37"/>
      <c r="BY74" s="37"/>
      <c r="BZ74" s="37"/>
      <c r="CN74"/>
      <c r="CO74"/>
      <c r="CP74"/>
      <c r="CQ74"/>
      <c r="CR74"/>
      <c r="CS74"/>
      <c r="CT74"/>
      <c r="CU74"/>
      <c r="CV74"/>
      <c r="CW74"/>
      <c r="CX74"/>
      <c r="CY74"/>
      <c r="CZ74"/>
      <c r="DA74"/>
      <c r="DB74"/>
      <c r="DC74"/>
      <c r="DD74"/>
    </row>
    <row r="75" spans="1:108" s="41" customFormat="1">
      <c r="A75"/>
      <c r="B75"/>
      <c r="C75"/>
      <c r="D75"/>
      <c r="E75"/>
      <c r="F75"/>
      <c r="G75"/>
      <c r="H75"/>
      <c r="I75"/>
      <c r="J75"/>
      <c r="K75"/>
      <c r="L75"/>
      <c r="M75"/>
      <c r="N75"/>
      <c r="O75"/>
      <c r="P75"/>
      <c r="Q75"/>
      <c r="R75"/>
      <c r="S75"/>
      <c r="T75"/>
      <c r="U75"/>
      <c r="V75"/>
      <c r="W75"/>
      <c r="X75"/>
      <c r="Y75"/>
      <c r="Z75"/>
      <c r="AA75"/>
      <c r="AB75"/>
      <c r="AC75"/>
      <c r="AD75"/>
      <c r="AE75"/>
      <c r="AF75"/>
      <c r="AG75"/>
      <c r="AH75" s="37"/>
      <c r="AQ75" s="37"/>
      <c r="AR75" s="37"/>
      <c r="BA75" s="37"/>
      <c r="BB75" s="37"/>
      <c r="BC75" s="37"/>
      <c r="BL75" s="37"/>
      <c r="BM75" s="37"/>
      <c r="BN75" s="37"/>
      <c r="BO75" s="37"/>
      <c r="BP75" s="37"/>
      <c r="BQ75" s="37"/>
      <c r="BR75" s="37"/>
      <c r="BS75" s="37"/>
      <c r="BT75" s="37"/>
      <c r="BU75" s="37"/>
      <c r="BV75" s="37"/>
      <c r="BW75" s="37"/>
      <c r="BX75" s="37"/>
      <c r="BY75" s="37"/>
      <c r="BZ75" s="37"/>
      <c r="CN75"/>
      <c r="CO75"/>
      <c r="CP75"/>
      <c r="CQ75"/>
      <c r="CR75"/>
      <c r="CS75"/>
      <c r="CT75"/>
      <c r="CU75"/>
      <c r="CV75"/>
      <c r="CW75"/>
      <c r="CX75"/>
      <c r="CY75"/>
      <c r="CZ75"/>
      <c r="DA75"/>
      <c r="DB75"/>
      <c r="DC75"/>
      <c r="DD75"/>
    </row>
    <row r="76" spans="1:108" s="41" customFormat="1">
      <c r="A76"/>
      <c r="B76"/>
      <c r="C76"/>
      <c r="D76"/>
      <c r="E76"/>
      <c r="F76"/>
      <c r="G76"/>
      <c r="H76"/>
      <c r="I76"/>
      <c r="J76"/>
      <c r="K76"/>
      <c r="L76"/>
      <c r="M76"/>
      <c r="N76"/>
      <c r="O76"/>
      <c r="P76"/>
      <c r="Q76"/>
      <c r="R76"/>
      <c r="S76"/>
      <c r="T76"/>
      <c r="U76"/>
      <c r="V76"/>
      <c r="W76"/>
      <c r="X76"/>
      <c r="Y76"/>
      <c r="Z76"/>
      <c r="AA76"/>
      <c r="AB76"/>
      <c r="AC76"/>
      <c r="AD76"/>
      <c r="AE76"/>
      <c r="AF76"/>
      <c r="AG76"/>
      <c r="AH76" s="37"/>
      <c r="AQ76" s="37"/>
      <c r="AR76" s="37"/>
      <c r="BA76" s="37"/>
      <c r="BB76" s="37"/>
      <c r="BC76" s="37"/>
      <c r="BL76" s="37"/>
      <c r="BM76" s="37"/>
      <c r="BN76" s="37"/>
      <c r="BO76" s="37"/>
      <c r="BP76" s="37"/>
      <c r="BQ76" s="37"/>
      <c r="BR76" s="37"/>
      <c r="BS76" s="37"/>
      <c r="BT76" s="37"/>
      <c r="BU76" s="37"/>
      <c r="BV76" s="37"/>
      <c r="BW76" s="37"/>
      <c r="BX76" s="37"/>
      <c r="BY76" s="37"/>
      <c r="BZ76" s="37"/>
      <c r="CN76"/>
      <c r="CO76"/>
      <c r="CP76"/>
      <c r="CQ76"/>
      <c r="CR76"/>
      <c r="CS76"/>
      <c r="CT76"/>
      <c r="CU76"/>
      <c r="CV76"/>
      <c r="CW76"/>
      <c r="CX76"/>
      <c r="CY76"/>
      <c r="CZ76"/>
      <c r="DA76"/>
      <c r="DB76"/>
      <c r="DC76"/>
      <c r="DD76"/>
    </row>
    <row r="77" spans="1:108" s="41" customFormat="1">
      <c r="A77"/>
      <c r="B77"/>
      <c r="C77"/>
      <c r="D77"/>
      <c r="E77"/>
      <c r="F77"/>
      <c r="G77"/>
      <c r="H77"/>
      <c r="I77"/>
      <c r="J77"/>
      <c r="K77"/>
      <c r="L77"/>
      <c r="M77"/>
      <c r="N77"/>
      <c r="O77"/>
      <c r="P77"/>
      <c r="Q77"/>
      <c r="R77"/>
      <c r="S77"/>
      <c r="T77"/>
      <c r="U77"/>
      <c r="V77"/>
      <c r="W77"/>
      <c r="X77"/>
      <c r="Y77"/>
      <c r="Z77"/>
      <c r="AA77"/>
      <c r="AB77"/>
      <c r="AC77"/>
      <c r="AD77"/>
      <c r="AE77"/>
      <c r="AF77"/>
      <c r="AG77"/>
      <c r="AH77" s="37"/>
      <c r="AQ77" s="37"/>
      <c r="AR77" s="37"/>
      <c r="BA77" s="37"/>
      <c r="BB77" s="37"/>
      <c r="BC77" s="37"/>
      <c r="BL77" s="37"/>
      <c r="BM77" s="37"/>
      <c r="BN77" s="37"/>
      <c r="BO77" s="37"/>
      <c r="BP77" s="37"/>
      <c r="BQ77" s="37"/>
      <c r="BR77" s="37"/>
      <c r="BS77" s="37"/>
      <c r="BT77" s="37"/>
      <c r="BU77" s="37"/>
      <c r="BV77" s="37"/>
      <c r="BW77" s="37"/>
      <c r="BX77" s="37"/>
      <c r="BY77" s="37"/>
      <c r="BZ77" s="37"/>
      <c r="CN77"/>
      <c r="CO77"/>
      <c r="CP77"/>
      <c r="CQ77"/>
      <c r="CR77"/>
      <c r="CS77"/>
      <c r="CT77"/>
      <c r="CU77"/>
      <c r="CV77"/>
      <c r="CW77"/>
      <c r="CX77"/>
      <c r="CY77"/>
      <c r="CZ77"/>
      <c r="DA77"/>
      <c r="DB77"/>
      <c r="DC77"/>
      <c r="DD77"/>
    </row>
    <row r="80" spans="1:108" s="41" customFormat="1">
      <c r="A80"/>
      <c r="B80"/>
      <c r="C80"/>
      <c r="D80"/>
      <c r="E80"/>
      <c r="F80"/>
      <c r="G80"/>
      <c r="H80"/>
      <c r="I80"/>
      <c r="J80"/>
      <c r="K80"/>
      <c r="L80"/>
      <c r="M80"/>
      <c r="N80"/>
      <c r="O80"/>
      <c r="P80"/>
      <c r="Q80"/>
      <c r="R80"/>
      <c r="S80"/>
      <c r="T80"/>
      <c r="U80"/>
      <c r="V80"/>
      <c r="W80"/>
      <c r="X80"/>
      <c r="Y80"/>
      <c r="Z80"/>
      <c r="AA80"/>
      <c r="AB80"/>
      <c r="AC80"/>
      <c r="AD80"/>
      <c r="AE80"/>
      <c r="AF80"/>
      <c r="AG80"/>
      <c r="AH80" s="37"/>
      <c r="AI80" s="37"/>
      <c r="AJ80" s="37"/>
      <c r="AK80" s="37"/>
      <c r="AL80" s="37"/>
      <c r="AM80" s="37"/>
      <c r="AN80" s="37"/>
      <c r="AO80" s="37"/>
      <c r="AP80" s="37"/>
      <c r="AQ80" s="38"/>
      <c r="AR80" s="37"/>
      <c r="AS80" s="37"/>
      <c r="AT80" s="37"/>
      <c r="AU80" s="37"/>
      <c r="AV80" s="37"/>
      <c r="AW80" s="37"/>
      <c r="AX80" s="37"/>
      <c r="AY80" s="37"/>
      <c r="AZ80" s="37"/>
      <c r="BA80" s="38"/>
      <c r="BB80" s="37"/>
      <c r="BC80" s="37"/>
      <c r="BD80" s="37"/>
      <c r="BE80" s="37"/>
      <c r="BF80" s="37"/>
      <c r="BG80" s="37"/>
      <c r="BH80" s="37"/>
      <c r="BI80" s="37"/>
      <c r="BJ80" s="37"/>
      <c r="BK80" s="37"/>
      <c r="BL80" s="38"/>
      <c r="BM80" s="38"/>
      <c r="BN80" s="38"/>
      <c r="BO80" s="37"/>
      <c r="BP80" s="37"/>
      <c r="BQ80" s="37"/>
      <c r="BR80" s="37"/>
      <c r="BS80" s="37"/>
      <c r="BT80" s="37"/>
      <c r="BU80" s="37"/>
      <c r="BV80" s="37"/>
      <c r="BW80" s="37"/>
      <c r="BX80" s="37"/>
      <c r="BY80" s="37"/>
      <c r="BZ80" s="37"/>
      <c r="CN80"/>
      <c r="CO80"/>
      <c r="CP80"/>
      <c r="CQ80"/>
      <c r="CR80"/>
      <c r="CS80"/>
      <c r="CT80"/>
      <c r="CU80"/>
      <c r="CV80"/>
      <c r="CW80"/>
      <c r="CX80"/>
      <c r="CY80"/>
      <c r="CZ80"/>
      <c r="DA80"/>
      <c r="DB80"/>
      <c r="DC80"/>
      <c r="DD80"/>
    </row>
    <row r="81" spans="1:108" s="41" customFormat="1">
      <c r="A81"/>
      <c r="B81"/>
      <c r="C81"/>
      <c r="D81"/>
      <c r="E81"/>
      <c r="F81"/>
      <c r="G81"/>
      <c r="H81"/>
      <c r="I81"/>
      <c r="J81"/>
      <c r="K81"/>
      <c r="L81"/>
      <c r="M81"/>
      <c r="N81"/>
      <c r="O81"/>
      <c r="P81"/>
      <c r="Q81"/>
      <c r="R81"/>
      <c r="S81"/>
      <c r="T81"/>
      <c r="U81"/>
      <c r="V81"/>
      <c r="W81"/>
      <c r="X81"/>
      <c r="Y81"/>
      <c r="Z81"/>
      <c r="AA81"/>
      <c r="AB81"/>
      <c r="AC81"/>
      <c r="AD81"/>
      <c r="AE81"/>
      <c r="AF81"/>
      <c r="AG81"/>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57"/>
      <c r="BQ81" s="57"/>
      <c r="BR81" s="37"/>
      <c r="BS81" s="37"/>
      <c r="BT81" s="37"/>
      <c r="BU81" s="37"/>
      <c r="BV81" s="37"/>
      <c r="BW81" s="37"/>
      <c r="BX81" s="37"/>
      <c r="BY81" s="37"/>
      <c r="BZ81" s="37"/>
      <c r="CN81"/>
      <c r="CO81"/>
      <c r="CP81"/>
      <c r="CQ81"/>
      <c r="CR81"/>
      <c r="CS81"/>
      <c r="CT81"/>
      <c r="CU81"/>
      <c r="CV81"/>
      <c r="CW81"/>
      <c r="CX81"/>
      <c r="CY81"/>
      <c r="CZ81"/>
      <c r="DA81"/>
      <c r="DB81"/>
      <c r="DC81"/>
      <c r="DD81"/>
    </row>
    <row r="82" spans="1:108" s="41" customFormat="1">
      <c r="A82"/>
      <c r="B82"/>
      <c r="C82"/>
      <c r="D82"/>
      <c r="E82"/>
      <c r="F82"/>
      <c r="G82"/>
      <c r="H82"/>
      <c r="I82"/>
      <c r="J82"/>
      <c r="K82"/>
      <c r="L82"/>
      <c r="M82"/>
      <c r="N82"/>
      <c r="O82"/>
      <c r="P82"/>
      <c r="Q82"/>
      <c r="R82"/>
      <c r="S82"/>
      <c r="T82"/>
      <c r="U82"/>
      <c r="V82"/>
      <c r="W82"/>
      <c r="X82"/>
      <c r="Y82"/>
      <c r="Z82"/>
      <c r="AA82"/>
      <c r="AB82"/>
      <c r="AC82"/>
      <c r="AD82"/>
      <c r="AE82"/>
      <c r="AF82"/>
      <c r="AG82"/>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57"/>
      <c r="BQ82" s="57"/>
      <c r="BR82" s="37"/>
      <c r="BS82" s="37"/>
      <c r="BT82" s="37"/>
      <c r="BU82" s="37"/>
      <c r="BV82" s="37"/>
      <c r="BW82" s="37"/>
      <c r="BX82" s="37"/>
      <c r="BY82" s="37"/>
      <c r="BZ82" s="37"/>
      <c r="CN82"/>
      <c r="CO82"/>
      <c r="CP82"/>
      <c r="CQ82"/>
      <c r="CR82"/>
      <c r="CS82"/>
      <c r="CT82"/>
      <c r="CU82"/>
      <c r="CV82"/>
      <c r="CW82"/>
      <c r="CX82"/>
      <c r="CY82"/>
      <c r="CZ82"/>
      <c r="DA82"/>
      <c r="DB82"/>
      <c r="DC82"/>
      <c r="DD82"/>
    </row>
    <row r="83" spans="1:108" s="41" customFormat="1">
      <c r="A83"/>
      <c r="B83"/>
      <c r="C83"/>
      <c r="D83"/>
      <c r="E83"/>
      <c r="F83"/>
      <c r="G83"/>
      <c r="H83"/>
      <c r="I83"/>
      <c r="J83"/>
      <c r="K83"/>
      <c r="L83"/>
      <c r="M83"/>
      <c r="N83"/>
      <c r="O83"/>
      <c r="P83"/>
      <c r="Q83"/>
      <c r="R83"/>
      <c r="S83"/>
      <c r="T83"/>
      <c r="U83"/>
      <c r="V83"/>
      <c r="W83"/>
      <c r="X83"/>
      <c r="Y83"/>
      <c r="Z83"/>
      <c r="AA83"/>
      <c r="AB83"/>
      <c r="AC83"/>
      <c r="AD83"/>
      <c r="AE83"/>
      <c r="AF83"/>
      <c r="AG83"/>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57"/>
      <c r="BQ83" s="57"/>
      <c r="BR83" s="37"/>
      <c r="BS83" s="37"/>
      <c r="BT83" s="37"/>
      <c r="BU83" s="37"/>
      <c r="BV83" s="37"/>
      <c r="BW83" s="37"/>
      <c r="BX83" s="37"/>
      <c r="BY83" s="37"/>
      <c r="BZ83" s="37"/>
      <c r="CN83"/>
      <c r="CO83"/>
      <c r="CP83"/>
      <c r="CQ83"/>
      <c r="CR83"/>
      <c r="CS83"/>
      <c r="CT83"/>
      <c r="CU83"/>
      <c r="CV83"/>
      <c r="CW83"/>
      <c r="CX83"/>
      <c r="CY83"/>
      <c r="CZ83"/>
      <c r="DA83"/>
      <c r="DB83"/>
      <c r="DC83"/>
      <c r="DD83"/>
    </row>
    <row r="84" spans="1:108" s="41" customFormat="1">
      <c r="A84"/>
      <c r="B84"/>
      <c r="C84"/>
      <c r="D84"/>
      <c r="E84"/>
      <c r="F84"/>
      <c r="G84"/>
      <c r="H84"/>
      <c r="I84"/>
      <c r="J84"/>
      <c r="K84"/>
      <c r="L84"/>
      <c r="M84"/>
      <c r="N84"/>
      <c r="O84"/>
      <c r="P84"/>
      <c r="Q84"/>
      <c r="R84"/>
      <c r="S84"/>
      <c r="T84"/>
      <c r="U84"/>
      <c r="V84"/>
      <c r="W84"/>
      <c r="X84"/>
      <c r="Y84"/>
      <c r="Z84"/>
      <c r="AA84"/>
      <c r="AB84"/>
      <c r="AC84"/>
      <c r="AD84"/>
      <c r="AE84"/>
      <c r="AF84"/>
      <c r="AG84"/>
      <c r="AH84" s="37"/>
      <c r="AI84" s="37"/>
      <c r="AJ84" s="37"/>
      <c r="AK84" s="37"/>
      <c r="AL84" s="37"/>
      <c r="AM84" s="37"/>
      <c r="AN84" s="37"/>
      <c r="AO84" s="37"/>
      <c r="AP84" s="37"/>
      <c r="AQ84" s="37"/>
      <c r="AR84" s="38"/>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57"/>
      <c r="BQ84" s="57"/>
      <c r="BR84" s="37"/>
      <c r="BS84" s="37"/>
      <c r="BT84" s="38"/>
      <c r="BU84" s="38"/>
      <c r="BV84" s="38"/>
      <c r="BW84" s="38"/>
      <c r="BX84" s="38"/>
      <c r="BY84" s="38"/>
      <c r="BZ84" s="37"/>
      <c r="CN84"/>
      <c r="CO84"/>
      <c r="CP84"/>
      <c r="CQ84"/>
      <c r="CR84"/>
      <c r="CS84"/>
      <c r="CT84"/>
      <c r="CU84"/>
      <c r="CV84"/>
      <c r="CW84"/>
      <c r="CX84"/>
      <c r="CY84"/>
      <c r="CZ84"/>
      <c r="DA84"/>
      <c r="DB84"/>
      <c r="DC84"/>
      <c r="DD84"/>
    </row>
    <row r="85" spans="1:108" s="41" customFormat="1">
      <c r="A85"/>
      <c r="B85"/>
      <c r="C85"/>
      <c r="D85"/>
      <c r="E85"/>
      <c r="F85"/>
      <c r="G85"/>
      <c r="H85"/>
      <c r="I85"/>
      <c r="J85"/>
      <c r="K85"/>
      <c r="L85"/>
      <c r="M85"/>
      <c r="N85"/>
      <c r="O85"/>
      <c r="P85"/>
      <c r="Q85"/>
      <c r="R85"/>
      <c r="S85"/>
      <c r="T85"/>
      <c r="U85"/>
      <c r="V85"/>
      <c r="W85"/>
      <c r="X85"/>
      <c r="Y85"/>
      <c r="Z85"/>
      <c r="AA85"/>
      <c r="AB85"/>
      <c r="AC85"/>
      <c r="AD85"/>
      <c r="AE85"/>
      <c r="AF85"/>
      <c r="AG85"/>
      <c r="AH85" s="37"/>
      <c r="AI85" s="37"/>
      <c r="AJ85" s="37"/>
      <c r="AK85" s="37"/>
      <c r="AL85" s="37"/>
      <c r="AM85" s="37"/>
      <c r="AN85" s="37"/>
      <c r="AO85" s="37"/>
      <c r="AP85" s="37"/>
      <c r="AQ85" s="37"/>
      <c r="AR85" s="5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57"/>
      <c r="BQ85" s="57"/>
      <c r="BR85" s="37"/>
      <c r="BS85" s="37"/>
      <c r="BT85" s="37"/>
      <c r="BU85" s="37"/>
      <c r="BV85" s="37"/>
      <c r="BW85" s="57"/>
      <c r="BX85" s="57"/>
      <c r="BY85" s="57"/>
      <c r="BZ85" s="37"/>
      <c r="CN85"/>
      <c r="CO85"/>
      <c r="CP85"/>
      <c r="CQ85"/>
      <c r="CR85"/>
      <c r="CS85"/>
      <c r="CT85"/>
      <c r="CU85"/>
      <c r="CV85"/>
      <c r="CW85"/>
      <c r="CX85"/>
      <c r="CY85"/>
      <c r="CZ85"/>
      <c r="DA85"/>
      <c r="DB85"/>
      <c r="DC85"/>
      <c r="DD85"/>
    </row>
    <row r="86" spans="1:108" s="41" customFormat="1">
      <c r="A86"/>
      <c r="B86"/>
      <c r="C86"/>
      <c r="D86"/>
      <c r="E86"/>
      <c r="F86"/>
      <c r="G86"/>
      <c r="H86"/>
      <c r="I86"/>
      <c r="J86"/>
      <c r="K86"/>
      <c r="L86"/>
      <c r="M86"/>
      <c r="N86"/>
      <c r="O86"/>
      <c r="P86"/>
      <c r="Q86"/>
      <c r="R86"/>
      <c r="S86"/>
      <c r="T86"/>
      <c r="U86"/>
      <c r="V86"/>
      <c r="W86"/>
      <c r="X86"/>
      <c r="Y86"/>
      <c r="Z86"/>
      <c r="AA86"/>
      <c r="AB86"/>
      <c r="AC86"/>
      <c r="AD86"/>
      <c r="AE86"/>
      <c r="AF86"/>
      <c r="AG86"/>
      <c r="AH86" s="37"/>
      <c r="AI86" s="37"/>
      <c r="AJ86" s="37"/>
      <c r="AK86" s="37"/>
      <c r="AL86" s="37"/>
      <c r="AM86" s="37"/>
      <c r="AN86" s="37"/>
      <c r="AO86" s="37"/>
      <c r="AP86" s="37"/>
      <c r="AQ86" s="37"/>
      <c r="AR86" s="5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57"/>
      <c r="BQ86" s="57"/>
      <c r="BR86" s="37"/>
      <c r="BS86" s="37"/>
      <c r="BT86" s="37"/>
      <c r="BU86" s="37"/>
      <c r="BV86" s="37"/>
      <c r="BW86" s="57"/>
      <c r="BX86" s="57"/>
      <c r="BY86" s="57"/>
      <c r="BZ86" s="37"/>
      <c r="CN86"/>
      <c r="CO86"/>
      <c r="CP86"/>
      <c r="CQ86"/>
      <c r="CR86"/>
      <c r="CS86"/>
      <c r="CT86"/>
      <c r="CU86"/>
      <c r="CV86"/>
      <c r="CW86"/>
      <c r="CX86"/>
      <c r="CY86"/>
      <c r="CZ86"/>
      <c r="DA86"/>
      <c r="DB86"/>
      <c r="DC86"/>
      <c r="DD86"/>
    </row>
    <row r="87" spans="1:108" s="41" customFormat="1">
      <c r="A87"/>
      <c r="B87"/>
      <c r="C87"/>
      <c r="D87"/>
      <c r="E87"/>
      <c r="F87"/>
      <c r="G87"/>
      <c r="H87"/>
      <c r="I87"/>
      <c r="J87"/>
      <c r="K87"/>
      <c r="L87"/>
      <c r="M87"/>
      <c r="N87"/>
      <c r="O87"/>
      <c r="P87"/>
      <c r="Q87"/>
      <c r="R87"/>
      <c r="S87"/>
      <c r="T87"/>
      <c r="U87"/>
      <c r="V87"/>
      <c r="W87"/>
      <c r="X87"/>
      <c r="Y87"/>
      <c r="Z87"/>
      <c r="AA87"/>
      <c r="AB87"/>
      <c r="AC87"/>
      <c r="AD87"/>
      <c r="AE87"/>
      <c r="AF87"/>
      <c r="AG87"/>
      <c r="AH87" s="37"/>
      <c r="AI87" s="37"/>
      <c r="AJ87" s="37"/>
      <c r="AK87" s="37"/>
      <c r="AL87" s="37"/>
      <c r="AM87" s="37"/>
      <c r="AN87" s="37"/>
      <c r="AO87" s="37"/>
      <c r="AP87" s="37"/>
      <c r="AQ87" s="37"/>
      <c r="AR87" s="5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63"/>
      <c r="BR87" s="37"/>
      <c r="BS87" s="37"/>
      <c r="BT87" s="37"/>
      <c r="BU87" s="37"/>
      <c r="BV87" s="37"/>
      <c r="BW87" s="57"/>
      <c r="BX87" s="57"/>
      <c r="BY87" s="57"/>
      <c r="BZ87" s="37"/>
      <c r="CN87"/>
      <c r="CO87"/>
      <c r="CP87"/>
      <c r="CQ87"/>
      <c r="CR87"/>
      <c r="CS87"/>
      <c r="CT87"/>
      <c r="CU87"/>
      <c r="CV87"/>
      <c r="CW87"/>
      <c r="CX87"/>
      <c r="CY87"/>
      <c r="CZ87"/>
      <c r="DA87"/>
      <c r="DB87"/>
      <c r="DC87"/>
      <c r="DD87"/>
    </row>
    <row r="88" spans="1:108" s="41" customFormat="1">
      <c r="A88"/>
      <c r="B88"/>
      <c r="C88"/>
      <c r="D88"/>
      <c r="E88"/>
      <c r="F88"/>
      <c r="G88"/>
      <c r="H88"/>
      <c r="I88"/>
      <c r="J88"/>
      <c r="K88"/>
      <c r="L88"/>
      <c r="M88"/>
      <c r="N88"/>
      <c r="O88"/>
      <c r="P88"/>
      <c r="Q88"/>
      <c r="R88"/>
      <c r="S88"/>
      <c r="T88"/>
      <c r="U88"/>
      <c r="V88"/>
      <c r="W88"/>
      <c r="X88"/>
      <c r="Y88"/>
      <c r="Z88"/>
      <c r="AA88"/>
      <c r="AB88"/>
      <c r="AC88"/>
      <c r="AD88"/>
      <c r="AE88"/>
      <c r="AF88"/>
      <c r="AG88"/>
      <c r="AH88" s="37"/>
      <c r="AI88" s="37"/>
      <c r="AJ88" s="37"/>
      <c r="AK88" s="37"/>
      <c r="AL88" s="37"/>
      <c r="AM88" s="37"/>
      <c r="AN88" s="37"/>
      <c r="AO88" s="37"/>
      <c r="AP88" s="37"/>
      <c r="AQ88" s="37"/>
      <c r="AR88" s="5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57"/>
      <c r="BX88" s="57"/>
      <c r="BY88" s="57"/>
      <c r="BZ88" s="37"/>
      <c r="CN88"/>
      <c r="CO88"/>
      <c r="CP88"/>
      <c r="CQ88"/>
      <c r="CR88"/>
      <c r="CS88"/>
      <c r="CT88"/>
      <c r="CU88"/>
      <c r="CV88"/>
      <c r="CW88"/>
      <c r="CX88"/>
      <c r="CY88"/>
      <c r="CZ88"/>
      <c r="DA88"/>
      <c r="DB88"/>
      <c r="DC88"/>
      <c r="DD88"/>
    </row>
    <row r="89" spans="1:108" s="41" customFormat="1">
      <c r="A89"/>
      <c r="B89"/>
      <c r="C89"/>
      <c r="D89"/>
      <c r="E89"/>
      <c r="F89"/>
      <c r="G89"/>
      <c r="H89"/>
      <c r="I89"/>
      <c r="J89"/>
      <c r="K89"/>
      <c r="L89"/>
      <c r="M89"/>
      <c r="N89"/>
      <c r="O89"/>
      <c r="P89"/>
      <c r="Q89"/>
      <c r="R89"/>
      <c r="S89"/>
      <c r="T89"/>
      <c r="U89"/>
      <c r="V89"/>
      <c r="W89"/>
      <c r="X89"/>
      <c r="Y89"/>
      <c r="Z89"/>
      <c r="AA89"/>
      <c r="AB89"/>
      <c r="AC89"/>
      <c r="AD89"/>
      <c r="AE89"/>
      <c r="AF89"/>
      <c r="AG89"/>
      <c r="AH89" s="37"/>
      <c r="AI89" s="37"/>
      <c r="AJ89" s="37"/>
      <c r="AK89" s="37"/>
      <c r="AL89" s="37"/>
      <c r="AM89" s="37"/>
      <c r="AN89" s="37"/>
      <c r="AO89" s="37"/>
      <c r="AP89" s="37"/>
      <c r="AQ89" s="37"/>
      <c r="AR89" s="5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57"/>
      <c r="BX89" s="57"/>
      <c r="BY89" s="57"/>
      <c r="BZ89" s="37"/>
      <c r="CN89"/>
      <c r="CO89"/>
      <c r="CP89"/>
      <c r="CQ89"/>
      <c r="CR89"/>
      <c r="CS89"/>
      <c r="CT89"/>
      <c r="CU89"/>
      <c r="CV89"/>
      <c r="CW89"/>
      <c r="CX89"/>
      <c r="CY89"/>
      <c r="CZ89"/>
      <c r="DA89"/>
      <c r="DB89"/>
      <c r="DC89"/>
      <c r="DD89"/>
    </row>
    <row r="90" spans="1:108" s="41" customFormat="1">
      <c r="A90"/>
      <c r="B90"/>
      <c r="C90"/>
      <c r="D90"/>
      <c r="E90"/>
      <c r="F90"/>
      <c r="G90"/>
      <c r="H90"/>
      <c r="I90"/>
      <c r="J90"/>
      <c r="K90"/>
      <c r="L90"/>
      <c r="M90"/>
      <c r="N90"/>
      <c r="O90"/>
      <c r="P90"/>
      <c r="Q90"/>
      <c r="R90"/>
      <c r="S90"/>
      <c r="T90"/>
      <c r="U90"/>
      <c r="V90"/>
      <c r="W90"/>
      <c r="X90"/>
      <c r="Y90"/>
      <c r="Z90"/>
      <c r="AA90"/>
      <c r="AB90"/>
      <c r="AC90"/>
      <c r="AD90"/>
      <c r="AE90"/>
      <c r="AF90"/>
      <c r="AG90"/>
      <c r="AH90" s="37"/>
      <c r="AI90" s="37"/>
      <c r="AJ90" s="37"/>
      <c r="AK90" s="37"/>
      <c r="AL90" s="37"/>
      <c r="AM90" s="37"/>
      <c r="AN90" s="37"/>
      <c r="AO90" s="37"/>
      <c r="AP90" s="37"/>
      <c r="AQ90" s="37"/>
      <c r="AR90" s="5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57"/>
      <c r="BQ90" s="57"/>
      <c r="BR90" s="37"/>
      <c r="BS90" s="37"/>
      <c r="BT90" s="37"/>
      <c r="BU90" s="37"/>
      <c r="BV90" s="37"/>
      <c r="BW90" s="57"/>
      <c r="BX90" s="57"/>
      <c r="BY90" s="57"/>
      <c r="BZ90" s="37"/>
      <c r="CN90"/>
      <c r="CO90"/>
      <c r="CP90"/>
      <c r="CQ90"/>
      <c r="CR90"/>
      <c r="CS90"/>
      <c r="CT90"/>
      <c r="CU90"/>
      <c r="CV90"/>
      <c r="CW90"/>
      <c r="CX90"/>
      <c r="CY90"/>
      <c r="CZ90"/>
      <c r="DA90"/>
      <c r="DB90"/>
      <c r="DC90"/>
      <c r="DD90"/>
    </row>
    <row r="91" spans="1:108" s="41" customFormat="1">
      <c r="A91"/>
      <c r="B91"/>
      <c r="C91"/>
      <c r="D91"/>
      <c r="E91"/>
      <c r="F91"/>
      <c r="G91"/>
      <c r="H91"/>
      <c r="I91"/>
      <c r="J91"/>
      <c r="K91"/>
      <c r="L91"/>
      <c r="M91"/>
      <c r="N91"/>
      <c r="O91"/>
      <c r="P91"/>
      <c r="Q91"/>
      <c r="R91"/>
      <c r="S91"/>
      <c r="T91"/>
      <c r="U91"/>
      <c r="V91"/>
      <c r="W91"/>
      <c r="X91"/>
      <c r="Y91"/>
      <c r="Z91"/>
      <c r="AA91"/>
      <c r="AB91"/>
      <c r="AC91"/>
      <c r="AD91"/>
      <c r="AE91"/>
      <c r="AF91"/>
      <c r="AG91"/>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57"/>
      <c r="BQ91" s="57"/>
      <c r="BR91" s="37"/>
      <c r="BS91" s="37"/>
      <c r="BT91" s="37"/>
      <c r="BU91" s="37"/>
      <c r="BV91" s="37"/>
      <c r="BW91" s="37"/>
      <c r="BX91" s="37"/>
      <c r="BY91" s="37"/>
      <c r="BZ91" s="37"/>
      <c r="CN91"/>
      <c r="CO91"/>
      <c r="CP91"/>
      <c r="CQ91"/>
      <c r="CR91"/>
      <c r="CS91"/>
      <c r="CT91"/>
      <c r="CU91"/>
      <c r="CV91"/>
      <c r="CW91"/>
      <c r="CX91"/>
      <c r="CY91"/>
      <c r="CZ91"/>
      <c r="DA91"/>
      <c r="DB91"/>
      <c r="DC91"/>
      <c r="DD91"/>
    </row>
    <row r="92" spans="1:108" s="41" customFormat="1">
      <c r="A92"/>
      <c r="B92"/>
      <c r="C92"/>
      <c r="D92"/>
      <c r="E92"/>
      <c r="F92"/>
      <c r="G92"/>
      <c r="H92"/>
      <c r="I92"/>
      <c r="J92"/>
      <c r="K92"/>
      <c r="L92"/>
      <c r="M92"/>
      <c r="N92"/>
      <c r="O92"/>
      <c r="P92"/>
      <c r="Q92"/>
      <c r="R92"/>
      <c r="S92"/>
      <c r="T92"/>
      <c r="U92"/>
      <c r="V92"/>
      <c r="W92"/>
      <c r="X92"/>
      <c r="Y92"/>
      <c r="Z92"/>
      <c r="AA92"/>
      <c r="AB92"/>
      <c r="AC92"/>
      <c r="AD92"/>
      <c r="AE92"/>
      <c r="AF92"/>
      <c r="AG92"/>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57"/>
      <c r="BQ92" s="57"/>
      <c r="BR92" s="37"/>
      <c r="BS92" s="37"/>
      <c r="BT92" s="37"/>
      <c r="BU92" s="37"/>
      <c r="BV92" s="37"/>
      <c r="BW92" s="37"/>
      <c r="BX92" s="37"/>
      <c r="BY92" s="37"/>
      <c r="BZ92" s="37"/>
      <c r="CN92"/>
      <c r="CO92"/>
      <c r="CP92"/>
      <c r="CQ92"/>
      <c r="CR92"/>
      <c r="CS92"/>
      <c r="CT92"/>
      <c r="CU92"/>
      <c r="CV92"/>
      <c r="CW92"/>
      <c r="CX92"/>
      <c r="CY92"/>
      <c r="CZ92"/>
      <c r="DA92"/>
      <c r="DB92"/>
      <c r="DC92"/>
      <c r="DD92"/>
    </row>
    <row r="93" spans="1:108" s="41" customFormat="1">
      <c r="A93"/>
      <c r="B93"/>
      <c r="C93"/>
      <c r="D93"/>
      <c r="E93"/>
      <c r="F93"/>
      <c r="G93"/>
      <c r="H93"/>
      <c r="I93"/>
      <c r="J93"/>
      <c r="K93"/>
      <c r="L93"/>
      <c r="M93"/>
      <c r="N93"/>
      <c r="O93"/>
      <c r="P93"/>
      <c r="Q93"/>
      <c r="R93"/>
      <c r="S93"/>
      <c r="T93"/>
      <c r="U93"/>
      <c r="V93"/>
      <c r="W93"/>
      <c r="X93"/>
      <c r="Y93"/>
      <c r="Z93"/>
      <c r="AA93"/>
      <c r="AB93"/>
      <c r="AC93"/>
      <c r="AD93"/>
      <c r="AE93"/>
      <c r="AF93"/>
      <c r="AG93"/>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57"/>
      <c r="BQ93" s="57"/>
      <c r="BR93" s="37"/>
      <c r="BS93" s="37"/>
      <c r="BT93" s="37"/>
      <c r="BU93" s="37"/>
      <c r="BV93" s="37"/>
      <c r="BW93" s="37"/>
      <c r="BX93" s="37"/>
      <c r="BY93" s="37"/>
      <c r="BZ93" s="37"/>
      <c r="CN93"/>
      <c r="CO93"/>
      <c r="CP93"/>
      <c r="CQ93"/>
      <c r="CR93"/>
      <c r="CS93"/>
      <c r="CT93"/>
      <c r="CU93"/>
      <c r="CV93"/>
      <c r="CW93"/>
      <c r="CX93"/>
      <c r="CY93"/>
      <c r="CZ93"/>
      <c r="DA93"/>
      <c r="DB93"/>
      <c r="DC93"/>
      <c r="DD93"/>
    </row>
    <row r="94" spans="1:108" s="41" customFormat="1">
      <c r="A94"/>
      <c r="B94"/>
      <c r="C94"/>
      <c r="D94"/>
      <c r="E94"/>
      <c r="F94"/>
      <c r="G94"/>
      <c r="H94"/>
      <c r="I94"/>
      <c r="J94"/>
      <c r="K94"/>
      <c r="L94"/>
      <c r="M94"/>
      <c r="N94"/>
      <c r="O94"/>
      <c r="P94"/>
      <c r="Q94"/>
      <c r="R94"/>
      <c r="S94"/>
      <c r="T94"/>
      <c r="U94"/>
      <c r="V94"/>
      <c r="W94"/>
      <c r="X94"/>
      <c r="Y94"/>
      <c r="Z94"/>
      <c r="AA94"/>
      <c r="AB94"/>
      <c r="AC94"/>
      <c r="AD94"/>
      <c r="AE94"/>
      <c r="AF94"/>
      <c r="AG94"/>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57"/>
      <c r="BQ94" s="57"/>
      <c r="BR94" s="37"/>
      <c r="BS94" s="37"/>
      <c r="BT94" s="37"/>
      <c r="BU94" s="37"/>
      <c r="BV94" s="37"/>
      <c r="BW94" s="37"/>
      <c r="BX94" s="37"/>
      <c r="BY94" s="37"/>
      <c r="BZ94" s="37"/>
      <c r="CN94"/>
      <c r="CO94"/>
      <c r="CP94"/>
      <c r="CQ94"/>
      <c r="CR94"/>
      <c r="CS94"/>
      <c r="CT94"/>
      <c r="CU94"/>
      <c r="CV94"/>
      <c r="CW94"/>
      <c r="CX94"/>
      <c r="CY94"/>
      <c r="CZ94"/>
      <c r="DA94"/>
      <c r="DB94"/>
      <c r="DC94"/>
      <c r="DD94"/>
    </row>
    <row r="95" spans="1:108" s="41" customFormat="1">
      <c r="A95"/>
      <c r="B95"/>
      <c r="C95"/>
      <c r="D95"/>
      <c r="E95"/>
      <c r="F95"/>
      <c r="G95"/>
      <c r="H95"/>
      <c r="I95"/>
      <c r="J95"/>
      <c r="K95"/>
      <c r="L95"/>
      <c r="M95"/>
      <c r="N95"/>
      <c r="O95"/>
      <c r="P95"/>
      <c r="Q95"/>
      <c r="R95"/>
      <c r="S95"/>
      <c r="T95"/>
      <c r="U95"/>
      <c r="V95"/>
      <c r="W95"/>
      <c r="X95"/>
      <c r="Y95"/>
      <c r="Z95"/>
      <c r="AA95"/>
      <c r="AB95"/>
      <c r="AC95"/>
      <c r="AD95"/>
      <c r="AE95"/>
      <c r="AF95"/>
      <c r="AG95"/>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57"/>
      <c r="BQ95" s="57"/>
      <c r="BR95" s="37"/>
      <c r="BS95" s="37"/>
      <c r="BT95" s="37"/>
      <c r="BU95" s="37"/>
      <c r="BV95" s="37"/>
      <c r="BW95" s="37"/>
      <c r="BX95" s="37"/>
      <c r="BY95" s="37"/>
      <c r="BZ95" s="37"/>
      <c r="CN95"/>
      <c r="CO95"/>
      <c r="CP95"/>
      <c r="CQ95"/>
      <c r="CR95"/>
      <c r="CS95"/>
      <c r="CT95"/>
      <c r="CU95"/>
      <c r="CV95"/>
      <c r="CW95"/>
      <c r="CX95"/>
      <c r="CY95"/>
      <c r="CZ95"/>
      <c r="DA95"/>
      <c r="DB95"/>
      <c r="DC95"/>
      <c r="DD95"/>
    </row>
    <row r="96" spans="1:108" s="41" customFormat="1">
      <c r="A96"/>
      <c r="B96"/>
      <c r="C96"/>
      <c r="D96"/>
      <c r="E96"/>
      <c r="F96"/>
      <c r="G96"/>
      <c r="H96"/>
      <c r="I96"/>
      <c r="J96"/>
      <c r="K96"/>
      <c r="L96"/>
      <c r="M96"/>
      <c r="N96"/>
      <c r="O96"/>
      <c r="P96"/>
      <c r="Q96"/>
      <c r="R96"/>
      <c r="S96"/>
      <c r="T96"/>
      <c r="U96"/>
      <c r="V96"/>
      <c r="W96"/>
      <c r="X96"/>
      <c r="Y96"/>
      <c r="Z96"/>
      <c r="AA96"/>
      <c r="AB96"/>
      <c r="AC96"/>
      <c r="AD96"/>
      <c r="AE96"/>
      <c r="AF96"/>
      <c r="AG96"/>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63"/>
      <c r="BR96" s="37"/>
      <c r="BS96" s="37"/>
      <c r="BT96" s="37"/>
      <c r="BU96" s="37"/>
      <c r="BV96" s="37"/>
      <c r="BW96" s="37"/>
      <c r="BX96" s="37"/>
      <c r="BY96" s="37"/>
      <c r="BZ96" s="37"/>
      <c r="CN96"/>
      <c r="CO96"/>
      <c r="CP96"/>
      <c r="CQ96"/>
      <c r="CR96"/>
      <c r="CS96"/>
      <c r="CT96"/>
      <c r="CU96"/>
      <c r="CV96"/>
      <c r="CW96"/>
      <c r="CX96"/>
      <c r="CY96"/>
      <c r="CZ96"/>
      <c r="DA96"/>
      <c r="DB96"/>
      <c r="DC96"/>
      <c r="DD96"/>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sheetPr codeName="Sheet12"/>
  <dimension ref="A1:BP150"/>
  <sheetViews>
    <sheetView workbookViewId="0">
      <pane xSplit="8" topLeftCell="BK1" activePane="topRight" state="frozen"/>
      <selection activeCell="A7" sqref="A7"/>
      <selection pane="topRight" activeCell="BL15" sqref="BL15"/>
    </sheetView>
  </sheetViews>
  <sheetFormatPr defaultRowHeight="14.4"/>
  <cols>
    <col min="1" max="7" width="12.5546875" customWidth="1"/>
    <col min="8" max="8" width="7" customWidth="1"/>
    <col min="9" max="9" width="14.109375" customWidth="1"/>
    <col min="10" max="10" width="9.44140625" customWidth="1"/>
    <col min="11" max="11" width="18.5546875" customWidth="1"/>
    <col min="14" max="16" width="13" customWidth="1"/>
    <col min="17" max="17" width="11.44140625" customWidth="1"/>
    <col min="18" max="18" width="13" customWidth="1"/>
    <col min="21" max="21" width="18.5546875" customWidth="1"/>
    <col min="24" max="24" width="12.88671875" customWidth="1"/>
    <col min="25" max="28" width="11.44140625" style="21" customWidth="1"/>
    <col min="31" max="31" width="18.5546875" customWidth="1"/>
    <col min="34" max="34" width="12.33203125" customWidth="1"/>
    <col min="35" max="35" width="13.33203125" customWidth="1"/>
    <col min="36" max="36" width="13" customWidth="1"/>
    <col min="37" max="37" width="12" customWidth="1"/>
    <col min="38" max="38" width="12.5546875" bestFit="1" customWidth="1"/>
    <col min="39" max="39" width="14.109375" customWidth="1"/>
    <col min="40" max="40" width="9.44140625" customWidth="1"/>
    <col min="41" max="41" width="18.5546875" customWidth="1"/>
    <col min="44" max="46" width="13" customWidth="1"/>
    <col min="47" max="47" width="11.44140625" customWidth="1"/>
    <col min="48" max="48" width="13" customWidth="1"/>
    <col min="51" max="51" width="18.5546875" customWidth="1"/>
    <col min="54" max="54" width="12.88671875" customWidth="1"/>
    <col min="55" max="58" width="11.44140625" style="21" customWidth="1"/>
    <col min="61" max="61" width="18.5546875" customWidth="1"/>
    <col min="64" max="64" width="12.33203125" customWidth="1"/>
    <col min="65" max="65" width="13.33203125" customWidth="1"/>
    <col min="66" max="66" width="13" customWidth="1"/>
    <col min="67" max="67" width="12" customWidth="1"/>
    <col min="68" max="68" width="12.5546875" customWidth="1"/>
  </cols>
  <sheetData>
    <row r="1" spans="1:68">
      <c r="A1" t="s">
        <v>118</v>
      </c>
      <c r="C1">
        <v>10</v>
      </c>
      <c r="I1" s="3" t="s">
        <v>17</v>
      </c>
      <c r="K1" s="121" t="s">
        <v>145</v>
      </c>
      <c r="N1" s="121" t="s">
        <v>145</v>
      </c>
      <c r="U1" s="121" t="s">
        <v>145</v>
      </c>
      <c r="X1" s="121" t="s">
        <v>145</v>
      </c>
      <c r="AE1" s="121" t="s">
        <v>145</v>
      </c>
      <c r="AH1" s="121" t="s">
        <v>145</v>
      </c>
      <c r="AM1" s="3" t="s">
        <v>17</v>
      </c>
      <c r="AO1" s="123" t="s">
        <v>146</v>
      </c>
      <c r="AR1" s="123" t="s">
        <v>146</v>
      </c>
      <c r="AY1" s="123" t="s">
        <v>146</v>
      </c>
      <c r="BB1" s="123" t="s">
        <v>146</v>
      </c>
      <c r="BI1" s="123" t="s">
        <v>146</v>
      </c>
      <c r="BL1" s="123" t="s">
        <v>146</v>
      </c>
    </row>
    <row r="2" spans="1:68">
      <c r="A2" t="s">
        <v>117</v>
      </c>
      <c r="C2" s="91">
        <f>L4/C1/43560</f>
        <v>2.8328741965105602</v>
      </c>
      <c r="E2" t="s">
        <v>119</v>
      </c>
      <c r="G2" s="103">
        <f>C2*12</f>
        <v>33.994490358126725</v>
      </c>
      <c r="K2" s="19" t="s">
        <v>10</v>
      </c>
      <c r="N2" s="19" t="s">
        <v>6</v>
      </c>
      <c r="U2" s="18" t="s">
        <v>7</v>
      </c>
      <c r="X2" s="18" t="s">
        <v>6</v>
      </c>
      <c r="AE2" s="20" t="s">
        <v>9</v>
      </c>
      <c r="AH2" s="20" t="s">
        <v>6</v>
      </c>
      <c r="AM2" s="123" t="s">
        <v>146</v>
      </c>
      <c r="AO2" s="19" t="s">
        <v>10</v>
      </c>
      <c r="AR2" s="19" t="s">
        <v>6</v>
      </c>
      <c r="AY2" s="18" t="s">
        <v>7</v>
      </c>
      <c r="BB2" s="18" t="s">
        <v>6</v>
      </c>
      <c r="BI2" s="20" t="s">
        <v>9</v>
      </c>
      <c r="BL2" s="20" t="s">
        <v>6</v>
      </c>
    </row>
    <row r="3" spans="1:68" ht="28.8">
      <c r="J3" s="15" t="s">
        <v>8</v>
      </c>
      <c r="K3" s="4"/>
      <c r="L3" s="15" t="s">
        <v>21</v>
      </c>
      <c r="N3" s="27" t="s">
        <v>8</v>
      </c>
      <c r="O3" s="15" t="s">
        <v>16</v>
      </c>
      <c r="P3" s="15" t="s">
        <v>18</v>
      </c>
      <c r="Q3" s="15" t="s">
        <v>19</v>
      </c>
      <c r="S3" s="6"/>
      <c r="T3" s="15" t="s">
        <v>8</v>
      </c>
      <c r="U3" s="4"/>
      <c r="V3" s="15" t="s">
        <v>21</v>
      </c>
      <c r="X3" s="27" t="s">
        <v>8</v>
      </c>
      <c r="Y3" s="15" t="s">
        <v>16</v>
      </c>
      <c r="Z3" s="15" t="s">
        <v>18</v>
      </c>
      <c r="AA3" s="15" t="s">
        <v>19</v>
      </c>
      <c r="AD3" s="15" t="s">
        <v>8</v>
      </c>
      <c r="AE3" s="4"/>
      <c r="AF3" s="15" t="s">
        <v>21</v>
      </c>
      <c r="AH3" s="27" t="s">
        <v>8</v>
      </c>
      <c r="AI3" s="15" t="s">
        <v>20</v>
      </c>
      <c r="AJ3" s="15" t="s">
        <v>18</v>
      </c>
      <c r="AK3" s="15" t="s">
        <v>19</v>
      </c>
      <c r="AN3" s="15" t="s">
        <v>8</v>
      </c>
      <c r="AO3" s="4"/>
      <c r="AP3" s="15" t="s">
        <v>21</v>
      </c>
      <c r="AR3" s="28" t="s">
        <v>8</v>
      </c>
      <c r="AS3" s="15" t="s">
        <v>16</v>
      </c>
      <c r="AT3" s="15" t="s">
        <v>18</v>
      </c>
      <c r="AU3" s="15" t="s">
        <v>19</v>
      </c>
      <c r="AW3" s="6"/>
      <c r="AX3" s="15" t="s">
        <v>8</v>
      </c>
      <c r="AY3" s="4"/>
      <c r="AZ3" s="15" t="s">
        <v>21</v>
      </c>
      <c r="BB3" s="28" t="s">
        <v>8</v>
      </c>
      <c r="BC3" s="15" t="s">
        <v>16</v>
      </c>
      <c r="BD3" s="15" t="s">
        <v>18</v>
      </c>
      <c r="BE3" s="15" t="s">
        <v>19</v>
      </c>
      <c r="BH3" s="15" t="s">
        <v>8</v>
      </c>
      <c r="BI3" s="4"/>
      <c r="BJ3" s="15" t="s">
        <v>21</v>
      </c>
      <c r="BL3" s="28" t="s">
        <v>8</v>
      </c>
      <c r="BM3" s="15" t="s">
        <v>20</v>
      </c>
      <c r="BN3" s="15" t="s">
        <v>18</v>
      </c>
      <c r="BO3" s="15" t="s">
        <v>19</v>
      </c>
      <c r="BP3" s="6"/>
    </row>
    <row r="4" spans="1:68">
      <c r="J4" s="26">
        <v>100</v>
      </c>
      <c r="K4" s="4" t="s">
        <v>0</v>
      </c>
      <c r="L4" s="5">
        <v>1234000</v>
      </c>
      <c r="N4" s="10">
        <v>100</v>
      </c>
      <c r="O4" s="2">
        <f>L5/$L$4</f>
        <v>0.1140518638573744</v>
      </c>
      <c r="P4" s="32">
        <v>2.4778999999999999E-3</v>
      </c>
      <c r="Q4" s="9">
        <f t="shared" ref="Q4:Q9" si="0">2/((P4/(N4*0.35))*3600)</f>
        <v>7.8471465533090292</v>
      </c>
      <c r="S4" s="7"/>
      <c r="T4" s="26">
        <v>100</v>
      </c>
      <c r="U4" s="4" t="s">
        <v>0</v>
      </c>
      <c r="V4" s="5">
        <v>1234000</v>
      </c>
      <c r="X4" s="24">
        <v>100</v>
      </c>
      <c r="Y4" s="22">
        <f>V5/$V$4</f>
        <v>0.25292544570502429</v>
      </c>
      <c r="Z4" s="33">
        <v>9.2023999999999995E-3</v>
      </c>
      <c r="AA4" s="9">
        <f t="shared" ref="AA4:AA9" si="1">2/((Z4/(X4*0.35))*3600)</f>
        <v>2.1129753590850693</v>
      </c>
      <c r="AD4" s="26">
        <v>100</v>
      </c>
      <c r="AE4" s="4" t="s">
        <v>0</v>
      </c>
      <c r="AF4" s="5">
        <v>1234000</v>
      </c>
      <c r="AH4" s="10">
        <v>100</v>
      </c>
      <c r="AI4" s="2">
        <f>AF5/$AF$4</f>
        <v>0.6949918962722853</v>
      </c>
      <c r="AJ4" s="32">
        <v>3.0547999999999999E-2</v>
      </c>
      <c r="AK4" s="9">
        <f t="shared" ref="AK4:AK9" si="2">2/((AJ4/(AH4*0.35))*3600)</f>
        <v>0.63652103065485288</v>
      </c>
      <c r="AN4" s="26">
        <v>100</v>
      </c>
      <c r="AO4" s="4" t="s">
        <v>0</v>
      </c>
      <c r="AP4" s="5">
        <v>1234000</v>
      </c>
      <c r="AR4" s="10">
        <v>100</v>
      </c>
      <c r="AS4" s="2">
        <f>AP5/AP$4</f>
        <v>0.27897893030794163</v>
      </c>
      <c r="AT4" s="32">
        <v>3.4345000000000001E-3</v>
      </c>
      <c r="AU4" s="9">
        <f t="shared" ref="AU4:AU9" si="3">2/((AT4/(AR4*0.35))*3600)</f>
        <v>5.6615066077869978</v>
      </c>
      <c r="AW4" s="7"/>
      <c r="AX4" s="26">
        <v>100</v>
      </c>
      <c r="AY4" s="4" t="s">
        <v>0</v>
      </c>
      <c r="AZ4" s="5">
        <v>1234000</v>
      </c>
      <c r="BB4" s="24">
        <v>100</v>
      </c>
      <c r="BC4" s="2">
        <f>AZ5/AZ$4</f>
        <v>0.48016207455429499</v>
      </c>
      <c r="BD4" s="33">
        <v>1.3046E-2</v>
      </c>
      <c r="BE4" s="9">
        <f t="shared" ref="BE4:BE9" si="4">2/((BD4/(BB4*0.35))*3600)</f>
        <v>1.490452586574003</v>
      </c>
      <c r="BH4" s="26">
        <v>100</v>
      </c>
      <c r="BI4" s="4" t="s">
        <v>0</v>
      </c>
      <c r="BJ4" s="5">
        <v>1234000</v>
      </c>
      <c r="BL4" s="10">
        <v>100</v>
      </c>
      <c r="BM4" s="2">
        <f>BJ5/BJ$4</f>
        <v>0.85526742301458669</v>
      </c>
      <c r="BN4" s="32">
        <v>4.1223999999999997E-2</v>
      </c>
      <c r="BO4" s="9">
        <f t="shared" ref="BO4:BO7" si="5">2/((BN4/(BL4*0.35))*3600)</f>
        <v>0.47167777130905419</v>
      </c>
      <c r="BP4" s="12"/>
    </row>
    <row r="5" spans="1:68">
      <c r="J5" s="26"/>
      <c r="K5" s="4" t="s">
        <v>1</v>
      </c>
      <c r="L5" s="5">
        <v>140740</v>
      </c>
      <c r="N5" s="10">
        <v>200</v>
      </c>
      <c r="O5" s="2">
        <f>L12/$L$4</f>
        <v>0.20589951377633711</v>
      </c>
      <c r="P5" s="32">
        <v>4.4096999999999999E-3</v>
      </c>
      <c r="Q5" s="9">
        <f t="shared" si="0"/>
        <v>8.8189420797081191</v>
      </c>
      <c r="S5" s="7"/>
      <c r="T5" s="26"/>
      <c r="U5" s="4" t="s">
        <v>1</v>
      </c>
      <c r="V5" s="5">
        <v>312110</v>
      </c>
      <c r="X5" s="24">
        <v>200</v>
      </c>
      <c r="Y5" s="22">
        <f>V12/$V$4</f>
        <v>0.41649108589951378</v>
      </c>
      <c r="Z5" s="33">
        <v>1.5280999999999999E-2</v>
      </c>
      <c r="AA5" s="9">
        <f t="shared" si="1"/>
        <v>2.5449177991550873</v>
      </c>
      <c r="AD5" s="26"/>
      <c r="AE5" s="4" t="s">
        <v>1</v>
      </c>
      <c r="AF5" s="5">
        <v>857620</v>
      </c>
      <c r="AH5" s="10">
        <v>200</v>
      </c>
      <c r="AI5" s="2">
        <f>AF12/$AF$4</f>
        <v>0.8294165316045381</v>
      </c>
      <c r="AJ5" s="32">
        <v>3.8781000000000003E-2</v>
      </c>
      <c r="AK5" s="9">
        <f t="shared" si="2"/>
        <v>1.0027820037876507</v>
      </c>
      <c r="AN5" s="26"/>
      <c r="AO5" s="4" t="s">
        <v>1</v>
      </c>
      <c r="AP5" s="5">
        <v>344260</v>
      </c>
      <c r="AR5" s="10">
        <v>200</v>
      </c>
      <c r="AS5" s="2">
        <f>AP12/AP$4</f>
        <v>0.4676094003241491</v>
      </c>
      <c r="AT5" s="32">
        <v>5.8964000000000004E-3</v>
      </c>
      <c r="AU5" s="9">
        <f t="shared" si="3"/>
        <v>6.5953613881162889</v>
      </c>
      <c r="AW5" s="7"/>
      <c r="AX5" s="26"/>
      <c r="AY5" s="4" t="s">
        <v>1</v>
      </c>
      <c r="AZ5" s="5">
        <v>592520</v>
      </c>
      <c r="BB5" s="24">
        <v>200</v>
      </c>
      <c r="BC5" s="2">
        <f>AZ12/AZ$4</f>
        <v>0.69773905996758512</v>
      </c>
      <c r="BD5" s="33">
        <v>2.0150000000000001E-2</v>
      </c>
      <c r="BE5" s="9">
        <f t="shared" si="4"/>
        <v>1.9299696719051558</v>
      </c>
      <c r="BH5" s="26"/>
      <c r="BI5" s="4" t="s">
        <v>1</v>
      </c>
      <c r="BJ5" s="5">
        <v>1055400</v>
      </c>
      <c r="BL5" s="10">
        <v>200</v>
      </c>
      <c r="BM5" s="2">
        <f>BJ12/BJ$4</f>
        <v>0.94683954619124799</v>
      </c>
      <c r="BN5" s="32">
        <v>4.8731999999999998E-2</v>
      </c>
      <c r="BO5" s="9">
        <f t="shared" si="5"/>
        <v>0.79801544957910386</v>
      </c>
      <c r="BP5" s="12"/>
    </row>
    <row r="6" spans="1:68">
      <c r="J6" s="26"/>
      <c r="K6" s="4" t="s">
        <v>2</v>
      </c>
      <c r="L6" s="5">
        <v>1093200</v>
      </c>
      <c r="N6" s="10">
        <v>400</v>
      </c>
      <c r="O6" s="2">
        <f>L19/L$4</f>
        <v>0.35672609400324151</v>
      </c>
      <c r="P6" s="32">
        <v>7.5506000000000002E-3</v>
      </c>
      <c r="Q6" s="9">
        <f t="shared" si="0"/>
        <v>10.300873808409632</v>
      </c>
      <c r="S6" s="7"/>
      <c r="T6" s="26"/>
      <c r="U6" s="4" t="s">
        <v>2</v>
      </c>
      <c r="V6" s="5">
        <v>921810</v>
      </c>
      <c r="X6" s="24">
        <v>400</v>
      </c>
      <c r="Y6" s="22">
        <f>V19/$V$4</f>
        <v>0.61908427876823335</v>
      </c>
      <c r="Z6" s="33">
        <v>2.3781E-2</v>
      </c>
      <c r="AA6" s="9">
        <f t="shared" si="1"/>
        <v>3.2705848272897597</v>
      </c>
      <c r="AD6" s="26"/>
      <c r="AE6" s="4" t="s">
        <v>2</v>
      </c>
      <c r="AF6" s="5">
        <v>376330</v>
      </c>
      <c r="AH6" s="10">
        <v>400</v>
      </c>
      <c r="AI6" s="2">
        <f>AF19/$AF$4</f>
        <v>0.92447325769854138</v>
      </c>
      <c r="AJ6" s="32">
        <v>4.6365999999999997E-2</v>
      </c>
      <c r="AK6" s="9">
        <f t="shared" si="2"/>
        <v>1.6774743945515633</v>
      </c>
      <c r="AN6" s="26"/>
      <c r="AO6" s="4" t="s">
        <v>2</v>
      </c>
      <c r="AP6" s="5">
        <v>889690</v>
      </c>
      <c r="AR6" s="10">
        <v>400</v>
      </c>
      <c r="AS6" s="2">
        <f>AP19/AP$4</f>
        <v>0.70433549432739062</v>
      </c>
      <c r="AT6" s="32">
        <v>9.4870000000000006E-3</v>
      </c>
      <c r="AU6" s="9">
        <f t="shared" si="3"/>
        <v>8.1983533021795907</v>
      </c>
      <c r="AW6" s="7"/>
      <c r="AX6" s="26"/>
      <c r="AY6" s="4" t="s">
        <v>2</v>
      </c>
      <c r="AZ6" s="5">
        <v>641410</v>
      </c>
      <c r="BB6" s="24">
        <v>400</v>
      </c>
      <c r="BC6" s="2">
        <f>AZ19/AZ$4</f>
        <v>0.88533225283630468</v>
      </c>
      <c r="BD6" s="33">
        <v>2.8684000000000001E-2</v>
      </c>
      <c r="BE6" s="9">
        <f t="shared" si="4"/>
        <v>2.7115387595097538</v>
      </c>
      <c r="BH6" s="26"/>
      <c r="BI6" s="4" t="s">
        <v>2</v>
      </c>
      <c r="BJ6" s="5">
        <v>178580</v>
      </c>
      <c r="BL6" s="10">
        <v>400</v>
      </c>
      <c r="BM6" s="2">
        <f>BJ19/BJ$4</f>
        <v>0.99359805510534849</v>
      </c>
      <c r="BN6" s="32">
        <v>5.3165999999999998E-2</v>
      </c>
      <c r="BO6" s="9">
        <f t="shared" si="5"/>
        <v>1.4629232550460403</v>
      </c>
      <c r="BP6" s="12"/>
    </row>
    <row r="7" spans="1:68">
      <c r="J7" s="26"/>
      <c r="K7" s="4" t="s">
        <v>3</v>
      </c>
      <c r="L7" s="5">
        <v>140060</v>
      </c>
      <c r="N7" s="10">
        <v>600</v>
      </c>
      <c r="O7" s="2">
        <f>L26/$L$4</f>
        <v>0.47449756888168559</v>
      </c>
      <c r="P7" s="32">
        <v>1.0277E-2</v>
      </c>
      <c r="Q7" s="9">
        <f t="shared" si="0"/>
        <v>11.352210437546626</v>
      </c>
      <c r="S7" s="7"/>
      <c r="T7" s="26"/>
      <c r="U7" s="4" t="s">
        <v>3</v>
      </c>
      <c r="V7" s="5">
        <v>311860</v>
      </c>
      <c r="X7" s="24">
        <v>600</v>
      </c>
      <c r="Y7" s="22">
        <f>V26/$V$4</f>
        <v>0.74014586709886543</v>
      </c>
      <c r="Z7" s="33">
        <v>2.9513999999999999E-2</v>
      </c>
      <c r="AA7" s="9">
        <f t="shared" si="1"/>
        <v>3.9529262948657138</v>
      </c>
      <c r="AD7" s="26"/>
      <c r="AE7" s="4" t="s">
        <v>3</v>
      </c>
      <c r="AF7" s="5">
        <v>857440</v>
      </c>
      <c r="AH7" s="10">
        <v>600</v>
      </c>
      <c r="AI7" s="2">
        <f>AF26/$AF$4</f>
        <v>0.96458670988654782</v>
      </c>
      <c r="AJ7" s="32">
        <v>4.9950000000000001E-2</v>
      </c>
      <c r="AK7" s="9">
        <f t="shared" si="2"/>
        <v>2.3356690023356688</v>
      </c>
      <c r="AN7" s="26"/>
      <c r="AO7" s="4" t="s">
        <v>3</v>
      </c>
      <c r="AP7" s="5">
        <v>343150</v>
      </c>
      <c r="AR7" s="10">
        <v>600</v>
      </c>
      <c r="AS7" s="2">
        <f>AP26/AP$4</f>
        <v>0.8278768233387358</v>
      </c>
      <c r="AT7" s="32">
        <v>1.2196E-2</v>
      </c>
      <c r="AU7" s="9">
        <f t="shared" si="3"/>
        <v>9.5659779162566956</v>
      </c>
      <c r="AW7" s="7"/>
      <c r="AX7" s="26"/>
      <c r="AY7" s="4" t="s">
        <v>3</v>
      </c>
      <c r="AZ7" s="5">
        <v>592190</v>
      </c>
      <c r="BB7" s="24">
        <v>600</v>
      </c>
      <c r="BC7" s="2">
        <f>AZ26/AZ$4</f>
        <v>0.9502431118314425</v>
      </c>
      <c r="BD7" s="33">
        <v>3.3598999999999997E-2</v>
      </c>
      <c r="BE7" s="9">
        <f t="shared" si="4"/>
        <v>3.4723255652449976</v>
      </c>
      <c r="BH7" s="26"/>
      <c r="BI7" s="4" t="s">
        <v>3</v>
      </c>
      <c r="BJ7" s="5">
        <v>1055200</v>
      </c>
      <c r="BL7" s="10">
        <v>600</v>
      </c>
      <c r="BM7" s="2">
        <f>BJ26/BJ$4</f>
        <v>0.9988654781199352</v>
      </c>
      <c r="BN7" s="32">
        <v>5.4091E-2</v>
      </c>
      <c r="BO7" s="9">
        <f t="shared" si="5"/>
        <v>2.1568591201247282</v>
      </c>
      <c r="BP7" s="12"/>
    </row>
    <row r="8" spans="1:68">
      <c r="J8" s="26"/>
      <c r="K8" s="4" t="s">
        <v>4</v>
      </c>
      <c r="L8" s="5">
        <v>0</v>
      </c>
      <c r="N8" s="10">
        <v>800</v>
      </c>
      <c r="O8" s="2">
        <f>L33/$L$4</f>
        <v>0.56834683954619125</v>
      </c>
      <c r="P8" s="32">
        <v>1.2611000000000001E-2</v>
      </c>
      <c r="Q8" s="9">
        <f t="shared" si="0"/>
        <v>12.334910439739554</v>
      </c>
      <c r="S8" s="7"/>
      <c r="T8" s="26"/>
      <c r="U8" s="4" t="s">
        <v>4</v>
      </c>
      <c r="V8" s="5">
        <v>0</v>
      </c>
      <c r="X8" s="24">
        <v>800</v>
      </c>
      <c r="Y8" s="22">
        <f>V33/$V$4</f>
        <v>0.81580226904376008</v>
      </c>
      <c r="Z8" s="33">
        <v>3.3673000000000002E-2</v>
      </c>
      <c r="AA8" s="9">
        <f t="shared" si="1"/>
        <v>4.6195930138554795</v>
      </c>
      <c r="AD8" s="26"/>
      <c r="AE8" s="4" t="s">
        <v>4</v>
      </c>
      <c r="AF8" s="5">
        <v>0</v>
      </c>
      <c r="AH8" s="10">
        <v>800</v>
      </c>
      <c r="AI8" s="2">
        <f>AF33/$AF$4</f>
        <v>0.98379254457050247</v>
      </c>
      <c r="AJ8" s="32">
        <v>5.1762000000000002E-2</v>
      </c>
      <c r="AK8" s="9">
        <f t="shared" si="2"/>
        <v>3.0052075954475397</v>
      </c>
      <c r="AN8" s="26"/>
      <c r="AO8" s="4" t="s">
        <v>4</v>
      </c>
      <c r="AP8" s="5">
        <v>0</v>
      </c>
      <c r="AR8" s="10">
        <v>800</v>
      </c>
      <c r="AS8" s="2">
        <f>AP33/AP$4</f>
        <v>0.89846029173419772</v>
      </c>
      <c r="AT8" s="32">
        <v>1.4389000000000001E-2</v>
      </c>
      <c r="AU8" s="9">
        <f t="shared" si="3"/>
        <v>10.810727330290884</v>
      </c>
      <c r="AW8" s="7"/>
      <c r="AX8" s="26"/>
      <c r="AY8" s="4" t="s">
        <v>4</v>
      </c>
      <c r="AZ8" s="5">
        <v>0</v>
      </c>
      <c r="BB8" s="24">
        <v>800</v>
      </c>
      <c r="BC8" s="2">
        <f>AZ33/AZ$4</f>
        <v>0.98038897893030796</v>
      </c>
      <c r="BD8" s="33">
        <v>3.6861999999999999E-2</v>
      </c>
      <c r="BE8" s="9">
        <f t="shared" si="4"/>
        <v>4.2199434527577324</v>
      </c>
      <c r="BH8" s="26"/>
      <c r="BI8" s="4" t="s">
        <v>4</v>
      </c>
      <c r="BJ8" s="5">
        <v>0</v>
      </c>
      <c r="BL8" s="10">
        <v>800</v>
      </c>
      <c r="BM8" s="2">
        <f>BJ33/BJ$4</f>
        <v>0.99967585089141009</v>
      </c>
      <c r="BN8" s="32">
        <v>5.4373999999999999E-2</v>
      </c>
      <c r="BO8" s="9">
        <f>2/((BN8/(BL8*0.35))*3600)</f>
        <v>2.86084443954014</v>
      </c>
      <c r="BP8" s="12"/>
    </row>
    <row r="9" spans="1:68">
      <c r="J9" s="26"/>
      <c r="K9" s="4" t="s">
        <v>5</v>
      </c>
      <c r="L9" s="5">
        <v>0</v>
      </c>
      <c r="M9" s="1"/>
      <c r="N9" s="10">
        <v>1000</v>
      </c>
      <c r="O9" s="2">
        <f>L40/$L$4</f>
        <v>0.64491896272285254</v>
      </c>
      <c r="P9" s="32">
        <v>1.4710000000000001E-2</v>
      </c>
      <c r="Q9" s="9">
        <f t="shared" si="0"/>
        <v>13.218521036332048</v>
      </c>
      <c r="S9" s="7"/>
      <c r="T9" s="26"/>
      <c r="U9" s="4" t="s">
        <v>5</v>
      </c>
      <c r="V9" s="5">
        <v>0</v>
      </c>
      <c r="W9" s="1"/>
      <c r="X9" s="24">
        <v>1000</v>
      </c>
      <c r="Y9" s="22">
        <f>V40/$V$4</f>
        <v>0.86596434359805508</v>
      </c>
      <c r="Z9" s="33">
        <v>3.6760000000000001E-2</v>
      </c>
      <c r="AA9" s="9">
        <f t="shared" si="1"/>
        <v>5.2895659533309143</v>
      </c>
      <c r="AD9" s="26"/>
      <c r="AE9" s="4" t="s">
        <v>5</v>
      </c>
      <c r="AF9" s="5">
        <v>0</v>
      </c>
      <c r="AG9" s="1"/>
      <c r="AH9" s="10">
        <v>1000</v>
      </c>
      <c r="AI9" s="2">
        <f>AF40/$AF$4</f>
        <v>0.99343598055105353</v>
      </c>
      <c r="AJ9" s="32">
        <v>5.2833999999999999E-2</v>
      </c>
      <c r="AK9" s="9">
        <f t="shared" si="2"/>
        <v>3.6802900489163122</v>
      </c>
      <c r="AN9" s="26"/>
      <c r="AO9" s="4" t="s">
        <v>5</v>
      </c>
      <c r="AP9" s="5">
        <v>0</v>
      </c>
      <c r="AQ9" s="1"/>
      <c r="AR9" s="10">
        <v>1000</v>
      </c>
      <c r="AS9" s="2">
        <f>AP40/AP$4</f>
        <v>0.93687196110210702</v>
      </c>
      <c r="AT9" s="32">
        <v>1.6267E-2</v>
      </c>
      <c r="AU9" s="9">
        <f t="shared" si="3"/>
        <v>11.953306967753393</v>
      </c>
      <c r="AW9" s="7"/>
      <c r="AX9" s="26"/>
      <c r="AY9" s="4" t="s">
        <v>5</v>
      </c>
      <c r="AZ9" s="5">
        <v>0</v>
      </c>
      <c r="BA9" s="1"/>
      <c r="BB9" s="24">
        <v>1000</v>
      </c>
      <c r="BC9" s="2">
        <f>AZ40/AZ$4</f>
        <v>0.99189627228525123</v>
      </c>
      <c r="BD9" s="33">
        <v>3.9258000000000001E-2</v>
      </c>
      <c r="BE9" s="9">
        <f t="shared" si="4"/>
        <v>4.9529890581396012</v>
      </c>
      <c r="BH9" s="26"/>
      <c r="BI9" s="4" t="s">
        <v>5</v>
      </c>
      <c r="BJ9" s="5">
        <v>0</v>
      </c>
      <c r="BK9" s="1"/>
      <c r="BL9" s="10">
        <v>1000</v>
      </c>
      <c r="BM9" s="2">
        <f>BJ40/BJ$4</f>
        <v>1</v>
      </c>
      <c r="BN9" s="32">
        <v>5.4473000000000001E-2</v>
      </c>
      <c r="BO9" s="9">
        <f t="shared" ref="BO9" si="6">2/((BN9/(BL9*0.35))*3600)</f>
        <v>3.5695563755336486</v>
      </c>
      <c r="BP9" s="12"/>
    </row>
    <row r="10" spans="1:68">
      <c r="J10" s="26"/>
      <c r="K10" s="4"/>
      <c r="L10" s="4"/>
      <c r="S10" s="7"/>
      <c r="T10" s="26"/>
      <c r="U10" s="4"/>
      <c r="V10" s="4"/>
      <c r="AD10" s="26"/>
      <c r="AE10" s="4"/>
      <c r="AF10" s="4"/>
      <c r="AN10" s="26"/>
      <c r="AO10" s="4"/>
      <c r="AP10" s="4"/>
      <c r="AW10" s="7"/>
      <c r="AX10" s="26"/>
      <c r="AY10" s="4"/>
      <c r="AZ10" s="4"/>
      <c r="BH10" s="26"/>
      <c r="BI10" s="4"/>
      <c r="BJ10" s="4"/>
      <c r="BP10" s="12"/>
    </row>
    <row r="11" spans="1:68">
      <c r="J11" s="26">
        <v>200</v>
      </c>
      <c r="K11" s="4" t="s">
        <v>0</v>
      </c>
      <c r="L11" s="5">
        <v>1234000</v>
      </c>
      <c r="S11" s="7"/>
      <c r="T11" s="26">
        <v>200</v>
      </c>
      <c r="U11" s="4" t="s">
        <v>0</v>
      </c>
      <c r="V11" s="5">
        <v>1234000</v>
      </c>
      <c r="AD11" s="26">
        <v>200</v>
      </c>
      <c r="AE11" s="4" t="s">
        <v>0</v>
      </c>
      <c r="AF11" s="5">
        <v>1234000</v>
      </c>
      <c r="AN11" s="26">
        <v>200</v>
      </c>
      <c r="AO11" s="4" t="s">
        <v>0</v>
      </c>
      <c r="AP11" s="5">
        <v>1234000</v>
      </c>
      <c r="AW11" s="7"/>
      <c r="AX11" s="26">
        <v>200</v>
      </c>
      <c r="AY11" s="4" t="s">
        <v>0</v>
      </c>
      <c r="AZ11" s="5">
        <v>1234000</v>
      </c>
      <c r="BH11" s="26">
        <v>200</v>
      </c>
      <c r="BI11" s="4" t="s">
        <v>0</v>
      </c>
      <c r="BJ11" s="5">
        <v>1234000</v>
      </c>
      <c r="BP11" s="12"/>
    </row>
    <row r="12" spans="1:68">
      <c r="J12" s="26"/>
      <c r="K12" s="4" t="s">
        <v>1</v>
      </c>
      <c r="L12" s="5">
        <v>254080</v>
      </c>
      <c r="S12" s="7"/>
      <c r="T12" s="26"/>
      <c r="U12" s="4" t="s">
        <v>1</v>
      </c>
      <c r="V12" s="5">
        <v>513950</v>
      </c>
      <c r="AD12" s="26"/>
      <c r="AE12" s="4" t="s">
        <v>1</v>
      </c>
      <c r="AF12" s="5">
        <v>1023500</v>
      </c>
      <c r="AN12" s="26"/>
      <c r="AO12" s="4" t="s">
        <v>1</v>
      </c>
      <c r="AP12" s="5">
        <v>577030</v>
      </c>
      <c r="AW12" s="7"/>
      <c r="AX12" s="26"/>
      <c r="AY12" s="4" t="s">
        <v>1</v>
      </c>
      <c r="AZ12" s="5">
        <v>861010</v>
      </c>
      <c r="BH12" s="26"/>
      <c r="BI12" s="4" t="s">
        <v>1</v>
      </c>
      <c r="BJ12" s="5">
        <v>1168400</v>
      </c>
      <c r="BP12" s="12"/>
    </row>
    <row r="13" spans="1:68">
      <c r="J13" s="26"/>
      <c r="K13" s="4" t="s">
        <v>2</v>
      </c>
      <c r="L13" s="5">
        <v>979910</v>
      </c>
      <c r="T13" s="26"/>
      <c r="U13" s="4" t="s">
        <v>2</v>
      </c>
      <c r="V13" s="5">
        <v>719950</v>
      </c>
      <c r="AD13" s="26"/>
      <c r="AE13" s="4" t="s">
        <v>2</v>
      </c>
      <c r="AF13" s="5">
        <v>210430</v>
      </c>
      <c r="AN13" s="26"/>
      <c r="AO13" s="4" t="s">
        <v>2</v>
      </c>
      <c r="AP13" s="5">
        <v>657000</v>
      </c>
      <c r="AX13" s="26"/>
      <c r="AY13" s="4" t="s">
        <v>2</v>
      </c>
      <c r="AZ13" s="5">
        <v>372910</v>
      </c>
      <c r="BH13" s="26"/>
      <c r="BI13" s="4" t="s">
        <v>2</v>
      </c>
      <c r="BJ13" s="5">
        <v>65545</v>
      </c>
    </row>
    <row r="14" spans="1:68">
      <c r="J14" s="26"/>
      <c r="K14" s="4" t="s">
        <v>3</v>
      </c>
      <c r="L14" s="5">
        <v>252820</v>
      </c>
      <c r="T14" s="26"/>
      <c r="U14" s="4" t="s">
        <v>3</v>
      </c>
      <c r="V14" s="5">
        <v>513480</v>
      </c>
      <c r="AD14" s="26"/>
      <c r="AE14" s="4" t="s">
        <v>3</v>
      </c>
      <c r="AF14" s="5">
        <v>1023200</v>
      </c>
      <c r="AN14" s="26"/>
      <c r="AO14" s="4" t="s">
        <v>3</v>
      </c>
      <c r="AP14" s="5">
        <v>575170</v>
      </c>
      <c r="AX14" s="26"/>
      <c r="AY14" s="4" t="s">
        <v>3</v>
      </c>
      <c r="AZ14" s="5">
        <v>860430</v>
      </c>
      <c r="BH14" s="26"/>
      <c r="BI14" s="4" t="s">
        <v>3</v>
      </c>
      <c r="BJ14" s="5">
        <v>1168100</v>
      </c>
    </row>
    <row r="15" spans="1:68">
      <c r="J15" s="26"/>
      <c r="K15" s="4" t="s">
        <v>4</v>
      </c>
      <c r="L15" s="5">
        <v>0</v>
      </c>
      <c r="T15" s="26"/>
      <c r="U15" s="4" t="s">
        <v>4</v>
      </c>
      <c r="V15" s="5">
        <v>0</v>
      </c>
      <c r="AD15" s="26"/>
      <c r="AE15" s="4" t="s">
        <v>4</v>
      </c>
      <c r="AF15" s="5">
        <v>0</v>
      </c>
      <c r="AN15" s="26"/>
      <c r="AO15" s="4" t="s">
        <v>4</v>
      </c>
      <c r="AP15" s="5">
        <v>0</v>
      </c>
      <c r="AX15" s="26"/>
      <c r="AY15" s="4" t="s">
        <v>4</v>
      </c>
      <c r="AZ15" s="5">
        <v>0</v>
      </c>
      <c r="BH15" s="26"/>
      <c r="BI15" s="4" t="s">
        <v>4</v>
      </c>
      <c r="BJ15" s="5">
        <v>0</v>
      </c>
    </row>
    <row r="16" spans="1:68">
      <c r="J16" s="26"/>
      <c r="K16" s="4" t="s">
        <v>5</v>
      </c>
      <c r="L16" s="5">
        <v>0</v>
      </c>
      <c r="T16" s="26"/>
      <c r="U16" s="4" t="s">
        <v>5</v>
      </c>
      <c r="V16" s="5">
        <v>0</v>
      </c>
      <c r="AD16" s="26"/>
      <c r="AE16" s="4" t="s">
        <v>5</v>
      </c>
      <c r="AF16" s="5">
        <v>0</v>
      </c>
      <c r="AN16" s="26"/>
      <c r="AO16" s="4" t="s">
        <v>5</v>
      </c>
      <c r="AP16" s="5">
        <v>0</v>
      </c>
      <c r="AX16" s="26"/>
      <c r="AY16" s="4" t="s">
        <v>5</v>
      </c>
      <c r="AZ16" s="5">
        <v>0</v>
      </c>
      <c r="BH16" s="26"/>
      <c r="BI16" s="4" t="s">
        <v>5</v>
      </c>
      <c r="BJ16" s="5">
        <v>0</v>
      </c>
    </row>
    <row r="17" spans="1:62">
      <c r="J17" s="26"/>
      <c r="K17" s="4"/>
      <c r="L17" s="4"/>
      <c r="T17" s="26"/>
      <c r="U17" s="4"/>
      <c r="V17" s="4"/>
      <c r="AD17" s="26"/>
      <c r="AE17" s="4"/>
      <c r="AF17" s="4"/>
      <c r="AN17" s="26"/>
      <c r="AO17" s="4"/>
      <c r="AP17" s="4"/>
      <c r="AX17" s="26"/>
      <c r="AY17" s="4"/>
      <c r="AZ17" s="4"/>
      <c r="BH17" s="26"/>
      <c r="BI17" s="4"/>
      <c r="BJ17" s="4"/>
    </row>
    <row r="18" spans="1:62">
      <c r="J18" s="26">
        <v>400</v>
      </c>
      <c r="K18" s="4" t="s">
        <v>0</v>
      </c>
      <c r="L18" s="5">
        <v>1234000</v>
      </c>
      <c r="T18" s="26">
        <v>400</v>
      </c>
      <c r="U18" s="4" t="s">
        <v>0</v>
      </c>
      <c r="V18" s="5">
        <v>1234000</v>
      </c>
      <c r="AD18" s="26">
        <v>400</v>
      </c>
      <c r="AE18" s="4" t="s">
        <v>0</v>
      </c>
      <c r="AF18" s="5">
        <v>1234000</v>
      </c>
      <c r="AN18" s="26">
        <v>400</v>
      </c>
      <c r="AO18" s="4" t="s">
        <v>0</v>
      </c>
      <c r="AP18" s="5">
        <v>1234000</v>
      </c>
      <c r="AX18" s="26">
        <v>400</v>
      </c>
      <c r="AY18" s="4" t="s">
        <v>0</v>
      </c>
      <c r="AZ18" s="5">
        <v>1234000</v>
      </c>
      <c r="BH18" s="26">
        <v>400</v>
      </c>
      <c r="BI18" s="4" t="s">
        <v>0</v>
      </c>
      <c r="BJ18" s="5">
        <v>1234000</v>
      </c>
    </row>
    <row r="19" spans="1:62">
      <c r="J19" s="26"/>
      <c r="K19" s="4" t="s">
        <v>1</v>
      </c>
      <c r="L19" s="5">
        <v>440200</v>
      </c>
      <c r="T19" s="26"/>
      <c r="U19" s="4" t="s">
        <v>1</v>
      </c>
      <c r="V19" s="5">
        <v>763950</v>
      </c>
      <c r="AD19" s="26"/>
      <c r="AE19" s="4" t="s">
        <v>1</v>
      </c>
      <c r="AF19" s="5">
        <v>1140800</v>
      </c>
      <c r="AN19" s="26"/>
      <c r="AO19" s="4" t="s">
        <v>1</v>
      </c>
      <c r="AP19" s="5">
        <v>869150</v>
      </c>
      <c r="AX19" s="26"/>
      <c r="AY19" s="4" t="s">
        <v>1</v>
      </c>
      <c r="AZ19" s="5">
        <v>1092500</v>
      </c>
      <c r="BH19" s="26"/>
      <c r="BI19" s="4" t="s">
        <v>1</v>
      </c>
      <c r="BJ19" s="5">
        <v>1226100</v>
      </c>
    </row>
    <row r="20" spans="1:62">
      <c r="J20" s="26"/>
      <c r="K20" s="4" t="s">
        <v>2</v>
      </c>
      <c r="L20" s="5">
        <v>793790</v>
      </c>
      <c r="T20" s="26"/>
      <c r="U20" s="4" t="s">
        <v>2</v>
      </c>
      <c r="V20" s="5">
        <v>469980</v>
      </c>
      <c r="AD20" s="26"/>
      <c r="AE20" s="4" t="s">
        <v>2</v>
      </c>
      <c r="AF20" s="5">
        <v>93104</v>
      </c>
      <c r="AN20" s="26"/>
      <c r="AO20" s="4" t="s">
        <v>2</v>
      </c>
      <c r="AP20" s="5">
        <v>364850</v>
      </c>
      <c r="AX20" s="26"/>
      <c r="AY20" s="4" t="s">
        <v>2</v>
      </c>
      <c r="AZ20" s="5">
        <v>141500</v>
      </c>
      <c r="BH20" s="26"/>
      <c r="BI20" s="4" t="s">
        <v>2</v>
      </c>
      <c r="BJ20" s="5">
        <v>7844.5</v>
      </c>
    </row>
    <row r="21" spans="1:62">
      <c r="J21" s="26"/>
      <c r="K21" s="4" t="s">
        <v>3</v>
      </c>
      <c r="L21" s="5">
        <v>438090</v>
      </c>
      <c r="T21" s="26"/>
      <c r="U21" s="4" t="s">
        <v>3</v>
      </c>
      <c r="V21" s="5">
        <v>763050</v>
      </c>
      <c r="AD21" s="26"/>
      <c r="AE21" s="4" t="s">
        <v>3</v>
      </c>
      <c r="AF21" s="5">
        <v>1140200</v>
      </c>
      <c r="AN21" s="26"/>
      <c r="AO21" s="4" t="s">
        <v>3</v>
      </c>
      <c r="AP21" s="5">
        <v>866160</v>
      </c>
      <c r="AX21" s="26"/>
      <c r="AY21" s="4" t="s">
        <v>3</v>
      </c>
      <c r="AZ21" s="5">
        <v>1091500</v>
      </c>
      <c r="BH21" s="26"/>
      <c r="BI21" s="4" t="s">
        <v>3</v>
      </c>
      <c r="BJ21" s="5">
        <v>1225400</v>
      </c>
    </row>
    <row r="22" spans="1:62">
      <c r="J22" s="26"/>
      <c r="K22" s="4" t="s">
        <v>4</v>
      </c>
      <c r="L22" s="5">
        <v>0</v>
      </c>
      <c r="T22" s="26"/>
      <c r="U22" s="4" t="s">
        <v>4</v>
      </c>
      <c r="V22" s="5">
        <v>0</v>
      </c>
      <c r="AD22" s="26"/>
      <c r="AE22" s="4" t="s">
        <v>4</v>
      </c>
      <c r="AF22" s="5">
        <v>0</v>
      </c>
      <c r="AN22" s="26"/>
      <c r="AO22" s="4" t="s">
        <v>4</v>
      </c>
      <c r="AP22" s="5">
        <v>0</v>
      </c>
      <c r="AX22" s="26"/>
      <c r="AY22" s="4" t="s">
        <v>4</v>
      </c>
      <c r="AZ22" s="5">
        <v>0</v>
      </c>
      <c r="BH22" s="26"/>
      <c r="BI22" s="4" t="s">
        <v>4</v>
      </c>
      <c r="BJ22" s="5">
        <v>0</v>
      </c>
    </row>
    <row r="23" spans="1:62">
      <c r="J23" s="26"/>
      <c r="K23" s="4" t="s">
        <v>5</v>
      </c>
      <c r="L23" s="5">
        <v>0</v>
      </c>
      <c r="T23" s="26"/>
      <c r="U23" s="4" t="s">
        <v>5</v>
      </c>
      <c r="V23" s="5">
        <v>0</v>
      </c>
      <c r="AD23" s="26"/>
      <c r="AE23" s="4" t="s">
        <v>5</v>
      </c>
      <c r="AF23" s="5">
        <v>0</v>
      </c>
      <c r="AN23" s="26"/>
      <c r="AO23" s="4" t="s">
        <v>5</v>
      </c>
      <c r="AP23" s="5">
        <v>0</v>
      </c>
      <c r="AX23" s="26"/>
      <c r="AY23" s="4" t="s">
        <v>5</v>
      </c>
      <c r="AZ23" s="5">
        <v>0</v>
      </c>
      <c r="BH23" s="26"/>
      <c r="BI23" s="4" t="s">
        <v>5</v>
      </c>
      <c r="BJ23" s="5">
        <v>0</v>
      </c>
    </row>
    <row r="24" spans="1:62">
      <c r="J24" s="26"/>
      <c r="K24" s="4"/>
      <c r="L24" s="4"/>
      <c r="T24" s="26"/>
      <c r="U24" s="4"/>
      <c r="V24" s="4"/>
      <c r="AD24" s="26"/>
      <c r="AE24" s="4"/>
      <c r="AF24" s="4"/>
      <c r="AN24" s="26"/>
      <c r="AO24" s="4"/>
      <c r="AP24" s="4"/>
      <c r="AX24" s="26"/>
      <c r="AY24" s="4"/>
      <c r="AZ24" s="4"/>
      <c r="BH24" s="26"/>
      <c r="BI24" s="4"/>
      <c r="BJ24" s="4"/>
    </row>
    <row r="25" spans="1:62">
      <c r="A25">
        <f>'Media filter'!C11</f>
        <v>4</v>
      </c>
      <c r="B25" s="21"/>
      <c r="J25" s="26">
        <v>600</v>
      </c>
      <c r="K25" s="4" t="s">
        <v>0</v>
      </c>
      <c r="L25" s="5">
        <v>1234000</v>
      </c>
      <c r="T25" s="26">
        <v>600</v>
      </c>
      <c r="U25" s="4" t="s">
        <v>0</v>
      </c>
      <c r="V25" s="5">
        <v>1234000</v>
      </c>
      <c r="AD25" s="26">
        <v>600</v>
      </c>
      <c r="AE25" s="4" t="s">
        <v>0</v>
      </c>
      <c r="AF25" s="5">
        <v>1234000</v>
      </c>
      <c r="AN25" s="26">
        <v>600</v>
      </c>
      <c r="AO25" s="4" t="s">
        <v>0</v>
      </c>
      <c r="AP25" s="5">
        <v>1234000</v>
      </c>
      <c r="AX25" s="26">
        <v>600</v>
      </c>
      <c r="AY25" s="4" t="s">
        <v>0</v>
      </c>
      <c r="AZ25" s="5">
        <v>1234000</v>
      </c>
      <c r="BH25" s="26">
        <v>600</v>
      </c>
      <c r="BI25" s="4" t="s">
        <v>0</v>
      </c>
      <c r="BJ25" s="5">
        <v>1234000</v>
      </c>
    </row>
    <row r="26" spans="1:62">
      <c r="J26" s="26"/>
      <c r="K26" s="4" t="s">
        <v>1</v>
      </c>
      <c r="L26" s="5">
        <v>585530</v>
      </c>
      <c r="T26" s="26"/>
      <c r="U26" s="4" t="s">
        <v>1</v>
      </c>
      <c r="V26" s="5">
        <v>913340</v>
      </c>
      <c r="AD26" s="26"/>
      <c r="AE26" s="4" t="s">
        <v>1</v>
      </c>
      <c r="AF26" s="5">
        <v>1190300</v>
      </c>
      <c r="AN26" s="26"/>
      <c r="AO26" s="4" t="s">
        <v>1</v>
      </c>
      <c r="AP26" s="5">
        <v>1021600</v>
      </c>
      <c r="AX26" s="26"/>
      <c r="AY26" s="4" t="s">
        <v>1</v>
      </c>
      <c r="AZ26" s="5">
        <v>1172600</v>
      </c>
      <c r="BH26" s="26"/>
      <c r="BI26" s="4" t="s">
        <v>1</v>
      </c>
      <c r="BJ26" s="5">
        <v>1232600</v>
      </c>
    </row>
    <row r="27" spans="1:62">
      <c r="A27" s="120" t="s">
        <v>145</v>
      </c>
      <c r="J27" s="26"/>
      <c r="K27" s="4" t="s">
        <v>2</v>
      </c>
      <c r="L27" s="5">
        <v>648410</v>
      </c>
      <c r="T27" s="26"/>
      <c r="U27" s="4" t="s">
        <v>2</v>
      </c>
      <c r="V27" s="5">
        <v>320620</v>
      </c>
      <c r="AD27" s="26"/>
      <c r="AE27" s="4" t="s">
        <v>2</v>
      </c>
      <c r="AF27" s="5">
        <v>43625</v>
      </c>
      <c r="AN27" s="26"/>
      <c r="AO27" s="4" t="s">
        <v>2</v>
      </c>
      <c r="AP27" s="5">
        <v>212310</v>
      </c>
      <c r="AX27" s="26"/>
      <c r="AY27" s="4" t="s">
        <v>2</v>
      </c>
      <c r="AZ27" s="5">
        <v>61374</v>
      </c>
      <c r="BH27" s="26"/>
      <c r="BI27" s="4" t="s">
        <v>2</v>
      </c>
      <c r="BJ27" s="5">
        <v>1329.7</v>
      </c>
    </row>
    <row r="28" spans="1:62">
      <c r="A28" s="199" t="str">
        <f>AH3</f>
        <v>Filter Area (ft2)</v>
      </c>
      <c r="B28" s="200" t="s">
        <v>11</v>
      </c>
      <c r="C28" s="200"/>
      <c r="D28" s="200"/>
      <c r="E28" s="200" t="s">
        <v>12</v>
      </c>
      <c r="F28" s="200"/>
      <c r="G28" s="200"/>
      <c r="H28" s="6"/>
      <c r="J28" s="26"/>
      <c r="K28" s="4" t="s">
        <v>3</v>
      </c>
      <c r="L28" s="5">
        <v>582860</v>
      </c>
      <c r="T28" s="26"/>
      <c r="U28" s="4" t="s">
        <v>3</v>
      </c>
      <c r="V28" s="5">
        <v>912050</v>
      </c>
      <c r="AD28" s="26"/>
      <c r="AE28" s="4" t="s">
        <v>3</v>
      </c>
      <c r="AF28" s="5">
        <v>1189300</v>
      </c>
      <c r="AN28" s="26"/>
      <c r="AO28" s="4" t="s">
        <v>3</v>
      </c>
      <c r="AP28" s="5">
        <v>1017900</v>
      </c>
      <c r="AX28" s="26"/>
      <c r="AY28" s="4" t="s">
        <v>3</v>
      </c>
      <c r="AZ28" s="5">
        <v>1171200</v>
      </c>
      <c r="BH28" s="26"/>
      <c r="BI28" s="4" t="s">
        <v>3</v>
      </c>
      <c r="BJ28" s="5">
        <v>1231600</v>
      </c>
    </row>
    <row r="29" spans="1:62">
      <c r="A29" s="199"/>
      <c r="B29" s="15" t="s">
        <v>15</v>
      </c>
      <c r="C29" s="15" t="s">
        <v>14</v>
      </c>
      <c r="D29" s="15" t="s">
        <v>13</v>
      </c>
      <c r="E29" s="15" t="s">
        <v>15</v>
      </c>
      <c r="F29" s="15" t="s">
        <v>14</v>
      </c>
      <c r="G29" s="15" t="s">
        <v>13</v>
      </c>
      <c r="H29" s="17"/>
      <c r="J29" s="26"/>
      <c r="K29" s="4" t="s">
        <v>4</v>
      </c>
      <c r="L29" s="5">
        <v>0</v>
      </c>
      <c r="T29" s="26"/>
      <c r="U29" s="4" t="s">
        <v>4</v>
      </c>
      <c r="V29" s="5">
        <v>0</v>
      </c>
      <c r="AD29" s="26"/>
      <c r="AE29" s="4" t="s">
        <v>4</v>
      </c>
      <c r="AF29" s="5">
        <v>0</v>
      </c>
      <c r="AN29" s="26"/>
      <c r="AO29" s="4" t="s">
        <v>4</v>
      </c>
      <c r="AP29" s="5">
        <v>0</v>
      </c>
      <c r="AX29" s="26"/>
      <c r="AY29" s="4" t="s">
        <v>4</v>
      </c>
      <c r="AZ29" s="5">
        <v>0</v>
      </c>
      <c r="BH29" s="26"/>
      <c r="BI29" s="4" t="s">
        <v>4</v>
      </c>
      <c r="BJ29" s="5">
        <v>0</v>
      </c>
    </row>
    <row r="30" spans="1:62">
      <c r="A30" s="10">
        <v>100</v>
      </c>
      <c r="B30" s="2">
        <f t="shared" ref="B30:B35" si="7">O4</f>
        <v>0.1140518638573744</v>
      </c>
      <c r="C30" s="2">
        <f t="shared" ref="C30:C35" si="8">Y4</f>
        <v>0.25292544570502429</v>
      </c>
      <c r="D30" s="2">
        <f t="shared" ref="D30:D35" si="9">AI4</f>
        <v>0.6949918962722853</v>
      </c>
      <c r="E30" s="11">
        <f t="shared" ref="E30:E35" si="10">Q4</f>
        <v>7.8471465533090292</v>
      </c>
      <c r="F30" s="11">
        <f t="shared" ref="F30:F35" si="11">AA4</f>
        <v>2.1129753590850693</v>
      </c>
      <c r="G30" s="9">
        <f t="shared" ref="G30:G35" si="12">AK4</f>
        <v>0.63652103065485288</v>
      </c>
      <c r="H30" s="12"/>
      <c r="J30" s="26"/>
      <c r="K30" s="4" t="s">
        <v>5</v>
      </c>
      <c r="L30" s="5">
        <v>0</v>
      </c>
      <c r="T30" s="26"/>
      <c r="U30" s="4" t="s">
        <v>5</v>
      </c>
      <c r="V30" s="5">
        <v>0</v>
      </c>
      <c r="AD30" s="26"/>
      <c r="AE30" s="4" t="s">
        <v>5</v>
      </c>
      <c r="AF30" s="5">
        <v>0</v>
      </c>
      <c r="AN30" s="26"/>
      <c r="AO30" s="4" t="s">
        <v>5</v>
      </c>
      <c r="AP30" s="5">
        <v>0</v>
      </c>
      <c r="AX30" s="26"/>
      <c r="AY30" s="4" t="s">
        <v>5</v>
      </c>
      <c r="AZ30" s="5">
        <v>0</v>
      </c>
      <c r="BH30" s="26"/>
      <c r="BI30" s="4" t="s">
        <v>5</v>
      </c>
      <c r="BJ30" s="5">
        <v>0</v>
      </c>
    </row>
    <row r="31" spans="1:62">
      <c r="A31" s="10">
        <v>200</v>
      </c>
      <c r="B31" s="2">
        <f t="shared" si="7"/>
        <v>0.20589951377633711</v>
      </c>
      <c r="C31" s="2">
        <f t="shared" si="8"/>
        <v>0.41649108589951378</v>
      </c>
      <c r="D31" s="2">
        <f t="shared" si="9"/>
        <v>0.8294165316045381</v>
      </c>
      <c r="E31" s="11">
        <f t="shared" si="10"/>
        <v>8.8189420797081191</v>
      </c>
      <c r="F31" s="11">
        <f t="shared" si="11"/>
        <v>2.5449177991550873</v>
      </c>
      <c r="G31" s="9">
        <f t="shared" si="12"/>
        <v>1.0027820037876507</v>
      </c>
      <c r="H31" s="12"/>
      <c r="J31" s="26"/>
      <c r="K31" s="4"/>
      <c r="L31" s="4"/>
      <c r="T31" s="26"/>
      <c r="U31" s="4"/>
      <c r="V31" s="4"/>
      <c r="AD31" s="26"/>
      <c r="AE31" s="4"/>
      <c r="AF31" s="4"/>
      <c r="AN31" s="26"/>
      <c r="AO31" s="4"/>
      <c r="AP31" s="4"/>
      <c r="AX31" s="26"/>
      <c r="AY31" s="4"/>
      <c r="AZ31" s="4"/>
      <c r="BH31" s="26"/>
      <c r="BI31" s="4"/>
      <c r="BJ31" s="4"/>
    </row>
    <row r="32" spans="1:62">
      <c r="A32" s="10">
        <v>400</v>
      </c>
      <c r="B32" s="2">
        <f t="shared" si="7"/>
        <v>0.35672609400324151</v>
      </c>
      <c r="C32" s="2">
        <f t="shared" si="8"/>
        <v>0.61908427876823335</v>
      </c>
      <c r="D32" s="2">
        <f t="shared" si="9"/>
        <v>0.92447325769854138</v>
      </c>
      <c r="E32" s="11">
        <f t="shared" si="10"/>
        <v>10.300873808409632</v>
      </c>
      <c r="F32" s="11">
        <f t="shared" si="11"/>
        <v>3.2705848272897597</v>
      </c>
      <c r="G32" s="9">
        <f t="shared" si="12"/>
        <v>1.6774743945515633</v>
      </c>
      <c r="H32" s="12"/>
      <c r="J32" s="26">
        <v>800</v>
      </c>
      <c r="K32" s="4" t="s">
        <v>0</v>
      </c>
      <c r="L32" s="5">
        <v>1234000</v>
      </c>
      <c r="T32" s="26">
        <v>800</v>
      </c>
      <c r="U32" s="4" t="s">
        <v>0</v>
      </c>
      <c r="V32" s="5">
        <v>1234000</v>
      </c>
      <c r="AD32" s="26">
        <v>800</v>
      </c>
      <c r="AE32" s="4" t="s">
        <v>0</v>
      </c>
      <c r="AF32" s="5">
        <v>1234000</v>
      </c>
      <c r="AN32" s="26">
        <v>800</v>
      </c>
      <c r="AO32" s="4" t="s">
        <v>0</v>
      </c>
      <c r="AP32" s="5">
        <v>1234000</v>
      </c>
      <c r="AX32" s="26">
        <v>800</v>
      </c>
      <c r="AY32" s="4" t="s">
        <v>0</v>
      </c>
      <c r="AZ32" s="5">
        <v>1234000</v>
      </c>
      <c r="BH32" s="26">
        <v>800</v>
      </c>
      <c r="BI32" s="4" t="s">
        <v>0</v>
      </c>
      <c r="BJ32" s="5">
        <v>1234000</v>
      </c>
    </row>
    <row r="33" spans="1:62">
      <c r="A33" s="10">
        <v>600</v>
      </c>
      <c r="B33" s="2">
        <f t="shared" si="7"/>
        <v>0.47449756888168559</v>
      </c>
      <c r="C33" s="2">
        <f t="shared" si="8"/>
        <v>0.74014586709886543</v>
      </c>
      <c r="D33" s="2">
        <f t="shared" si="9"/>
        <v>0.96458670988654782</v>
      </c>
      <c r="E33" s="11">
        <f t="shared" si="10"/>
        <v>11.352210437546626</v>
      </c>
      <c r="F33" s="11">
        <f t="shared" si="11"/>
        <v>3.9529262948657138</v>
      </c>
      <c r="G33" s="9">
        <f t="shared" si="12"/>
        <v>2.3356690023356688</v>
      </c>
      <c r="H33" s="12"/>
      <c r="J33" s="26"/>
      <c r="K33" s="4" t="s">
        <v>1</v>
      </c>
      <c r="L33" s="5">
        <v>701340</v>
      </c>
      <c r="T33" s="26"/>
      <c r="U33" s="4" t="s">
        <v>1</v>
      </c>
      <c r="V33" s="5">
        <v>1006700</v>
      </c>
      <c r="AD33" s="26"/>
      <c r="AE33" s="4" t="s">
        <v>1</v>
      </c>
      <c r="AF33" s="5">
        <v>1214000</v>
      </c>
      <c r="AN33" s="26"/>
      <c r="AO33" s="4" t="s">
        <v>1</v>
      </c>
      <c r="AP33" s="5">
        <v>1108700</v>
      </c>
      <c r="AX33" s="26"/>
      <c r="AY33" s="4" t="s">
        <v>1</v>
      </c>
      <c r="AZ33" s="5">
        <v>1209800</v>
      </c>
      <c r="BH33" s="26"/>
      <c r="BI33" s="4" t="s">
        <v>1</v>
      </c>
      <c r="BJ33" s="5">
        <v>1233600</v>
      </c>
    </row>
    <row r="34" spans="1:62">
      <c r="A34" s="10">
        <v>800</v>
      </c>
      <c r="B34" s="2">
        <f t="shared" si="7"/>
        <v>0.56834683954619125</v>
      </c>
      <c r="C34" s="2">
        <f t="shared" si="8"/>
        <v>0.81580226904376008</v>
      </c>
      <c r="D34" s="2">
        <f t="shared" si="9"/>
        <v>0.98379254457050247</v>
      </c>
      <c r="E34" s="11">
        <f t="shared" si="10"/>
        <v>12.334910439739554</v>
      </c>
      <c r="F34" s="11">
        <f t="shared" si="11"/>
        <v>4.6195930138554795</v>
      </c>
      <c r="G34" s="9">
        <f t="shared" si="12"/>
        <v>3.0052075954475397</v>
      </c>
      <c r="H34" s="12"/>
      <c r="J34" s="26"/>
      <c r="K34" s="4" t="s">
        <v>2</v>
      </c>
      <c r="L34" s="5">
        <v>532620</v>
      </c>
      <c r="T34" s="26"/>
      <c r="U34" s="4" t="s">
        <v>2</v>
      </c>
      <c r="V34" s="5">
        <v>227270</v>
      </c>
      <c r="AD34" s="26"/>
      <c r="AE34" s="4" t="s">
        <v>2</v>
      </c>
      <c r="AF34" s="5">
        <v>19914</v>
      </c>
      <c r="AN34" s="26"/>
      <c r="AO34" s="4" t="s">
        <v>2</v>
      </c>
      <c r="AP34" s="5">
        <v>125300</v>
      </c>
      <c r="AX34" s="26"/>
      <c r="AY34" s="4" t="s">
        <v>2</v>
      </c>
      <c r="AZ34" s="5">
        <v>24185</v>
      </c>
      <c r="BH34" s="26"/>
      <c r="BI34" s="4" t="s">
        <v>2</v>
      </c>
      <c r="BJ34" s="5">
        <v>361.66</v>
      </c>
    </row>
    <row r="35" spans="1:62">
      <c r="A35" s="10">
        <v>1000</v>
      </c>
      <c r="B35" s="2">
        <f t="shared" si="7"/>
        <v>0.64491896272285254</v>
      </c>
      <c r="C35" s="2">
        <f t="shared" si="8"/>
        <v>0.86596434359805508</v>
      </c>
      <c r="D35" s="2">
        <f t="shared" si="9"/>
        <v>0.99343598055105353</v>
      </c>
      <c r="E35" s="11">
        <f t="shared" si="10"/>
        <v>13.218521036332048</v>
      </c>
      <c r="F35" s="11">
        <f t="shared" si="11"/>
        <v>5.2895659533309143</v>
      </c>
      <c r="G35" s="9">
        <f t="shared" si="12"/>
        <v>3.6802900489163122</v>
      </c>
      <c r="H35" s="12"/>
      <c r="J35" s="26"/>
      <c r="K35" s="4" t="s">
        <v>3</v>
      </c>
      <c r="L35" s="5">
        <v>697880</v>
      </c>
      <c r="T35" s="26"/>
      <c r="U35" s="4" t="s">
        <v>3</v>
      </c>
      <c r="V35" s="5">
        <v>1005000</v>
      </c>
      <c r="AD35" s="26"/>
      <c r="AE35" s="4" t="s">
        <v>3</v>
      </c>
      <c r="AF35" s="5">
        <v>1212700</v>
      </c>
      <c r="AN35" s="26"/>
      <c r="AO35" s="4" t="s">
        <v>3</v>
      </c>
      <c r="AP35" s="5">
        <v>1104300</v>
      </c>
      <c r="AX35" s="26"/>
      <c r="AY35" s="4" t="s">
        <v>3</v>
      </c>
      <c r="AZ35" s="5">
        <v>1208000</v>
      </c>
      <c r="BH35" s="26"/>
      <c r="BI35" s="4" t="s">
        <v>3</v>
      </c>
      <c r="BJ35" s="5">
        <v>1232300</v>
      </c>
    </row>
    <row r="36" spans="1:62">
      <c r="J36" s="26"/>
      <c r="K36" s="4" t="s">
        <v>4</v>
      </c>
      <c r="L36" s="5">
        <v>0</v>
      </c>
      <c r="T36" s="26"/>
      <c r="U36" s="4" t="s">
        <v>4</v>
      </c>
      <c r="V36" s="5">
        <v>0</v>
      </c>
      <c r="AD36" s="26"/>
      <c r="AE36" s="4" t="s">
        <v>4</v>
      </c>
      <c r="AF36" s="5">
        <v>0</v>
      </c>
      <c r="AN36" s="26"/>
      <c r="AO36" s="4" t="s">
        <v>4</v>
      </c>
      <c r="AP36" s="5">
        <v>0</v>
      </c>
      <c r="AX36" s="26"/>
      <c r="AY36" s="4" t="s">
        <v>4</v>
      </c>
      <c r="AZ36" s="5">
        <v>0</v>
      </c>
      <c r="BH36" s="26"/>
      <c r="BI36" s="4" t="s">
        <v>4</v>
      </c>
      <c r="BJ36" s="5">
        <v>0</v>
      </c>
    </row>
    <row r="37" spans="1:62">
      <c r="A37" s="31"/>
      <c r="J37" s="26"/>
      <c r="K37" s="4" t="s">
        <v>5</v>
      </c>
      <c r="L37" s="5">
        <v>0</v>
      </c>
      <c r="T37" s="26"/>
      <c r="U37" s="4" t="s">
        <v>5</v>
      </c>
      <c r="V37" s="5">
        <v>0</v>
      </c>
      <c r="AD37" s="26"/>
      <c r="AE37" s="4" t="s">
        <v>5</v>
      </c>
      <c r="AF37" s="5">
        <v>0</v>
      </c>
      <c r="AN37" s="26"/>
      <c r="AO37" s="4" t="s">
        <v>5</v>
      </c>
      <c r="AP37" s="5">
        <v>0</v>
      </c>
      <c r="AX37" s="26"/>
      <c r="AY37" s="4" t="s">
        <v>5</v>
      </c>
      <c r="AZ37" s="5">
        <v>0</v>
      </c>
      <c r="BH37" s="26"/>
      <c r="BI37" s="4" t="s">
        <v>5</v>
      </c>
      <c r="BJ37" s="5">
        <v>0</v>
      </c>
    </row>
    <row r="38" spans="1:62">
      <c r="A38" s="122" t="s">
        <v>146</v>
      </c>
      <c r="J38" s="26"/>
      <c r="K38" s="4"/>
      <c r="L38" s="4"/>
      <c r="T38" s="26"/>
      <c r="U38" s="4"/>
      <c r="V38" s="4"/>
      <c r="AD38" s="26"/>
      <c r="AE38" s="4"/>
      <c r="AF38" s="4"/>
      <c r="AN38" s="26"/>
      <c r="AO38" s="4"/>
      <c r="AP38" s="4"/>
      <c r="AX38" s="26"/>
      <c r="AY38" s="4"/>
      <c r="AZ38" s="4"/>
      <c r="BH38" s="26"/>
      <c r="BI38" s="4"/>
      <c r="BJ38" s="4"/>
    </row>
    <row r="39" spans="1:62">
      <c r="A39" s="199">
        <f>AH14</f>
        <v>0</v>
      </c>
      <c r="B39" s="200" t="s">
        <v>11</v>
      </c>
      <c r="C39" s="200"/>
      <c r="D39" s="200"/>
      <c r="E39" s="200" t="s">
        <v>12</v>
      </c>
      <c r="F39" s="200"/>
      <c r="G39" s="200"/>
      <c r="J39" s="26">
        <v>1000</v>
      </c>
      <c r="K39" s="4" t="s">
        <v>0</v>
      </c>
      <c r="L39" s="5">
        <v>1234000</v>
      </c>
      <c r="T39" s="26">
        <v>1000</v>
      </c>
      <c r="U39" s="4" t="s">
        <v>0</v>
      </c>
      <c r="V39" s="5">
        <v>1234000</v>
      </c>
      <c r="AD39" s="26">
        <v>1000</v>
      </c>
      <c r="AE39" s="4" t="s">
        <v>0</v>
      </c>
      <c r="AF39" s="5">
        <v>1234000</v>
      </c>
      <c r="AN39" s="26">
        <v>1000</v>
      </c>
      <c r="AO39" s="4" t="s">
        <v>0</v>
      </c>
      <c r="AP39" s="5">
        <v>1234000</v>
      </c>
      <c r="AX39" s="26">
        <v>1000</v>
      </c>
      <c r="AY39" s="4" t="s">
        <v>0</v>
      </c>
      <c r="AZ39" s="5">
        <v>1234000</v>
      </c>
      <c r="BH39" s="26">
        <v>1000</v>
      </c>
      <c r="BI39" s="4" t="s">
        <v>0</v>
      </c>
      <c r="BJ39" s="5">
        <v>1234000</v>
      </c>
    </row>
    <row r="40" spans="1:62">
      <c r="A40" s="199"/>
      <c r="B40" s="15" t="s">
        <v>15</v>
      </c>
      <c r="C40" s="15" t="s">
        <v>14</v>
      </c>
      <c r="D40" s="15" t="s">
        <v>13</v>
      </c>
      <c r="E40" s="15" t="s">
        <v>15</v>
      </c>
      <c r="F40" s="15" t="s">
        <v>14</v>
      </c>
      <c r="G40" s="15" t="s">
        <v>13</v>
      </c>
      <c r="J40" s="26"/>
      <c r="K40" s="4" t="s">
        <v>1</v>
      </c>
      <c r="L40" s="5">
        <v>795830</v>
      </c>
      <c r="T40" s="26"/>
      <c r="U40" s="4" t="s">
        <v>1</v>
      </c>
      <c r="V40" s="5">
        <v>1068600</v>
      </c>
      <c r="AD40" s="26"/>
      <c r="AE40" s="4" t="s">
        <v>1</v>
      </c>
      <c r="AF40" s="5">
        <v>1225900</v>
      </c>
      <c r="AN40" s="26"/>
      <c r="AO40" s="4" t="s">
        <v>1</v>
      </c>
      <c r="AP40" s="5">
        <v>1156100</v>
      </c>
      <c r="AX40" s="26"/>
      <c r="AY40" s="4" t="s">
        <v>1</v>
      </c>
      <c r="AZ40" s="5">
        <v>1224000</v>
      </c>
      <c r="BH40" s="26"/>
      <c r="BI40" s="4" t="s">
        <v>1</v>
      </c>
      <c r="BJ40" s="5">
        <v>1234000</v>
      </c>
    </row>
    <row r="41" spans="1:62">
      <c r="A41" s="10">
        <v>100</v>
      </c>
      <c r="B41" s="2">
        <f>AS4</f>
        <v>0.27897893030794163</v>
      </c>
      <c r="C41" s="2">
        <f>BC4</f>
        <v>0.48016207455429499</v>
      </c>
      <c r="D41" s="2">
        <f>BM4</f>
        <v>0.85526742301458669</v>
      </c>
      <c r="E41" s="11">
        <f>AU4</f>
        <v>5.6615066077869978</v>
      </c>
      <c r="F41" s="11">
        <f>BE4</f>
        <v>1.490452586574003</v>
      </c>
      <c r="G41" s="9">
        <f>BO4</f>
        <v>0.47167777130905419</v>
      </c>
      <c r="J41" s="26"/>
      <c r="K41" s="4" t="s">
        <v>2</v>
      </c>
      <c r="L41" s="5">
        <v>438110</v>
      </c>
      <c r="T41" s="26"/>
      <c r="U41" s="4" t="s">
        <v>2</v>
      </c>
      <c r="V41" s="5">
        <v>165330</v>
      </c>
      <c r="AD41" s="26"/>
      <c r="AE41" s="4" t="s">
        <v>2</v>
      </c>
      <c r="AF41" s="5">
        <v>8055.4</v>
      </c>
      <c r="AN41" s="26"/>
      <c r="AO41" s="4" t="s">
        <v>2</v>
      </c>
      <c r="AP41" s="5">
        <v>77895</v>
      </c>
      <c r="AX41" s="26"/>
      <c r="AY41" s="4" t="s">
        <v>2</v>
      </c>
      <c r="AZ41" s="5">
        <v>9961.1</v>
      </c>
      <c r="BH41" s="26"/>
      <c r="BI41" s="4" t="s">
        <v>2</v>
      </c>
      <c r="BJ41" s="5">
        <v>0</v>
      </c>
    </row>
    <row r="42" spans="1:62">
      <c r="A42" s="10">
        <v>200</v>
      </c>
      <c r="B42" s="2">
        <f t="shared" ref="B42:B46" si="13">AS5</f>
        <v>0.4676094003241491</v>
      </c>
      <c r="C42" s="2">
        <f t="shared" ref="C42:C46" si="14">BC5</f>
        <v>0.69773905996758512</v>
      </c>
      <c r="D42" s="2">
        <f t="shared" ref="D42:D46" si="15">BM5</f>
        <v>0.94683954619124799</v>
      </c>
      <c r="E42" s="11">
        <f t="shared" ref="E42:E46" si="16">AU5</f>
        <v>6.5953613881162889</v>
      </c>
      <c r="F42" s="11">
        <f t="shared" ref="F42:F46" si="17">BE5</f>
        <v>1.9299696719051558</v>
      </c>
      <c r="G42" s="9">
        <f t="shared" ref="G42:G46" si="18">BO5</f>
        <v>0.79801544957910386</v>
      </c>
      <c r="J42" s="26"/>
      <c r="K42" s="4" t="s">
        <v>3</v>
      </c>
      <c r="L42" s="5">
        <v>791880</v>
      </c>
      <c r="T42" s="26"/>
      <c r="U42" s="4" t="s">
        <v>3</v>
      </c>
      <c r="V42" s="5">
        <v>1066600</v>
      </c>
      <c r="AD42" s="26"/>
      <c r="AE42" s="4" t="s">
        <v>3</v>
      </c>
      <c r="AF42" s="5">
        <v>1224300</v>
      </c>
      <c r="AN42" s="26"/>
      <c r="AO42" s="4" t="s">
        <v>3</v>
      </c>
      <c r="AP42" s="5">
        <v>1151200</v>
      </c>
      <c r="AX42" s="26"/>
      <c r="AY42" s="4" t="s">
        <v>3</v>
      </c>
      <c r="AZ42" s="5">
        <v>1221900</v>
      </c>
      <c r="BH42" s="26"/>
      <c r="BI42" s="4" t="s">
        <v>3</v>
      </c>
      <c r="BJ42" s="5">
        <v>1232400</v>
      </c>
    </row>
    <row r="43" spans="1:62">
      <c r="A43" s="10">
        <v>400</v>
      </c>
      <c r="B43" s="2">
        <f t="shared" si="13"/>
        <v>0.70433549432739062</v>
      </c>
      <c r="C43" s="2">
        <f t="shared" si="14"/>
        <v>0.88533225283630468</v>
      </c>
      <c r="D43" s="2">
        <f t="shared" si="15"/>
        <v>0.99359805510534849</v>
      </c>
      <c r="E43" s="11">
        <f t="shared" si="16"/>
        <v>8.1983533021795907</v>
      </c>
      <c r="F43" s="11">
        <f t="shared" si="17"/>
        <v>2.7115387595097538</v>
      </c>
      <c r="G43" s="9">
        <f t="shared" si="18"/>
        <v>1.4629232550460403</v>
      </c>
      <c r="J43" s="26"/>
      <c r="K43" s="4" t="s">
        <v>4</v>
      </c>
      <c r="L43" s="5">
        <v>0</v>
      </c>
      <c r="T43" s="26"/>
      <c r="U43" s="4" t="s">
        <v>4</v>
      </c>
      <c r="V43" s="5">
        <v>0</v>
      </c>
      <c r="AD43" s="26"/>
      <c r="AE43" s="4" t="s">
        <v>4</v>
      </c>
      <c r="AF43" s="5">
        <v>0</v>
      </c>
      <c r="AN43" s="26"/>
      <c r="AO43" s="4" t="s">
        <v>4</v>
      </c>
      <c r="AP43" s="5">
        <v>0</v>
      </c>
      <c r="AX43" s="26"/>
      <c r="AY43" s="4" t="s">
        <v>4</v>
      </c>
      <c r="AZ43" s="5">
        <v>0</v>
      </c>
      <c r="BH43" s="26"/>
      <c r="BI43" s="4" t="s">
        <v>4</v>
      </c>
      <c r="BJ43" s="5">
        <v>0</v>
      </c>
    </row>
    <row r="44" spans="1:62">
      <c r="A44" s="10">
        <v>600</v>
      </c>
      <c r="B44" s="2">
        <f t="shared" si="13"/>
        <v>0.8278768233387358</v>
      </c>
      <c r="C44" s="2">
        <f t="shared" si="14"/>
        <v>0.9502431118314425</v>
      </c>
      <c r="D44" s="2">
        <f t="shared" si="15"/>
        <v>0.9988654781199352</v>
      </c>
      <c r="E44" s="11">
        <f t="shared" si="16"/>
        <v>9.5659779162566956</v>
      </c>
      <c r="F44" s="11">
        <f t="shared" si="17"/>
        <v>3.4723255652449976</v>
      </c>
      <c r="G44" s="9">
        <f t="shared" si="18"/>
        <v>2.1568591201247282</v>
      </c>
      <c r="J44" s="26"/>
      <c r="K44" s="4" t="s">
        <v>5</v>
      </c>
      <c r="L44" s="5">
        <v>0</v>
      </c>
      <c r="T44" s="26"/>
      <c r="U44" s="4" t="s">
        <v>5</v>
      </c>
      <c r="V44" s="5">
        <v>0</v>
      </c>
      <c r="AD44" s="26"/>
      <c r="AE44" s="4" t="s">
        <v>5</v>
      </c>
      <c r="AF44" s="5">
        <v>0</v>
      </c>
      <c r="AN44" s="26"/>
      <c r="AO44" s="4" t="s">
        <v>5</v>
      </c>
      <c r="AP44" s="5">
        <v>0</v>
      </c>
      <c r="AX44" s="26"/>
      <c r="AY44" s="4" t="s">
        <v>5</v>
      </c>
      <c r="AZ44" s="5">
        <v>0</v>
      </c>
      <c r="BH44" s="26"/>
      <c r="BI44" s="4" t="s">
        <v>5</v>
      </c>
      <c r="BJ44" s="5">
        <v>0</v>
      </c>
    </row>
    <row r="45" spans="1:62">
      <c r="A45" s="10">
        <v>800</v>
      </c>
      <c r="B45" s="2">
        <f t="shared" si="13"/>
        <v>0.89846029173419772</v>
      </c>
      <c r="C45" s="2">
        <f t="shared" si="14"/>
        <v>0.98038897893030796</v>
      </c>
      <c r="D45" s="2">
        <f t="shared" si="15"/>
        <v>0.99967585089141009</v>
      </c>
      <c r="E45" s="11">
        <f t="shared" si="16"/>
        <v>10.810727330290884</v>
      </c>
      <c r="F45" s="11">
        <f t="shared" si="17"/>
        <v>4.2199434527577324</v>
      </c>
      <c r="G45" s="9">
        <f t="shared" si="18"/>
        <v>2.86084443954014</v>
      </c>
      <c r="Y45"/>
      <c r="Z45"/>
      <c r="AA45"/>
      <c r="AB45"/>
      <c r="BC45"/>
      <c r="BD45"/>
      <c r="BE45"/>
      <c r="BF45"/>
    </row>
    <row r="46" spans="1:62">
      <c r="A46" s="10">
        <v>1000</v>
      </c>
      <c r="B46" s="2">
        <f t="shared" si="13"/>
        <v>0.93687196110210702</v>
      </c>
      <c r="C46" s="2">
        <f t="shared" si="14"/>
        <v>0.99189627228525123</v>
      </c>
      <c r="D46" s="2">
        <f t="shared" si="15"/>
        <v>1</v>
      </c>
      <c r="E46" s="11">
        <f t="shared" si="16"/>
        <v>11.953306967753393</v>
      </c>
      <c r="F46" s="11">
        <f t="shared" si="17"/>
        <v>4.9529890581396012</v>
      </c>
      <c r="G46" s="9">
        <f t="shared" si="18"/>
        <v>3.5695563755336486</v>
      </c>
      <c r="Y46"/>
      <c r="Z46"/>
      <c r="AA46"/>
      <c r="AB46"/>
      <c r="BC46"/>
      <c r="BD46"/>
      <c r="BE46"/>
      <c r="BF46"/>
    </row>
    <row r="47" spans="1:62">
      <c r="Y47"/>
      <c r="Z47"/>
      <c r="AA47"/>
      <c r="AB47"/>
      <c r="BC47"/>
      <c r="BD47"/>
      <c r="BE47"/>
      <c r="BF47"/>
    </row>
    <row r="48" spans="1:62">
      <c r="Y48"/>
      <c r="Z48"/>
      <c r="AA48"/>
      <c r="AB48"/>
      <c r="BC48"/>
      <c r="BD48"/>
      <c r="BE48"/>
      <c r="BF48"/>
    </row>
    <row r="49" spans="1:58">
      <c r="A49" s="92" t="s">
        <v>112</v>
      </c>
      <c r="Y49"/>
      <c r="Z49"/>
      <c r="AA49"/>
      <c r="AB49"/>
      <c r="BC49"/>
      <c r="BD49"/>
      <c r="BE49"/>
      <c r="BF49"/>
    </row>
    <row r="50" spans="1:58">
      <c r="A50" s="199">
        <f>AH25</f>
        <v>0</v>
      </c>
      <c r="B50" s="200" t="s">
        <v>11</v>
      </c>
      <c r="C50" s="200"/>
      <c r="D50" s="200"/>
      <c r="E50" s="200" t="s">
        <v>12</v>
      </c>
      <c r="F50" s="200"/>
      <c r="G50" s="200"/>
      <c r="Y50"/>
      <c r="Z50"/>
      <c r="AA50"/>
      <c r="AB50"/>
      <c r="BC50"/>
      <c r="BD50"/>
      <c r="BE50"/>
      <c r="BF50"/>
    </row>
    <row r="51" spans="1:58">
      <c r="A51" s="199"/>
      <c r="B51" s="15" t="s">
        <v>15</v>
      </c>
      <c r="C51" s="15" t="s">
        <v>14</v>
      </c>
      <c r="D51" s="15" t="s">
        <v>13</v>
      </c>
      <c r="E51" s="15" t="s">
        <v>15</v>
      </c>
      <c r="F51" s="15" t="s">
        <v>14</v>
      </c>
      <c r="G51" s="15" t="s">
        <v>13</v>
      </c>
      <c r="Y51"/>
      <c r="Z51"/>
      <c r="AA51"/>
      <c r="AB51"/>
      <c r="BC51"/>
      <c r="BD51"/>
      <c r="BE51"/>
      <c r="BF51"/>
    </row>
    <row r="52" spans="1:58">
      <c r="A52" s="10">
        <v>100</v>
      </c>
      <c r="B52" s="2">
        <f>B30+(($A$25-1)/3)*(B41-B30)</f>
        <v>0.27897893030794163</v>
      </c>
      <c r="C52" s="2">
        <f>C30+(($A$25-1)/3)*(C41-C30)</f>
        <v>0.48016207455429499</v>
      </c>
      <c r="D52" s="2">
        <f>D30+(($A$25-1)/3)*(D41-D30)</f>
        <v>0.85526742301458669</v>
      </c>
      <c r="E52" s="9">
        <f>E30+(($A$25-1)/3)*(E41-E30)</f>
        <v>5.6615066077869978</v>
      </c>
      <c r="F52" s="9">
        <f t="shared" ref="F52:G57" si="19">F30+(($A$25-1)/3)*(F41-F30)</f>
        <v>1.490452586574003</v>
      </c>
      <c r="G52" s="9">
        <f t="shared" si="19"/>
        <v>0.47167777130905419</v>
      </c>
      <c r="Y52"/>
      <c r="Z52"/>
      <c r="AA52"/>
      <c r="AB52"/>
      <c r="BC52"/>
      <c r="BD52"/>
      <c r="BE52"/>
      <c r="BF52"/>
    </row>
    <row r="53" spans="1:58">
      <c r="A53" s="10">
        <v>200</v>
      </c>
      <c r="B53" s="2">
        <f t="shared" ref="B53:E57" si="20">B31+(($A$25-1)/3)*(B42-B31)</f>
        <v>0.4676094003241491</v>
      </c>
      <c r="C53" s="2">
        <f t="shared" si="20"/>
        <v>0.69773905996758512</v>
      </c>
      <c r="D53" s="2">
        <f t="shared" si="20"/>
        <v>0.94683954619124799</v>
      </c>
      <c r="E53" s="9">
        <f t="shared" si="20"/>
        <v>6.5953613881162889</v>
      </c>
      <c r="F53" s="9">
        <f t="shared" si="19"/>
        <v>1.9299696719051558</v>
      </c>
      <c r="G53" s="9">
        <f t="shared" si="19"/>
        <v>0.79801544957910386</v>
      </c>
      <c r="Y53"/>
      <c r="Z53"/>
      <c r="AA53"/>
      <c r="AB53"/>
      <c r="BC53"/>
      <c r="BD53"/>
      <c r="BE53"/>
      <c r="BF53"/>
    </row>
    <row r="54" spans="1:58">
      <c r="A54" s="10">
        <v>400</v>
      </c>
      <c r="B54" s="2">
        <f t="shared" si="20"/>
        <v>0.70433549432739062</v>
      </c>
      <c r="C54" s="2">
        <f t="shared" si="20"/>
        <v>0.88533225283630468</v>
      </c>
      <c r="D54" s="2">
        <f t="shared" si="20"/>
        <v>0.99359805510534849</v>
      </c>
      <c r="E54" s="9">
        <f t="shared" si="20"/>
        <v>8.1983533021795907</v>
      </c>
      <c r="F54" s="9">
        <f t="shared" si="19"/>
        <v>2.7115387595097538</v>
      </c>
      <c r="G54" s="9">
        <f t="shared" si="19"/>
        <v>1.4629232550460403</v>
      </c>
      <c r="Y54"/>
      <c r="Z54"/>
      <c r="AA54"/>
      <c r="AB54"/>
      <c r="BC54"/>
      <c r="BD54"/>
      <c r="BE54"/>
      <c r="BF54"/>
    </row>
    <row r="55" spans="1:58">
      <c r="A55" s="10">
        <v>600</v>
      </c>
      <c r="B55" s="2">
        <f t="shared" si="20"/>
        <v>0.8278768233387358</v>
      </c>
      <c r="C55" s="2">
        <f t="shared" si="20"/>
        <v>0.9502431118314425</v>
      </c>
      <c r="D55" s="2">
        <f t="shared" si="20"/>
        <v>0.9988654781199352</v>
      </c>
      <c r="E55" s="9">
        <f t="shared" si="20"/>
        <v>9.5659779162566956</v>
      </c>
      <c r="F55" s="9">
        <f t="shared" si="19"/>
        <v>3.4723255652449976</v>
      </c>
      <c r="G55" s="9">
        <f t="shared" si="19"/>
        <v>2.1568591201247282</v>
      </c>
      <c r="Y55"/>
      <c r="Z55"/>
      <c r="AA55"/>
      <c r="AB55"/>
      <c r="BC55"/>
      <c r="BD55"/>
      <c r="BE55"/>
      <c r="BF55"/>
    </row>
    <row r="56" spans="1:58">
      <c r="A56" s="10">
        <v>800</v>
      </c>
      <c r="B56" s="2">
        <f t="shared" si="20"/>
        <v>0.89846029173419772</v>
      </c>
      <c r="C56" s="2">
        <f t="shared" si="20"/>
        <v>0.98038897893030796</v>
      </c>
      <c r="D56" s="2">
        <f t="shared" si="20"/>
        <v>0.99967585089141009</v>
      </c>
      <c r="E56" s="9">
        <f t="shared" si="20"/>
        <v>10.810727330290884</v>
      </c>
      <c r="F56" s="9">
        <f t="shared" si="19"/>
        <v>4.2199434527577324</v>
      </c>
      <c r="G56" s="9">
        <f t="shared" si="19"/>
        <v>2.86084443954014</v>
      </c>
      <c r="Y56"/>
      <c r="Z56"/>
      <c r="AA56"/>
      <c r="AB56"/>
      <c r="BC56"/>
      <c r="BD56"/>
      <c r="BE56"/>
      <c r="BF56"/>
    </row>
    <row r="57" spans="1:58">
      <c r="A57" s="10">
        <v>1000</v>
      </c>
      <c r="B57" s="2">
        <f t="shared" si="20"/>
        <v>0.93687196110210702</v>
      </c>
      <c r="C57" s="2">
        <f t="shared" si="20"/>
        <v>0.99189627228525123</v>
      </c>
      <c r="D57" s="2">
        <f t="shared" si="20"/>
        <v>1</v>
      </c>
      <c r="E57" s="9">
        <f t="shared" si="20"/>
        <v>11.953306967753393</v>
      </c>
      <c r="F57" s="9">
        <f t="shared" si="19"/>
        <v>4.9529890581396012</v>
      </c>
      <c r="G57" s="9">
        <f t="shared" si="19"/>
        <v>3.5695563755336486</v>
      </c>
      <c r="Y57"/>
      <c r="Z57"/>
      <c r="AA57"/>
      <c r="AB57"/>
      <c r="BC57"/>
      <c r="BD57"/>
      <c r="BE57"/>
      <c r="BF57"/>
    </row>
    <row r="58" spans="1:58">
      <c r="Y58"/>
      <c r="Z58"/>
      <c r="AA58"/>
      <c r="AB58"/>
      <c r="BC58"/>
      <c r="BD58"/>
      <c r="BE58"/>
      <c r="BF58"/>
    </row>
    <row r="59" spans="1:58">
      <c r="Y59"/>
      <c r="Z59"/>
      <c r="AA59"/>
      <c r="AB59"/>
      <c r="BC59"/>
      <c r="BD59"/>
      <c r="BE59"/>
      <c r="BF59"/>
    </row>
    <row r="60" spans="1:58">
      <c r="Y60"/>
      <c r="Z60"/>
      <c r="AA60"/>
      <c r="AB60"/>
      <c r="BC60"/>
      <c r="BD60"/>
      <c r="BE60"/>
      <c r="BF60"/>
    </row>
    <row r="61" spans="1:58">
      <c r="Y61"/>
      <c r="Z61"/>
      <c r="AA61"/>
      <c r="AB61"/>
      <c r="BC61"/>
      <c r="BD61"/>
      <c r="BE61"/>
      <c r="BF61"/>
    </row>
    <row r="62" spans="1:58">
      <c r="Y62"/>
      <c r="Z62"/>
      <c r="AA62"/>
      <c r="AB62"/>
      <c r="BC62"/>
      <c r="BD62"/>
      <c r="BE62"/>
      <c r="BF62"/>
    </row>
    <row r="63" spans="1:58">
      <c r="Y63"/>
      <c r="Z63"/>
      <c r="AA63"/>
      <c r="AB63"/>
      <c r="BC63"/>
      <c r="BD63"/>
      <c r="BE63"/>
      <c r="BF63"/>
    </row>
    <row r="64" spans="1:58">
      <c r="Y64"/>
      <c r="Z64"/>
      <c r="AA64"/>
      <c r="AB64"/>
      <c r="BC64"/>
      <c r="BD64"/>
      <c r="BE64"/>
      <c r="BF64"/>
    </row>
    <row r="65" spans="25:58">
      <c r="Y65"/>
      <c r="Z65"/>
      <c r="AA65"/>
      <c r="AB65"/>
      <c r="BC65"/>
      <c r="BD65"/>
      <c r="BE65"/>
      <c r="BF65"/>
    </row>
    <row r="66" spans="25:58">
      <c r="Y66"/>
      <c r="Z66"/>
      <c r="AA66"/>
      <c r="AB66"/>
      <c r="BC66"/>
      <c r="BD66"/>
      <c r="BE66"/>
      <c r="BF66"/>
    </row>
    <row r="67" spans="25:58">
      <c r="Y67"/>
      <c r="Z67"/>
      <c r="AA67"/>
      <c r="AB67"/>
      <c r="BC67"/>
      <c r="BD67"/>
      <c r="BE67"/>
      <c r="BF67"/>
    </row>
    <row r="68" spans="25:58">
      <c r="Y68"/>
      <c r="Z68"/>
      <c r="AA68"/>
      <c r="AB68"/>
      <c r="BC68"/>
      <c r="BD68"/>
      <c r="BE68"/>
      <c r="BF68"/>
    </row>
    <row r="69" spans="25:58">
      <c r="Y69"/>
      <c r="Z69"/>
      <c r="AA69"/>
      <c r="AB69"/>
      <c r="BC69"/>
      <c r="BD69"/>
      <c r="BE69"/>
      <c r="BF69"/>
    </row>
    <row r="70" spans="25:58">
      <c r="Y70"/>
      <c r="Z70"/>
      <c r="AA70"/>
      <c r="AB70"/>
      <c r="BC70"/>
      <c r="BD70"/>
      <c r="BE70"/>
      <c r="BF70"/>
    </row>
    <row r="71" spans="25:58">
      <c r="Y71"/>
      <c r="Z71"/>
      <c r="AA71"/>
      <c r="AB71"/>
      <c r="BC71"/>
      <c r="BD71"/>
      <c r="BE71"/>
      <c r="BF71"/>
    </row>
    <row r="72" spans="25:58">
      <c r="Y72"/>
      <c r="Z72"/>
      <c r="AA72"/>
      <c r="AB72"/>
      <c r="BC72"/>
      <c r="BD72"/>
      <c r="BE72"/>
      <c r="BF72"/>
    </row>
    <row r="73" spans="25:58">
      <c r="Y73"/>
      <c r="Z73"/>
      <c r="AA73"/>
      <c r="AB73"/>
      <c r="BC73"/>
      <c r="BD73"/>
      <c r="BE73"/>
      <c r="BF73"/>
    </row>
    <row r="74" spans="25:58">
      <c r="Y74"/>
      <c r="Z74"/>
      <c r="AA74"/>
      <c r="AB74"/>
      <c r="BC74"/>
      <c r="BD74"/>
      <c r="BE74"/>
      <c r="BF74"/>
    </row>
    <row r="75" spans="25:58">
      <c r="Y75"/>
      <c r="Z75"/>
      <c r="AA75"/>
      <c r="AB75"/>
      <c r="BC75"/>
      <c r="BD75"/>
      <c r="BE75"/>
      <c r="BF75"/>
    </row>
    <row r="76" spans="25:58">
      <c r="Y76"/>
      <c r="Z76"/>
      <c r="AA76"/>
      <c r="AB76"/>
      <c r="BC76"/>
      <c r="BD76"/>
      <c r="BE76"/>
      <c r="BF76"/>
    </row>
    <row r="77" spans="25:58">
      <c r="Y77"/>
      <c r="Z77"/>
      <c r="AA77"/>
      <c r="AB77"/>
      <c r="BC77"/>
      <c r="BD77"/>
      <c r="BE77"/>
      <c r="BF77"/>
    </row>
    <row r="78" spans="25:58">
      <c r="Y78"/>
      <c r="Z78"/>
      <c r="AA78"/>
      <c r="AB78"/>
      <c r="BC78"/>
      <c r="BD78"/>
      <c r="BE78"/>
      <c r="BF78"/>
    </row>
    <row r="79" spans="25:58">
      <c r="Y79"/>
      <c r="Z79"/>
      <c r="AA79"/>
      <c r="AB79"/>
      <c r="BC79"/>
      <c r="BD79"/>
      <c r="BE79"/>
      <c r="BF79"/>
    </row>
    <row r="80" spans="25:58">
      <c r="Y80"/>
      <c r="Z80"/>
      <c r="AA80"/>
      <c r="AB80"/>
      <c r="BC80"/>
      <c r="BD80"/>
      <c r="BE80"/>
      <c r="BF80"/>
    </row>
    <row r="81" spans="25:58">
      <c r="Y81"/>
      <c r="Z81"/>
      <c r="AA81"/>
      <c r="AB81"/>
      <c r="BC81"/>
      <c r="BD81"/>
      <c r="BE81"/>
      <c r="BF81"/>
    </row>
    <row r="82" spans="25:58">
      <c r="Y82"/>
      <c r="Z82"/>
      <c r="AA82"/>
      <c r="AB82"/>
      <c r="BC82"/>
      <c r="BD82"/>
      <c r="BE82"/>
      <c r="BF82"/>
    </row>
    <row r="83" spans="25:58">
      <c r="Y83"/>
      <c r="Z83"/>
      <c r="AA83"/>
      <c r="AB83"/>
      <c r="BC83"/>
      <c r="BD83"/>
      <c r="BE83"/>
      <c r="BF83"/>
    </row>
    <row r="84" spans="25:58">
      <c r="Y84"/>
      <c r="Z84"/>
      <c r="AA84"/>
      <c r="AB84"/>
      <c r="BC84"/>
      <c r="BD84"/>
      <c r="BE84"/>
      <c r="BF84"/>
    </row>
    <row r="85" spans="25:58">
      <c r="Y85"/>
      <c r="Z85"/>
      <c r="AA85"/>
      <c r="AB85"/>
      <c r="BC85"/>
      <c r="BD85"/>
      <c r="BE85"/>
      <c r="BF85"/>
    </row>
    <row r="86" spans="25:58">
      <c r="Y86"/>
      <c r="Z86"/>
      <c r="AA86"/>
      <c r="AB86"/>
      <c r="BC86"/>
      <c r="BD86"/>
      <c r="BE86"/>
      <c r="BF86"/>
    </row>
    <row r="87" spans="25:58">
      <c r="Y87"/>
      <c r="Z87"/>
      <c r="AA87"/>
      <c r="AB87"/>
      <c r="BC87"/>
      <c r="BD87"/>
      <c r="BE87"/>
      <c r="BF87"/>
    </row>
    <row r="88" spans="25:58">
      <c r="Y88"/>
      <c r="Z88"/>
      <c r="AA88"/>
      <c r="AB88"/>
      <c r="BC88"/>
      <c r="BD88"/>
      <c r="BE88"/>
      <c r="BF88"/>
    </row>
    <row r="89" spans="25:58">
      <c r="Y89"/>
      <c r="Z89"/>
      <c r="AA89"/>
      <c r="AB89"/>
      <c r="BC89"/>
      <c r="BD89"/>
      <c r="BE89"/>
      <c r="BF89"/>
    </row>
    <row r="90" spans="25:58">
      <c r="Y90"/>
      <c r="Z90"/>
      <c r="AA90"/>
      <c r="AB90"/>
      <c r="BC90"/>
      <c r="BD90"/>
      <c r="BE90"/>
      <c r="BF90"/>
    </row>
    <row r="91" spans="25:58">
      <c r="Y91"/>
      <c r="Z91"/>
      <c r="AA91"/>
      <c r="AB91"/>
      <c r="BC91"/>
      <c r="BD91"/>
      <c r="BE91"/>
      <c r="BF91"/>
    </row>
    <row r="92" spans="25:58">
      <c r="Y92"/>
      <c r="Z92"/>
      <c r="AA92"/>
      <c r="AB92"/>
      <c r="BC92"/>
      <c r="BD92"/>
      <c r="BE92"/>
      <c r="BF92"/>
    </row>
    <row r="93" spans="25:58">
      <c r="Y93"/>
      <c r="Z93"/>
      <c r="AA93"/>
      <c r="AB93"/>
      <c r="BC93"/>
      <c r="BD93"/>
      <c r="BE93"/>
      <c r="BF93"/>
    </row>
    <row r="94" spans="25:58">
      <c r="Y94"/>
      <c r="Z94"/>
      <c r="AA94"/>
      <c r="AB94"/>
      <c r="BC94"/>
      <c r="BD94"/>
      <c r="BE94"/>
      <c r="BF94"/>
    </row>
    <row r="95" spans="25:58">
      <c r="Y95"/>
      <c r="Z95"/>
      <c r="AA95"/>
      <c r="AB95"/>
      <c r="BC95"/>
      <c r="BD95"/>
      <c r="BE95"/>
      <c r="BF95"/>
    </row>
    <row r="96" spans="25:58">
      <c r="Y96"/>
      <c r="Z96"/>
      <c r="AA96"/>
      <c r="AB96"/>
      <c r="BC96"/>
      <c r="BD96"/>
      <c r="BE96"/>
      <c r="BF96"/>
    </row>
    <row r="97" spans="25:58">
      <c r="Y97"/>
      <c r="Z97"/>
      <c r="AA97"/>
      <c r="AB97"/>
      <c r="BC97"/>
      <c r="BD97"/>
      <c r="BE97"/>
      <c r="BF97"/>
    </row>
    <row r="98" spans="25:58">
      <c r="Y98"/>
      <c r="Z98"/>
      <c r="AA98"/>
      <c r="AB98"/>
      <c r="BC98"/>
      <c r="BD98"/>
      <c r="BE98"/>
      <c r="BF98"/>
    </row>
    <row r="99" spans="25:58">
      <c r="Y99"/>
      <c r="Z99"/>
      <c r="AA99"/>
      <c r="AB99"/>
      <c r="BC99"/>
      <c r="BD99"/>
      <c r="BE99"/>
      <c r="BF99"/>
    </row>
    <row r="100" spans="25:58">
      <c r="Y100"/>
      <c r="Z100"/>
      <c r="AA100"/>
      <c r="AB100"/>
      <c r="BC100"/>
      <c r="BD100"/>
      <c r="BE100"/>
      <c r="BF100"/>
    </row>
    <row r="101" spans="25:58">
      <c r="Y101"/>
      <c r="Z101"/>
      <c r="AA101"/>
      <c r="AB101"/>
      <c r="BC101"/>
      <c r="BD101"/>
      <c r="BE101"/>
      <c r="BF101"/>
    </row>
    <row r="102" spans="25:58">
      <c r="Y102"/>
      <c r="Z102"/>
      <c r="AA102"/>
      <c r="AB102"/>
      <c r="BC102"/>
      <c r="BD102"/>
      <c r="BE102"/>
      <c r="BF102"/>
    </row>
    <row r="103" spans="25:58">
      <c r="Y103"/>
      <c r="Z103"/>
      <c r="AA103"/>
      <c r="AB103"/>
      <c r="BC103"/>
      <c r="BD103"/>
      <c r="BE103"/>
      <c r="BF103"/>
    </row>
    <row r="104" spans="25:58">
      <c r="Y104"/>
      <c r="Z104"/>
      <c r="AA104"/>
      <c r="AB104"/>
      <c r="BC104"/>
      <c r="BD104"/>
      <c r="BE104"/>
      <c r="BF104"/>
    </row>
    <row r="105" spans="25:58">
      <c r="Y105"/>
      <c r="Z105"/>
      <c r="AA105"/>
      <c r="AB105"/>
      <c r="BC105"/>
      <c r="BD105"/>
      <c r="BE105"/>
      <c r="BF105"/>
    </row>
    <row r="106" spans="25:58">
      <c r="Y106"/>
      <c r="Z106"/>
      <c r="AA106"/>
      <c r="AB106"/>
      <c r="BC106"/>
      <c r="BD106"/>
      <c r="BE106"/>
      <c r="BF106"/>
    </row>
    <row r="107" spans="25:58">
      <c r="Y107"/>
      <c r="Z107"/>
      <c r="AA107"/>
      <c r="AB107"/>
      <c r="BC107"/>
      <c r="BD107"/>
      <c r="BE107"/>
      <c r="BF107"/>
    </row>
    <row r="108" spans="25:58">
      <c r="Y108"/>
      <c r="Z108"/>
      <c r="AA108"/>
      <c r="AB108"/>
      <c r="BC108"/>
      <c r="BD108"/>
      <c r="BE108"/>
      <c r="BF108"/>
    </row>
    <row r="109" spans="25:58">
      <c r="Y109"/>
      <c r="Z109"/>
      <c r="AA109"/>
      <c r="AB109"/>
      <c r="BC109"/>
      <c r="BD109"/>
      <c r="BE109"/>
      <c r="BF109"/>
    </row>
    <row r="110" spans="25:58">
      <c r="Y110"/>
      <c r="Z110"/>
      <c r="AA110"/>
      <c r="AB110"/>
      <c r="BC110"/>
      <c r="BD110"/>
      <c r="BE110"/>
      <c r="BF110"/>
    </row>
    <row r="111" spans="25:58">
      <c r="Y111"/>
      <c r="Z111"/>
      <c r="AA111"/>
      <c r="AB111"/>
      <c r="BC111"/>
      <c r="BD111"/>
      <c r="BE111"/>
      <c r="BF111"/>
    </row>
    <row r="112" spans="25:58">
      <c r="Y112"/>
      <c r="Z112"/>
      <c r="AA112"/>
      <c r="AB112"/>
      <c r="BC112"/>
      <c r="BD112"/>
      <c r="BE112"/>
      <c r="BF112"/>
    </row>
    <row r="113" spans="25:58">
      <c r="Y113"/>
      <c r="Z113"/>
      <c r="AA113"/>
      <c r="AB113"/>
      <c r="BC113"/>
      <c r="BD113"/>
      <c r="BE113"/>
      <c r="BF113"/>
    </row>
    <row r="114" spans="25:58">
      <c r="Y114"/>
      <c r="Z114"/>
      <c r="AA114"/>
      <c r="AB114"/>
      <c r="BC114"/>
      <c r="BD114"/>
      <c r="BE114"/>
      <c r="BF114"/>
    </row>
    <row r="115" spans="25:58">
      <c r="Y115"/>
      <c r="Z115"/>
      <c r="AA115"/>
      <c r="AB115"/>
      <c r="BC115"/>
      <c r="BD115"/>
      <c r="BE115"/>
      <c r="BF115"/>
    </row>
    <row r="116" spans="25:58">
      <c r="Y116"/>
      <c r="Z116"/>
      <c r="AA116"/>
      <c r="AB116"/>
      <c r="BC116"/>
      <c r="BD116"/>
      <c r="BE116"/>
      <c r="BF116"/>
    </row>
    <row r="117" spans="25:58">
      <c r="Y117"/>
      <c r="Z117"/>
      <c r="AA117"/>
      <c r="AB117"/>
      <c r="BC117"/>
      <c r="BD117"/>
      <c r="BE117"/>
      <c r="BF117"/>
    </row>
    <row r="118" spans="25:58">
      <c r="Y118"/>
      <c r="Z118"/>
      <c r="AA118"/>
      <c r="AB118"/>
      <c r="BC118"/>
      <c r="BD118"/>
      <c r="BE118"/>
      <c r="BF118"/>
    </row>
    <row r="119" spans="25:58">
      <c r="Y119"/>
      <c r="Z119"/>
      <c r="AA119"/>
      <c r="AB119"/>
      <c r="BC119"/>
      <c r="BD119"/>
      <c r="BE119"/>
      <c r="BF119"/>
    </row>
    <row r="120" spans="25:58">
      <c r="Y120"/>
      <c r="Z120"/>
      <c r="AA120"/>
      <c r="AB120"/>
      <c r="BC120"/>
      <c r="BD120"/>
      <c r="BE120"/>
      <c r="BF120"/>
    </row>
    <row r="121" spans="25:58">
      <c r="Y121"/>
      <c r="Z121"/>
      <c r="AA121"/>
      <c r="AB121"/>
      <c r="BC121"/>
      <c r="BD121"/>
      <c r="BE121"/>
      <c r="BF121"/>
    </row>
    <row r="122" spans="25:58">
      <c r="Y122"/>
      <c r="Z122"/>
      <c r="AA122"/>
      <c r="AB122"/>
      <c r="BC122"/>
      <c r="BD122"/>
      <c r="BE122"/>
      <c r="BF122"/>
    </row>
    <row r="123" spans="25:58">
      <c r="Y123"/>
      <c r="Z123"/>
      <c r="AA123"/>
      <c r="AB123"/>
      <c r="BC123"/>
      <c r="BD123"/>
      <c r="BE123"/>
      <c r="BF123"/>
    </row>
    <row r="124" spans="25:58">
      <c r="Y124"/>
      <c r="Z124"/>
      <c r="AA124"/>
      <c r="AB124"/>
      <c r="BC124"/>
      <c r="BD124"/>
      <c r="BE124"/>
      <c r="BF124"/>
    </row>
    <row r="125" spans="25:58">
      <c r="Y125"/>
      <c r="Z125"/>
      <c r="AA125"/>
      <c r="AB125"/>
      <c r="BC125"/>
      <c r="BD125"/>
      <c r="BE125"/>
      <c r="BF125"/>
    </row>
    <row r="126" spans="25:58">
      <c r="Y126"/>
      <c r="Z126"/>
      <c r="AA126"/>
      <c r="AB126"/>
      <c r="BC126"/>
      <c r="BD126"/>
      <c r="BE126"/>
      <c r="BF126"/>
    </row>
    <row r="127" spans="25:58">
      <c r="Y127"/>
      <c r="Z127"/>
      <c r="AA127"/>
      <c r="AB127"/>
      <c r="BC127"/>
      <c r="BD127"/>
      <c r="BE127"/>
      <c r="BF127"/>
    </row>
    <row r="128" spans="25:58">
      <c r="Y128"/>
      <c r="Z128"/>
      <c r="AA128"/>
      <c r="AB128"/>
      <c r="BC128"/>
      <c r="BD128"/>
      <c r="BE128"/>
      <c r="BF128"/>
    </row>
    <row r="129" spans="25:58">
      <c r="Y129"/>
      <c r="Z129"/>
      <c r="AA129"/>
      <c r="AB129"/>
      <c r="BC129"/>
      <c r="BD129"/>
      <c r="BE129"/>
      <c r="BF129"/>
    </row>
    <row r="130" spans="25:58">
      <c r="Y130"/>
      <c r="Z130"/>
      <c r="AA130"/>
      <c r="AB130"/>
      <c r="BC130"/>
      <c r="BD130"/>
      <c r="BE130"/>
      <c r="BF130"/>
    </row>
    <row r="131" spans="25:58">
      <c r="Y131"/>
      <c r="Z131"/>
      <c r="AA131"/>
      <c r="AB131"/>
      <c r="BC131"/>
      <c r="BD131"/>
      <c r="BE131"/>
      <c r="BF131"/>
    </row>
    <row r="132" spans="25:58">
      <c r="Y132"/>
      <c r="Z132"/>
      <c r="AA132"/>
      <c r="AB132"/>
      <c r="BC132"/>
      <c r="BD132"/>
      <c r="BE132"/>
      <c r="BF132"/>
    </row>
    <row r="133" spans="25:58">
      <c r="Y133"/>
      <c r="Z133"/>
      <c r="AA133"/>
      <c r="AB133"/>
      <c r="BC133"/>
      <c r="BD133"/>
      <c r="BE133"/>
      <c r="BF133"/>
    </row>
    <row r="134" spans="25:58">
      <c r="Y134"/>
      <c r="Z134"/>
      <c r="AA134"/>
      <c r="AB134"/>
      <c r="BC134"/>
      <c r="BD134"/>
      <c r="BE134"/>
      <c r="BF134"/>
    </row>
    <row r="135" spans="25:58">
      <c r="Y135"/>
      <c r="Z135"/>
      <c r="AA135"/>
      <c r="AB135"/>
      <c r="BC135"/>
      <c r="BD135"/>
      <c r="BE135"/>
      <c r="BF135"/>
    </row>
    <row r="136" spans="25:58">
      <c r="Y136"/>
      <c r="Z136"/>
      <c r="AA136"/>
      <c r="AB136"/>
      <c r="BC136"/>
      <c r="BD136"/>
      <c r="BE136"/>
      <c r="BF136"/>
    </row>
    <row r="137" spans="25:58">
      <c r="Y137"/>
      <c r="Z137"/>
      <c r="AA137"/>
      <c r="AB137"/>
      <c r="BC137"/>
      <c r="BD137"/>
      <c r="BE137"/>
      <c r="BF137"/>
    </row>
    <row r="138" spans="25:58">
      <c r="Y138"/>
      <c r="Z138"/>
      <c r="AA138"/>
      <c r="AB138"/>
      <c r="BC138"/>
      <c r="BD138"/>
      <c r="BE138"/>
      <c r="BF138"/>
    </row>
    <row r="139" spans="25:58">
      <c r="Y139"/>
      <c r="Z139"/>
      <c r="AA139"/>
      <c r="AB139"/>
      <c r="BC139"/>
      <c r="BD139"/>
      <c r="BE139"/>
      <c r="BF139"/>
    </row>
    <row r="140" spans="25:58">
      <c r="Y140"/>
      <c r="Z140"/>
      <c r="AA140"/>
      <c r="AB140"/>
      <c r="BC140"/>
      <c r="BD140"/>
      <c r="BE140"/>
      <c r="BF140"/>
    </row>
    <row r="141" spans="25:58">
      <c r="Y141"/>
      <c r="Z141"/>
      <c r="AA141"/>
      <c r="AB141"/>
      <c r="BC141"/>
      <c r="BD141"/>
      <c r="BE141"/>
      <c r="BF141"/>
    </row>
    <row r="142" spans="25:58">
      <c r="Y142"/>
      <c r="Z142"/>
      <c r="AA142"/>
      <c r="AB142"/>
      <c r="BC142"/>
      <c r="BD142"/>
      <c r="BE142"/>
      <c r="BF142"/>
    </row>
    <row r="143" spans="25:58">
      <c r="Y143"/>
      <c r="Z143"/>
      <c r="AA143"/>
      <c r="AB143"/>
      <c r="BC143"/>
      <c r="BD143"/>
      <c r="BE143"/>
      <c r="BF143"/>
    </row>
    <row r="144" spans="25:58">
      <c r="Y144"/>
      <c r="Z144"/>
      <c r="AA144"/>
      <c r="AB144"/>
      <c r="BC144"/>
      <c r="BD144"/>
      <c r="BE144"/>
      <c r="BF144"/>
    </row>
    <row r="145" spans="25:58">
      <c r="Y145"/>
      <c r="Z145"/>
      <c r="AA145"/>
      <c r="AB145"/>
      <c r="BC145"/>
      <c r="BD145"/>
      <c r="BE145"/>
      <c r="BF145"/>
    </row>
    <row r="146" spans="25:58">
      <c r="Y146"/>
      <c r="Z146"/>
      <c r="AA146"/>
      <c r="AB146"/>
      <c r="BC146"/>
      <c r="BD146"/>
      <c r="BE146"/>
      <c r="BF146"/>
    </row>
    <row r="147" spans="25:58">
      <c r="Y147"/>
      <c r="Z147"/>
      <c r="AA147"/>
      <c r="AB147"/>
      <c r="BC147"/>
      <c r="BD147"/>
      <c r="BE147"/>
      <c r="BF147"/>
    </row>
    <row r="148" spans="25:58">
      <c r="Y148"/>
      <c r="Z148"/>
      <c r="AA148"/>
      <c r="AB148"/>
      <c r="BC148"/>
      <c r="BD148"/>
      <c r="BE148"/>
      <c r="BF148"/>
    </row>
    <row r="149" spans="25:58">
      <c r="Y149"/>
      <c r="Z149"/>
      <c r="AA149"/>
      <c r="AB149"/>
      <c r="BC149"/>
      <c r="BD149"/>
      <c r="BE149"/>
      <c r="BF149"/>
    </row>
    <row r="150" spans="25:58">
      <c r="Y150"/>
      <c r="Z150"/>
      <c r="AA150"/>
      <c r="AB150"/>
      <c r="BC150"/>
      <c r="BD150"/>
      <c r="BE150"/>
      <c r="BF150"/>
    </row>
  </sheetData>
  <mergeCells count="9">
    <mergeCell ref="A50:A51"/>
    <mergeCell ref="B50:D50"/>
    <mergeCell ref="E50:G50"/>
    <mergeCell ref="A28:A29"/>
    <mergeCell ref="B28:D28"/>
    <mergeCell ref="E28:G28"/>
    <mergeCell ref="A39:A40"/>
    <mergeCell ref="B39:D39"/>
    <mergeCell ref="E39:G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Description and Assumptions</vt:lpstr>
      <vt:lpstr>Detention</vt:lpstr>
      <vt:lpstr>Media filter</vt:lpstr>
      <vt:lpstr>Northeast-DT</vt:lpstr>
      <vt:lpstr>Northeast-MF</vt:lpstr>
      <vt:lpstr>Northeast Coastal-DT</vt:lpstr>
      <vt:lpstr>Northeast Coastal-MF</vt:lpstr>
      <vt:lpstr>Mid-Atlantic-DT</vt:lpstr>
      <vt:lpstr>Mid-Atlantic-MF</vt:lpstr>
      <vt:lpstr>Central-DT</vt:lpstr>
      <vt:lpstr>Central-MF</vt:lpstr>
      <vt:lpstr>North Central-DT</vt:lpstr>
      <vt:lpstr>North Central-MF</vt:lpstr>
      <vt:lpstr>Southeast-DT</vt:lpstr>
      <vt:lpstr>Southeast-MF</vt:lpstr>
      <vt:lpstr>East Gulf-DT</vt:lpstr>
      <vt:lpstr>East Gulf-MF</vt:lpstr>
      <vt:lpstr>East Texas-DT</vt:lpstr>
      <vt:lpstr>East Texas-MF</vt:lpstr>
      <vt:lpstr>West Texas-DT</vt:lpstr>
      <vt:lpstr>West Texas-MF</vt:lpstr>
      <vt:lpstr>Southwest-DT</vt:lpstr>
      <vt:lpstr>Southwest-MF</vt:lpstr>
      <vt:lpstr>West Inland-DT</vt:lpstr>
      <vt:lpstr>West Inland-MF</vt:lpstr>
      <vt:lpstr>Pacific Southwest-DT</vt:lpstr>
      <vt:lpstr>Pacific Southwest-MF</vt:lpstr>
      <vt:lpstr>Northwest Inland-DT</vt:lpstr>
      <vt:lpstr>Northwest Inland-MF</vt:lpstr>
      <vt:lpstr>Pacific Central-DT</vt:lpstr>
      <vt:lpstr>Pacific Central-MF</vt:lpstr>
      <vt:lpstr>Pacific Northwest-DT</vt:lpstr>
      <vt:lpstr>Pacific Northwest-MF</vt:lpstr>
      <vt:lpstr>rain zones</vt:lpstr>
      <vt:lpstr>Example SWMM files</vt:lpstr>
    </vt:vector>
  </TitlesOfParts>
  <Company>Geosyntec Consultants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Andi Thayumanavan</dc:creator>
  <cp:lastModifiedBy>krathfelder</cp:lastModifiedBy>
  <dcterms:created xsi:type="dcterms:W3CDTF">2010-03-23T16:51:49Z</dcterms:created>
  <dcterms:modified xsi:type="dcterms:W3CDTF">2012-09-18T20:22:47Z</dcterms:modified>
</cp:coreProperties>
</file>