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915" yWindow="-375" windowWidth="12885" windowHeight="12045" tabRatio="648" activeTab="2"/>
  </bookViews>
  <sheets>
    <sheet name="DISCLAIMER" sheetId="7" r:id="rId1"/>
    <sheet name="Cover_Page" sheetId="6" r:id="rId2"/>
    <sheet name="Scenario Inputs" sheetId="1" r:id="rId3"/>
    <sheet name="No_mitigation_calc" sheetId="2" r:id="rId4"/>
    <sheet name="Mitigation_calc" sheetId="4" r:id="rId5"/>
    <sheet name="Scenario results" sheetId="3" r:id="rId6"/>
    <sheet name="Case Study Inputs" sheetId="8" r:id="rId7"/>
    <sheet name="Case Study Results" sheetId="9" r:id="rId8"/>
  </sheets>
  <calcPr calcId="145621"/>
</workbook>
</file>

<file path=xl/calcChain.xml><?xml version="1.0" encoding="utf-8"?>
<calcChain xmlns="http://schemas.openxmlformats.org/spreadsheetml/2006/main">
  <c r="N23" i="1" l="1"/>
  <c r="L23" i="1"/>
  <c r="M8" i="1"/>
  <c r="G15" i="9"/>
  <c r="D15" i="9"/>
  <c r="I14" i="9"/>
  <c r="M11" i="1"/>
  <c r="M9" i="1"/>
  <c r="M23" i="1"/>
  <c r="I10" i="9"/>
  <c r="I9" i="9"/>
  <c r="P13" i="8" l="1"/>
  <c r="S13" i="8" s="1"/>
  <c r="J13" i="8"/>
  <c r="M13" i="8" s="1"/>
  <c r="R12" i="8"/>
  <c r="R13" i="8" s="1"/>
  <c r="L12" i="8"/>
  <c r="L13" i="8" s="1"/>
  <c r="P9" i="8"/>
  <c r="J9" i="8"/>
  <c r="R8" i="8"/>
  <c r="L8" i="8"/>
  <c r="R7" i="8"/>
  <c r="L7" i="8"/>
  <c r="R6" i="8"/>
  <c r="L6" i="8"/>
  <c r="J16" i="8" l="1"/>
  <c r="P16" i="8"/>
  <c r="R9" i="8"/>
  <c r="R16" i="8" s="1"/>
  <c r="L9" i="8"/>
  <c r="L16" i="8" s="1"/>
  <c r="S9" i="8"/>
  <c r="M9" i="8"/>
  <c r="E33" i="3" l="1"/>
  <c r="M18" i="1" l="1"/>
  <c r="L18" i="1" l="1"/>
  <c r="L10" i="1"/>
  <c r="K15" i="3"/>
  <c r="I15" i="3"/>
  <c r="K14" i="3"/>
  <c r="I14" i="3"/>
  <c r="E11" i="2" l="1"/>
  <c r="E32" i="2" s="1"/>
  <c r="E9" i="3" s="1"/>
  <c r="E8" i="2"/>
  <c r="M10" i="1"/>
  <c r="N10" i="1"/>
  <c r="G33" i="3"/>
  <c r="K7" i="3"/>
  <c r="J7" i="3"/>
  <c r="E31" i="3"/>
  <c r="E32" i="3"/>
  <c r="G32" i="3"/>
  <c r="G46" i="4"/>
  <c r="G31" i="3" s="1"/>
  <c r="E46" i="4"/>
  <c r="E3" i="3"/>
  <c r="G3" i="3"/>
  <c r="F1" i="3"/>
  <c r="E1" i="3"/>
  <c r="E21" i="3"/>
  <c r="E23" i="3"/>
  <c r="G45" i="4"/>
  <c r="G30" i="3" s="1"/>
  <c r="E45" i="4"/>
  <c r="E30" i="3" s="1"/>
  <c r="G41" i="4"/>
  <c r="G26" i="3" s="1"/>
  <c r="E41" i="4"/>
  <c r="E26" i="3" s="1"/>
  <c r="E17" i="4"/>
  <c r="G17" i="4"/>
  <c r="I6" i="4"/>
  <c r="I7" i="4"/>
  <c r="I4" i="4"/>
  <c r="G13" i="4"/>
  <c r="G40" i="4" s="1"/>
  <c r="G25" i="3" s="1"/>
  <c r="E13" i="4"/>
  <c r="E40" i="4" s="1"/>
  <c r="E25" i="3" s="1"/>
  <c r="E44" i="4"/>
  <c r="E29" i="3" s="1"/>
  <c r="G43" i="4"/>
  <c r="G28" i="3" s="1"/>
  <c r="E43" i="4"/>
  <c r="E28" i="3" s="1"/>
  <c r="G39" i="4"/>
  <c r="G24" i="3" s="1"/>
  <c r="E39" i="4"/>
  <c r="E24" i="3" s="1"/>
  <c r="G38" i="4"/>
  <c r="G23" i="3" s="1"/>
  <c r="G30" i="4"/>
  <c r="E30" i="4"/>
  <c r="G29" i="4"/>
  <c r="E29" i="4"/>
  <c r="G24" i="4"/>
  <c r="G44" i="4" s="1"/>
  <c r="G29" i="3" s="1"/>
  <c r="E24" i="4"/>
  <c r="G23" i="4"/>
  <c r="E23" i="4"/>
  <c r="G21" i="4"/>
  <c r="E21" i="4"/>
  <c r="E8" i="4"/>
  <c r="E7" i="4"/>
  <c r="E6" i="4"/>
  <c r="F1" i="4"/>
  <c r="E1" i="4"/>
  <c r="E6" i="3"/>
  <c r="G14" i="3"/>
  <c r="E17" i="3"/>
  <c r="G17" i="3"/>
  <c r="G33" i="2"/>
  <c r="G10" i="3" s="1"/>
  <c r="G34" i="2"/>
  <c r="G11" i="3" s="1"/>
  <c r="G35" i="2"/>
  <c r="G12" i="3" s="1"/>
  <c r="G32" i="2"/>
  <c r="G9" i="3" s="1"/>
  <c r="G37" i="2"/>
  <c r="E39" i="2"/>
  <c r="E16" i="3" s="1"/>
  <c r="E38" i="2"/>
  <c r="E15" i="3" s="1"/>
  <c r="E37" i="2"/>
  <c r="E14" i="3" s="1"/>
  <c r="E33" i="2"/>
  <c r="E10" i="3" s="1"/>
  <c r="E34" i="2"/>
  <c r="E11" i="3" s="1"/>
  <c r="E35" i="2"/>
  <c r="E12" i="3" s="1"/>
  <c r="G24" i="2"/>
  <c r="G23" i="2"/>
  <c r="E24" i="2"/>
  <c r="E23" i="2"/>
  <c r="G18" i="2"/>
  <c r="G38" i="2" s="1"/>
  <c r="G15" i="3" s="1"/>
  <c r="E18" i="2"/>
  <c r="G19" i="2"/>
  <c r="G39" i="2" s="1"/>
  <c r="G16" i="3" s="1"/>
  <c r="E19" i="2"/>
  <c r="G16" i="2"/>
  <c r="E16" i="2"/>
  <c r="J7" i="2"/>
  <c r="E7" i="2"/>
  <c r="E9" i="2"/>
  <c r="E6" i="2"/>
  <c r="E1" i="2"/>
  <c r="F1" i="2"/>
  <c r="F2" i="1" l="1"/>
  <c r="N18" i="1"/>
  <c r="F11" i="1" l="1"/>
  <c r="J6" i="2" s="1"/>
  <c r="F9" i="1"/>
  <c r="F7" i="4" s="1"/>
  <c r="F8" i="1"/>
  <c r="F6" i="4" s="1"/>
  <c r="F23" i="1"/>
  <c r="J14" i="3" s="1"/>
  <c r="F24" i="1"/>
  <c r="J15" i="3" s="1"/>
  <c r="F10" i="1"/>
  <c r="F19" i="1"/>
  <c r="F19" i="2" s="1"/>
  <c r="F20" i="1"/>
  <c r="J4" i="3" s="1"/>
  <c r="F12" i="1"/>
  <c r="F16" i="1"/>
  <c r="F16" i="2" s="1"/>
  <c r="F17" i="1"/>
  <c r="F23" i="2" s="1"/>
  <c r="F18" i="1"/>
  <c r="L3" i="3" s="1"/>
  <c r="L2" i="3" l="1"/>
  <c r="F9" i="2"/>
  <c r="F8" i="2"/>
  <c r="F11" i="2"/>
  <c r="F3" i="3"/>
  <c r="F8" i="4"/>
  <c r="F13" i="4"/>
  <c r="F40" i="4" s="1"/>
  <c r="F25" i="3" s="1"/>
  <c r="J2" i="3"/>
  <c r="F6" i="2"/>
  <c r="F29" i="4"/>
  <c r="F24" i="2"/>
  <c r="F24" i="4"/>
  <c r="F30" i="4"/>
  <c r="J3" i="3"/>
  <c r="F7" i="2"/>
  <c r="F10" i="4"/>
  <c r="F38" i="4" s="1"/>
  <c r="F23" i="3" s="1"/>
  <c r="F18" i="2"/>
  <c r="F23" i="4"/>
  <c r="F21" i="4"/>
  <c r="M6" i="2"/>
  <c r="J6" i="4" s="1"/>
  <c r="F16" i="4" l="1"/>
  <c r="L4" i="3"/>
  <c r="F20" i="2"/>
  <c r="F11" i="4"/>
  <c r="F39" i="4" s="1"/>
  <c r="F24" i="3" s="1"/>
  <c r="M7" i="2"/>
  <c r="F32" i="2" l="1"/>
  <c r="F9" i="3" s="1"/>
  <c r="F12" i="2"/>
  <c r="F33" i="2" s="1"/>
  <c r="F10" i="3" s="1"/>
  <c r="L12" i="2"/>
  <c r="F21" i="2"/>
  <c r="F22" i="2" s="1"/>
  <c r="F38" i="2" s="1"/>
  <c r="J12" i="2"/>
  <c r="K12" i="2"/>
  <c r="J7" i="4"/>
  <c r="F17" i="4" l="1"/>
  <c r="F15" i="3"/>
  <c r="J10" i="3"/>
  <c r="M12" i="2"/>
  <c r="N12" i="2" s="1"/>
  <c r="F13" i="2" s="1"/>
  <c r="J10" i="4"/>
  <c r="F14" i="4"/>
  <c r="J13" i="4" l="1"/>
  <c r="K13" i="4" s="1"/>
  <c r="L13" i="4" s="1"/>
  <c r="F25" i="4" s="1"/>
  <c r="F26" i="4" s="1"/>
  <c r="F45" i="4" s="1"/>
  <c r="F15" i="4"/>
  <c r="F22" i="4" s="1"/>
  <c r="F43" i="4" s="1"/>
  <c r="K8" i="3" s="1"/>
  <c r="K10" i="4"/>
  <c r="L10" i="4"/>
  <c r="F41" i="4"/>
  <c r="F26" i="3" s="1"/>
  <c r="F14" i="2"/>
  <c r="F30" i="3" l="1"/>
  <c r="K10" i="3"/>
  <c r="F17" i="2"/>
  <c r="F37" i="2" s="1"/>
  <c r="J9" i="3" s="1"/>
  <c r="F25" i="2"/>
  <c r="M10" i="4"/>
  <c r="N10" i="4" s="1"/>
  <c r="F18" i="4" s="1"/>
  <c r="F34" i="2"/>
  <c r="F11" i="3" s="1"/>
  <c r="F35" i="2"/>
  <c r="F28" i="3"/>
  <c r="F12" i="3" l="1"/>
  <c r="F27" i="2"/>
  <c r="F19" i="4"/>
  <c r="F39" i="2"/>
  <c r="F14" i="3"/>
  <c r="F16" i="3" l="1"/>
  <c r="J11" i="3"/>
  <c r="J12" i="3" s="1"/>
  <c r="F32" i="4"/>
  <c r="F31" i="4"/>
  <c r="F44" i="4" s="1"/>
  <c r="F40" i="2"/>
  <c r="F17" i="3" s="1"/>
  <c r="F29" i="3" l="1"/>
  <c r="K11" i="3"/>
  <c r="F46" i="4"/>
  <c r="F34" i="4"/>
  <c r="F47" i="4" l="1"/>
  <c r="F48" i="4" s="1"/>
  <c r="F49" i="4" s="1"/>
  <c r="K9" i="3"/>
  <c r="K12" i="3" s="1"/>
  <c r="J16" i="3" s="1"/>
  <c r="F31" i="3"/>
  <c r="J17" i="3" l="1"/>
  <c r="F32" i="3"/>
  <c r="F33" i="3" s="1"/>
  <c r="F34" i="3" s="1"/>
  <c r="I8" i="9" l="1"/>
  <c r="G11" i="9"/>
  <c r="D11" i="9"/>
  <c r="D18" i="9" s="1"/>
  <c r="G18" i="9" l="1"/>
  <c r="I18" i="9" s="1"/>
  <c r="I11" i="9"/>
</calcChain>
</file>

<file path=xl/sharedStrings.xml><?xml version="1.0" encoding="utf-8"?>
<sst xmlns="http://schemas.openxmlformats.org/spreadsheetml/2006/main" count="188" uniqueCount="134">
  <si>
    <t xml:space="preserve">Inputs </t>
  </si>
  <si>
    <t xml:space="preserve">Trip Length </t>
  </si>
  <si>
    <t>Buffer Index (ratio of 95th trip to the 50th)</t>
  </si>
  <si>
    <t>Value</t>
  </si>
  <si>
    <t>Units</t>
  </si>
  <si>
    <t>Miles</t>
  </si>
  <si>
    <t>MPH</t>
  </si>
  <si>
    <t>Index Value</t>
  </si>
  <si>
    <t xml:space="preserve">Cost Assumptions </t>
  </si>
  <si>
    <t xml:space="preserve">Variable Truck O&amp;M Costs </t>
  </si>
  <si>
    <t>$/Hour</t>
  </si>
  <si>
    <t xml:space="preserve">Commodity Tier </t>
  </si>
  <si>
    <t>Commodity Supply Chain Cost per hour</t>
  </si>
  <si>
    <t xml:space="preserve">Late Delivery Penalty </t>
  </si>
  <si>
    <t xml:space="preserve">Built in Buffer </t>
  </si>
  <si>
    <t>Med</t>
  </si>
  <si>
    <t>$/Late Event</t>
  </si>
  <si>
    <t>Column Number</t>
  </si>
  <si>
    <t xml:space="preserve">Late Threshold </t>
  </si>
  <si>
    <t>Hours</t>
  </si>
  <si>
    <t>Expected Value Cost per Trip</t>
  </si>
  <si>
    <t xml:space="preserve">Average Trip Time </t>
  </si>
  <si>
    <t xml:space="preserve">Hours </t>
  </si>
  <si>
    <t xml:space="preserve">Buffer Index Time </t>
  </si>
  <si>
    <t>Expected Delay</t>
  </si>
  <si>
    <t>Parameters of Lognormal Distibution</t>
  </si>
  <si>
    <t xml:space="preserve">95th percentile </t>
  </si>
  <si>
    <t>50th percentile</t>
  </si>
  <si>
    <t>Sigma</t>
  </si>
  <si>
    <t>Mu</t>
  </si>
  <si>
    <t xml:space="preserve">Estimation of Truncated Distribution </t>
  </si>
  <si>
    <t>Expected Delay Index</t>
  </si>
  <si>
    <t>Expected Value of Direct Cost of Delay</t>
  </si>
  <si>
    <t>Dollars</t>
  </si>
  <si>
    <t>Late Threshold Index Value</t>
  </si>
  <si>
    <t>Probability</t>
  </si>
  <si>
    <t>Expected Value of Late Penalty of Delay</t>
  </si>
  <si>
    <t>Expected Value of Commodity Cost Delay</t>
  </si>
  <si>
    <t>Summary</t>
  </si>
  <si>
    <t>No Mitigation</t>
  </si>
  <si>
    <t>Mitigation</t>
  </si>
  <si>
    <t>Expected Value Cost per Trip - Mitigation</t>
  </si>
  <si>
    <t>Percentile</t>
  </si>
  <si>
    <t>Bulit in Buffer Time</t>
  </si>
  <si>
    <t xml:space="preserve">Prob. Of Exceeding Buffer </t>
  </si>
  <si>
    <t>Expected Value of Penalty</t>
  </si>
  <si>
    <t>Cost per Trip no mitigation</t>
  </si>
  <si>
    <t>Cost per Trip mitigation</t>
  </si>
  <si>
    <t>trip length</t>
  </si>
  <si>
    <t>avg. speed</t>
  </si>
  <si>
    <t>buffer for mitigation</t>
  </si>
  <si>
    <t>dock penalty above buffer</t>
  </si>
  <si>
    <t xml:space="preserve">supply chain penalty per hour </t>
  </si>
  <si>
    <t>TRIP Parameters</t>
  </si>
  <si>
    <t>Trip duration</t>
  </si>
  <si>
    <t>Expected value of No Mitigation</t>
  </si>
  <si>
    <t>Probability of being late by more than 2 hour but less than buffer index</t>
  </si>
  <si>
    <t>E[x/x&gt;buffer]</t>
  </si>
  <si>
    <t>Numerator</t>
  </si>
  <si>
    <t>Denominator</t>
  </si>
  <si>
    <t>Product</t>
  </si>
  <si>
    <t>EXP(Mu + ((Sigma^2)/2)</t>
  </si>
  <si>
    <t>Quotient</t>
  </si>
  <si>
    <t>Expected delay given buffer</t>
  </si>
  <si>
    <t>Expected Value of Direct Cost of Mitigation</t>
  </si>
  <si>
    <t>P(x&gt;buffer+2 hours)</t>
  </si>
  <si>
    <t>Prob. Of Exceeding Buffer by Late Threshold</t>
  </si>
  <si>
    <t xml:space="preserve">buffer plus late index </t>
  </si>
  <si>
    <t xml:space="preserve">Expected Value of Additional Direct Costs </t>
  </si>
  <si>
    <t>E[x/x&gt;1]</t>
  </si>
  <si>
    <t>Direct Cost of delay mitigation</t>
  </si>
  <si>
    <t>Expected Value of Direct Cost Delay</t>
  </si>
  <si>
    <t>Expected Value of Late Penalty</t>
  </si>
  <si>
    <t xml:space="preserve">Total Costs </t>
  </si>
  <si>
    <t>Expected Value Cost of Unreliability</t>
  </si>
  <si>
    <t>Expected Value Cost of Unreliability per Expected Delay hour</t>
  </si>
  <si>
    <t>Median Trip Time</t>
  </si>
  <si>
    <t>Traffic Assumptions</t>
  </si>
  <si>
    <t>Trip Distribution Assumptions</t>
  </si>
  <si>
    <t>AADT</t>
  </si>
  <si>
    <t>Trips/day</t>
  </si>
  <si>
    <t xml:space="preserve">Annualization Factor </t>
  </si>
  <si>
    <t>Days</t>
  </si>
  <si>
    <t>Total EV cost of unreliability per trip</t>
  </si>
  <si>
    <t>dollars/trip</t>
  </si>
  <si>
    <t xml:space="preserve">NAME OF PROJECT </t>
  </si>
  <si>
    <t xml:space="preserve">Legend </t>
  </si>
  <si>
    <t>Counter Flow</t>
  </si>
  <si>
    <t xml:space="preserve">Emphasis </t>
  </si>
  <si>
    <t xml:space="preserve">Exported value </t>
  </si>
  <si>
    <t>Imported Value</t>
  </si>
  <si>
    <t xml:space="preserve">Calculated Value </t>
  </si>
  <si>
    <t>Median Speed</t>
  </si>
  <si>
    <t>High</t>
  </si>
  <si>
    <t>Low</t>
  </si>
  <si>
    <t>Reliability Ratio</t>
  </si>
  <si>
    <t>Pct.</t>
  </si>
  <si>
    <t>Expected Value Unreliability Cost/Delay Hour as a Percentage of Direct Hourly cost  (Reliability Ratio)</t>
  </si>
  <si>
    <t>Percentage</t>
  </si>
  <si>
    <t>cargo value</t>
  </si>
  <si>
    <t>expedited shipment</t>
  </si>
  <si>
    <t>Just in time</t>
  </si>
  <si>
    <t>intermodal connection</t>
  </si>
  <si>
    <t>Composite time value rating</t>
  </si>
  <si>
    <t>NB</t>
  </si>
  <si>
    <t>SB</t>
  </si>
  <si>
    <t>scale of 1 to 10</t>
  </si>
  <si>
    <t># hours per day  peak variability</t>
  </si>
  <si>
    <t xml:space="preserve">Avg. Buffer Index for variable time period </t>
  </si>
  <si>
    <t>segment distance</t>
  </si>
  <si>
    <t>95th percentile delay hours per trip</t>
  </si>
  <si>
    <t>AADTT during peak buffer period</t>
  </si>
  <si>
    <t>I-75</t>
  </si>
  <si>
    <t>I-75 Miles 217-231</t>
  </si>
  <si>
    <t>I-75 Miles 243-251</t>
  </si>
  <si>
    <t>I-75 Miles 257-275</t>
  </si>
  <si>
    <t>Corridor Segment Total</t>
  </si>
  <si>
    <t>I-16</t>
  </si>
  <si>
    <t>I-16 Miles 141-166 (end 2 miles)</t>
  </si>
  <si>
    <t>Full Composite Corridor Total</t>
  </si>
  <si>
    <t>Georgia I-75/I-16Corridor</t>
  </si>
  <si>
    <t>Scenario Selection (Time Sensitivity)</t>
  </si>
  <si>
    <t>Time Sensitivity Scenarios</t>
  </si>
  <si>
    <t>medium</t>
  </si>
  <si>
    <t>high</t>
  </si>
  <si>
    <t>low</t>
  </si>
  <si>
    <t>Avereage Annual  Cost of Unreliability for Segment</t>
  </si>
  <si>
    <t>Buffer Index</t>
  </si>
  <si>
    <t>Per trip</t>
  </si>
  <si>
    <t>Annual</t>
  </si>
  <si>
    <t>Unreliable Corridor/Segments</t>
  </si>
  <si>
    <t>Total, both directions</t>
  </si>
  <si>
    <t>median speed across segment</t>
  </si>
  <si>
    <t>Low Reliability Segments</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</si>
</sst>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4" formatCode="_(&quot;$&quot;* #,##0.00_);_(&quot;$&quot;* \(#,##0.00\);_(&quot;$&quot;* &quot;-&quot;??_);_(@_)"/>
    <numFmt numFmtId="43" formatCode="_(* #,##0.00_);_(* \(#,##0.00\);_(* &quot;-&quot;??_);_(@_)"/>
    <numFmt numFmtId="164" formatCode="_(* #,##0_);_(* \(#,##0\);_(* &quot;-&quot;??_);_(@_)"/>
    <numFmt numFmtId="165" formatCode="_(* #,##0.0_);_(* \(#,##0.0\);_(* &quot;-&quot;??_);_(@_)"/>
    <numFmt numFmtId="166" formatCode="0.0"/>
    <numFmt numFmtId="167" formatCode="0.0%"/>
    <numFmt numFmtId="168" formatCode="0.000"/>
    <numFmt numFmtId="169" formatCode="_(&quot;$&quot;* #,##0_);_(&quot;$&quot;* \(#,##0\);_(&quot;$&quot;* &quot;-&quot;??_);_(@_)"/>
  </numFmts>
  <fonts count="25" x14ac:knownFonts="1">
    <font>
      <sz val="11"/>
      <color theme="1"/>
      <name val="Calibri"/>
      <family val="2"/>
      <scheme val="minor"/>
    </font>
    <font>
      <sz val="11"/>
      <color theme="1"/>
      <name val="Calibri"/>
      <family val="2"/>
      <scheme val="minor"/>
    </font>
    <font>
      <b/>
      <sz val="11"/>
      <color theme="1"/>
      <name val="Calibri"/>
      <family val="2"/>
      <scheme val="minor"/>
    </font>
    <font>
      <sz val="11"/>
      <color indexed="12"/>
      <name val="Calibri"/>
      <family val="2"/>
      <scheme val="minor"/>
    </font>
    <font>
      <sz val="11"/>
      <color indexed="10"/>
      <name val="Calibri"/>
      <family val="2"/>
      <scheme val="minor"/>
    </font>
    <font>
      <b/>
      <u/>
      <sz val="11"/>
      <color theme="1"/>
      <name val="Calibri"/>
      <family val="2"/>
      <scheme val="minor"/>
    </font>
    <font>
      <b/>
      <u/>
      <sz val="11"/>
      <color indexed="10"/>
      <name val="Calibri"/>
      <family val="2"/>
      <scheme val="minor"/>
    </font>
    <font>
      <b/>
      <sz val="11"/>
      <color indexed="12"/>
      <name val="Calibri"/>
      <family val="2"/>
      <scheme val="minor"/>
    </font>
    <font>
      <b/>
      <u/>
      <sz val="11"/>
      <color indexed="12"/>
      <name val="Calibri"/>
      <family val="2"/>
      <scheme val="minor"/>
    </font>
    <font>
      <b/>
      <sz val="11"/>
      <color indexed="10"/>
      <name val="Calibri"/>
      <family val="2"/>
      <scheme val="minor"/>
    </font>
    <font>
      <sz val="11"/>
      <name val="Calibri"/>
      <family val="2"/>
      <scheme val="minor"/>
    </font>
    <font>
      <b/>
      <sz val="11"/>
      <color rgb="FFFF0000"/>
      <name val="Calibri"/>
      <family val="2"/>
      <scheme val="minor"/>
    </font>
    <font>
      <b/>
      <sz val="11"/>
      <name val="Calibri"/>
      <family val="2"/>
      <scheme val="minor"/>
    </font>
    <font>
      <sz val="11"/>
      <color rgb="FF000000"/>
      <name val="Calibri"/>
      <family val="2"/>
      <scheme val="minor"/>
    </font>
    <font>
      <b/>
      <sz val="16"/>
      <color theme="1"/>
      <name val="Calibri"/>
      <family val="2"/>
      <scheme val="minor"/>
    </font>
    <font>
      <b/>
      <sz val="26"/>
      <color indexed="10"/>
      <name val="Calibri"/>
      <family val="2"/>
      <scheme val="minor"/>
    </font>
    <font>
      <b/>
      <sz val="26"/>
      <name val="Calibri"/>
      <family val="2"/>
      <scheme val="minor"/>
    </font>
    <font>
      <b/>
      <sz val="36"/>
      <color theme="1"/>
      <name val="Calibri"/>
      <family val="2"/>
      <scheme val="minor"/>
    </font>
    <font>
      <b/>
      <sz val="10"/>
      <name val="Arial"/>
      <family val="2"/>
    </font>
    <font>
      <sz val="11"/>
      <color rgb="FF0000FF"/>
      <name val="Calibri"/>
      <family val="2"/>
      <scheme val="minor"/>
    </font>
    <font>
      <b/>
      <sz val="12"/>
      <color theme="1"/>
      <name val="Calibri"/>
      <family val="2"/>
      <scheme val="minor"/>
    </font>
    <font>
      <b/>
      <sz val="10"/>
      <color theme="1"/>
      <name val="Calibri"/>
      <family val="2"/>
      <scheme val="minor"/>
    </font>
    <font>
      <sz val="10"/>
      <color theme="1"/>
      <name val="Calibri"/>
      <family val="2"/>
      <scheme val="minor"/>
    </font>
    <font>
      <u/>
      <sz val="10"/>
      <color theme="1"/>
      <name val="Calibri"/>
      <family val="2"/>
      <scheme val="minor"/>
    </font>
    <font>
      <b/>
      <sz val="14"/>
      <color theme="1"/>
      <name val="Calibri"/>
      <family val="2"/>
      <scheme val="minor"/>
    </font>
  </fonts>
  <fills count="7">
    <fill>
      <patternFill patternType="none"/>
    </fill>
    <fill>
      <patternFill patternType="gray125"/>
    </fill>
    <fill>
      <patternFill patternType="solid">
        <fgColor indexed="43"/>
        <bgColor indexed="64"/>
      </patternFill>
    </fill>
    <fill>
      <patternFill patternType="solid">
        <fgColor indexed="22"/>
        <bgColor indexed="64"/>
      </patternFill>
    </fill>
    <fill>
      <patternFill patternType="solid">
        <fgColor indexed="13"/>
        <bgColor indexed="64"/>
      </patternFill>
    </fill>
    <fill>
      <patternFill patternType="solid">
        <fgColor theme="0"/>
        <bgColor indexed="64"/>
      </patternFill>
    </fill>
    <fill>
      <patternFill patternType="solid">
        <fgColor rgb="FF92D050"/>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23"/>
      </top>
      <bottom style="thin">
        <color indexed="64"/>
      </bottom>
      <diagonal/>
    </border>
    <border>
      <left/>
      <right/>
      <top style="thin">
        <color indexed="23"/>
      </top>
      <bottom style="thin">
        <color indexed="64"/>
      </bottom>
      <diagonal/>
    </border>
    <border>
      <left/>
      <right style="thin">
        <color indexed="64"/>
      </right>
      <top style="thin">
        <color indexed="23"/>
      </top>
      <bottom style="thin">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right/>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thin">
        <color indexed="64"/>
      </bottom>
      <diagonal/>
    </border>
    <border>
      <left style="medium">
        <color indexed="64"/>
      </left>
      <right style="thin">
        <color indexed="64"/>
      </right>
      <top/>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cellStyleXfs>
  <cellXfs count="213">
    <xf numFmtId="0" fontId="0" fillId="0" borderId="0" xfId="0"/>
    <xf numFmtId="0" fontId="2" fillId="0" borderId="0" xfId="0" applyFont="1"/>
    <xf numFmtId="0" fontId="0" fillId="2" borderId="0" xfId="0" applyFill="1"/>
    <xf numFmtId="0" fontId="3" fillId="0" borderId="0" xfId="0" applyFont="1"/>
    <xf numFmtId="43" fontId="0" fillId="0" borderId="0" xfId="1" applyFont="1"/>
    <xf numFmtId="43" fontId="4" fillId="0" borderId="0" xfId="1" applyFont="1"/>
    <xf numFmtId="43" fontId="0" fillId="0" borderId="0" xfId="0" applyNumberFormat="1"/>
    <xf numFmtId="43" fontId="3" fillId="3" borderId="0" xfId="0" applyNumberFormat="1" applyFont="1" applyFill="1"/>
    <xf numFmtId="0" fontId="4" fillId="0" borderId="0" xfId="0" applyFont="1"/>
    <xf numFmtId="43" fontId="4" fillId="0" borderId="0" xfId="0" applyNumberFormat="1" applyFont="1"/>
    <xf numFmtId="0" fontId="7" fillId="0" borderId="0" xfId="0" applyFont="1"/>
    <xf numFmtId="0" fontId="9" fillId="0" borderId="0" xfId="0" applyFont="1"/>
    <xf numFmtId="43" fontId="3" fillId="0" borderId="0" xfId="1" applyFont="1"/>
    <xf numFmtId="0" fontId="0" fillId="0" borderId="1" xfId="0" applyBorder="1"/>
    <xf numFmtId="0" fontId="3" fillId="0" borderId="1" xfId="0" applyFont="1" applyBorder="1"/>
    <xf numFmtId="0" fontId="2" fillId="0" borderId="1" xfId="0" applyFont="1" applyBorder="1"/>
    <xf numFmtId="0" fontId="10" fillId="0" borderId="0" xfId="0" applyFont="1"/>
    <xf numFmtId="43" fontId="3" fillId="0" borderId="0" xfId="1" applyFont="1" applyFill="1"/>
    <xf numFmtId="43" fontId="3" fillId="3" borderId="0" xfId="1" applyFont="1" applyFill="1"/>
    <xf numFmtId="0" fontId="2" fillId="0" borderId="8" xfId="0" applyFont="1" applyBorder="1"/>
    <xf numFmtId="0" fontId="0" fillId="0" borderId="0" xfId="0" applyBorder="1"/>
    <xf numFmtId="0" fontId="2" fillId="0" borderId="0" xfId="0" applyFont="1" applyBorder="1"/>
    <xf numFmtId="0" fontId="0" fillId="0" borderId="9" xfId="0" applyBorder="1"/>
    <xf numFmtId="0" fontId="0" fillId="0" borderId="8" xfId="0" applyBorder="1"/>
    <xf numFmtId="0" fontId="2" fillId="0" borderId="9" xfId="0" applyFont="1" applyBorder="1"/>
    <xf numFmtId="43" fontId="0" fillId="0" borderId="0" xfId="0" applyNumberFormat="1" applyBorder="1"/>
    <xf numFmtId="0" fontId="0" fillId="0" borderId="5" xfId="0" applyBorder="1"/>
    <xf numFmtId="0" fontId="0" fillId="0" borderId="6" xfId="0" applyBorder="1"/>
    <xf numFmtId="0" fontId="2" fillId="0" borderId="6" xfId="0" applyFont="1" applyBorder="1"/>
    <xf numFmtId="0" fontId="2" fillId="0" borderId="7" xfId="0" applyFont="1" applyBorder="1"/>
    <xf numFmtId="0" fontId="0" fillId="2" borderId="0" xfId="0" applyFill="1" applyBorder="1"/>
    <xf numFmtId="0" fontId="0" fillId="2" borderId="13" xfId="0" applyFill="1" applyBorder="1"/>
    <xf numFmtId="0" fontId="0" fillId="2" borderId="14" xfId="0" applyFill="1" applyBorder="1"/>
    <xf numFmtId="0" fontId="0" fillId="0" borderId="14" xfId="0" applyBorder="1"/>
    <xf numFmtId="43" fontId="3" fillId="0" borderId="9" xfId="0" applyNumberFormat="1" applyFont="1" applyBorder="1"/>
    <xf numFmtId="43" fontId="3" fillId="0" borderId="0" xfId="0" applyNumberFormat="1" applyFont="1" applyBorder="1"/>
    <xf numFmtId="43" fontId="3" fillId="0" borderId="9" xfId="1" applyFont="1" applyBorder="1"/>
    <xf numFmtId="0" fontId="2" fillId="0" borderId="16" xfId="0" applyFont="1" applyBorder="1"/>
    <xf numFmtId="43" fontId="0" fillId="0" borderId="17" xfId="0" applyNumberFormat="1" applyBorder="1"/>
    <xf numFmtId="0" fontId="0" fillId="4" borderId="5" xfId="0" applyFill="1" applyBorder="1"/>
    <xf numFmtId="43" fontId="2" fillId="4" borderId="6" xfId="0" applyNumberFormat="1" applyFont="1" applyFill="1" applyBorder="1"/>
    <xf numFmtId="43" fontId="2" fillId="4" borderId="7" xfId="0" applyNumberFormat="1" applyFont="1" applyFill="1" applyBorder="1"/>
    <xf numFmtId="0" fontId="3" fillId="4" borderId="0" xfId="0" applyFont="1" applyFill="1"/>
    <xf numFmtId="0" fontId="0" fillId="0" borderId="8" xfId="0" applyFill="1" applyBorder="1"/>
    <xf numFmtId="0" fontId="2" fillId="0" borderId="0" xfId="0" applyFont="1" applyFill="1" applyBorder="1"/>
    <xf numFmtId="0" fontId="0" fillId="0" borderId="0" xfId="0" applyFill="1" applyBorder="1"/>
    <xf numFmtId="0" fontId="2" fillId="0" borderId="9" xfId="0" applyFont="1" applyFill="1" applyBorder="1"/>
    <xf numFmtId="0" fontId="0" fillId="0" borderId="0" xfId="0" applyFill="1"/>
    <xf numFmtId="0" fontId="0" fillId="0" borderId="14" xfId="0" applyFill="1" applyBorder="1"/>
    <xf numFmtId="0" fontId="2" fillId="0" borderId="8" xfId="0" applyFont="1" applyFill="1" applyBorder="1"/>
    <xf numFmtId="0" fontId="0" fillId="0" borderId="10" xfId="0" applyFill="1" applyBorder="1"/>
    <xf numFmtId="0" fontId="2" fillId="0" borderId="11" xfId="0" applyFont="1" applyFill="1" applyBorder="1"/>
    <xf numFmtId="0" fontId="0" fillId="0" borderId="11" xfId="0" applyFill="1" applyBorder="1"/>
    <xf numFmtId="0" fontId="2" fillId="0" borderId="12" xfId="0" applyFont="1" applyFill="1" applyBorder="1"/>
    <xf numFmtId="0" fontId="0" fillId="0" borderId="15" xfId="0" applyFill="1" applyBorder="1"/>
    <xf numFmtId="164" fontId="0" fillId="2" borderId="14" xfId="1" applyNumberFormat="1" applyFont="1" applyFill="1" applyBorder="1"/>
    <xf numFmtId="164" fontId="0" fillId="2" borderId="0" xfId="1" applyNumberFormat="1" applyFont="1" applyFill="1" applyBorder="1"/>
    <xf numFmtId="43" fontId="4" fillId="0" borderId="18" xfId="0" applyNumberFormat="1" applyFont="1" applyBorder="1"/>
    <xf numFmtId="43" fontId="3" fillId="0" borderId="1" xfId="1" applyFont="1" applyBorder="1"/>
    <xf numFmtId="0" fontId="7" fillId="0" borderId="1" xfId="0" applyFont="1" applyBorder="1"/>
    <xf numFmtId="43" fontId="3" fillId="0" borderId="1" xfId="0" applyNumberFormat="1" applyFont="1" applyBorder="1"/>
    <xf numFmtId="43" fontId="12" fillId="0" borderId="1" xfId="0" applyNumberFormat="1" applyFont="1" applyBorder="1"/>
    <xf numFmtId="0" fontId="0" fillId="0" borderId="19" xfId="0" applyBorder="1"/>
    <xf numFmtId="164" fontId="2" fillId="4" borderId="20" xfId="1" applyNumberFormat="1" applyFont="1" applyFill="1" applyBorder="1"/>
    <xf numFmtId="0" fontId="0" fillId="5" borderId="0" xfId="0" applyFill="1" applyProtection="1"/>
    <xf numFmtId="0" fontId="2" fillId="5" borderId="0" xfId="0" applyFont="1" applyFill="1" applyProtection="1"/>
    <xf numFmtId="0" fontId="14" fillId="5" borderId="0" xfId="0" applyFont="1" applyFill="1" applyProtection="1"/>
    <xf numFmtId="0" fontId="15" fillId="5" borderId="0" xfId="0" applyFont="1" applyFill="1" applyAlignment="1" applyProtection="1"/>
    <xf numFmtId="0" fontId="16" fillId="5" borderId="0" xfId="0" applyFont="1" applyFill="1" applyAlignment="1" applyProtection="1"/>
    <xf numFmtId="0" fontId="0" fillId="5" borderId="0" xfId="0" applyFill="1" applyBorder="1" applyProtection="1"/>
    <xf numFmtId="0" fontId="0" fillId="5" borderId="21" xfId="0" applyFill="1" applyBorder="1" applyProtection="1"/>
    <xf numFmtId="0" fontId="2" fillId="5" borderId="0" xfId="0" applyFont="1" applyFill="1" applyBorder="1" applyProtection="1"/>
    <xf numFmtId="0" fontId="16" fillId="5" borderId="0" xfId="0" applyFont="1" applyFill="1" applyBorder="1" applyAlignment="1" applyProtection="1"/>
    <xf numFmtId="0" fontId="15" fillId="5" borderId="0" xfId="0" applyFont="1" applyFill="1" applyBorder="1" applyAlignment="1" applyProtection="1"/>
    <xf numFmtId="0" fontId="15" fillId="5" borderId="0" xfId="0" applyFont="1" applyFill="1" applyBorder="1" applyProtection="1"/>
    <xf numFmtId="0" fontId="5" fillId="0" borderId="1" xfId="0" applyFont="1" applyBorder="1" applyAlignment="1">
      <alignment horizontal="center"/>
    </xf>
    <xf numFmtId="0" fontId="0" fillId="5" borderId="0" xfId="0" applyFill="1"/>
    <xf numFmtId="0" fontId="0" fillId="2" borderId="1" xfId="0" applyFill="1" applyBorder="1" applyAlignment="1">
      <alignment horizontal="center"/>
    </xf>
    <xf numFmtId="0" fontId="0" fillId="3" borderId="1" xfId="0" applyFill="1" applyBorder="1" applyAlignment="1">
      <alignment horizontal="center"/>
    </xf>
    <xf numFmtId="0" fontId="4" fillId="0" borderId="1" xfId="0" applyFont="1" applyBorder="1" applyAlignment="1">
      <alignment horizontal="center"/>
    </xf>
    <xf numFmtId="0" fontId="3" fillId="0" borderId="1" xfId="0" applyFont="1" applyBorder="1" applyAlignment="1">
      <alignment horizontal="center"/>
    </xf>
    <xf numFmtId="0" fontId="0" fillId="0" borderId="1" xfId="0" applyBorder="1" applyAlignment="1">
      <alignment horizontal="center"/>
    </xf>
    <xf numFmtId="0" fontId="18" fillId="4" borderId="1" xfId="0" applyFont="1" applyFill="1" applyBorder="1" applyAlignment="1">
      <alignment horizontal="center"/>
    </xf>
    <xf numFmtId="165" fontId="0" fillId="2" borderId="14" xfId="1" applyNumberFormat="1" applyFont="1" applyFill="1" applyBorder="1"/>
    <xf numFmtId="166" fontId="0" fillId="2" borderId="14" xfId="0" applyNumberFormat="1" applyFill="1" applyBorder="1"/>
    <xf numFmtId="0" fontId="9" fillId="0" borderId="0" xfId="0" applyFont="1" applyFill="1" applyAlignment="1">
      <alignment horizontal="left"/>
    </xf>
    <xf numFmtId="0" fontId="11" fillId="0" borderId="0" xfId="0" applyFont="1" applyFill="1" applyAlignment="1">
      <alignment horizontal="left"/>
    </xf>
    <xf numFmtId="0" fontId="0" fillId="0" borderId="0" xfId="0" applyBorder="1" applyAlignment="1">
      <alignment horizontal="right"/>
    </xf>
    <xf numFmtId="0" fontId="0" fillId="0" borderId="24" xfId="0" applyBorder="1"/>
    <xf numFmtId="0" fontId="4" fillId="0" borderId="25" xfId="0" applyFont="1" applyBorder="1"/>
    <xf numFmtId="0" fontId="4" fillId="0" borderId="0" xfId="0" applyFont="1" applyBorder="1"/>
    <xf numFmtId="0" fontId="0" fillId="0" borderId="26" xfId="0" applyBorder="1"/>
    <xf numFmtId="0" fontId="11" fillId="0" borderId="25" xfId="0" applyFont="1" applyFill="1" applyBorder="1"/>
    <xf numFmtId="0" fontId="11" fillId="0" borderId="0" xfId="0" applyFont="1" applyFill="1" applyBorder="1"/>
    <xf numFmtId="0" fontId="11" fillId="0" borderId="25" xfId="0" applyFont="1" applyBorder="1"/>
    <xf numFmtId="0" fontId="11" fillId="0" borderId="0" xfId="0" applyFont="1" applyBorder="1"/>
    <xf numFmtId="43" fontId="11" fillId="0" borderId="0" xfId="0" applyNumberFormat="1" applyFont="1" applyFill="1" applyBorder="1"/>
    <xf numFmtId="43" fontId="11" fillId="0" borderId="0" xfId="0" applyNumberFormat="1" applyFont="1" applyBorder="1"/>
    <xf numFmtId="0" fontId="11" fillId="0" borderId="25" xfId="0" applyFont="1" applyFill="1" applyBorder="1" applyAlignment="1"/>
    <xf numFmtId="167" fontId="11" fillId="0" borderId="28" xfId="2" applyNumberFormat="1" applyFont="1" applyBorder="1"/>
    <xf numFmtId="0" fontId="11" fillId="0" borderId="28" xfId="0" applyFont="1" applyBorder="1"/>
    <xf numFmtId="0" fontId="0" fillId="0" borderId="29" xfId="0" applyBorder="1"/>
    <xf numFmtId="0" fontId="11" fillId="0" borderId="27" xfId="0" applyFont="1" applyBorder="1" applyAlignment="1">
      <alignment wrapText="1"/>
    </xf>
    <xf numFmtId="43" fontId="3" fillId="0" borderId="25" xfId="1" applyFont="1" applyBorder="1"/>
    <xf numFmtId="43" fontId="3" fillId="0" borderId="0" xfId="1" applyFont="1" applyBorder="1"/>
    <xf numFmtId="43" fontId="3" fillId="0" borderId="26" xfId="1" applyFont="1" applyBorder="1"/>
    <xf numFmtId="43" fontId="19" fillId="0" borderId="0" xfId="1" applyFont="1" applyBorder="1"/>
    <xf numFmtId="43" fontId="19" fillId="0" borderId="26" xfId="1" applyFont="1" applyBorder="1"/>
    <xf numFmtId="43" fontId="19" fillId="0" borderId="0" xfId="1" applyFont="1" applyFill="1" applyBorder="1"/>
    <xf numFmtId="43" fontId="19" fillId="0" borderId="26" xfId="1" applyFont="1" applyFill="1" applyBorder="1"/>
    <xf numFmtId="43" fontId="0" fillId="0" borderId="27" xfId="1" applyFont="1" applyBorder="1"/>
    <xf numFmtId="43" fontId="0" fillId="0" borderId="28" xfId="1" applyFont="1" applyBorder="1"/>
    <xf numFmtId="43" fontId="0" fillId="0" borderId="29" xfId="1" applyFont="1" applyBorder="1"/>
    <xf numFmtId="43" fontId="3" fillId="0" borderId="25" xfId="1" applyFont="1" applyBorder="1" applyAlignment="1">
      <alignment horizontal="left"/>
    </xf>
    <xf numFmtId="43" fontId="19" fillId="0" borderId="25" xfId="1" applyFont="1" applyBorder="1" applyAlignment="1">
      <alignment horizontal="left"/>
    </xf>
    <xf numFmtId="43" fontId="19" fillId="0" borderId="25" xfId="1" applyFont="1" applyFill="1" applyBorder="1" applyAlignment="1">
      <alignment horizontal="left" wrapText="1"/>
    </xf>
    <xf numFmtId="167" fontId="19" fillId="0" borderId="0" xfId="2" applyNumberFormat="1" applyFont="1" applyBorder="1"/>
    <xf numFmtId="43" fontId="19" fillId="6" borderId="25" xfId="1" applyFont="1" applyFill="1" applyBorder="1" applyAlignment="1">
      <alignment horizontal="left"/>
    </xf>
    <xf numFmtId="43" fontId="19" fillId="6" borderId="0" xfId="1" applyFont="1" applyFill="1" applyBorder="1"/>
    <xf numFmtId="43" fontId="19" fillId="6" borderId="26" xfId="1" applyFont="1" applyFill="1" applyBorder="1"/>
    <xf numFmtId="0" fontId="0" fillId="0" borderId="0" xfId="0" applyFont="1" applyFill="1" applyBorder="1"/>
    <xf numFmtId="0" fontId="2" fillId="0" borderId="1" xfId="0" applyFont="1" applyBorder="1" applyAlignment="1">
      <alignment horizontal="center"/>
    </xf>
    <xf numFmtId="0" fontId="21" fillId="0" borderId="0" xfId="0" applyFont="1"/>
    <xf numFmtId="0" fontId="22" fillId="0" borderId="2" xfId="0" applyFont="1" applyBorder="1" applyAlignment="1">
      <alignment wrapText="1"/>
    </xf>
    <xf numFmtId="0" fontId="22" fillId="0" borderId="3" xfId="0" applyFont="1" applyBorder="1" applyAlignment="1">
      <alignment wrapText="1"/>
    </xf>
    <xf numFmtId="0" fontId="22" fillId="0" borderId="4" xfId="0" applyFont="1" applyBorder="1" applyAlignment="1">
      <alignment wrapText="1"/>
    </xf>
    <xf numFmtId="0" fontId="22" fillId="0" borderId="5" xfId="0" applyFont="1" applyBorder="1"/>
    <xf numFmtId="0" fontId="22" fillId="0" borderId="6" xfId="0" applyFont="1" applyBorder="1"/>
    <xf numFmtId="0" fontId="22" fillId="0" borderId="7" xfId="0" applyFont="1" applyBorder="1" applyAlignment="1">
      <alignment wrapText="1"/>
    </xf>
    <xf numFmtId="0" fontId="22" fillId="0" borderId="5" xfId="0" applyFont="1" applyBorder="1" applyAlignment="1">
      <alignment wrapText="1"/>
    </xf>
    <xf numFmtId="0" fontId="22" fillId="0" borderId="6" xfId="0" applyFont="1" applyBorder="1" applyAlignment="1">
      <alignment wrapText="1"/>
    </xf>
    <xf numFmtId="0" fontId="22" fillId="0" borderId="8" xfId="0" applyFont="1" applyBorder="1"/>
    <xf numFmtId="0" fontId="22" fillId="0" borderId="0" xfId="0" applyFont="1" applyBorder="1"/>
    <xf numFmtId="0" fontId="22" fillId="0" borderId="9" xfId="0" applyFont="1" applyFill="1" applyBorder="1"/>
    <xf numFmtId="0" fontId="22" fillId="0" borderId="0" xfId="0" applyFont="1"/>
    <xf numFmtId="168" fontId="22" fillId="0" borderId="0" xfId="0" applyNumberFormat="1" applyFont="1" applyBorder="1"/>
    <xf numFmtId="1" fontId="22" fillId="0" borderId="0" xfId="0" applyNumberFormat="1" applyFont="1" applyBorder="1"/>
    <xf numFmtId="168" fontId="23" fillId="0" borderId="0" xfId="0" applyNumberFormat="1" applyFont="1" applyBorder="1"/>
    <xf numFmtId="0" fontId="23" fillId="0" borderId="0" xfId="0" applyFont="1" applyBorder="1"/>
    <xf numFmtId="168" fontId="21" fillId="0" borderId="0" xfId="0" applyNumberFormat="1" applyFont="1" applyBorder="1"/>
    <xf numFmtId="168" fontId="21" fillId="0" borderId="0" xfId="0" applyNumberFormat="1" applyFont="1" applyFill="1" applyBorder="1"/>
    <xf numFmtId="1" fontId="21" fillId="0" borderId="0" xfId="0" applyNumberFormat="1" applyFont="1" applyFill="1" applyBorder="1"/>
    <xf numFmtId="0" fontId="22" fillId="0" borderId="0" xfId="0" applyFont="1" applyFill="1"/>
    <xf numFmtId="168" fontId="22" fillId="0" borderId="0" xfId="0" applyNumberFormat="1" applyFont="1"/>
    <xf numFmtId="168" fontId="21" fillId="0" borderId="0" xfId="0" applyNumberFormat="1" applyFont="1" applyFill="1"/>
    <xf numFmtId="0" fontId="22" fillId="0" borderId="0" xfId="0" applyFont="1" applyFill="1" applyBorder="1"/>
    <xf numFmtId="168" fontId="23" fillId="0" borderId="0" xfId="0" applyNumberFormat="1" applyFont="1" applyFill="1" applyBorder="1"/>
    <xf numFmtId="44" fontId="1" fillId="0" borderId="0" xfId="3" applyNumberFormat="1" applyFont="1" applyFill="1" applyBorder="1"/>
    <xf numFmtId="0" fontId="24" fillId="0" borderId="22" xfId="0" applyFont="1" applyFill="1" applyBorder="1"/>
    <xf numFmtId="0" fontId="0" fillId="0" borderId="23" xfId="0" applyBorder="1" applyAlignment="1">
      <alignment horizontal="center"/>
    </xf>
    <xf numFmtId="0" fontId="0" fillId="0" borderId="23" xfId="0" applyBorder="1"/>
    <xf numFmtId="0" fontId="0" fillId="0" borderId="24" xfId="0" applyBorder="1" applyAlignment="1">
      <alignment wrapText="1"/>
    </xf>
    <xf numFmtId="0" fontId="0" fillId="0" borderId="25" xfId="0" applyBorder="1"/>
    <xf numFmtId="0" fontId="20" fillId="0" borderId="25" xfId="0" applyFont="1" applyBorder="1"/>
    <xf numFmtId="0" fontId="2" fillId="0" borderId="25" xfId="0" applyFont="1" applyBorder="1"/>
    <xf numFmtId="0" fontId="22" fillId="0" borderId="25" xfId="0" applyFont="1" applyBorder="1"/>
    <xf numFmtId="169" fontId="1" fillId="0" borderId="0" xfId="3" applyNumberFormat="1" applyFont="1" applyBorder="1"/>
    <xf numFmtId="169" fontId="0" fillId="0" borderId="0" xfId="3" applyNumberFormat="1" applyFont="1" applyBorder="1"/>
    <xf numFmtId="169" fontId="0" fillId="0" borderId="26" xfId="0" applyNumberFormat="1" applyBorder="1"/>
    <xf numFmtId="44" fontId="0" fillId="0" borderId="0" xfId="0" applyNumberFormat="1" applyFont="1" applyBorder="1"/>
    <xf numFmtId="0" fontId="2" fillId="0" borderId="27" xfId="0" applyFont="1" applyBorder="1"/>
    <xf numFmtId="43" fontId="0" fillId="0" borderId="28" xfId="0" applyNumberFormat="1" applyBorder="1"/>
    <xf numFmtId="169" fontId="0" fillId="0" borderId="28" xfId="3" applyNumberFormat="1" applyFont="1" applyBorder="1"/>
    <xf numFmtId="0" fontId="0" fillId="0" borderId="28" xfId="0" applyBorder="1"/>
    <xf numFmtId="169" fontId="2" fillId="0" borderId="29" xfId="0" applyNumberFormat="1" applyFont="1" applyBorder="1"/>
    <xf numFmtId="0" fontId="21" fillId="0" borderId="25" xfId="0" applyFont="1" applyBorder="1"/>
    <xf numFmtId="0" fontId="22" fillId="0" borderId="30" xfId="0" applyFont="1" applyBorder="1" applyAlignment="1">
      <alignment wrapText="1"/>
    </xf>
    <xf numFmtId="0" fontId="22" fillId="0" borderId="26" xfId="0" applyFont="1" applyBorder="1"/>
    <xf numFmtId="1" fontId="21" fillId="0" borderId="26" xfId="0" applyNumberFormat="1" applyFont="1" applyFill="1" applyBorder="1"/>
    <xf numFmtId="0" fontId="22" fillId="0" borderId="26" xfId="0" applyFont="1" applyFill="1" applyBorder="1"/>
    <xf numFmtId="0" fontId="23" fillId="0" borderId="26" xfId="0" applyFont="1" applyFill="1" applyBorder="1"/>
    <xf numFmtId="0" fontId="21" fillId="0" borderId="27" xfId="0" applyFont="1" applyBorder="1"/>
    <xf numFmtId="0" fontId="22" fillId="0" borderId="31" xfId="0" applyFont="1" applyBorder="1"/>
    <xf numFmtId="0" fontId="22" fillId="0" borderId="28" xfId="0" applyFont="1" applyBorder="1"/>
    <xf numFmtId="0" fontId="22" fillId="0" borderId="32" xfId="0" applyFont="1" applyFill="1" applyBorder="1"/>
    <xf numFmtId="168" fontId="21" fillId="0" borderId="28" xfId="0" applyNumberFormat="1" applyFont="1" applyBorder="1"/>
    <xf numFmtId="168" fontId="21" fillId="0" borderId="28" xfId="0" applyNumberFormat="1" applyFont="1" applyFill="1" applyBorder="1"/>
    <xf numFmtId="1" fontId="21" fillId="0" borderId="28" xfId="0" applyNumberFormat="1" applyFont="1" applyFill="1" applyBorder="1"/>
    <xf numFmtId="1" fontId="21" fillId="0" borderId="29" xfId="0" applyNumberFormat="1" applyFont="1" applyFill="1" applyBorder="1"/>
    <xf numFmtId="0" fontId="2" fillId="0" borderId="34" xfId="0" applyFont="1" applyBorder="1" applyAlignment="1"/>
    <xf numFmtId="0" fontId="0" fillId="0" borderId="26" xfId="0" applyBorder="1" applyAlignment="1">
      <alignment horizontal="center"/>
    </xf>
    <xf numFmtId="0" fontId="0" fillId="6" borderId="14" xfId="0" applyFill="1" applyBorder="1"/>
    <xf numFmtId="0" fontId="0" fillId="6" borderId="0" xfId="0" applyFill="1" applyBorder="1"/>
    <xf numFmtId="0" fontId="2" fillId="0" borderId="24" xfId="0" applyFont="1" applyBorder="1"/>
    <xf numFmtId="0" fontId="9" fillId="0" borderId="25" xfId="0" applyFont="1" applyBorder="1"/>
    <xf numFmtId="0" fontId="9" fillId="0" borderId="0" xfId="0" applyFont="1" applyBorder="1"/>
    <xf numFmtId="0" fontId="2" fillId="0" borderId="26" xfId="0" applyFont="1" applyBorder="1"/>
    <xf numFmtId="0" fontId="9" fillId="0" borderId="25" xfId="0" applyFont="1" applyFill="1" applyBorder="1"/>
    <xf numFmtId="0" fontId="9" fillId="0" borderId="0" xfId="0" applyFont="1" applyFill="1" applyBorder="1"/>
    <xf numFmtId="43" fontId="9" fillId="0" borderId="0" xfId="0" applyNumberFormat="1" applyFont="1" applyFill="1" applyBorder="1"/>
    <xf numFmtId="43" fontId="9" fillId="0" borderId="0" xfId="0" applyNumberFormat="1" applyFont="1" applyBorder="1"/>
    <xf numFmtId="0" fontId="9" fillId="0" borderId="27" xfId="0" applyFont="1" applyBorder="1"/>
    <xf numFmtId="43" fontId="9" fillId="0" borderId="28" xfId="0" applyNumberFormat="1" applyFont="1" applyBorder="1"/>
    <xf numFmtId="0" fontId="9" fillId="0" borderId="28" xfId="0" applyFont="1" applyBorder="1"/>
    <xf numFmtId="0" fontId="2" fillId="0" borderId="29" xfId="0" applyFont="1" applyBorder="1"/>
    <xf numFmtId="0" fontId="17" fillId="5" borderId="0" xfId="0" applyFont="1" applyFill="1" applyBorder="1" applyAlignment="1" applyProtection="1">
      <alignment horizontal="center"/>
    </xf>
    <xf numFmtId="0" fontId="2" fillId="0" borderId="1" xfId="0" applyFont="1" applyBorder="1" applyAlignment="1">
      <alignment horizontal="center"/>
    </xf>
    <xf numFmtId="0" fontId="6" fillId="0" borderId="22" xfId="0" applyFont="1" applyBorder="1" applyAlignment="1">
      <alignment horizontal="center"/>
    </xf>
    <xf numFmtId="0" fontId="6" fillId="0" borderId="23" xfId="0" applyFont="1" applyBorder="1" applyAlignment="1">
      <alignment horizontal="center"/>
    </xf>
    <xf numFmtId="0" fontId="5" fillId="0" borderId="2" xfId="0" applyFont="1" applyBorder="1" applyAlignment="1">
      <alignment horizontal="center"/>
    </xf>
    <xf numFmtId="0" fontId="5" fillId="0" borderId="3" xfId="0" applyFont="1" applyBorder="1" applyAlignment="1">
      <alignment horizontal="center"/>
    </xf>
    <xf numFmtId="0" fontId="5" fillId="0" borderId="4" xfId="0" applyFont="1" applyBorder="1" applyAlignment="1">
      <alignment horizontal="center"/>
    </xf>
    <xf numFmtId="43" fontId="8" fillId="0" borderId="0" xfId="1" applyFont="1" applyAlignment="1">
      <alignment horizontal="center"/>
    </xf>
    <xf numFmtId="43" fontId="3" fillId="0" borderId="22" xfId="1" applyFont="1" applyBorder="1" applyAlignment="1">
      <alignment horizontal="center"/>
    </xf>
    <xf numFmtId="43" fontId="3" fillId="0" borderId="23" xfId="1" applyFont="1" applyBorder="1" applyAlignment="1">
      <alignment horizontal="center"/>
    </xf>
    <xf numFmtId="43" fontId="3" fillId="0" borderId="24" xfId="1" applyFont="1" applyBorder="1" applyAlignment="1">
      <alignment horizontal="center"/>
    </xf>
    <xf numFmtId="0" fontId="24" fillId="0" borderId="22" xfId="0" applyFont="1" applyFill="1" applyBorder="1" applyAlignment="1">
      <alignment horizontal="left"/>
    </xf>
    <xf numFmtId="0" fontId="24" fillId="0" borderId="23" xfId="0" applyFont="1" applyFill="1" applyBorder="1" applyAlignment="1">
      <alignment horizontal="left"/>
    </xf>
    <xf numFmtId="0" fontId="24" fillId="0" borderId="24" xfId="0" applyFont="1" applyFill="1" applyBorder="1" applyAlignment="1">
      <alignment horizontal="left"/>
    </xf>
    <xf numFmtId="0" fontId="2" fillId="0" borderId="10" xfId="0" applyFont="1" applyBorder="1" applyAlignment="1">
      <alignment horizontal="center"/>
    </xf>
    <xf numFmtId="0" fontId="2" fillId="0" borderId="11" xfId="0" applyFont="1" applyBorder="1" applyAlignment="1">
      <alignment horizontal="center"/>
    </xf>
    <xf numFmtId="0" fontId="2" fillId="0" borderId="33" xfId="0" applyFont="1" applyBorder="1" applyAlignment="1">
      <alignment horizontal="center"/>
    </xf>
    <xf numFmtId="0" fontId="0" fillId="0" borderId="23" xfId="0" applyBorder="1" applyAlignment="1">
      <alignment horizontal="center"/>
    </xf>
  </cellXfs>
  <cellStyles count="4">
    <cellStyle name="Comma" xfId="1" builtinId="3"/>
    <cellStyle name="Currency" xfId="3" builtinId="4"/>
    <cellStyle name="Normal" xfId="0" builtinId="0"/>
    <cellStyle name="Percent" xfId="2" builtinId="5"/>
  </cellStyles>
  <dxfs count="0"/>
  <tableStyles count="0" defaultTableStyle="TableStyleMedium9" defaultPivotStyle="PivotStyleLight16"/>
  <colors>
    <mruColors>
      <color rgb="FF0000FF"/>
      <color rgb="FF4F81B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4.gif"/><Relationship Id="rId2" Type="http://schemas.openxmlformats.org/officeDocument/2006/relationships/image" Target="../media/image3.jpeg"/><Relationship Id="rId1" Type="http://schemas.openxmlformats.org/officeDocument/2006/relationships/image" Target="../media/image2.emf"/><Relationship Id="rId4" Type="http://schemas.openxmlformats.org/officeDocument/2006/relationships/image" Target="../media/image5.jpeg"/></Relationships>
</file>

<file path=xl/drawings/drawing1.xml><?xml version="1.0" encoding="utf-8"?>
<xdr:wsDr xmlns:xdr="http://schemas.openxmlformats.org/drawingml/2006/spreadsheetDrawing" xmlns:a="http://schemas.openxmlformats.org/drawingml/2006/main">
  <xdr:twoCellAnchor>
    <xdr:from>
      <xdr:col>1</xdr:col>
      <xdr:colOff>342900</xdr:colOff>
      <xdr:row>7</xdr:row>
      <xdr:rowOff>133350</xdr:rowOff>
    </xdr:from>
    <xdr:to>
      <xdr:col>10</xdr:col>
      <xdr:colOff>228600</xdr:colOff>
      <xdr:row>16</xdr:row>
      <xdr:rowOff>142875</xdr:rowOff>
    </xdr:to>
    <xdr:sp macro="" textlink="">
      <xdr:nvSpPr>
        <xdr:cNvPr id="4" name="Oval 3"/>
        <xdr:cNvSpPr/>
      </xdr:nvSpPr>
      <xdr:spPr>
        <a:xfrm>
          <a:off x="952500" y="1466850"/>
          <a:ext cx="5372100" cy="1724025"/>
        </a:xfrm>
        <a:prstGeom prst="ellipse">
          <a:avLst/>
        </a:prstGeom>
        <a:blipFill dpi="0" rotWithShape="1">
          <a:blip xmlns:r="http://schemas.openxmlformats.org/officeDocument/2006/relationships" r:embed="rId1" cstate="print">
            <a:alphaModFix amt="23000"/>
          </a:blip>
          <a:srcRect/>
          <a:stretch>
            <a:fillRect/>
          </a:stretch>
        </a:bli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twoCellAnchor>
    <xdr:from>
      <xdr:col>1</xdr:col>
      <xdr:colOff>9525</xdr:colOff>
      <xdr:row>1</xdr:row>
      <xdr:rowOff>9525</xdr:rowOff>
    </xdr:from>
    <xdr:to>
      <xdr:col>11</xdr:col>
      <xdr:colOff>9525</xdr:colOff>
      <xdr:row>24</xdr:row>
      <xdr:rowOff>95250</xdr:rowOff>
    </xdr:to>
    <xdr:sp macro="" textlink="">
      <xdr:nvSpPr>
        <xdr:cNvPr id="2" name="Text Box 1"/>
        <xdr:cNvSpPr txBox="1">
          <a:spLocks noChangeArrowheads="1"/>
        </xdr:cNvSpPr>
      </xdr:nvSpPr>
      <xdr:spPr bwMode="auto">
        <a:xfrm>
          <a:off x="619125" y="200025"/>
          <a:ext cx="6096000" cy="4467225"/>
        </a:xfrm>
        <a:prstGeom prst="rect">
          <a:avLst/>
        </a:prstGeom>
        <a:noFill/>
        <a:ln w="9525">
          <a:solidFill>
            <a:srgbClr val="000000"/>
          </a:solidFill>
          <a:miter lim="800000"/>
          <a:headEnd/>
          <a:tailEnd/>
        </a:ln>
      </xdr:spPr>
      <xdr:txBody>
        <a:bodyPr vertOverflow="clip" wrap="square" lIns="91440" tIns="45720" rIns="91440" bIns="45720" anchor="t" upright="1"/>
        <a:lstStyle/>
        <a:p>
          <a:pPr algn="ctr" rtl="0">
            <a:defRPr sz="1000"/>
          </a:pPr>
          <a:r>
            <a:rPr lang="en-US" sz="1000" b="1" i="0" u="none" strike="noStrike" baseline="0">
              <a:solidFill>
                <a:srgbClr val="000000"/>
              </a:solidFill>
              <a:latin typeface="Tahoma" pitchFamily="34" charset="0"/>
              <a:cs typeface="Tahoma" pitchFamily="34" charset="0"/>
            </a:rPr>
            <a:t>Disclaimer &amp; Limitations</a:t>
          </a:r>
        </a:p>
        <a:p>
          <a:pPr algn="l" rtl="0">
            <a:defRPr sz="1000"/>
          </a:pPr>
          <a:endParaRPr lang="en-US" sz="1000" b="1" i="0" u="none" strike="noStrike" baseline="0">
            <a:solidFill>
              <a:srgbClr val="000000"/>
            </a:solidFill>
            <a:latin typeface="Tahoma" pitchFamily="34" charset="0"/>
            <a:cs typeface="Tahoma" pitchFamily="34" charset="0"/>
          </a:endParaRPr>
        </a:p>
        <a:p>
          <a:pPr algn="l" rtl="0">
            <a:defRPr sz="1000"/>
          </a:pPr>
          <a:r>
            <a:rPr lang="en-US" sz="1000" b="0" i="0" u="none" strike="noStrike" baseline="0">
              <a:solidFill>
                <a:srgbClr val="000000"/>
              </a:solidFill>
              <a:latin typeface="Tahoma" pitchFamily="34" charset="0"/>
              <a:cs typeface="Tahoma" pitchFamily="34" charset="0"/>
            </a:rPr>
            <a:t>WSP \ Parsons Brinckerhoff has conducted research and employed analytical methodologies it deems appropriate to develop underlying assumptions and to prepare this analytical tool. </a:t>
          </a:r>
        </a:p>
        <a:p>
          <a:pPr algn="l" rtl="0">
            <a:defRPr sz="1000"/>
          </a:pPr>
          <a:endParaRPr lang="en-US" sz="1000" b="0" i="0" u="none" strike="noStrike" baseline="0">
            <a:solidFill>
              <a:srgbClr val="000000"/>
            </a:solidFill>
            <a:latin typeface="Tahoma" pitchFamily="34" charset="0"/>
            <a:cs typeface="Tahoma" pitchFamily="34" charset="0"/>
          </a:endParaRPr>
        </a:p>
        <a:p>
          <a:pPr algn="l" rtl="0">
            <a:defRPr sz="1000"/>
          </a:pPr>
          <a:r>
            <a:rPr lang="en-US" sz="1000" b="0" i="0" u="none" strike="noStrike" baseline="0">
              <a:solidFill>
                <a:srgbClr val="000000"/>
              </a:solidFill>
              <a:latin typeface="Tahoma" pitchFamily="34" charset="0"/>
              <a:cs typeface="Tahoma" pitchFamily="34" charset="0"/>
            </a:rPr>
            <a:t>This workbook contains certain analysis and projections concerning anticipated future events and such analysis and projections reflect various assumptions. These assumptions may or may not prove to be correct. Actual results and events will likely vary from the projections contained in this report, and such variations could be material. Analysis, estimates, and projections of future events rely on numerous assumptions and judgments, and are only predictions and are not guarantees of future events or included assumptions. They involve risks and uncertainties, and are affected by circumstances that can change quickly. Many of these risks and uncertainties are beyond our ability to control or predict and the realization of any of them could have a material adverse effect on outcomes. We believe forward-looking analysis contained in this workbook are reasonable; however, forward-looking analysis is reflected as of the date they are made. </a:t>
          </a:r>
        </a:p>
        <a:p>
          <a:pPr algn="l" rtl="0">
            <a:defRPr sz="1000"/>
          </a:pPr>
          <a:endParaRPr lang="en-US" sz="1000" b="0" i="0" u="none" strike="noStrike" baseline="0">
            <a:solidFill>
              <a:srgbClr val="000000"/>
            </a:solidFill>
            <a:latin typeface="Tahoma" pitchFamily="34" charset="0"/>
            <a:cs typeface="Tahoma" pitchFamily="34" charset="0"/>
          </a:endParaRPr>
        </a:p>
        <a:p>
          <a:pPr algn="l" rtl="0">
            <a:defRPr sz="1000"/>
          </a:pPr>
          <a:r>
            <a:rPr lang="en-US" sz="1000" b="0" i="0" u="none" strike="noStrike" baseline="0">
              <a:solidFill>
                <a:srgbClr val="000000"/>
              </a:solidFill>
              <a:latin typeface="Tahoma" pitchFamily="34" charset="0"/>
              <a:cs typeface="Tahoma" pitchFamily="34" charset="0"/>
            </a:rPr>
            <a:t>This workbook has been designed to generate accurate results for the inputs and scenarios included in the model as delivered. Parsons Brinckerhoff makes no guarantees as to the ability of the workbook to generate  results if inputs or the structure of the workbook is altered.  </a:t>
          </a:r>
          <a:r>
            <a:rPr lang="en-US" sz="1000" b="0" i="0" baseline="0">
              <a:latin typeface="Tahoma" pitchFamily="34" charset="0"/>
              <a:ea typeface="+mn-ea"/>
              <a:cs typeface="Tahoma" pitchFamily="34" charset="0"/>
            </a:rPr>
            <a:t>Checks included in the model are not exhaustive and cannot be relied upon solely to detect errors or malfunctions. </a:t>
          </a:r>
          <a:r>
            <a:rPr lang="en-US" sz="1000" b="0" i="0" u="none" strike="noStrike" baseline="0">
              <a:solidFill>
                <a:srgbClr val="000000"/>
              </a:solidFill>
              <a:latin typeface="Tahoma" pitchFamily="34" charset="0"/>
              <a:cs typeface="Tahoma" pitchFamily="34" charset="0"/>
            </a:rPr>
            <a:t>No structural changes, additions, or deletions should be made to this workbook. </a:t>
          </a:r>
        </a:p>
        <a:p>
          <a:pPr algn="l" rtl="0">
            <a:defRPr sz="1000"/>
          </a:pPr>
          <a:endParaRPr lang="en-US" sz="1000" b="0" i="0" u="none" strike="noStrike" baseline="0">
            <a:solidFill>
              <a:srgbClr val="000000"/>
            </a:solidFill>
            <a:latin typeface="Tahoma" pitchFamily="34" charset="0"/>
            <a:cs typeface="Tahoma" pitchFamily="34" charset="0"/>
          </a:endParaRPr>
        </a:p>
        <a:p>
          <a:pPr algn="l" rtl="0">
            <a:defRPr sz="1000"/>
          </a:pPr>
          <a:r>
            <a:rPr lang="en-US" sz="1000" b="0" i="0" u="none" strike="noStrike" baseline="0">
              <a:solidFill>
                <a:srgbClr val="000000"/>
              </a:solidFill>
              <a:latin typeface="Tahoma" pitchFamily="34" charset="0"/>
              <a:cs typeface="Tahoma" pitchFamily="34" charset="0"/>
            </a:rPr>
            <a:t>All information contained in this document is bound by a strict confidentiality agreement and is not to be shared with those outside of the intended audiences. The information and analytical methods contained in this workbook are proprietary material and are to be used only for expressly agreed-upon purposes. If this workbook is received or possessed in error, it should be destroyed immediately.</a:t>
          </a:r>
        </a:p>
      </xdr:txBody>
    </xdr:sp>
    <xdr:clientData/>
  </xdr:twoCellAnchor>
  <mc:AlternateContent xmlns:mc="http://schemas.openxmlformats.org/markup-compatibility/2006">
    <mc:Choice xmlns:a14="http://schemas.microsoft.com/office/drawing/2010/main" Requires="a14">
      <xdr:twoCellAnchor>
        <xdr:from>
          <xdr:col>3</xdr:col>
          <xdr:colOff>390525</xdr:colOff>
          <xdr:row>25</xdr:row>
          <xdr:rowOff>171450</xdr:rowOff>
        </xdr:from>
        <xdr:to>
          <xdr:col>8</xdr:col>
          <xdr:colOff>9525</xdr:colOff>
          <xdr:row>30</xdr:row>
          <xdr:rowOff>95250</xdr:rowOff>
        </xdr:to>
        <xdr:sp macro="" textlink="">
          <xdr:nvSpPr>
            <xdr:cNvPr id="2049" name="Button 1" hidden="1">
              <a:extLst>
                <a:ext uri="{63B3BB69-23CF-44E3-9099-C40C66FF867C}">
                  <a14:compatExt spid="_x0000_s2049"/>
                </a:ext>
              </a:extLst>
            </xdr:cNvPr>
            <xdr:cNvSpPr/>
          </xdr:nvSpPr>
          <xdr:spPr>
            <a:xfrm>
              <a:off x="0" y="0"/>
              <a:ext cx="0" cy="0"/>
            </a:xfrm>
            <a:prstGeom prst="rect">
              <a:avLst/>
            </a:prstGeom>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rPr>
                <a:t>Please read and accept the Disclaimer and Limitations above</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11</xdr:col>
      <xdr:colOff>47624</xdr:colOff>
      <xdr:row>1</xdr:row>
      <xdr:rowOff>152400</xdr:rowOff>
    </xdr:from>
    <xdr:to>
      <xdr:col>11</xdr:col>
      <xdr:colOff>47624</xdr:colOff>
      <xdr:row>7</xdr:row>
      <xdr:rowOff>152400</xdr:rowOff>
    </xdr:to>
    <xdr:pic>
      <xdr:nvPicPr>
        <xdr:cNvPr id="2" name="Picture 1"/>
        <xdr:cNvPicPr>
          <a:picLocks noChangeAspect="1"/>
        </xdr:cNvPicPr>
      </xdr:nvPicPr>
      <xdr:blipFill>
        <a:blip xmlns:r="http://schemas.openxmlformats.org/officeDocument/2006/relationships" r:embed="rId1" cstate="print"/>
        <a:srcRect/>
        <a:stretch>
          <a:fillRect/>
        </a:stretch>
      </xdr:blipFill>
      <xdr:spPr bwMode="auto">
        <a:xfrm>
          <a:off x="2285999" y="342900"/>
          <a:ext cx="0" cy="1143000"/>
        </a:xfrm>
        <a:prstGeom prst="rect">
          <a:avLst/>
        </a:prstGeom>
        <a:noFill/>
        <a:ln w="9525">
          <a:noFill/>
          <a:miter lim="800000"/>
          <a:headEnd/>
          <a:tailEnd/>
        </a:ln>
      </xdr:spPr>
    </xdr:pic>
    <xdr:clientData/>
  </xdr:twoCellAnchor>
  <xdr:twoCellAnchor editAs="oneCell">
    <xdr:from>
      <xdr:col>13</xdr:col>
      <xdr:colOff>38100</xdr:colOff>
      <xdr:row>2</xdr:row>
      <xdr:rowOff>95250</xdr:rowOff>
    </xdr:from>
    <xdr:to>
      <xdr:col>13</xdr:col>
      <xdr:colOff>38100</xdr:colOff>
      <xdr:row>8</xdr:row>
      <xdr:rowOff>95250</xdr:rowOff>
    </xdr:to>
    <xdr:pic>
      <xdr:nvPicPr>
        <xdr:cNvPr id="3" name="Picture 2"/>
        <xdr:cNvPicPr>
          <a:picLocks noChangeAspect="1"/>
        </xdr:cNvPicPr>
      </xdr:nvPicPr>
      <xdr:blipFill>
        <a:blip xmlns:r="http://schemas.openxmlformats.org/officeDocument/2006/relationships" r:embed="rId1" cstate="print"/>
        <a:srcRect/>
        <a:stretch>
          <a:fillRect/>
        </a:stretch>
      </xdr:blipFill>
      <xdr:spPr bwMode="auto">
        <a:xfrm>
          <a:off x="2505075" y="476250"/>
          <a:ext cx="0" cy="1143000"/>
        </a:xfrm>
        <a:prstGeom prst="rect">
          <a:avLst/>
        </a:prstGeom>
        <a:noFill/>
        <a:ln w="9525">
          <a:noFill/>
          <a:miter lim="800000"/>
          <a:headEnd/>
          <a:tailEnd/>
        </a:ln>
      </xdr:spPr>
    </xdr:pic>
    <xdr:clientData/>
  </xdr:twoCellAnchor>
  <xdr:twoCellAnchor editAs="oneCell">
    <xdr:from>
      <xdr:col>0</xdr:col>
      <xdr:colOff>38100</xdr:colOff>
      <xdr:row>0</xdr:row>
      <xdr:rowOff>38100</xdr:rowOff>
    </xdr:from>
    <xdr:to>
      <xdr:col>0</xdr:col>
      <xdr:colOff>38100</xdr:colOff>
      <xdr:row>2</xdr:row>
      <xdr:rowOff>114300</xdr:rowOff>
    </xdr:to>
    <xdr:pic>
      <xdr:nvPicPr>
        <xdr:cNvPr id="4" name="Picture 3" descr="PB_Logo.jpg"/>
        <xdr:cNvPicPr>
          <a:picLocks noChangeAspect="1"/>
        </xdr:cNvPicPr>
      </xdr:nvPicPr>
      <xdr:blipFill>
        <a:blip xmlns:r="http://schemas.openxmlformats.org/officeDocument/2006/relationships" r:embed="rId2" cstate="print"/>
        <a:stretch>
          <a:fillRect/>
        </a:stretch>
      </xdr:blipFill>
      <xdr:spPr>
        <a:xfrm>
          <a:off x="38100" y="38100"/>
          <a:ext cx="2364933" cy="457200"/>
        </a:xfrm>
        <a:prstGeom prst="rect">
          <a:avLst/>
        </a:prstGeom>
      </xdr:spPr>
    </xdr:pic>
    <xdr:clientData/>
  </xdr:twoCellAnchor>
  <xdr:twoCellAnchor>
    <xdr:from>
      <xdr:col>17</xdr:col>
      <xdr:colOff>18292</xdr:colOff>
      <xdr:row>7</xdr:row>
      <xdr:rowOff>161925</xdr:rowOff>
    </xdr:from>
    <xdr:to>
      <xdr:col>46</xdr:col>
      <xdr:colOff>46867</xdr:colOff>
      <xdr:row>16</xdr:row>
      <xdr:rowOff>9525</xdr:rowOff>
    </xdr:to>
    <xdr:sp macro="" textlink="">
      <xdr:nvSpPr>
        <xdr:cNvPr id="5" name="Text Box 23"/>
        <xdr:cNvSpPr txBox="1">
          <a:spLocks noChangeAspect="1" noChangeArrowheads="1"/>
        </xdr:cNvSpPr>
      </xdr:nvSpPr>
      <xdr:spPr bwMode="auto">
        <a:xfrm>
          <a:off x="2942467" y="1495425"/>
          <a:ext cx="3343275" cy="1876425"/>
        </a:xfrm>
        <a:prstGeom prst="rect">
          <a:avLst/>
        </a:prstGeom>
        <a:noFill/>
        <a:ln w="9525">
          <a:noFill/>
          <a:miter lim="800000"/>
          <a:headEnd/>
          <a:tailEnd/>
        </a:ln>
      </xdr:spPr>
      <xdr:txBody>
        <a:bodyPr vertOverflow="clip" wrap="square" lIns="91440" tIns="45720" rIns="91440" bIns="45720" anchor="ctr" upright="1"/>
        <a:lstStyle/>
        <a:p>
          <a:pPr algn="ctr"/>
          <a:r>
            <a:rPr lang="en-US" sz="2200" b="1" u="sng">
              <a:latin typeface="+mn-lt"/>
              <a:ea typeface="+mn-ea"/>
              <a:cs typeface="+mn-cs"/>
            </a:rPr>
            <a:t>Truck Freight Reliability Valuation</a:t>
          </a:r>
          <a:r>
            <a:rPr lang="en-US" sz="2200" b="1" u="sng" baseline="0">
              <a:latin typeface="+mn-lt"/>
              <a:ea typeface="+mn-ea"/>
              <a:cs typeface="+mn-cs"/>
            </a:rPr>
            <a:t> </a:t>
          </a:r>
          <a:r>
            <a:rPr lang="en-US" sz="2200" b="1" u="sng">
              <a:latin typeface="+mn-lt"/>
              <a:ea typeface="+mn-ea"/>
              <a:cs typeface="+mn-cs"/>
            </a:rPr>
            <a:t>Model</a:t>
          </a:r>
        </a:p>
        <a:p>
          <a:pPr algn="ctr" rtl="0">
            <a:defRPr sz="1000"/>
          </a:pPr>
          <a:endParaRPr lang="en-US" sz="2200" b="1" i="0" u="sng" strike="noStrike" baseline="0">
            <a:solidFill>
              <a:srgbClr val="000000"/>
            </a:solidFill>
            <a:latin typeface="Arial"/>
            <a:cs typeface="Arial"/>
          </a:endParaRPr>
        </a:p>
      </xdr:txBody>
    </xdr:sp>
    <xdr:clientData/>
  </xdr:twoCellAnchor>
  <xdr:twoCellAnchor editAs="oneCell">
    <xdr:from>
      <xdr:col>10</xdr:col>
      <xdr:colOff>9525</xdr:colOff>
      <xdr:row>2</xdr:row>
      <xdr:rowOff>180975</xdr:rowOff>
    </xdr:from>
    <xdr:to>
      <xdr:col>10</xdr:col>
      <xdr:colOff>9525</xdr:colOff>
      <xdr:row>8</xdr:row>
      <xdr:rowOff>180975</xdr:rowOff>
    </xdr:to>
    <xdr:pic>
      <xdr:nvPicPr>
        <xdr:cNvPr id="6" name="Picture 5"/>
        <xdr:cNvPicPr>
          <a:picLocks noChangeAspect="1"/>
        </xdr:cNvPicPr>
      </xdr:nvPicPr>
      <xdr:blipFill>
        <a:blip xmlns:r="http://schemas.openxmlformats.org/officeDocument/2006/relationships" r:embed="rId3" cstate="print"/>
        <a:stretch>
          <a:fillRect/>
        </a:stretch>
      </xdr:blipFill>
      <xdr:spPr bwMode="auto">
        <a:xfrm>
          <a:off x="2133600" y="561975"/>
          <a:ext cx="5134970" cy="1143000"/>
        </a:xfrm>
        <a:prstGeom prst="rect">
          <a:avLst/>
        </a:prstGeom>
        <a:noFill/>
        <a:ln w="9525">
          <a:noFill/>
          <a:miter lim="800000"/>
          <a:headEnd/>
          <a:tailEnd/>
        </a:ln>
      </xdr:spPr>
    </xdr:pic>
    <xdr:clientData/>
  </xdr:twoCellAnchor>
  <xdr:twoCellAnchor editAs="oneCell">
    <xdr:from>
      <xdr:col>1</xdr:col>
      <xdr:colOff>19050</xdr:colOff>
      <xdr:row>1</xdr:row>
      <xdr:rowOff>104775</xdr:rowOff>
    </xdr:from>
    <xdr:to>
      <xdr:col>24</xdr:col>
      <xdr:colOff>104775</xdr:colOff>
      <xdr:row>5</xdr:row>
      <xdr:rowOff>106852</xdr:rowOff>
    </xdr:to>
    <xdr:pic>
      <xdr:nvPicPr>
        <xdr:cNvPr id="8" name="Picture 7" descr="WSP-PB-Logo.jpg"/>
        <xdr:cNvPicPr>
          <a:picLocks noChangeAspect="1"/>
        </xdr:cNvPicPr>
      </xdr:nvPicPr>
      <xdr:blipFill>
        <a:blip xmlns:r="http://schemas.openxmlformats.org/officeDocument/2006/relationships" r:embed="rId4" cstate="print"/>
        <a:stretch>
          <a:fillRect/>
        </a:stretch>
      </xdr:blipFill>
      <xdr:spPr>
        <a:xfrm>
          <a:off x="133350" y="295275"/>
          <a:ext cx="3695700" cy="764077"/>
        </a:xfrm>
        <a:prstGeom prst="rect">
          <a:avLst/>
        </a:prstGeom>
      </xdr:spPr>
    </xdr:pic>
    <xdr:clientData/>
  </xdr:twoCellAnchor>
  <mc:AlternateContent xmlns:mc="http://schemas.openxmlformats.org/markup-compatibility/2006">
    <mc:Choice xmlns:a14="http://schemas.microsoft.com/office/drawing/2010/main" Requires="a14">
      <xdr:twoCellAnchor>
        <xdr:from>
          <xdr:col>52</xdr:col>
          <xdr:colOff>76200</xdr:colOff>
          <xdr:row>21</xdr:row>
          <xdr:rowOff>47625</xdr:rowOff>
        </xdr:from>
        <xdr:to>
          <xdr:col>65</xdr:col>
          <xdr:colOff>0</xdr:colOff>
          <xdr:row>23</xdr:row>
          <xdr:rowOff>0</xdr:rowOff>
        </xdr:to>
        <xdr:sp macro="" textlink="">
          <xdr:nvSpPr>
            <xdr:cNvPr id="1025" name="Button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rPr>
                <a:t>Begin</a:t>
              </a:r>
            </a:p>
          </xdr:txBody>
        </xdr:sp>
        <xdr:clientData fPrint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ctrlProp" Target="../ctrlProps/ctrlProp2.xml"/><Relationship Id="rId2" Type="http://schemas.openxmlformats.org/officeDocument/2006/relationships/vmlDrawing" Target="../drawings/vmlDrawing2.vml"/><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L33"/>
  <sheetViews>
    <sheetView showGridLines="0" workbookViewId="0">
      <selection activeCell="L7" sqref="L7"/>
    </sheetView>
  </sheetViews>
  <sheetFormatPr defaultColWidth="0" defaultRowHeight="15" customHeight="1" zeroHeight="1" x14ac:dyDescent="0.25"/>
  <cols>
    <col min="1" max="12" width="9.140625" customWidth="1"/>
    <col min="13" max="16384" width="9.140625" hidden="1"/>
  </cols>
  <sheetData>
    <row r="1" x14ac:dyDescent="0.25"/>
    <row r="2" x14ac:dyDescent="0.25"/>
    <row r="3" x14ac:dyDescent="0.25"/>
    <row r="4" x14ac:dyDescent="0.25"/>
    <row r="5" x14ac:dyDescent="0.25"/>
    <row r="6" x14ac:dyDescent="0.25"/>
    <row r="7" x14ac:dyDescent="0.25"/>
    <row r="8" x14ac:dyDescent="0.25"/>
    <row r="9" x14ac:dyDescent="0.25"/>
    <row r="10" x14ac:dyDescent="0.25"/>
    <row r="11" x14ac:dyDescent="0.25"/>
    <row r="12" x14ac:dyDescent="0.25"/>
    <row r="13" x14ac:dyDescent="0.25"/>
    <row r="14" x14ac:dyDescent="0.25"/>
    <row r="15" x14ac:dyDescent="0.25"/>
    <row r="16" x14ac:dyDescent="0.25"/>
    <row r="17" x14ac:dyDescent="0.25"/>
    <row r="18" x14ac:dyDescent="0.25"/>
    <row r="19" x14ac:dyDescent="0.25"/>
    <row r="20" x14ac:dyDescent="0.25"/>
    <row r="21" x14ac:dyDescent="0.25"/>
    <row r="22" x14ac:dyDescent="0.25"/>
    <row r="23" x14ac:dyDescent="0.25"/>
    <row r="24" x14ac:dyDescent="0.25"/>
    <row r="25" x14ac:dyDescent="0.25"/>
    <row r="26" x14ac:dyDescent="0.25"/>
    <row r="27" x14ac:dyDescent="0.25"/>
    <row r="28" x14ac:dyDescent="0.25"/>
    <row r="29" x14ac:dyDescent="0.25"/>
    <row r="30" x14ac:dyDescent="0.25"/>
    <row r="31" x14ac:dyDescent="0.25"/>
    <row r="32" x14ac:dyDescent="0.25"/>
    <row r="33" x14ac:dyDescent="0.25"/>
  </sheetData>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Button 1">
              <controlPr defaultSize="0" print="0" autoFill="0" autoPict="0" macro="[0]!ThisWorkbook.Unhide_all_sheets">
                <anchor moveWithCells="1" sizeWithCells="1">
                  <from>
                    <xdr:col>3</xdr:col>
                    <xdr:colOff>390525</xdr:colOff>
                    <xdr:row>25</xdr:row>
                    <xdr:rowOff>171450</xdr:rowOff>
                  </from>
                  <to>
                    <xdr:col>8</xdr:col>
                    <xdr:colOff>9525</xdr:colOff>
                    <xdr:row>30</xdr:row>
                    <xdr:rowOff>95250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DX47"/>
  <sheetViews>
    <sheetView workbookViewId="0">
      <selection activeCell="C28" sqref="C28"/>
    </sheetView>
  </sheetViews>
  <sheetFormatPr defaultColWidth="0" defaultRowHeight="0" customHeight="1" zeroHeight="1" x14ac:dyDescent="0.25"/>
  <cols>
    <col min="1" max="2" width="1.7109375" style="64" customWidth="1"/>
    <col min="3" max="3" width="16.42578125" style="64" customWidth="1"/>
    <col min="4" max="69" width="1.7109375" style="64" customWidth="1"/>
    <col min="70" max="128" width="1.7109375" style="64" hidden="1" customWidth="1"/>
    <col min="129" max="16384" width="9.140625" style="64" hidden="1"/>
  </cols>
  <sheetData>
    <row r="1" spans="1:67" ht="15" x14ac:dyDescent="0.25"/>
    <row r="2" spans="1:67" ht="15" x14ac:dyDescent="0.25"/>
    <row r="3" spans="1:67" ht="15" x14ac:dyDescent="0.25"/>
    <row r="4" spans="1:67" ht="15" x14ac:dyDescent="0.25"/>
    <row r="5" spans="1:67" ht="15" x14ac:dyDescent="0.25"/>
    <row r="6" spans="1:67" ht="15" x14ac:dyDescent="0.25"/>
    <row r="7" spans="1:67" ht="15" x14ac:dyDescent="0.25">
      <c r="A7" s="65"/>
    </row>
    <row r="8" spans="1:67" ht="15" x14ac:dyDescent="0.25"/>
    <row r="9" spans="1:67" ht="15" x14ac:dyDescent="0.25"/>
    <row r="10" spans="1:67" ht="15" x14ac:dyDescent="0.25"/>
    <row r="11" spans="1:67" ht="15" x14ac:dyDescent="0.25"/>
    <row r="12" spans="1:67" ht="15" x14ac:dyDescent="0.25"/>
    <row r="13" spans="1:67" ht="21" x14ac:dyDescent="0.35">
      <c r="C13" s="66"/>
    </row>
    <row r="14" spans="1:67" ht="33.75" x14ac:dyDescent="0.5">
      <c r="T14" s="67"/>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8"/>
      <c r="BK14" s="68"/>
      <c r="BL14" s="68"/>
      <c r="BM14" s="68"/>
      <c r="BN14" s="68"/>
      <c r="BO14" s="68"/>
    </row>
    <row r="15" spans="1:67" ht="15" x14ac:dyDescent="0.25">
      <c r="C15" s="69"/>
      <c r="D15" s="69"/>
      <c r="E15" s="69"/>
      <c r="F15" s="69"/>
      <c r="G15" s="69"/>
      <c r="H15" s="69"/>
      <c r="I15" s="69"/>
      <c r="J15" s="69"/>
      <c r="K15" s="69"/>
      <c r="L15" s="69"/>
      <c r="M15" s="69"/>
      <c r="N15" s="69"/>
      <c r="O15" s="69"/>
      <c r="P15" s="69"/>
      <c r="Q15" s="69"/>
      <c r="R15" s="69"/>
      <c r="S15" s="69"/>
      <c r="T15" s="69"/>
      <c r="U15" s="69"/>
      <c r="V15" s="69"/>
      <c r="W15" s="69"/>
      <c r="X15" s="69"/>
      <c r="Y15" s="69"/>
      <c r="Z15" s="69"/>
      <c r="AA15" s="69"/>
      <c r="AB15" s="69"/>
      <c r="AC15" s="69"/>
      <c r="AD15" s="69"/>
      <c r="AE15" s="69"/>
      <c r="AF15" s="69"/>
      <c r="AG15" s="69"/>
      <c r="AH15" s="69"/>
      <c r="AI15" s="69"/>
      <c r="AJ15" s="69"/>
      <c r="AK15" s="69"/>
      <c r="AL15" s="69"/>
      <c r="AM15" s="69"/>
      <c r="AN15" s="69"/>
      <c r="AO15" s="69"/>
      <c r="AP15" s="69"/>
      <c r="AQ15" s="69"/>
      <c r="AR15" s="69"/>
      <c r="AS15" s="69"/>
      <c r="AT15" s="69"/>
      <c r="AU15" s="69"/>
      <c r="AV15" s="69"/>
      <c r="AW15" s="69"/>
      <c r="AX15" s="69"/>
      <c r="AY15" s="69"/>
      <c r="AZ15" s="69"/>
      <c r="BA15" s="69"/>
      <c r="BB15" s="69"/>
      <c r="BC15" s="69"/>
      <c r="BD15" s="69"/>
      <c r="BE15" s="69"/>
      <c r="BF15" s="69"/>
      <c r="BG15" s="69"/>
      <c r="BH15" s="69"/>
      <c r="BI15" s="69"/>
      <c r="BJ15" s="69"/>
      <c r="BK15" s="69"/>
      <c r="BL15" s="69"/>
      <c r="BM15" s="69"/>
      <c r="BN15" s="69"/>
      <c r="BO15" s="69"/>
    </row>
    <row r="16" spans="1:67" ht="15" x14ac:dyDescent="0.25">
      <c r="C16" s="70"/>
      <c r="D16" s="70"/>
      <c r="E16" s="70"/>
      <c r="F16" s="70"/>
      <c r="G16" s="70"/>
      <c r="H16" s="70"/>
      <c r="I16" s="70"/>
      <c r="J16" s="70"/>
      <c r="K16" s="70"/>
      <c r="L16" s="70"/>
      <c r="M16" s="70"/>
      <c r="N16" s="70"/>
      <c r="O16" s="70"/>
      <c r="P16" s="70"/>
      <c r="Q16" s="70"/>
      <c r="R16" s="70"/>
      <c r="S16" s="70"/>
      <c r="T16" s="70"/>
      <c r="U16" s="70"/>
      <c r="V16" s="70"/>
      <c r="W16" s="70"/>
      <c r="X16" s="70"/>
      <c r="Y16" s="70"/>
      <c r="Z16" s="70"/>
      <c r="AA16" s="70"/>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row>
    <row r="17" spans="3:67" s="69" customFormat="1" ht="33.75" x14ac:dyDescent="0.5">
      <c r="G17" s="71"/>
      <c r="S17" s="72"/>
      <c r="T17" s="72"/>
      <c r="U17" s="72"/>
      <c r="V17" s="72"/>
      <c r="W17" s="72"/>
      <c r="X17" s="72"/>
      <c r="Y17" s="72"/>
      <c r="Z17" s="72"/>
      <c r="AA17" s="72"/>
      <c r="AC17" s="73"/>
      <c r="AD17" s="73"/>
      <c r="AE17" s="73"/>
      <c r="AF17" s="73"/>
      <c r="AG17" s="73"/>
      <c r="AH17" s="73"/>
      <c r="AI17" s="73"/>
      <c r="AJ17" s="73"/>
      <c r="AK17" s="73"/>
      <c r="AL17" s="74"/>
      <c r="AM17" s="73"/>
      <c r="AN17" s="73"/>
      <c r="AO17" s="73"/>
      <c r="AP17" s="73"/>
      <c r="AQ17" s="73"/>
      <c r="AR17" s="73"/>
      <c r="AS17" s="73"/>
      <c r="AT17" s="73"/>
      <c r="AU17" s="73"/>
      <c r="AW17" s="73"/>
      <c r="AX17" s="73"/>
      <c r="AY17" s="73"/>
      <c r="AZ17" s="73"/>
      <c r="BA17" s="73"/>
      <c r="BB17" s="73"/>
      <c r="BC17" s="73"/>
      <c r="BD17" s="73"/>
      <c r="BE17" s="73"/>
      <c r="BF17" s="73"/>
      <c r="BG17" s="73"/>
      <c r="BH17" s="73"/>
      <c r="BI17" s="73"/>
      <c r="BJ17" s="73"/>
      <c r="BK17" s="73"/>
      <c r="BL17" s="73"/>
      <c r="BM17" s="73"/>
      <c r="BN17" s="73"/>
      <c r="BO17" s="73"/>
    </row>
    <row r="18" spans="3:67" s="69" customFormat="1" ht="46.5" x14ac:dyDescent="0.7">
      <c r="E18" s="195" t="s">
        <v>85</v>
      </c>
      <c r="F18" s="195"/>
      <c r="G18" s="195"/>
      <c r="H18" s="195"/>
      <c r="I18" s="195"/>
      <c r="J18" s="195"/>
      <c r="K18" s="195"/>
      <c r="L18" s="195"/>
      <c r="M18" s="195"/>
      <c r="N18" s="195"/>
      <c r="O18" s="195"/>
      <c r="P18" s="195"/>
      <c r="Q18" s="195"/>
      <c r="R18" s="195"/>
      <c r="S18" s="195"/>
      <c r="T18" s="195"/>
      <c r="U18" s="195"/>
      <c r="V18" s="195"/>
      <c r="W18" s="195"/>
      <c r="X18" s="195"/>
      <c r="Y18" s="195"/>
      <c r="Z18" s="195"/>
      <c r="AA18" s="195"/>
      <c r="AB18" s="195"/>
      <c r="AC18" s="195"/>
      <c r="AD18" s="195"/>
      <c r="AE18" s="195"/>
      <c r="AF18" s="195"/>
      <c r="AG18" s="195"/>
      <c r="AH18" s="195"/>
      <c r="AI18" s="195"/>
      <c r="AJ18" s="195"/>
      <c r="AK18" s="195"/>
      <c r="AL18" s="195"/>
      <c r="AM18" s="195"/>
      <c r="AN18" s="195"/>
      <c r="AO18" s="195"/>
      <c r="AP18" s="195"/>
      <c r="AQ18" s="195"/>
      <c r="AR18" s="195"/>
      <c r="AS18" s="195"/>
      <c r="AT18" s="195"/>
      <c r="AU18" s="195"/>
      <c r="AV18" s="195"/>
      <c r="AW18" s="195"/>
      <c r="AX18" s="195"/>
      <c r="AY18" s="195"/>
      <c r="AZ18" s="195"/>
      <c r="BA18" s="195"/>
      <c r="BB18" s="195"/>
      <c r="BC18" s="195"/>
      <c r="BD18" s="195"/>
      <c r="BE18" s="195"/>
      <c r="BF18" s="195"/>
      <c r="BG18" s="195"/>
      <c r="BH18" s="195"/>
      <c r="BI18" s="195"/>
      <c r="BJ18" s="195"/>
      <c r="BK18" s="195"/>
      <c r="BL18" s="195"/>
      <c r="BM18" s="195"/>
      <c r="BN18" s="73"/>
      <c r="BO18" s="73"/>
    </row>
    <row r="19" spans="3:67" s="69" customFormat="1" ht="15" x14ac:dyDescent="0.25"/>
    <row r="20" spans="3:67" ht="15" x14ac:dyDescent="0.25">
      <c r="C20" s="70"/>
      <c r="D20" s="70"/>
      <c r="E20" s="70"/>
      <c r="F20" s="70"/>
      <c r="G20" s="70"/>
      <c r="H20" s="70"/>
      <c r="I20" s="70"/>
      <c r="J20" s="70"/>
      <c r="K20" s="70"/>
      <c r="L20" s="70"/>
      <c r="M20" s="70"/>
      <c r="N20" s="70"/>
      <c r="O20" s="70"/>
      <c r="P20" s="70"/>
      <c r="Q20" s="70"/>
      <c r="R20" s="70"/>
      <c r="S20" s="70"/>
      <c r="T20" s="70"/>
      <c r="U20" s="70"/>
      <c r="V20" s="70"/>
      <c r="W20" s="70"/>
      <c r="X20" s="70"/>
      <c r="Y20" s="70"/>
      <c r="Z20" s="70"/>
      <c r="AA20" s="70"/>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row>
    <row r="21" spans="3:67" s="69" customFormat="1" ht="15" x14ac:dyDescent="0.25"/>
    <row r="22" spans="3:67" ht="15" x14ac:dyDescent="0.25"/>
    <row r="23" spans="3:67" ht="15" x14ac:dyDescent="0.25"/>
    <row r="24" spans="3:67" ht="15" x14ac:dyDescent="0.25">
      <c r="C24" s="70"/>
      <c r="D24" s="70"/>
      <c r="E24" s="70"/>
      <c r="F24" s="70"/>
      <c r="G24" s="70"/>
      <c r="H24" s="70"/>
      <c r="I24" s="70"/>
      <c r="J24" s="70"/>
      <c r="K24" s="70"/>
      <c r="L24" s="70"/>
      <c r="M24" s="70"/>
      <c r="N24" s="70"/>
      <c r="O24" s="70"/>
      <c r="P24" s="70"/>
      <c r="Q24" s="70"/>
      <c r="R24" s="70"/>
      <c r="S24" s="70"/>
      <c r="T24" s="70"/>
      <c r="U24" s="70"/>
      <c r="V24" s="70"/>
      <c r="W24" s="70"/>
      <c r="X24" s="70"/>
      <c r="Y24" s="70"/>
      <c r="Z24" s="70"/>
      <c r="AA24" s="70"/>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row>
    <row r="25" spans="3:67" ht="15" x14ac:dyDescent="0.25">
      <c r="C25" s="75" t="s">
        <v>86</v>
      </c>
      <c r="D25" s="76"/>
      <c r="E25" s="76"/>
      <c r="F25" s="76"/>
      <c r="G25" s="76"/>
      <c r="H25" s="76"/>
      <c r="I25" s="76"/>
      <c r="J25" s="76"/>
      <c r="K25" s="76"/>
      <c r="L25" s="76"/>
      <c r="M25" s="76"/>
      <c r="N25" s="76"/>
      <c r="O25" s="76"/>
      <c r="P25" s="76"/>
      <c r="Q25" s="76"/>
      <c r="R25" s="76"/>
      <c r="S25" s="76"/>
      <c r="T25" s="76"/>
      <c r="U25" s="76"/>
      <c r="V25" s="76"/>
      <c r="W25" s="76"/>
      <c r="X25" s="76"/>
      <c r="Y25" s="76"/>
      <c r="Z25" s="76"/>
      <c r="AA25" s="76"/>
      <c r="AB25" s="76"/>
      <c r="AC25" s="76"/>
      <c r="AD25" s="76"/>
      <c r="AE25" s="76"/>
      <c r="AF25" s="76"/>
      <c r="AG25" s="76"/>
      <c r="AH25" s="76"/>
      <c r="AI25" s="76"/>
      <c r="AJ25" s="76"/>
      <c r="AK25" s="76"/>
      <c r="AL25" s="76"/>
      <c r="AM25" s="76"/>
      <c r="AN25" s="76"/>
      <c r="AO25" s="76"/>
      <c r="AP25" s="76"/>
      <c r="AQ25" s="76"/>
      <c r="AR25" s="76"/>
      <c r="AS25" s="76"/>
      <c r="AT25" s="76"/>
      <c r="AU25" s="76"/>
      <c r="AV25" s="76"/>
      <c r="AW25" s="76"/>
      <c r="AX25" s="76"/>
      <c r="AY25" s="76"/>
      <c r="AZ25" s="76"/>
      <c r="BA25" s="76"/>
      <c r="BB25" s="76"/>
      <c r="BC25" s="76"/>
      <c r="BD25" s="76"/>
      <c r="BE25" s="76"/>
      <c r="BF25" s="76"/>
      <c r="BG25" s="76"/>
      <c r="BH25" s="76"/>
      <c r="BI25" s="76"/>
      <c r="BJ25" s="76"/>
      <c r="BK25" s="76"/>
      <c r="BL25" s="76"/>
      <c r="BM25" s="76"/>
      <c r="BN25" s="76"/>
      <c r="BO25" s="76"/>
    </row>
    <row r="26" spans="3:67" ht="15" x14ac:dyDescent="0.25">
      <c r="C26" s="77" t="s">
        <v>0</v>
      </c>
    </row>
    <row r="27" spans="3:67" ht="15" x14ac:dyDescent="0.25">
      <c r="C27" s="78" t="s">
        <v>87</v>
      </c>
    </row>
    <row r="28" spans="3:67" ht="15" x14ac:dyDescent="0.25">
      <c r="C28" s="82" t="s">
        <v>88</v>
      </c>
    </row>
    <row r="29" spans="3:67" ht="15" x14ac:dyDescent="0.25">
      <c r="C29" s="79" t="s">
        <v>89</v>
      </c>
    </row>
    <row r="30" spans="3:67" ht="15" x14ac:dyDescent="0.25">
      <c r="C30" s="80" t="s">
        <v>90</v>
      </c>
    </row>
    <row r="31" spans="3:67" ht="15" x14ac:dyDescent="0.25">
      <c r="C31" s="81" t="s">
        <v>91</v>
      </c>
    </row>
    <row r="32" spans="3:67" ht="15" x14ac:dyDescent="0.25"/>
    <row r="33" ht="15" x14ac:dyDescent="0.25"/>
    <row r="34" ht="15" x14ac:dyDescent="0.25"/>
    <row r="35" ht="15" x14ac:dyDescent="0.25"/>
    <row r="36" ht="15" x14ac:dyDescent="0.25"/>
    <row r="37" ht="15" x14ac:dyDescent="0.25"/>
    <row r="38" ht="15" x14ac:dyDescent="0.25"/>
    <row r="39" ht="15" x14ac:dyDescent="0.25"/>
    <row r="40" ht="15" x14ac:dyDescent="0.25"/>
    <row r="41" ht="15" x14ac:dyDescent="0.25"/>
    <row r="42" ht="15" x14ac:dyDescent="0.25"/>
    <row r="43" ht="15" x14ac:dyDescent="0.25"/>
    <row r="44" ht="15" x14ac:dyDescent="0.25"/>
    <row r="45" ht="15" x14ac:dyDescent="0.25"/>
    <row r="46" ht="15" x14ac:dyDescent="0.25"/>
    <row r="47" ht="15" x14ac:dyDescent="0.25"/>
  </sheetData>
  <mergeCells count="1">
    <mergeCell ref="E18:BM18"/>
  </mergeCell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1025" r:id="rId3" name="Button 1">
              <controlPr defaultSize="0" print="0" autoFill="0" autoPict="0" macro="[0]!Cover_Inputs">
                <anchor moveWithCells="1" sizeWithCells="1">
                  <from>
                    <xdr:col>52</xdr:col>
                    <xdr:colOff>76200</xdr:colOff>
                    <xdr:row>21</xdr:row>
                    <xdr:rowOff>47625</xdr:rowOff>
                  </from>
                  <to>
                    <xdr:col>65</xdr:col>
                    <xdr:colOff>0</xdr:colOff>
                    <xdr:row>23</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0000"/>
  </sheetPr>
  <dimension ref="D1:N28"/>
  <sheetViews>
    <sheetView tabSelected="1" zoomScale="80" zoomScaleNormal="80" workbookViewId="0">
      <selection activeCell="R33" sqref="R33"/>
    </sheetView>
  </sheetViews>
  <sheetFormatPr defaultRowHeight="15" x14ac:dyDescent="0.25"/>
  <cols>
    <col min="1" max="2" width="2" bestFit="1" customWidth="1"/>
    <col min="3" max="3" width="2" customWidth="1"/>
    <col min="5" max="5" width="39.140625" customWidth="1"/>
    <col min="7" max="7" width="12" bestFit="1" customWidth="1"/>
    <col min="8" max="11" width="0" hidden="1" customWidth="1"/>
    <col min="12" max="12" width="10.7109375" customWidth="1"/>
    <col min="13" max="14" width="7.42578125" bestFit="1" customWidth="1"/>
  </cols>
  <sheetData>
    <row r="1" spans="4:14" x14ac:dyDescent="0.25">
      <c r="E1" s="1" t="s">
        <v>121</v>
      </c>
      <c r="F1" s="2">
        <v>2</v>
      </c>
    </row>
    <row r="2" spans="4:14" x14ac:dyDescent="0.25">
      <c r="E2" s="1" t="s">
        <v>17</v>
      </c>
      <c r="F2">
        <f>MATCH($F$1,$L$7:$N$7,0)</f>
        <v>2</v>
      </c>
    </row>
    <row r="4" spans="4:14" x14ac:dyDescent="0.25">
      <c r="D4" s="26"/>
      <c r="E4" s="27"/>
      <c r="F4" s="28" t="s">
        <v>3</v>
      </c>
      <c r="G4" s="29" t="s">
        <v>4</v>
      </c>
      <c r="L4" s="196" t="s">
        <v>0</v>
      </c>
      <c r="M4" s="196"/>
      <c r="N4" s="196"/>
    </row>
    <row r="5" spans="4:14" x14ac:dyDescent="0.25">
      <c r="D5" s="19" t="s">
        <v>78</v>
      </c>
      <c r="E5" s="20"/>
      <c r="F5" s="20"/>
      <c r="G5" s="22"/>
      <c r="L5" s="196" t="s">
        <v>122</v>
      </c>
      <c r="M5" s="196"/>
      <c r="N5" s="196"/>
    </row>
    <row r="6" spans="4:14" x14ac:dyDescent="0.25">
      <c r="D6" s="19"/>
      <c r="E6" s="20"/>
      <c r="F6" s="20"/>
      <c r="G6" s="22"/>
      <c r="L6" s="121" t="s">
        <v>123</v>
      </c>
      <c r="M6" s="121" t="s">
        <v>124</v>
      </c>
      <c r="N6" s="121" t="s">
        <v>125</v>
      </c>
    </row>
    <row r="7" spans="4:14" x14ac:dyDescent="0.25">
      <c r="D7" s="23"/>
      <c r="E7" s="20"/>
      <c r="F7" s="20"/>
      <c r="G7" s="22"/>
      <c r="L7" s="15">
        <v>1</v>
      </c>
      <c r="M7" s="15">
        <v>2</v>
      </c>
      <c r="N7" s="15">
        <v>3</v>
      </c>
    </row>
    <row r="8" spans="4:14" x14ac:dyDescent="0.25">
      <c r="D8" s="23"/>
      <c r="E8" s="21" t="s">
        <v>1</v>
      </c>
      <c r="F8" s="20">
        <f>INDEX($L8:$N8,1,$F$2)</f>
        <v>2</v>
      </c>
      <c r="G8" s="24" t="s">
        <v>5</v>
      </c>
      <c r="L8" s="31">
        <v>500</v>
      </c>
      <c r="M8" s="30">
        <f>'Case Study Inputs'!J12</f>
        <v>2</v>
      </c>
      <c r="N8" s="31">
        <v>500</v>
      </c>
    </row>
    <row r="9" spans="4:14" x14ac:dyDescent="0.25">
      <c r="D9" s="23"/>
      <c r="E9" s="21" t="s">
        <v>92</v>
      </c>
      <c r="F9" s="20">
        <f>INDEX($L9:$N9,1,$F$2)</f>
        <v>50</v>
      </c>
      <c r="G9" s="24" t="s">
        <v>6</v>
      </c>
      <c r="L9" s="32">
        <v>50</v>
      </c>
      <c r="M9" s="30">
        <f>'Case Study Inputs'!Q12</f>
        <v>50</v>
      </c>
      <c r="N9" s="32">
        <v>50</v>
      </c>
    </row>
    <row r="10" spans="4:14" x14ac:dyDescent="0.25">
      <c r="D10" s="23"/>
      <c r="E10" s="21" t="s">
        <v>76</v>
      </c>
      <c r="F10" s="20">
        <f>INDEX($L10:$N10,1,$F$2)</f>
        <v>0.04</v>
      </c>
      <c r="G10" s="24" t="s">
        <v>19</v>
      </c>
      <c r="L10" s="83">
        <f>L8/L9</f>
        <v>10</v>
      </c>
      <c r="M10" s="84">
        <f>M8/M9</f>
        <v>0.04</v>
      </c>
      <c r="N10" s="84">
        <f>N8/N9</f>
        <v>10</v>
      </c>
    </row>
    <row r="11" spans="4:14" x14ac:dyDescent="0.25">
      <c r="D11" s="23"/>
      <c r="E11" s="21" t="s">
        <v>2</v>
      </c>
      <c r="F11" s="120">
        <f>INDEX($L11:$N11,1,$F$2)</f>
        <v>1.5</v>
      </c>
      <c r="G11" s="24" t="s">
        <v>7</v>
      </c>
      <c r="L11" s="32">
        <v>1.4</v>
      </c>
      <c r="M11" s="30">
        <f>'Case Study Inputs'!O12</f>
        <v>1.5</v>
      </c>
      <c r="N11" s="32">
        <v>1.4</v>
      </c>
    </row>
    <row r="12" spans="4:14" x14ac:dyDescent="0.25">
      <c r="D12" s="23"/>
      <c r="E12" s="21" t="s">
        <v>18</v>
      </c>
      <c r="F12" s="20">
        <f>INDEX($L12:$N12,1,$F$2)</f>
        <v>2</v>
      </c>
      <c r="G12" s="24" t="s">
        <v>19</v>
      </c>
      <c r="L12" s="32">
        <v>2</v>
      </c>
      <c r="M12" s="30">
        <v>2</v>
      </c>
      <c r="N12" s="32">
        <v>2</v>
      </c>
    </row>
    <row r="13" spans="4:14" x14ac:dyDescent="0.25">
      <c r="D13" s="23"/>
      <c r="E13" s="20"/>
      <c r="F13" s="20"/>
      <c r="G13" s="22"/>
      <c r="L13" s="33"/>
      <c r="M13" s="20"/>
      <c r="N13" s="33"/>
    </row>
    <row r="14" spans="4:14" x14ac:dyDescent="0.25">
      <c r="D14" s="19" t="s">
        <v>8</v>
      </c>
      <c r="E14" s="20"/>
      <c r="F14" s="20"/>
      <c r="G14" s="22"/>
      <c r="L14" s="33"/>
      <c r="M14" s="20"/>
      <c r="N14" s="33"/>
    </row>
    <row r="15" spans="4:14" x14ac:dyDescent="0.25">
      <c r="D15" s="23"/>
      <c r="E15" s="20"/>
      <c r="F15" s="20"/>
      <c r="G15" s="22"/>
      <c r="L15" s="33"/>
      <c r="M15" s="20"/>
      <c r="N15" s="33"/>
    </row>
    <row r="16" spans="4:14" x14ac:dyDescent="0.25">
      <c r="D16" s="23"/>
      <c r="E16" s="21" t="s">
        <v>9</v>
      </c>
      <c r="F16" s="20">
        <f>INDEX($L16:$N16,1,$F$2)</f>
        <v>64</v>
      </c>
      <c r="G16" s="24" t="s">
        <v>10</v>
      </c>
      <c r="L16" s="32">
        <v>64</v>
      </c>
      <c r="M16" s="30">
        <v>64</v>
      </c>
      <c r="N16" s="32">
        <v>64</v>
      </c>
    </row>
    <row r="17" spans="4:14" x14ac:dyDescent="0.25">
      <c r="D17" s="23"/>
      <c r="E17" s="21" t="s">
        <v>11</v>
      </c>
      <c r="F17" s="87" t="str">
        <f>INDEX($L17:$N17,1,$F$2)</f>
        <v>High</v>
      </c>
      <c r="G17" s="24"/>
      <c r="L17" s="181" t="s">
        <v>15</v>
      </c>
      <c r="M17" s="182" t="s">
        <v>93</v>
      </c>
      <c r="N17" s="181" t="s">
        <v>94</v>
      </c>
    </row>
    <row r="18" spans="4:14" x14ac:dyDescent="0.25">
      <c r="D18" s="23"/>
      <c r="E18" s="21" t="s">
        <v>12</v>
      </c>
      <c r="F18" s="20">
        <f>INDEX($L18:$N18,1,$F$2)</f>
        <v>80</v>
      </c>
      <c r="G18" s="24" t="s">
        <v>10</v>
      </c>
      <c r="L18" s="32">
        <f>IF(L$17="High",80,IF(L$17="Med",35,0))</f>
        <v>35</v>
      </c>
      <c r="M18" s="32">
        <f>IF(M$17="High",80,IF(M$17="Med",35,0))</f>
        <v>80</v>
      </c>
      <c r="N18" s="32">
        <f>IF(N$17="High",60,IF(N$17="Med",35,0))</f>
        <v>0</v>
      </c>
    </row>
    <row r="19" spans="4:14" x14ac:dyDescent="0.25">
      <c r="D19" s="23"/>
      <c r="E19" s="21" t="s">
        <v>13</v>
      </c>
      <c r="F19" s="20">
        <f>INDEX($L19:$N19,1,$F$2)</f>
        <v>250</v>
      </c>
      <c r="G19" s="24" t="s">
        <v>16</v>
      </c>
      <c r="L19" s="32">
        <v>250</v>
      </c>
      <c r="M19" s="30">
        <v>250</v>
      </c>
      <c r="N19" s="32">
        <v>250</v>
      </c>
    </row>
    <row r="20" spans="4:14" x14ac:dyDescent="0.25">
      <c r="D20" s="23"/>
      <c r="E20" s="21" t="s">
        <v>14</v>
      </c>
      <c r="F20" s="20">
        <f>INDEX($L20:$N20,1,$F$2)</f>
        <v>0.98</v>
      </c>
      <c r="G20" s="24" t="s">
        <v>42</v>
      </c>
      <c r="L20" s="32">
        <v>0.94</v>
      </c>
      <c r="M20" s="30">
        <v>0.98</v>
      </c>
      <c r="N20" s="32">
        <v>0.5</v>
      </c>
    </row>
    <row r="21" spans="4:14" s="47" customFormat="1" x14ac:dyDescent="0.25">
      <c r="D21" s="43"/>
      <c r="E21" s="44"/>
      <c r="F21" s="45"/>
      <c r="G21" s="46"/>
      <c r="L21" s="48"/>
      <c r="M21" s="45"/>
      <c r="N21" s="48"/>
    </row>
    <row r="22" spans="4:14" s="47" customFormat="1" x14ac:dyDescent="0.25">
      <c r="D22" s="49" t="s">
        <v>77</v>
      </c>
      <c r="E22" s="44"/>
      <c r="F22" s="45"/>
      <c r="G22" s="46"/>
      <c r="L22" s="48"/>
      <c r="M22" s="45"/>
      <c r="N22" s="48"/>
    </row>
    <row r="23" spans="4:14" x14ac:dyDescent="0.25">
      <c r="D23" s="23"/>
      <c r="E23" s="21" t="s">
        <v>79</v>
      </c>
      <c r="F23" s="20">
        <f>INDEX($L23:$N23,1,$F$2)</f>
        <v>1250</v>
      </c>
      <c r="G23" s="24" t="s">
        <v>80</v>
      </c>
      <c r="L23" s="55">
        <f>'Case Study Inputs'!M12</f>
        <v>1250</v>
      </c>
      <c r="M23" s="56">
        <f>'Case Study Inputs'!M12</f>
        <v>1250</v>
      </c>
      <c r="N23" s="55">
        <f>'Case Study Inputs'!M12</f>
        <v>1250</v>
      </c>
    </row>
    <row r="24" spans="4:14" x14ac:dyDescent="0.25">
      <c r="D24" s="23"/>
      <c r="E24" s="21" t="s">
        <v>81</v>
      </c>
      <c r="F24" s="20">
        <f>INDEX($L24:$N24,1,$F$2)</f>
        <v>300</v>
      </c>
      <c r="G24" s="24" t="s">
        <v>82</v>
      </c>
      <c r="L24" s="55">
        <v>300</v>
      </c>
      <c r="M24" s="56">
        <v>300</v>
      </c>
      <c r="N24" s="55">
        <v>300</v>
      </c>
    </row>
    <row r="25" spans="4:14" s="47" customFormat="1" x14ac:dyDescent="0.25">
      <c r="D25" s="50"/>
      <c r="E25" s="51"/>
      <c r="F25" s="52"/>
      <c r="G25" s="53"/>
      <c r="L25" s="54"/>
      <c r="M25" s="52"/>
      <c r="N25" s="54"/>
    </row>
    <row r="27" spans="4:14" x14ac:dyDescent="0.25">
      <c r="F27" s="85"/>
      <c r="G27" s="85"/>
      <c r="H27" s="85"/>
      <c r="I27" s="85"/>
      <c r="J27" s="85"/>
    </row>
    <row r="28" spans="4:14" x14ac:dyDescent="0.25">
      <c r="F28" s="86"/>
      <c r="G28" s="86"/>
      <c r="H28" s="86"/>
      <c r="I28" s="86"/>
      <c r="J28" s="86"/>
      <c r="K28" s="47"/>
    </row>
  </sheetData>
  <mergeCells count="2">
    <mergeCell ref="L5:N5"/>
    <mergeCell ref="L4:N4"/>
  </mergeCells>
  <dataValidations count="3">
    <dataValidation type="list" allowBlank="1" showInputMessage="1" showErrorMessage="1" sqref="L20:N20">
      <formula1>"0.5,0.94,0.85,0.98"</formula1>
    </dataValidation>
    <dataValidation type="list" allowBlank="1" showInputMessage="1" showErrorMessage="1" sqref="L17:N17">
      <formula1>"High, Med, Low"</formula1>
    </dataValidation>
    <dataValidation type="list" allowBlank="1" showInputMessage="1" showErrorMessage="1" sqref="F1">
      <formula1>$L$7:$N$7</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00B0F0"/>
  </sheetPr>
  <dimension ref="E1:N40"/>
  <sheetViews>
    <sheetView zoomScale="80" zoomScaleNormal="80" workbookViewId="0">
      <selection activeCell="M28" sqref="M28"/>
    </sheetView>
  </sheetViews>
  <sheetFormatPr defaultRowHeight="15" x14ac:dyDescent="0.25"/>
  <cols>
    <col min="1" max="4" width="2" bestFit="1" customWidth="1"/>
    <col min="5" max="6" width="39.140625" bestFit="1" customWidth="1"/>
    <col min="9" max="9" width="34.28515625" bestFit="1" customWidth="1"/>
    <col min="10" max="10" width="27.28515625" bestFit="1" customWidth="1"/>
  </cols>
  <sheetData>
    <row r="1" spans="5:14" x14ac:dyDescent="0.25">
      <c r="E1" s="42" t="str">
        <f>'Scenario Inputs'!$E$1</f>
        <v>Scenario Selection (Time Sensitivity)</v>
      </c>
      <c r="F1" s="42">
        <f>'Scenario Inputs'!$F$1</f>
        <v>2</v>
      </c>
    </row>
    <row r="4" spans="5:14" x14ac:dyDescent="0.25">
      <c r="E4" t="s">
        <v>20</v>
      </c>
      <c r="I4" s="11" t="s">
        <v>25</v>
      </c>
    </row>
    <row r="6" spans="5:14" x14ac:dyDescent="0.25">
      <c r="E6" s="3" t="str">
        <f>'Scenario Inputs'!$E8</f>
        <v xml:space="preserve">Trip Length </v>
      </c>
      <c r="F6" s="3">
        <f>'Scenario Inputs'!$F8</f>
        <v>2</v>
      </c>
      <c r="I6" t="s">
        <v>26</v>
      </c>
      <c r="J6" s="3">
        <f>'Scenario Inputs'!$F11</f>
        <v>1.5</v>
      </c>
      <c r="L6" s="8" t="s">
        <v>28</v>
      </c>
      <c r="M6" s="8">
        <f>LN($J$6)/NORMSINV(0.95)</f>
        <v>0.24650528257620269</v>
      </c>
    </row>
    <row r="7" spans="5:14" x14ac:dyDescent="0.25">
      <c r="E7" s="3" t="str">
        <f>'Scenario Inputs'!$E9</f>
        <v>Median Speed</v>
      </c>
      <c r="F7" s="3">
        <f>'Scenario Inputs'!$F9</f>
        <v>50</v>
      </c>
      <c r="I7" t="s">
        <v>27</v>
      </c>
      <c r="J7">
        <f>1</f>
        <v>1</v>
      </c>
      <c r="L7" s="8" t="s">
        <v>29</v>
      </c>
      <c r="M7" s="8">
        <f>LN($J$6)-(($M$6*(NORMSINV(0.95))))</f>
        <v>0</v>
      </c>
    </row>
    <row r="8" spans="5:14" x14ac:dyDescent="0.25">
      <c r="E8" s="3" t="str">
        <f>'Scenario Inputs'!E$10</f>
        <v>Median Trip Time</v>
      </c>
      <c r="F8" s="3">
        <f>'Scenario Inputs'!F$10</f>
        <v>0.04</v>
      </c>
      <c r="L8" s="8"/>
      <c r="M8" s="8"/>
    </row>
    <row r="9" spans="5:14" x14ac:dyDescent="0.25">
      <c r="E9" s="3" t="str">
        <f>'Scenario Inputs'!$E11</f>
        <v>Buffer Index (ratio of 95th trip to the 50th)</v>
      </c>
      <c r="F9" s="3">
        <f>'Scenario Inputs'!$F11</f>
        <v>1.5</v>
      </c>
    </row>
    <row r="11" spans="5:14" x14ac:dyDescent="0.25">
      <c r="E11" s="3" t="str">
        <f>'Scenario Inputs'!E$10</f>
        <v>Median Trip Time</v>
      </c>
      <c r="F11" s="3">
        <f>'Scenario Inputs'!F$10</f>
        <v>0.04</v>
      </c>
      <c r="G11" t="s">
        <v>22</v>
      </c>
      <c r="I11" s="1" t="s">
        <v>30</v>
      </c>
      <c r="J11" s="1" t="s">
        <v>61</v>
      </c>
      <c r="K11" s="1" t="s">
        <v>58</v>
      </c>
      <c r="L11" s="1" t="s">
        <v>59</v>
      </c>
      <c r="M11" s="1" t="s">
        <v>62</v>
      </c>
      <c r="N11" s="1" t="s">
        <v>60</v>
      </c>
    </row>
    <row r="12" spans="5:14" x14ac:dyDescent="0.25">
      <c r="E12" s="8" t="s">
        <v>23</v>
      </c>
      <c r="F12" s="5">
        <f>(F9*F$11)-F$11</f>
        <v>1.9999999999999997E-2</v>
      </c>
      <c r="G12" s="8" t="s">
        <v>22</v>
      </c>
      <c r="I12" s="1" t="s">
        <v>69</v>
      </c>
      <c r="J12" s="4">
        <f>EXP($M$7+(($M$6^2)/2))</f>
        <v>1.0308486831255785</v>
      </c>
      <c r="K12">
        <f>(1-((NORMSDIST(((LN($J$7)-$M$7)/$M$6)-$M$6))))</f>
        <v>0.59735444215870492</v>
      </c>
      <c r="L12" s="6">
        <f>1-NORMSDIST(((LN($J$7)-$M$7)/$M$6))</f>
        <v>0.5</v>
      </c>
      <c r="M12" s="6">
        <f>K12/L12</f>
        <v>1.1947088843174098</v>
      </c>
      <c r="N12" s="8">
        <f>M12*J12</f>
        <v>1.2315640801170311</v>
      </c>
    </row>
    <row r="13" spans="5:14" x14ac:dyDescent="0.25">
      <c r="E13" t="s">
        <v>31</v>
      </c>
      <c r="F13" s="7">
        <f>$N$12</f>
        <v>1.2315640801170311</v>
      </c>
      <c r="G13" t="s">
        <v>7</v>
      </c>
    </row>
    <row r="14" spans="5:14" x14ac:dyDescent="0.25">
      <c r="E14" t="s">
        <v>24</v>
      </c>
      <c r="F14" s="6">
        <f>F13*$F11-F11</f>
        <v>9.2625632046812456E-3</v>
      </c>
      <c r="G14" t="s">
        <v>22</v>
      </c>
    </row>
    <row r="16" spans="5:14" x14ac:dyDescent="0.25">
      <c r="E16" s="3" t="str">
        <f>'Scenario Inputs'!$E16</f>
        <v xml:space="preserve">Variable Truck O&amp;M Costs </v>
      </c>
      <c r="F16" s="3">
        <f>'Scenario Inputs'!$F16</f>
        <v>64</v>
      </c>
      <c r="G16" s="3" t="str">
        <f>'Scenario Inputs'!$G16</f>
        <v>$/Hour</v>
      </c>
      <c r="I16" s="6"/>
    </row>
    <row r="17" spans="5:8" x14ac:dyDescent="0.25">
      <c r="E17" t="s">
        <v>32</v>
      </c>
      <c r="F17" s="6">
        <f>F$16*$F$14*(1-0.5)</f>
        <v>0.29640202254979986</v>
      </c>
      <c r="G17" t="s">
        <v>33</v>
      </c>
    </row>
    <row r="18" spans="5:8" x14ac:dyDescent="0.25">
      <c r="E18" s="3" t="str">
        <f>'Scenario Inputs'!$E12</f>
        <v xml:space="preserve">Late Threshold </v>
      </c>
      <c r="F18" s="3">
        <f>'Scenario Inputs'!$F12</f>
        <v>2</v>
      </c>
      <c r="G18" s="3" t="str">
        <f>'Scenario Inputs'!$G12</f>
        <v>Hours</v>
      </c>
    </row>
    <row r="19" spans="5:8" x14ac:dyDescent="0.25">
      <c r="E19" s="3" t="str">
        <f>'Scenario Inputs'!$E19</f>
        <v xml:space="preserve">Late Delivery Penalty </v>
      </c>
      <c r="F19" s="3">
        <f>'Scenario Inputs'!$F19</f>
        <v>250</v>
      </c>
      <c r="G19" s="3" t="str">
        <f>'Scenario Inputs'!$G19</f>
        <v>$/Late Event</v>
      </c>
    </row>
    <row r="20" spans="5:8" x14ac:dyDescent="0.25">
      <c r="E20" t="s">
        <v>34</v>
      </c>
      <c r="F20">
        <f>((F18+F11)/F11)</f>
        <v>51</v>
      </c>
      <c r="G20" t="s">
        <v>7</v>
      </c>
    </row>
    <row r="21" spans="5:8" x14ac:dyDescent="0.25">
      <c r="E21" t="s">
        <v>56</v>
      </c>
      <c r="F21" s="4">
        <f>1-(LOGNORMDIST(F$20,$M$7,$M$6))</f>
        <v>0</v>
      </c>
      <c r="G21" t="s">
        <v>35</v>
      </c>
    </row>
    <row r="22" spans="5:8" x14ac:dyDescent="0.25">
      <c r="E22" t="s">
        <v>36</v>
      </c>
      <c r="F22" s="6">
        <f>IF(F21&lt;=0,0,F$21*F$19)</f>
        <v>0</v>
      </c>
      <c r="G22" t="s">
        <v>33</v>
      </c>
    </row>
    <row r="23" spans="5:8" x14ac:dyDescent="0.25">
      <c r="E23" s="3" t="str">
        <f>'Scenario Inputs'!$E17</f>
        <v xml:space="preserve">Commodity Tier </v>
      </c>
      <c r="F23" s="3" t="str">
        <f>'Scenario Inputs'!$F17</f>
        <v>High</v>
      </c>
      <c r="G23" s="3">
        <f>'Scenario Inputs'!$G17</f>
        <v>0</v>
      </c>
    </row>
    <row r="24" spans="5:8" x14ac:dyDescent="0.25">
      <c r="E24" s="3" t="str">
        <f>'Scenario Inputs'!$E18</f>
        <v>Commodity Supply Chain Cost per hour</v>
      </c>
      <c r="F24" s="3">
        <f>'Scenario Inputs'!$F18</f>
        <v>80</v>
      </c>
      <c r="G24" s="3" t="str">
        <f>'Scenario Inputs'!$G18</f>
        <v>$/Hour</v>
      </c>
    </row>
    <row r="25" spans="5:8" x14ac:dyDescent="0.25">
      <c r="E25" t="s">
        <v>37</v>
      </c>
      <c r="F25" s="6">
        <f>F$24*F$14*(1-0.5)</f>
        <v>0.37050252818724982</v>
      </c>
      <c r="G25" t="s">
        <v>33</v>
      </c>
    </row>
    <row r="26" spans="5:8" x14ac:dyDescent="0.25">
      <c r="F26" s="6"/>
    </row>
    <row r="27" spans="5:8" x14ac:dyDescent="0.25">
      <c r="E27" t="s">
        <v>46</v>
      </c>
      <c r="F27" s="6">
        <f>(SUM(F25,F17)+F22)</f>
        <v>0.66690455073704968</v>
      </c>
    </row>
    <row r="28" spans="5:8" x14ac:dyDescent="0.25">
      <c r="F28" s="6"/>
    </row>
    <row r="29" spans="5:8" ht="15.75" thickBot="1" x14ac:dyDescent="0.3">
      <c r="E29" s="8"/>
      <c r="F29" s="6"/>
    </row>
    <row r="30" spans="5:8" x14ac:dyDescent="0.25">
      <c r="E30" s="197" t="s">
        <v>38</v>
      </c>
      <c r="F30" s="198"/>
      <c r="G30" s="198"/>
      <c r="H30" s="183"/>
    </row>
    <row r="31" spans="5:8" x14ac:dyDescent="0.25">
      <c r="E31" s="184"/>
      <c r="F31" s="185"/>
      <c r="G31" s="185"/>
      <c r="H31" s="186"/>
    </row>
    <row r="32" spans="5:8" x14ac:dyDescent="0.25">
      <c r="E32" s="187" t="str">
        <f>$E11</f>
        <v>Median Trip Time</v>
      </c>
      <c r="F32" s="188">
        <f>$F11</f>
        <v>0.04</v>
      </c>
      <c r="G32" s="188" t="str">
        <f>$G11</f>
        <v xml:space="preserve">Hours </v>
      </c>
      <c r="H32" s="186"/>
    </row>
    <row r="33" spans="5:8" x14ac:dyDescent="0.25">
      <c r="E33" s="187" t="str">
        <f>$E12</f>
        <v xml:space="preserve">Buffer Index Time </v>
      </c>
      <c r="F33" s="188">
        <f>$F12</f>
        <v>1.9999999999999997E-2</v>
      </c>
      <c r="G33" s="188" t="str">
        <f>$G12</f>
        <v xml:space="preserve">Hours </v>
      </c>
      <c r="H33" s="186"/>
    </row>
    <row r="34" spans="5:8" x14ac:dyDescent="0.25">
      <c r="E34" s="187" t="str">
        <f>$E13</f>
        <v>Expected Delay Index</v>
      </c>
      <c r="F34" s="188">
        <f>$F13</f>
        <v>1.2315640801170311</v>
      </c>
      <c r="G34" s="188" t="str">
        <f>$G13</f>
        <v>Index Value</v>
      </c>
      <c r="H34" s="186"/>
    </row>
    <row r="35" spans="5:8" x14ac:dyDescent="0.25">
      <c r="E35" s="187" t="str">
        <f>$E14</f>
        <v>Expected Delay</v>
      </c>
      <c r="F35" s="188">
        <f>$F14</f>
        <v>9.2625632046812456E-3</v>
      </c>
      <c r="G35" s="188" t="str">
        <f>$G14</f>
        <v xml:space="preserve">Hours </v>
      </c>
      <c r="H35" s="186"/>
    </row>
    <row r="36" spans="5:8" x14ac:dyDescent="0.25">
      <c r="E36" s="184"/>
      <c r="F36" s="185"/>
      <c r="G36" s="185"/>
      <c r="H36" s="186"/>
    </row>
    <row r="37" spans="5:8" x14ac:dyDescent="0.25">
      <c r="E37" s="187" t="str">
        <f>$E17</f>
        <v>Expected Value of Direct Cost of Delay</v>
      </c>
      <c r="F37" s="189">
        <f>$F17</f>
        <v>0.29640202254979986</v>
      </c>
      <c r="G37" s="189" t="str">
        <f>$G17</f>
        <v>Dollars</v>
      </c>
      <c r="H37" s="186"/>
    </row>
    <row r="38" spans="5:8" x14ac:dyDescent="0.25">
      <c r="E38" s="184" t="str">
        <f>$E22</f>
        <v>Expected Value of Late Penalty of Delay</v>
      </c>
      <c r="F38" s="190">
        <f>$F22</f>
        <v>0</v>
      </c>
      <c r="G38" s="189" t="str">
        <f>$G18</f>
        <v>Hours</v>
      </c>
      <c r="H38" s="186"/>
    </row>
    <row r="39" spans="5:8" x14ac:dyDescent="0.25">
      <c r="E39" s="184" t="str">
        <f>$E25</f>
        <v>Expected Value of Commodity Cost Delay</v>
      </c>
      <c r="F39" s="190">
        <f>$F25</f>
        <v>0.37050252818724982</v>
      </c>
      <c r="G39" s="189" t="str">
        <f>$G19</f>
        <v>$/Late Event</v>
      </c>
      <c r="H39" s="186"/>
    </row>
    <row r="40" spans="5:8" ht="15.75" thickBot="1" x14ac:dyDescent="0.3">
      <c r="E40" s="191" t="s">
        <v>55</v>
      </c>
      <c r="F40" s="192">
        <f>SUM(F37:F39)</f>
        <v>0.66690455073704968</v>
      </c>
      <c r="G40" s="193" t="s">
        <v>33</v>
      </c>
      <c r="H40" s="194"/>
    </row>
  </sheetData>
  <mergeCells count="1">
    <mergeCell ref="E30:G30"/>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00B0F0"/>
  </sheetPr>
  <dimension ref="E1:N49"/>
  <sheetViews>
    <sheetView zoomScale="80" zoomScaleNormal="80" workbookViewId="0">
      <selection activeCell="F13" sqref="F13"/>
    </sheetView>
  </sheetViews>
  <sheetFormatPr defaultRowHeight="15" x14ac:dyDescent="0.25"/>
  <cols>
    <col min="1" max="4" width="2" bestFit="1" customWidth="1"/>
    <col min="5" max="5" width="56.7109375" bestFit="1" customWidth="1"/>
    <col min="6" max="6" width="39.140625" bestFit="1" customWidth="1"/>
    <col min="9" max="9" width="34.28515625" bestFit="1" customWidth="1"/>
    <col min="10" max="10" width="27.28515625" style="4" bestFit="1" customWidth="1"/>
  </cols>
  <sheetData>
    <row r="1" spans="5:14" x14ac:dyDescent="0.25">
      <c r="E1" s="42" t="str">
        <f>'Scenario Inputs'!$E$1</f>
        <v>Scenario Selection (Time Sensitivity)</v>
      </c>
      <c r="F1" s="42">
        <f>'Scenario Inputs'!$F$1</f>
        <v>2</v>
      </c>
    </row>
    <row r="4" spans="5:14" x14ac:dyDescent="0.25">
      <c r="E4" t="s">
        <v>41</v>
      </c>
      <c r="I4" s="10" t="str">
        <f>No_mitigation_calc!$I$4</f>
        <v>Parameters of Lognormal Distibution</v>
      </c>
    </row>
    <row r="6" spans="5:14" x14ac:dyDescent="0.25">
      <c r="E6" s="3" t="str">
        <f>'Scenario Inputs'!$E8</f>
        <v xml:space="preserve">Trip Length </v>
      </c>
      <c r="F6" s="3">
        <f>'Scenario Inputs'!$F8</f>
        <v>2</v>
      </c>
      <c r="I6" s="3" t="str">
        <f>No_mitigation_calc!L6</f>
        <v>Sigma</v>
      </c>
      <c r="J6" s="12">
        <f>No_mitigation_calc!M6</f>
        <v>0.24650528257620269</v>
      </c>
    </row>
    <row r="7" spans="5:14" x14ac:dyDescent="0.25">
      <c r="E7" s="3" t="str">
        <f>'Scenario Inputs'!$E9</f>
        <v>Median Speed</v>
      </c>
      <c r="F7" s="3">
        <f>'Scenario Inputs'!$F9</f>
        <v>50</v>
      </c>
      <c r="I7" s="3" t="str">
        <f>No_mitigation_calc!L7</f>
        <v>Mu</v>
      </c>
      <c r="J7" s="12">
        <f>No_mitigation_calc!M7</f>
        <v>0</v>
      </c>
    </row>
    <row r="8" spans="5:14" x14ac:dyDescent="0.25">
      <c r="E8" s="3" t="str">
        <f>'Scenario Inputs'!$E11</f>
        <v>Buffer Index (ratio of 95th trip to the 50th)</v>
      </c>
      <c r="F8" s="3">
        <f>'Scenario Inputs'!$F11</f>
        <v>1.5</v>
      </c>
    </row>
    <row r="9" spans="5:14" x14ac:dyDescent="0.25">
      <c r="I9" s="1" t="s">
        <v>30</v>
      </c>
      <c r="J9" s="1" t="s">
        <v>61</v>
      </c>
      <c r="K9" s="1" t="s">
        <v>58</v>
      </c>
      <c r="L9" s="1" t="s">
        <v>59</v>
      </c>
      <c r="M9" s="1" t="s">
        <v>62</v>
      </c>
      <c r="N9" s="1" t="s">
        <v>60</v>
      </c>
    </row>
    <row r="10" spans="5:14" x14ac:dyDescent="0.25">
      <c r="E10" t="s">
        <v>21</v>
      </c>
      <c r="F10">
        <f>F6/F7</f>
        <v>0.04</v>
      </c>
      <c r="G10" t="s">
        <v>22</v>
      </c>
      <c r="I10" s="1" t="s">
        <v>57</v>
      </c>
      <c r="J10" s="4">
        <f>EXP($J$7+(($J$6^2)/2))</f>
        <v>1.0308486831255785</v>
      </c>
      <c r="K10">
        <f>(1-((NORMSDIST(((LN($F$14)-$J$7)/$J$6)-$J$6))))</f>
        <v>3.5362150606467857E-2</v>
      </c>
      <c r="L10" s="6">
        <f>1-NORMSDIST(((LN($F$14)-$J$7)/$J$6))</f>
        <v>2.0000000000000018E-2</v>
      </c>
      <c r="M10" s="6">
        <f>K10/L10</f>
        <v>1.7681075303233913</v>
      </c>
      <c r="N10" s="8">
        <f>M10*J10</f>
        <v>1.8226513192582869</v>
      </c>
    </row>
    <row r="11" spans="5:14" x14ac:dyDescent="0.25">
      <c r="E11" t="s">
        <v>23</v>
      </c>
      <c r="F11">
        <f>(F8*F$10)-F$10</f>
        <v>1.9999999999999997E-2</v>
      </c>
      <c r="G11" t="s">
        <v>22</v>
      </c>
    </row>
    <row r="12" spans="5:14" x14ac:dyDescent="0.25">
      <c r="I12" s="1" t="s">
        <v>65</v>
      </c>
      <c r="J12" s="4" t="s">
        <v>67</v>
      </c>
    </row>
    <row r="13" spans="5:14" x14ac:dyDescent="0.25">
      <c r="E13" s="3" t="str">
        <f>'Scenario Inputs'!$E20</f>
        <v xml:space="preserve">Built in Buffer </v>
      </c>
      <c r="F13" s="3">
        <f>'Scenario Inputs'!$F20</f>
        <v>0.98</v>
      </c>
      <c r="G13" s="3" t="str">
        <f>'Scenario Inputs'!$G20</f>
        <v>Percentile</v>
      </c>
      <c r="J13" s="1">
        <f>F14+(($F$23/$F$10))</f>
        <v>51.659074564348209</v>
      </c>
      <c r="K13" s="4">
        <f>LOGNORMDIST(J13,J7,J6)</f>
        <v>1</v>
      </c>
      <c r="L13" s="9">
        <f>1-K13</f>
        <v>0</v>
      </c>
    </row>
    <row r="14" spans="5:14" x14ac:dyDescent="0.25">
      <c r="E14" t="s">
        <v>127</v>
      </c>
      <c r="F14" s="4">
        <f>LOGINV($F13,$J$7,$J$6)</f>
        <v>1.6590745643482097</v>
      </c>
      <c r="G14" t="s">
        <v>7</v>
      </c>
    </row>
    <row r="15" spans="5:14" x14ac:dyDescent="0.25">
      <c r="E15" t="s">
        <v>43</v>
      </c>
      <c r="F15" s="4">
        <f>F14*F10-F10</f>
        <v>2.6362982573928391E-2</v>
      </c>
      <c r="I15" s="6"/>
    </row>
    <row r="16" spans="5:14" x14ac:dyDescent="0.25">
      <c r="E16" t="s">
        <v>44</v>
      </c>
      <c r="F16" s="4">
        <f>1-F13</f>
        <v>2.0000000000000018E-2</v>
      </c>
    </row>
    <row r="17" spans="5:9" x14ac:dyDescent="0.25">
      <c r="E17" s="3" t="str">
        <f>No_mitigation_calc!E12</f>
        <v xml:space="preserve">Buffer Index Time </v>
      </c>
      <c r="F17" s="12">
        <f>No_mitigation_calc!F12</f>
        <v>1.9999999999999997E-2</v>
      </c>
      <c r="G17" s="3" t="str">
        <f>No_mitigation_calc!G12</f>
        <v xml:space="preserve">Hours </v>
      </c>
    </row>
    <row r="18" spans="5:9" x14ac:dyDescent="0.25">
      <c r="E18" s="16" t="s">
        <v>63</v>
      </c>
      <c r="F18" s="18">
        <f>$N$10</f>
        <v>1.8226513192582869</v>
      </c>
      <c r="G18" s="16" t="s">
        <v>7</v>
      </c>
      <c r="I18" s="6"/>
    </row>
    <row r="19" spans="5:9" x14ac:dyDescent="0.25">
      <c r="E19" s="16" t="s">
        <v>63</v>
      </c>
      <c r="F19" s="17">
        <f>F18*F10-F10</f>
        <v>3.2906052770331477E-2</v>
      </c>
      <c r="G19" s="16" t="s">
        <v>22</v>
      </c>
    </row>
    <row r="21" spans="5:9" x14ac:dyDescent="0.25">
      <c r="E21" s="3" t="str">
        <f>'Scenario Inputs'!$E16</f>
        <v xml:space="preserve">Variable Truck O&amp;M Costs </v>
      </c>
      <c r="F21" s="3">
        <f>'Scenario Inputs'!$F16</f>
        <v>64</v>
      </c>
      <c r="G21" s="3" t="str">
        <f>'Scenario Inputs'!$G16</f>
        <v>$/Hour</v>
      </c>
    </row>
    <row r="22" spans="5:9" x14ac:dyDescent="0.25">
      <c r="E22" t="s">
        <v>64</v>
      </c>
      <c r="F22" s="6">
        <f>F$21*F$15</f>
        <v>1.687230884731417</v>
      </c>
      <c r="G22" t="s">
        <v>33</v>
      </c>
    </row>
    <row r="23" spans="5:9" x14ac:dyDescent="0.25">
      <c r="E23" s="3" t="str">
        <f>'Scenario Inputs'!$E12</f>
        <v xml:space="preserve">Late Threshold </v>
      </c>
      <c r="F23" s="3">
        <f>'Scenario Inputs'!$F12</f>
        <v>2</v>
      </c>
      <c r="G23" s="3" t="str">
        <f>'Scenario Inputs'!$G12</f>
        <v>Hours</v>
      </c>
    </row>
    <row r="24" spans="5:9" x14ac:dyDescent="0.25">
      <c r="E24" s="3" t="str">
        <f>'Scenario Inputs'!$E19</f>
        <v xml:space="preserve">Late Delivery Penalty </v>
      </c>
      <c r="F24" s="3">
        <f>'Scenario Inputs'!$F19</f>
        <v>250</v>
      </c>
      <c r="G24" s="3" t="str">
        <f>'Scenario Inputs'!$G19</f>
        <v>$/Late Event</v>
      </c>
    </row>
    <row r="25" spans="5:9" x14ac:dyDescent="0.25">
      <c r="E25" s="16" t="s">
        <v>66</v>
      </c>
      <c r="F25" s="7">
        <f>$L$13</f>
        <v>0</v>
      </c>
      <c r="G25" s="3"/>
    </row>
    <row r="26" spans="5:9" x14ac:dyDescent="0.25">
      <c r="E26" t="s">
        <v>45</v>
      </c>
      <c r="F26" s="6">
        <f>F25*F24</f>
        <v>0</v>
      </c>
      <c r="G26" t="s">
        <v>33</v>
      </c>
    </row>
    <row r="27" spans="5:9" x14ac:dyDescent="0.25">
      <c r="F27" s="4"/>
    </row>
    <row r="28" spans="5:9" x14ac:dyDescent="0.25">
      <c r="F28" s="6"/>
    </row>
    <row r="29" spans="5:9" x14ac:dyDescent="0.25">
      <c r="E29" s="3" t="str">
        <f>'Scenario Inputs'!$E17</f>
        <v xml:space="preserve">Commodity Tier </v>
      </c>
      <c r="F29" s="3" t="str">
        <f>'Scenario Inputs'!$F17</f>
        <v>High</v>
      </c>
      <c r="G29" s="3">
        <f>'Scenario Inputs'!$G17</f>
        <v>0</v>
      </c>
    </row>
    <row r="30" spans="5:9" x14ac:dyDescent="0.25">
      <c r="E30" s="3" t="str">
        <f>'Scenario Inputs'!$E18</f>
        <v>Commodity Supply Chain Cost per hour</v>
      </c>
      <c r="F30" s="3">
        <f>'Scenario Inputs'!$F18</f>
        <v>80</v>
      </c>
      <c r="G30" s="3" t="str">
        <f>'Scenario Inputs'!$G18</f>
        <v>$/Hour</v>
      </c>
    </row>
    <row r="31" spans="5:9" x14ac:dyDescent="0.25">
      <c r="E31" t="s">
        <v>37</v>
      </c>
      <c r="F31" s="6">
        <f>F30*$F$19*$F$16</f>
        <v>5.2649684432530409E-2</v>
      </c>
      <c r="G31" t="s">
        <v>33</v>
      </c>
    </row>
    <row r="32" spans="5:9" x14ac:dyDescent="0.25">
      <c r="E32" t="s">
        <v>68</v>
      </c>
      <c r="F32" s="6">
        <f>F19*F21*$F$16</f>
        <v>4.2119747546024329E-2</v>
      </c>
      <c r="G32" t="s">
        <v>33</v>
      </c>
    </row>
    <row r="33" spans="5:8" x14ac:dyDescent="0.25">
      <c r="F33" s="6"/>
    </row>
    <row r="34" spans="5:8" x14ac:dyDescent="0.25">
      <c r="E34" t="s">
        <v>47</v>
      </c>
      <c r="F34" s="6">
        <f>SUM(F31,F26,F22,F32)</f>
        <v>1.7820003167099718</v>
      </c>
    </row>
    <row r="35" spans="5:8" ht="15.75" thickBot="1" x14ac:dyDescent="0.3">
      <c r="F35" s="6"/>
    </row>
    <row r="36" spans="5:8" x14ac:dyDescent="0.25">
      <c r="E36" s="197" t="s">
        <v>38</v>
      </c>
      <c r="F36" s="198"/>
      <c r="G36" s="198"/>
      <c r="H36" s="88"/>
    </row>
    <row r="37" spans="5:8" x14ac:dyDescent="0.25">
      <c r="E37" s="89"/>
      <c r="F37" s="90"/>
      <c r="G37" s="90"/>
      <c r="H37" s="91"/>
    </row>
    <row r="38" spans="5:8" x14ac:dyDescent="0.25">
      <c r="E38" s="92" t="s">
        <v>76</v>
      </c>
      <c r="F38" s="93">
        <f>$F10</f>
        <v>0.04</v>
      </c>
      <c r="G38" s="93" t="str">
        <f>$G10</f>
        <v xml:space="preserve">Hours </v>
      </c>
      <c r="H38" s="91"/>
    </row>
    <row r="39" spans="5:8" x14ac:dyDescent="0.25">
      <c r="E39" s="92" t="str">
        <f>$E11</f>
        <v xml:space="preserve">Buffer Index Time </v>
      </c>
      <c r="F39" s="93">
        <f>$F11</f>
        <v>1.9999999999999997E-2</v>
      </c>
      <c r="G39" s="93" t="str">
        <f>$G11</f>
        <v xml:space="preserve">Hours </v>
      </c>
      <c r="H39" s="91"/>
    </row>
    <row r="40" spans="5:8" x14ac:dyDescent="0.25">
      <c r="E40" s="92" t="str">
        <f>E$13</f>
        <v xml:space="preserve">Built in Buffer </v>
      </c>
      <c r="F40" s="93">
        <f>F$13</f>
        <v>0.98</v>
      </c>
      <c r="G40" s="93" t="str">
        <f>G$13</f>
        <v>Percentile</v>
      </c>
      <c r="H40" s="91"/>
    </row>
    <row r="41" spans="5:8" x14ac:dyDescent="0.25">
      <c r="E41" s="92" t="str">
        <f>E14</f>
        <v>Buffer Index</v>
      </c>
      <c r="F41" s="93">
        <f>F14</f>
        <v>1.6590745643482097</v>
      </c>
      <c r="G41" s="93" t="str">
        <f>G14</f>
        <v>Index Value</v>
      </c>
      <c r="H41" s="91"/>
    </row>
    <row r="42" spans="5:8" x14ac:dyDescent="0.25">
      <c r="E42" s="94"/>
      <c r="F42" s="95"/>
      <c r="G42" s="95"/>
      <c r="H42" s="91"/>
    </row>
    <row r="43" spans="5:8" x14ac:dyDescent="0.25">
      <c r="E43" s="92" t="str">
        <f>$E22</f>
        <v>Expected Value of Direct Cost of Mitigation</v>
      </c>
      <c r="F43" s="96">
        <f>$F22</f>
        <v>1.687230884731417</v>
      </c>
      <c r="G43" s="96" t="str">
        <f>$G22</f>
        <v>Dollars</v>
      </c>
      <c r="H43" s="91"/>
    </row>
    <row r="44" spans="5:8" x14ac:dyDescent="0.25">
      <c r="E44" s="94" t="str">
        <f>$E31</f>
        <v>Expected Value of Commodity Cost Delay</v>
      </c>
      <c r="F44" s="97">
        <f>$F31</f>
        <v>5.2649684432530409E-2</v>
      </c>
      <c r="G44" s="96" t="str">
        <f>$G24</f>
        <v>$/Late Event</v>
      </c>
      <c r="H44" s="91"/>
    </row>
    <row r="45" spans="5:8" x14ac:dyDescent="0.25">
      <c r="E45" s="94" t="str">
        <f>E$26</f>
        <v>Expected Value of Penalty</v>
      </c>
      <c r="F45" s="95">
        <f>F$26</f>
        <v>0</v>
      </c>
      <c r="G45" s="95" t="str">
        <f>G$26</f>
        <v>Dollars</v>
      </c>
      <c r="H45" s="91"/>
    </row>
    <row r="46" spans="5:8" x14ac:dyDescent="0.25">
      <c r="E46" s="94" t="str">
        <f>E$32</f>
        <v xml:space="preserve">Expected Value of Additional Direct Costs </v>
      </c>
      <c r="F46" s="97">
        <f>F32</f>
        <v>4.2119747546024329E-2</v>
      </c>
      <c r="G46" s="95" t="str">
        <f>G$32</f>
        <v>Dollars</v>
      </c>
      <c r="H46" s="91"/>
    </row>
    <row r="47" spans="5:8" x14ac:dyDescent="0.25">
      <c r="E47" s="92" t="s">
        <v>74</v>
      </c>
      <c r="F47" s="97">
        <f>SUM(F43:F46)</f>
        <v>1.7820003167099718</v>
      </c>
      <c r="G47" s="95" t="s">
        <v>33</v>
      </c>
      <c r="H47" s="91"/>
    </row>
    <row r="48" spans="5:8" x14ac:dyDescent="0.25">
      <c r="E48" s="98" t="s">
        <v>75</v>
      </c>
      <c r="F48" s="96">
        <f>F47/$F19</f>
        <v>54.154180361512289</v>
      </c>
      <c r="G48" s="95" t="s">
        <v>33</v>
      </c>
      <c r="H48" s="91"/>
    </row>
    <row r="49" spans="5:8" ht="30.75" thickBot="1" x14ac:dyDescent="0.3">
      <c r="E49" s="102" t="s">
        <v>97</v>
      </c>
      <c r="F49" s="99">
        <f>F48/F21</f>
        <v>0.84615906814862951</v>
      </c>
      <c r="G49" s="100" t="s">
        <v>96</v>
      </c>
      <c r="H49" s="101"/>
    </row>
  </sheetData>
  <mergeCells count="1">
    <mergeCell ref="E36:G36"/>
  </mergeCells>
  <pageMargins left="0.7" right="0.7" top="0.75" bottom="0.75" header="0.3" footer="0.3"/>
  <pageSetup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sheetPr>
  <dimension ref="E1:N35"/>
  <sheetViews>
    <sheetView zoomScale="80" zoomScaleNormal="80" workbookViewId="0">
      <selection activeCell="F34" sqref="F34"/>
    </sheetView>
  </sheetViews>
  <sheetFormatPr defaultRowHeight="15" x14ac:dyDescent="0.25"/>
  <cols>
    <col min="1" max="4" width="2.28515625" bestFit="1" customWidth="1"/>
    <col min="5" max="5" width="41.28515625" style="4" bestFit="1" customWidth="1"/>
    <col min="6" max="6" width="9.5703125" style="4" bestFit="1" customWidth="1"/>
    <col min="7" max="7" width="14.7109375" style="4" customWidth="1"/>
    <col min="9" max="9" width="38.85546875" bestFit="1" customWidth="1"/>
    <col min="10" max="10" width="15" customWidth="1"/>
    <col min="11" max="11" width="36.28515625" bestFit="1" customWidth="1"/>
    <col min="12" max="12" width="12" bestFit="1" customWidth="1"/>
    <col min="13" max="13" width="9.5703125" bestFit="1" customWidth="1"/>
  </cols>
  <sheetData>
    <row r="1" spans="5:14" x14ac:dyDescent="0.25">
      <c r="E1" s="42" t="str">
        <f>'Scenario Inputs'!$E$1</f>
        <v>Scenario Selection (Time Sensitivity)</v>
      </c>
      <c r="F1" s="42">
        <f>'Scenario Inputs'!$F$1</f>
        <v>2</v>
      </c>
      <c r="I1" s="199" t="s">
        <v>53</v>
      </c>
      <c r="J1" s="200"/>
      <c r="K1" s="200"/>
      <c r="L1" s="201"/>
    </row>
    <row r="2" spans="5:14" x14ac:dyDescent="0.25">
      <c r="I2" s="15" t="s">
        <v>48</v>
      </c>
      <c r="J2" s="14">
        <f>'Scenario Inputs'!F$8</f>
        <v>2</v>
      </c>
      <c r="K2" s="15" t="s">
        <v>51</v>
      </c>
      <c r="L2" s="14">
        <f>'Scenario Inputs'!F$19</f>
        <v>250</v>
      </c>
    </row>
    <row r="3" spans="5:14" x14ac:dyDescent="0.25">
      <c r="E3" s="12" t="str">
        <f>'Scenario Inputs'!E11</f>
        <v>Buffer Index (ratio of 95th trip to the 50th)</v>
      </c>
      <c r="F3" s="12">
        <f>'Scenario Inputs'!F11</f>
        <v>1.5</v>
      </c>
      <c r="G3" s="12" t="str">
        <f>'Scenario Inputs'!G11</f>
        <v>Index Value</v>
      </c>
      <c r="I3" s="15" t="s">
        <v>49</v>
      </c>
      <c r="J3" s="14">
        <f>'Scenario Inputs'!F9</f>
        <v>50</v>
      </c>
      <c r="K3" s="15" t="s">
        <v>52</v>
      </c>
      <c r="L3" s="14">
        <f>'Scenario Inputs'!F$18</f>
        <v>80</v>
      </c>
    </row>
    <row r="4" spans="5:14" x14ac:dyDescent="0.25">
      <c r="I4" s="15" t="s">
        <v>50</v>
      </c>
      <c r="J4" s="14">
        <f>'Scenario Inputs'!F$20</f>
        <v>0.98</v>
      </c>
      <c r="K4" s="15" t="s">
        <v>54</v>
      </c>
      <c r="L4" s="13">
        <f>J2/J3</f>
        <v>0.04</v>
      </c>
    </row>
    <row r="5" spans="5:14" x14ac:dyDescent="0.25">
      <c r="E5" s="4" t="s">
        <v>39</v>
      </c>
    </row>
    <row r="6" spans="5:14" ht="15.75" customHeight="1" x14ac:dyDescent="0.25">
      <c r="E6" s="202" t="str">
        <f>No_mitigation_calc!E30</f>
        <v>Summary</v>
      </c>
      <c r="F6" s="202"/>
      <c r="G6" s="202"/>
    </row>
    <row r="7" spans="5:14" x14ac:dyDescent="0.25">
      <c r="E7" s="12"/>
      <c r="F7" s="12"/>
      <c r="G7" s="12"/>
      <c r="I7" s="39"/>
      <c r="J7" s="40" t="str">
        <f>E5</f>
        <v>No Mitigation</v>
      </c>
      <c r="K7" s="41" t="str">
        <f>E20</f>
        <v>Mitigation</v>
      </c>
    </row>
    <row r="8" spans="5:14" x14ac:dyDescent="0.25">
      <c r="E8" s="12"/>
      <c r="F8" s="12"/>
      <c r="G8" s="12"/>
      <c r="I8" s="19" t="s">
        <v>70</v>
      </c>
      <c r="J8" s="20">
        <v>0</v>
      </c>
      <c r="K8" s="34">
        <f>Mitigation_calc!F43</f>
        <v>1.687230884731417</v>
      </c>
      <c r="N8" s="6"/>
    </row>
    <row r="9" spans="5:14" x14ac:dyDescent="0.25">
      <c r="E9" s="12" t="str">
        <f>No_mitigation_calc!E32</f>
        <v>Median Trip Time</v>
      </c>
      <c r="F9" s="12">
        <f>No_mitigation_calc!F32</f>
        <v>0.04</v>
      </c>
      <c r="G9" s="12" t="str">
        <f>No_mitigation_calc!G32</f>
        <v xml:space="preserve">Hours </v>
      </c>
      <c r="I9" s="19" t="s">
        <v>71</v>
      </c>
      <c r="J9" s="35">
        <f>No_mitigation_calc!F37</f>
        <v>0.29640202254979986</v>
      </c>
      <c r="K9" s="34">
        <f>Mitigation_calc!F46</f>
        <v>4.2119747546024329E-2</v>
      </c>
      <c r="N9" s="6"/>
    </row>
    <row r="10" spans="5:14" x14ac:dyDescent="0.25">
      <c r="E10" s="12" t="str">
        <f>No_mitigation_calc!E33</f>
        <v xml:space="preserve">Buffer Index Time </v>
      </c>
      <c r="F10" s="12">
        <f>No_mitigation_calc!F33</f>
        <v>1.9999999999999997E-2</v>
      </c>
      <c r="G10" s="12" t="str">
        <f>No_mitigation_calc!G33</f>
        <v xml:space="preserve">Hours </v>
      </c>
      <c r="I10" s="19" t="s">
        <v>72</v>
      </c>
      <c r="J10" s="35">
        <f>No_mitigation_calc!F38</f>
        <v>0</v>
      </c>
      <c r="K10" s="36">
        <f>Mitigation_calc!F45</f>
        <v>0</v>
      </c>
      <c r="N10" s="6"/>
    </row>
    <row r="11" spans="5:14" x14ac:dyDescent="0.25">
      <c r="E11" s="12" t="str">
        <f>No_mitigation_calc!E34</f>
        <v>Expected Delay Index</v>
      </c>
      <c r="F11" s="12">
        <f>No_mitigation_calc!F34</f>
        <v>1.2315640801170311</v>
      </c>
      <c r="G11" s="12" t="str">
        <f>No_mitigation_calc!G34</f>
        <v>Index Value</v>
      </c>
      <c r="I11" s="19" t="s">
        <v>37</v>
      </c>
      <c r="J11" s="35">
        <f>No_mitigation_calc!F39</f>
        <v>0.37050252818724982</v>
      </c>
      <c r="K11" s="34">
        <f>Mitigation_calc!F44</f>
        <v>5.2649684432530409E-2</v>
      </c>
      <c r="N11" s="6"/>
    </row>
    <row r="12" spans="5:14" x14ac:dyDescent="0.25">
      <c r="E12" s="12" t="str">
        <f>No_mitigation_calc!E35</f>
        <v>Expected Delay</v>
      </c>
      <c r="F12" s="12">
        <f>No_mitigation_calc!F35</f>
        <v>9.2625632046812456E-3</v>
      </c>
      <c r="G12" s="12" t="str">
        <f>No_mitigation_calc!G35</f>
        <v xml:space="preserve">Hours </v>
      </c>
      <c r="I12" s="37" t="s">
        <v>73</v>
      </c>
      <c r="J12" s="38">
        <f>SUM(J9:J11)</f>
        <v>0.66690455073704968</v>
      </c>
      <c r="K12" s="57">
        <f>SUM(K8:K11)</f>
        <v>1.7820003167099718</v>
      </c>
      <c r="N12" s="6"/>
    </row>
    <row r="13" spans="5:14" x14ac:dyDescent="0.25">
      <c r="E13" s="12"/>
      <c r="F13" s="12"/>
      <c r="G13" s="12"/>
      <c r="N13" s="6"/>
    </row>
    <row r="14" spans="5:14" x14ac:dyDescent="0.25">
      <c r="E14" s="12" t="str">
        <f>No_mitigation_calc!E37</f>
        <v>Expected Value of Direct Cost of Delay</v>
      </c>
      <c r="F14" s="12">
        <f>No_mitigation_calc!F37</f>
        <v>0.29640202254979986</v>
      </c>
      <c r="G14" s="12" t="str">
        <f>No_mitigation_calc!G37</f>
        <v>Dollars</v>
      </c>
      <c r="I14" s="14" t="str">
        <f>'Scenario Inputs'!E$23</f>
        <v>AADT</v>
      </c>
      <c r="J14" s="58">
        <f>'Scenario Inputs'!F$23</f>
        <v>1250</v>
      </c>
      <c r="K14" s="59" t="str">
        <f>'Scenario Inputs'!G$23</f>
        <v>Trips/day</v>
      </c>
      <c r="N14" s="6"/>
    </row>
    <row r="15" spans="5:14" x14ac:dyDescent="0.25">
      <c r="E15" s="12" t="str">
        <f>No_mitigation_calc!E38</f>
        <v>Expected Value of Late Penalty of Delay</v>
      </c>
      <c r="F15" s="12">
        <f>No_mitigation_calc!F38</f>
        <v>0</v>
      </c>
      <c r="G15" s="12" t="str">
        <f>No_mitigation_calc!G38</f>
        <v>Hours</v>
      </c>
      <c r="I15" s="14" t="str">
        <f>'Scenario Inputs'!E$24</f>
        <v xml:space="preserve">Annualization Factor </v>
      </c>
      <c r="J15" s="14">
        <f>'Scenario Inputs'!F$24</f>
        <v>300</v>
      </c>
      <c r="K15" s="59" t="str">
        <f>'Scenario Inputs'!G$24</f>
        <v>Days</v>
      </c>
      <c r="N15" s="6"/>
    </row>
    <row r="16" spans="5:14" ht="15.75" thickBot="1" x14ac:dyDescent="0.3">
      <c r="E16" s="12" t="str">
        <f>No_mitigation_calc!E39</f>
        <v>Expected Value of Commodity Cost Delay</v>
      </c>
      <c r="F16" s="12">
        <f>No_mitigation_calc!F39</f>
        <v>0.37050252818724982</v>
      </c>
      <c r="G16" s="12" t="str">
        <f>No_mitigation_calc!G39</f>
        <v>$/Late Event</v>
      </c>
      <c r="I16" s="62" t="s">
        <v>83</v>
      </c>
      <c r="J16" s="60">
        <f>K$12</f>
        <v>1.7820003167099718</v>
      </c>
      <c r="K16" s="61" t="s">
        <v>84</v>
      </c>
      <c r="N16" s="6"/>
    </row>
    <row r="17" spans="5:14" ht="16.5" thickTop="1" thickBot="1" x14ac:dyDescent="0.3">
      <c r="E17" s="12" t="str">
        <f>No_mitigation_calc!E40</f>
        <v>Expected value of No Mitigation</v>
      </c>
      <c r="F17" s="12">
        <f>No_mitigation_calc!F40</f>
        <v>0.66690455073704968</v>
      </c>
      <c r="G17" s="12" t="str">
        <f>No_mitigation_calc!G40</f>
        <v>Dollars</v>
      </c>
      <c r="I17" s="20"/>
      <c r="J17" s="63">
        <f>J14*J15*J16</f>
        <v>668250.1187662395</v>
      </c>
      <c r="K17" s="15" t="s">
        <v>126</v>
      </c>
      <c r="N17" s="6"/>
    </row>
    <row r="18" spans="5:14" ht="15.75" thickTop="1" x14ac:dyDescent="0.25"/>
    <row r="20" spans="5:14" ht="15.75" thickBot="1" x14ac:dyDescent="0.3">
      <c r="E20" s="4" t="s">
        <v>40</v>
      </c>
    </row>
    <row r="21" spans="5:14" x14ac:dyDescent="0.25">
      <c r="E21" s="203" t="str">
        <f>Mitigation_calc!E36</f>
        <v>Summary</v>
      </c>
      <c r="F21" s="204"/>
      <c r="G21" s="205"/>
    </row>
    <row r="22" spans="5:14" x14ac:dyDescent="0.25">
      <c r="E22" s="103"/>
      <c r="F22" s="104"/>
      <c r="G22" s="105"/>
    </row>
    <row r="23" spans="5:14" x14ac:dyDescent="0.25">
      <c r="E23" s="113" t="str">
        <f>Mitigation_calc!E38</f>
        <v>Median Trip Time</v>
      </c>
      <c r="F23" s="104">
        <f>Mitigation_calc!F38</f>
        <v>0.04</v>
      </c>
      <c r="G23" s="105" t="str">
        <f>Mitigation_calc!G38</f>
        <v xml:space="preserve">Hours </v>
      </c>
    </row>
    <row r="24" spans="5:14" x14ac:dyDescent="0.25">
      <c r="E24" s="113" t="str">
        <f>Mitigation_calc!E39</f>
        <v xml:space="preserve">Buffer Index Time </v>
      </c>
      <c r="F24" s="104">
        <f>Mitigation_calc!F39</f>
        <v>1.9999999999999997E-2</v>
      </c>
      <c r="G24" s="105" t="str">
        <f>Mitigation_calc!G39</f>
        <v xml:space="preserve">Hours </v>
      </c>
    </row>
    <row r="25" spans="5:14" x14ac:dyDescent="0.25">
      <c r="E25" s="113" t="str">
        <f>Mitigation_calc!E40</f>
        <v xml:space="preserve">Built in Buffer </v>
      </c>
      <c r="F25" s="104">
        <f>Mitigation_calc!F40</f>
        <v>0.98</v>
      </c>
      <c r="G25" s="105" t="str">
        <f>Mitigation_calc!G40</f>
        <v>Percentile</v>
      </c>
    </row>
    <row r="26" spans="5:14" x14ac:dyDescent="0.25">
      <c r="E26" s="113" t="str">
        <f>Mitigation_calc!E41</f>
        <v>Buffer Index</v>
      </c>
      <c r="F26" s="104">
        <f>Mitigation_calc!F41</f>
        <v>1.6590745643482097</v>
      </c>
      <c r="G26" s="105" t="str">
        <f>Mitigation_calc!G41</f>
        <v>Index Value</v>
      </c>
    </row>
    <row r="27" spans="5:14" x14ac:dyDescent="0.25">
      <c r="E27" s="113"/>
      <c r="F27" s="104"/>
      <c r="G27" s="105"/>
    </row>
    <row r="28" spans="5:14" x14ac:dyDescent="0.25">
      <c r="E28" s="113" t="str">
        <f>Mitigation_calc!E43</f>
        <v>Expected Value of Direct Cost of Mitigation</v>
      </c>
      <c r="F28" s="104">
        <f>Mitigation_calc!F43</f>
        <v>1.687230884731417</v>
      </c>
      <c r="G28" s="105" t="str">
        <f>Mitigation_calc!G43</f>
        <v>Dollars</v>
      </c>
    </row>
    <row r="29" spans="5:14" x14ac:dyDescent="0.25">
      <c r="E29" s="113" t="str">
        <f>Mitigation_calc!E44</f>
        <v>Expected Value of Commodity Cost Delay</v>
      </c>
      <c r="F29" s="106">
        <f>Mitigation_calc!F44</f>
        <v>5.2649684432530409E-2</v>
      </c>
      <c r="G29" s="107" t="str">
        <f>Mitigation_calc!G44</f>
        <v>$/Late Event</v>
      </c>
    </row>
    <row r="30" spans="5:14" x14ac:dyDescent="0.25">
      <c r="E30" s="113" t="str">
        <f>Mitigation_calc!E45</f>
        <v>Expected Value of Penalty</v>
      </c>
      <c r="F30" s="104">
        <f>Mitigation_calc!F45</f>
        <v>0</v>
      </c>
      <c r="G30" s="105" t="str">
        <f>Mitigation_calc!G45</f>
        <v>Dollars</v>
      </c>
    </row>
    <row r="31" spans="5:14" x14ac:dyDescent="0.25">
      <c r="E31" s="114" t="str">
        <f>Mitigation_calc!E46</f>
        <v xml:space="preserve">Expected Value of Additional Direct Costs </v>
      </c>
      <c r="F31" s="106">
        <f>Mitigation_calc!F46</f>
        <v>4.2119747546024329E-2</v>
      </c>
      <c r="G31" s="107" t="str">
        <f>Mitigation_calc!G46</f>
        <v>Dollars</v>
      </c>
    </row>
    <row r="32" spans="5:14" x14ac:dyDescent="0.25">
      <c r="E32" s="117" t="str">
        <f>Mitigation_calc!E47</f>
        <v>Expected Value Cost of Unreliability</v>
      </c>
      <c r="F32" s="118">
        <f>Mitigation_calc!F47</f>
        <v>1.7820003167099718</v>
      </c>
      <c r="G32" s="119" t="str">
        <f>Mitigation_calc!G47</f>
        <v>Dollars</v>
      </c>
    </row>
    <row r="33" spans="5:7" ht="30" x14ac:dyDescent="0.25">
      <c r="E33" s="115" t="str">
        <f>Mitigation_calc!E48</f>
        <v>Expected Value Cost of Unreliability per Expected Delay hour</v>
      </c>
      <c r="F33" s="108">
        <f>F32/F12</f>
        <v>192.38738536319613</v>
      </c>
      <c r="G33" s="109" t="str">
        <f>Mitigation_calc!G48</f>
        <v>Dollars</v>
      </c>
    </row>
    <row r="34" spans="5:7" x14ac:dyDescent="0.25">
      <c r="E34" s="114" t="s">
        <v>95</v>
      </c>
      <c r="F34" s="116">
        <f>F33/Mitigation_calc!F21</f>
        <v>3.0060528962999395</v>
      </c>
      <c r="G34" s="107" t="s">
        <v>98</v>
      </c>
    </row>
    <row r="35" spans="5:7" ht="15.75" thickBot="1" x14ac:dyDescent="0.3">
      <c r="E35" s="110"/>
      <c r="F35" s="111"/>
      <c r="G35" s="112"/>
    </row>
  </sheetData>
  <mergeCells count="3">
    <mergeCell ref="I1:L1"/>
    <mergeCell ref="E6:G6"/>
    <mergeCell ref="E21:G21"/>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S21"/>
  <sheetViews>
    <sheetView zoomScale="80" zoomScaleNormal="80" workbookViewId="0">
      <selection activeCell="M6" sqref="M6"/>
    </sheetView>
  </sheetViews>
  <sheetFormatPr defaultRowHeight="15" x14ac:dyDescent="0.25"/>
  <cols>
    <col min="2" max="2" width="27.7109375" customWidth="1"/>
    <col min="3" max="7" width="12.7109375" hidden="1" customWidth="1"/>
    <col min="8" max="11" width="9.7109375" customWidth="1"/>
    <col min="12" max="12" width="9.7109375" hidden="1" customWidth="1"/>
    <col min="13" max="17" width="9.7109375" customWidth="1"/>
    <col min="18" max="18" width="9.7109375" hidden="1" customWidth="1"/>
    <col min="19" max="19" width="9.7109375" customWidth="1"/>
  </cols>
  <sheetData>
    <row r="1" spans="1:19" ht="15.75" thickBot="1" x14ac:dyDescent="0.3"/>
    <row r="2" spans="1:19" ht="18.75" x14ac:dyDescent="0.3">
      <c r="B2" s="206" t="s">
        <v>120</v>
      </c>
      <c r="C2" s="207"/>
      <c r="D2" s="207"/>
      <c r="E2" s="207"/>
      <c r="F2" s="207"/>
      <c r="G2" s="207"/>
      <c r="H2" s="207"/>
      <c r="I2" s="207"/>
      <c r="J2" s="207"/>
      <c r="K2" s="207"/>
      <c r="L2" s="207"/>
      <c r="M2" s="207"/>
      <c r="N2" s="207"/>
      <c r="O2" s="207"/>
      <c r="P2" s="207"/>
      <c r="Q2" s="207"/>
      <c r="R2" s="207"/>
      <c r="S2" s="208"/>
    </row>
    <row r="3" spans="1:19" ht="24.95" customHeight="1" x14ac:dyDescent="0.25">
      <c r="A3" s="180"/>
      <c r="B3" s="179" t="s">
        <v>133</v>
      </c>
      <c r="C3" s="123" t="s">
        <v>99</v>
      </c>
      <c r="D3" s="124" t="s">
        <v>100</v>
      </c>
      <c r="E3" s="124" t="s">
        <v>101</v>
      </c>
      <c r="F3" s="124" t="s">
        <v>102</v>
      </c>
      <c r="G3" s="125" t="s">
        <v>103</v>
      </c>
      <c r="H3" s="209" t="s">
        <v>104</v>
      </c>
      <c r="I3" s="210"/>
      <c r="J3" s="210"/>
      <c r="K3" s="210"/>
      <c r="L3" s="210"/>
      <c r="M3" s="210"/>
      <c r="N3" s="210" t="s">
        <v>105</v>
      </c>
      <c r="O3" s="210"/>
      <c r="P3" s="210"/>
      <c r="Q3" s="210"/>
      <c r="R3" s="210"/>
      <c r="S3" s="211"/>
    </row>
    <row r="4" spans="1:19" ht="64.5" x14ac:dyDescent="0.25">
      <c r="B4" s="152"/>
      <c r="C4" s="126"/>
      <c r="D4" s="127"/>
      <c r="E4" s="127"/>
      <c r="F4" s="127"/>
      <c r="G4" s="128" t="s">
        <v>106</v>
      </c>
      <c r="H4" s="129" t="s">
        <v>107</v>
      </c>
      <c r="I4" s="130" t="s">
        <v>108</v>
      </c>
      <c r="J4" s="130" t="s">
        <v>109</v>
      </c>
      <c r="K4" s="130" t="s">
        <v>132</v>
      </c>
      <c r="L4" s="130" t="s">
        <v>110</v>
      </c>
      <c r="M4" s="130" t="s">
        <v>111</v>
      </c>
      <c r="N4" s="129" t="s">
        <v>107</v>
      </c>
      <c r="O4" s="130" t="s">
        <v>108</v>
      </c>
      <c r="P4" s="130" t="s">
        <v>109</v>
      </c>
      <c r="Q4" s="130" t="s">
        <v>132</v>
      </c>
      <c r="R4" s="130" t="s">
        <v>110</v>
      </c>
      <c r="S4" s="166" t="s">
        <v>111</v>
      </c>
    </row>
    <row r="5" spans="1:19" x14ac:dyDescent="0.25">
      <c r="B5" s="154" t="s">
        <v>112</v>
      </c>
      <c r="C5" s="131"/>
      <c r="D5" s="132"/>
      <c r="E5" s="132"/>
      <c r="F5" s="132"/>
      <c r="G5" s="133"/>
      <c r="H5" s="131"/>
      <c r="I5" s="132"/>
      <c r="J5" s="132"/>
      <c r="K5" s="132"/>
      <c r="L5" s="132"/>
      <c r="M5" s="132"/>
      <c r="N5" s="131"/>
      <c r="O5" s="132"/>
      <c r="P5" s="132"/>
      <c r="Q5" s="132"/>
      <c r="R5" s="132"/>
      <c r="S5" s="167"/>
    </row>
    <row r="6" spans="1:19" x14ac:dyDescent="0.25">
      <c r="B6" s="155" t="s">
        <v>113</v>
      </c>
      <c r="C6" s="131"/>
      <c r="D6" s="132"/>
      <c r="E6" s="132"/>
      <c r="F6" s="132"/>
      <c r="G6" s="133">
        <v>7</v>
      </c>
      <c r="H6" s="131">
        <v>10</v>
      </c>
      <c r="I6" s="132">
        <v>1.125</v>
      </c>
      <c r="J6" s="132">
        <v>14</v>
      </c>
      <c r="K6" s="132">
        <v>58</v>
      </c>
      <c r="L6" s="135">
        <f>J6/K6*(I6-1)</f>
        <v>3.017241379310345E-2</v>
      </c>
      <c r="M6" s="136">
        <v>2500</v>
      </c>
      <c r="N6" s="131">
        <v>7</v>
      </c>
      <c r="O6" s="132">
        <v>1.2</v>
      </c>
      <c r="P6" s="132">
        <v>14</v>
      </c>
      <c r="Q6" s="132">
        <v>50</v>
      </c>
      <c r="R6" s="135">
        <f>P6/Q6*(O6-1)</f>
        <v>5.5999999999999994E-2</v>
      </c>
      <c r="S6" s="167">
        <v>2500</v>
      </c>
    </row>
    <row r="7" spans="1:19" x14ac:dyDescent="0.25">
      <c r="B7" s="155" t="s">
        <v>114</v>
      </c>
      <c r="C7" s="131"/>
      <c r="D7" s="132"/>
      <c r="E7" s="132"/>
      <c r="F7" s="132"/>
      <c r="G7" s="133">
        <v>7</v>
      </c>
      <c r="H7" s="131">
        <v>11</v>
      </c>
      <c r="I7" s="132">
        <v>1.5</v>
      </c>
      <c r="J7" s="132">
        <v>8</v>
      </c>
      <c r="K7" s="132">
        <v>40</v>
      </c>
      <c r="L7" s="135">
        <f>J7/K7*(I7-1)</f>
        <v>0.1</v>
      </c>
      <c r="M7" s="132">
        <v>2500</v>
      </c>
      <c r="N7" s="131">
        <v>14</v>
      </c>
      <c r="O7" s="132">
        <v>1.4</v>
      </c>
      <c r="P7" s="132">
        <v>8</v>
      </c>
      <c r="Q7" s="132">
        <v>35</v>
      </c>
      <c r="R7" s="135">
        <f>P7/Q7*(O7-1)</f>
        <v>9.1428571428571401E-2</v>
      </c>
      <c r="S7" s="167">
        <v>2500</v>
      </c>
    </row>
    <row r="8" spans="1:19" x14ac:dyDescent="0.25">
      <c r="B8" s="155" t="s">
        <v>115</v>
      </c>
      <c r="C8" s="131"/>
      <c r="D8" s="132"/>
      <c r="E8" s="132"/>
      <c r="F8" s="132"/>
      <c r="G8" s="133">
        <v>7</v>
      </c>
      <c r="H8" s="131">
        <v>6</v>
      </c>
      <c r="I8" s="132">
        <v>1.7</v>
      </c>
      <c r="J8" s="132">
        <v>18</v>
      </c>
      <c r="K8" s="132">
        <v>35</v>
      </c>
      <c r="L8" s="137">
        <f>J8/K8*(I8-1)</f>
        <v>0.35999999999999993</v>
      </c>
      <c r="M8" s="132">
        <v>2500</v>
      </c>
      <c r="N8" s="131">
        <v>4</v>
      </c>
      <c r="O8" s="132">
        <v>1.2</v>
      </c>
      <c r="P8" s="138">
        <v>18</v>
      </c>
      <c r="Q8" s="132">
        <v>45</v>
      </c>
      <c r="R8" s="137">
        <f>P8/Q8*(O8-1)</f>
        <v>7.9999999999999988E-2</v>
      </c>
      <c r="S8" s="167">
        <v>2500</v>
      </c>
    </row>
    <row r="9" spans="1:19" x14ac:dyDescent="0.25">
      <c r="B9" s="165" t="s">
        <v>116</v>
      </c>
      <c r="C9" s="131"/>
      <c r="D9" s="132"/>
      <c r="E9" s="132"/>
      <c r="F9" s="132"/>
      <c r="G9" s="133"/>
      <c r="H9" s="131"/>
      <c r="I9" s="132"/>
      <c r="J9" s="139">
        <f>SUM(J6:J8)</f>
        <v>40</v>
      </c>
      <c r="K9" s="132"/>
      <c r="L9" s="140">
        <f>SUM(L6:L8)</f>
        <v>0.49017241379310339</v>
      </c>
      <c r="M9" s="141">
        <f>M6*J6/J9+M7*J7/J9+M8*J8/J9</f>
        <v>2500</v>
      </c>
      <c r="N9" s="131"/>
      <c r="O9" s="132"/>
      <c r="P9" s="139">
        <f>SUM(P6:P8)</f>
        <v>40</v>
      </c>
      <c r="Q9" s="132"/>
      <c r="R9" s="140">
        <f>SUM(R6:R8)</f>
        <v>0.2274285714285714</v>
      </c>
      <c r="S9" s="168">
        <f>S6*P6/P9+S7*P7/P9+S8*P8/P9</f>
        <v>2500</v>
      </c>
    </row>
    <row r="10" spans="1:19" x14ac:dyDescent="0.25">
      <c r="B10" s="155"/>
      <c r="C10" s="131"/>
      <c r="D10" s="132"/>
      <c r="E10" s="132"/>
      <c r="F10" s="132"/>
      <c r="G10" s="133"/>
      <c r="H10" s="131"/>
      <c r="I10" s="132"/>
      <c r="J10" s="132"/>
      <c r="K10" s="132"/>
      <c r="L10" s="132"/>
      <c r="M10" s="132"/>
      <c r="N10" s="131"/>
      <c r="O10" s="132"/>
      <c r="P10" s="132"/>
      <c r="Q10" s="132"/>
      <c r="R10" s="145"/>
      <c r="S10" s="169"/>
    </row>
    <row r="11" spans="1:19" x14ac:dyDescent="0.25">
      <c r="B11" s="154" t="s">
        <v>117</v>
      </c>
      <c r="C11" s="131"/>
      <c r="D11" s="132"/>
      <c r="E11" s="132"/>
      <c r="F11" s="132"/>
      <c r="G11" s="133"/>
      <c r="H11" s="131"/>
      <c r="I11" s="132"/>
      <c r="J11" s="132"/>
      <c r="K11" s="132"/>
      <c r="L11" s="132"/>
      <c r="M11" s="132"/>
      <c r="N11" s="131"/>
      <c r="O11" s="132"/>
      <c r="P11" s="132"/>
      <c r="Q11" s="132"/>
      <c r="R11" s="145"/>
      <c r="S11" s="169"/>
    </row>
    <row r="12" spans="1:19" x14ac:dyDescent="0.25">
      <c r="B12" s="155" t="s">
        <v>118</v>
      </c>
      <c r="C12" s="131"/>
      <c r="D12" s="132"/>
      <c r="E12" s="132"/>
      <c r="F12" s="132"/>
      <c r="G12" s="133">
        <v>10</v>
      </c>
      <c r="H12" s="131"/>
      <c r="I12" s="132">
        <v>1.5</v>
      </c>
      <c r="J12" s="132">
        <v>2</v>
      </c>
      <c r="K12" s="132">
        <v>50</v>
      </c>
      <c r="L12" s="137">
        <f>J12/K12*(I12-1)</f>
        <v>0.02</v>
      </c>
      <c r="M12" s="138">
        <v>1250</v>
      </c>
      <c r="N12" s="131"/>
      <c r="O12" s="132">
        <v>1.5</v>
      </c>
      <c r="P12" s="132">
        <v>2</v>
      </c>
      <c r="Q12" s="132">
        <v>50</v>
      </c>
      <c r="R12" s="146">
        <f>P12/Q12*(O12-1)</f>
        <v>0.02</v>
      </c>
      <c r="S12" s="170">
        <v>1250</v>
      </c>
    </row>
    <row r="13" spans="1:19" ht="15.75" thickBot="1" x14ac:dyDescent="0.3">
      <c r="B13" s="171" t="s">
        <v>116</v>
      </c>
      <c r="C13" s="172"/>
      <c r="D13" s="173"/>
      <c r="E13" s="173"/>
      <c r="F13" s="173"/>
      <c r="G13" s="174"/>
      <c r="H13" s="172"/>
      <c r="I13" s="173"/>
      <c r="J13" s="175">
        <f>SUM(J10:J12)</f>
        <v>2</v>
      </c>
      <c r="K13" s="173"/>
      <c r="L13" s="176">
        <f>SUM(L10:L12)</f>
        <v>0.02</v>
      </c>
      <c r="M13" s="177">
        <f>M10*J10/J13+M11*J11/J13+M12*J12/J13</f>
        <v>1250</v>
      </c>
      <c r="N13" s="172"/>
      <c r="O13" s="173"/>
      <c r="P13" s="175">
        <f>SUM(P10:P12)</f>
        <v>2</v>
      </c>
      <c r="Q13" s="173"/>
      <c r="R13" s="176">
        <f>SUM(R10:R12)</f>
        <v>0.02</v>
      </c>
      <c r="S13" s="178">
        <f>S10*P10/P13+S11*P11/P13+S12*P12/P13</f>
        <v>1250</v>
      </c>
    </row>
    <row r="14" spans="1:19" x14ac:dyDescent="0.25">
      <c r="B14" s="134"/>
      <c r="C14" s="134"/>
      <c r="D14" s="134"/>
      <c r="E14" s="134"/>
      <c r="F14" s="134"/>
      <c r="G14" s="142"/>
      <c r="H14" s="134"/>
      <c r="I14" s="134"/>
      <c r="J14" s="134"/>
      <c r="K14" s="134"/>
      <c r="L14" s="134"/>
      <c r="M14" s="134"/>
      <c r="N14" s="134"/>
      <c r="O14" s="134"/>
      <c r="P14" s="134"/>
      <c r="Q14" s="134"/>
      <c r="R14" s="142"/>
      <c r="S14" s="142"/>
    </row>
    <row r="15" spans="1:19" x14ac:dyDescent="0.25">
      <c r="B15" s="134"/>
      <c r="C15" s="134"/>
      <c r="D15" s="134"/>
      <c r="E15" s="134"/>
      <c r="F15" s="134"/>
      <c r="G15" s="142"/>
      <c r="H15" s="134"/>
      <c r="I15" s="134"/>
      <c r="J15" s="134"/>
      <c r="K15" s="134"/>
      <c r="L15" s="134"/>
      <c r="M15" s="134"/>
      <c r="N15" s="134"/>
      <c r="O15" s="134"/>
      <c r="P15" s="134"/>
      <c r="Q15" s="134"/>
      <c r="R15" s="142"/>
      <c r="S15" s="142"/>
    </row>
    <row r="16" spans="1:19" x14ac:dyDescent="0.25">
      <c r="B16" s="122" t="s">
        <v>119</v>
      </c>
      <c r="C16" s="134"/>
      <c r="D16" s="134"/>
      <c r="E16" s="134"/>
      <c r="F16" s="134"/>
      <c r="G16" s="142"/>
      <c r="H16" s="134"/>
      <c r="I16" s="134"/>
      <c r="J16" s="143">
        <f>J9+J13</f>
        <v>42</v>
      </c>
      <c r="K16" s="134"/>
      <c r="L16" s="144">
        <f>L9+L13</f>
        <v>0.51017241379310341</v>
      </c>
      <c r="M16" s="142"/>
      <c r="N16" s="134"/>
      <c r="O16" s="134"/>
      <c r="P16" s="143">
        <f>P9+P13</f>
        <v>42</v>
      </c>
      <c r="Q16" s="134"/>
      <c r="R16" s="144">
        <f>R9+R13</f>
        <v>0.24742857142857139</v>
      </c>
      <c r="S16" s="142"/>
    </row>
    <row r="17" spans="2:19" x14ac:dyDescent="0.25">
      <c r="B17" s="134"/>
      <c r="C17" s="134"/>
      <c r="D17" s="134"/>
      <c r="E17" s="134"/>
      <c r="F17" s="134"/>
      <c r="G17" s="142"/>
      <c r="H17" s="134"/>
      <c r="I17" s="134"/>
      <c r="J17" s="134"/>
      <c r="K17" s="134"/>
      <c r="L17" s="134"/>
      <c r="M17" s="134"/>
      <c r="N17" s="134"/>
      <c r="O17" s="134"/>
      <c r="P17" s="134"/>
      <c r="Q17" s="134"/>
      <c r="R17" s="134"/>
      <c r="S17" s="134"/>
    </row>
    <row r="18" spans="2:19" x14ac:dyDescent="0.25">
      <c r="B18" s="134"/>
      <c r="C18" s="134"/>
      <c r="D18" s="134"/>
      <c r="E18" s="134"/>
      <c r="F18" s="134"/>
      <c r="G18" s="134"/>
      <c r="H18" s="134"/>
      <c r="I18" s="134"/>
      <c r="J18" s="134"/>
      <c r="K18" s="134"/>
      <c r="L18" s="134"/>
      <c r="M18" s="134"/>
      <c r="N18" s="134"/>
      <c r="O18" s="134"/>
      <c r="P18" s="134"/>
      <c r="Q18" s="134"/>
      <c r="R18" s="134"/>
      <c r="S18" s="134"/>
    </row>
    <row r="19" spans="2:19" x14ac:dyDescent="0.25">
      <c r="B19" s="134"/>
      <c r="C19" s="134"/>
      <c r="D19" s="134"/>
      <c r="E19" s="134"/>
      <c r="F19" s="134"/>
      <c r="G19" s="134"/>
      <c r="H19" s="134"/>
      <c r="I19" s="134"/>
      <c r="J19" s="134"/>
      <c r="K19" s="134"/>
      <c r="L19" s="134"/>
      <c r="M19" s="134"/>
      <c r="N19" s="134"/>
      <c r="O19" s="134"/>
      <c r="P19" s="134"/>
      <c r="Q19" s="134"/>
      <c r="R19" s="134"/>
      <c r="S19" s="134"/>
    </row>
    <row r="20" spans="2:19" x14ac:dyDescent="0.25">
      <c r="B20" s="134"/>
      <c r="C20" s="134"/>
      <c r="D20" s="134"/>
      <c r="E20" s="134"/>
      <c r="F20" s="134"/>
      <c r="G20" s="134"/>
      <c r="H20" s="134"/>
      <c r="I20" s="134"/>
      <c r="J20" s="134"/>
      <c r="K20" s="134"/>
      <c r="L20" s="134"/>
      <c r="M20" s="134"/>
      <c r="N20" s="134"/>
      <c r="O20" s="134"/>
      <c r="P20" s="134"/>
      <c r="Q20" s="134"/>
      <c r="R20" s="134"/>
      <c r="S20" s="134"/>
    </row>
    <row r="21" spans="2:19" x14ac:dyDescent="0.25">
      <c r="B21" s="134"/>
      <c r="C21" s="134"/>
      <c r="D21" s="134"/>
      <c r="E21" s="134"/>
      <c r="F21" s="134"/>
      <c r="G21" s="134"/>
      <c r="H21" s="134"/>
      <c r="I21" s="134"/>
      <c r="J21" s="134"/>
      <c r="K21" s="134"/>
      <c r="L21" s="134"/>
      <c r="M21" s="134"/>
      <c r="N21" s="134"/>
      <c r="O21" s="134"/>
      <c r="P21" s="134"/>
      <c r="Q21" s="134"/>
      <c r="R21" s="134"/>
      <c r="S21" s="134"/>
    </row>
  </sheetData>
  <mergeCells count="3">
    <mergeCell ref="B2:S2"/>
    <mergeCell ref="H3:M3"/>
    <mergeCell ref="N3:S3"/>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2:I18"/>
  <sheetViews>
    <sheetView zoomScale="80" zoomScaleNormal="80" workbookViewId="0">
      <selection activeCell="M25" sqref="M25"/>
    </sheetView>
  </sheetViews>
  <sheetFormatPr defaultRowHeight="15" x14ac:dyDescent="0.25"/>
  <cols>
    <col min="2" max="2" width="40.7109375" customWidth="1"/>
    <col min="3" max="3" width="12.7109375" customWidth="1"/>
    <col min="4" max="4" width="13.7109375" customWidth="1"/>
    <col min="5" max="5" width="13.7109375" hidden="1" customWidth="1"/>
    <col min="6" max="6" width="12.7109375" customWidth="1"/>
    <col min="7" max="7" width="13.7109375" customWidth="1"/>
    <col min="8" max="8" width="12.7109375" hidden="1" customWidth="1"/>
    <col min="9" max="9" width="13.7109375" customWidth="1"/>
  </cols>
  <sheetData>
    <row r="2" spans="2:9" ht="15.75" thickBot="1" x14ac:dyDescent="0.3"/>
    <row r="3" spans="2:9" ht="30.75" customHeight="1" x14ac:dyDescent="0.3">
      <c r="B3" s="148" t="s">
        <v>120</v>
      </c>
      <c r="C3" s="212" t="s">
        <v>104</v>
      </c>
      <c r="D3" s="212"/>
      <c r="E3" s="149"/>
      <c r="F3" s="212" t="s">
        <v>105</v>
      </c>
      <c r="G3" s="212"/>
      <c r="H3" s="150"/>
      <c r="I3" s="151" t="s">
        <v>131</v>
      </c>
    </row>
    <row r="4" spans="2:9" x14ac:dyDescent="0.25">
      <c r="B4" s="152"/>
      <c r="C4" s="20" t="s">
        <v>128</v>
      </c>
      <c r="D4" s="20" t="s">
        <v>129</v>
      </c>
      <c r="E4" s="20"/>
      <c r="F4" s="20" t="s">
        <v>128</v>
      </c>
      <c r="G4" s="20" t="s">
        <v>129</v>
      </c>
      <c r="H4" s="20"/>
      <c r="I4" s="91"/>
    </row>
    <row r="5" spans="2:9" ht="15.75" x14ac:dyDescent="0.25">
      <c r="B5" s="153" t="s">
        <v>130</v>
      </c>
      <c r="C5" s="20"/>
      <c r="D5" s="20"/>
      <c r="E5" s="20"/>
      <c r="F5" s="20"/>
      <c r="G5" s="20"/>
      <c r="H5" s="20"/>
      <c r="I5" s="91"/>
    </row>
    <row r="6" spans="2:9" x14ac:dyDescent="0.25">
      <c r="B6" s="152"/>
      <c r="C6" s="20"/>
      <c r="D6" s="20"/>
      <c r="E6" s="20"/>
      <c r="F6" s="20"/>
      <c r="G6" s="20"/>
      <c r="H6" s="20"/>
      <c r="I6" s="91"/>
    </row>
    <row r="7" spans="2:9" x14ac:dyDescent="0.25">
      <c r="B7" s="154" t="s">
        <v>112</v>
      </c>
      <c r="C7" s="20"/>
      <c r="D7" s="20"/>
      <c r="E7" s="20"/>
      <c r="F7" s="20"/>
      <c r="G7" s="20"/>
      <c r="H7" s="20"/>
      <c r="I7" s="91"/>
    </row>
    <row r="8" spans="2:9" x14ac:dyDescent="0.25">
      <c r="B8" s="155" t="s">
        <v>113</v>
      </c>
      <c r="C8" s="147">
        <v>2.58</v>
      </c>
      <c r="D8" s="156">
        <v>1934434</v>
      </c>
      <c r="E8" s="156"/>
      <c r="F8" s="25">
        <v>4.83</v>
      </c>
      <c r="G8" s="157">
        <v>2602684</v>
      </c>
      <c r="H8" s="20"/>
      <c r="I8" s="158">
        <f>D8+G8</f>
        <v>4537118</v>
      </c>
    </row>
    <row r="9" spans="2:9" x14ac:dyDescent="0.25">
      <c r="B9" s="155" t="s">
        <v>114</v>
      </c>
      <c r="C9" s="159">
        <v>8.91</v>
      </c>
      <c r="D9" s="157">
        <v>6682501</v>
      </c>
      <c r="E9" s="157"/>
      <c r="F9" s="25">
        <v>8.06</v>
      </c>
      <c r="G9" s="157">
        <v>6046960</v>
      </c>
      <c r="H9" s="157"/>
      <c r="I9" s="158">
        <f>D9+G9</f>
        <v>12729461</v>
      </c>
    </row>
    <row r="10" spans="2:9" x14ac:dyDescent="0.25">
      <c r="B10" s="155" t="s">
        <v>115</v>
      </c>
      <c r="C10" s="159">
        <v>32.700000000000003</v>
      </c>
      <c r="D10" s="157">
        <v>24527093</v>
      </c>
      <c r="E10" s="157"/>
      <c r="F10" s="25">
        <v>6.9</v>
      </c>
      <c r="G10" s="157">
        <v>5174999</v>
      </c>
      <c r="H10" s="20"/>
      <c r="I10" s="158">
        <f>D10+G10</f>
        <v>29702092</v>
      </c>
    </row>
    <row r="11" spans="2:9" x14ac:dyDescent="0.25">
      <c r="B11" s="154" t="s">
        <v>116</v>
      </c>
      <c r="C11" s="159"/>
      <c r="D11" s="157">
        <f>SUM(D8:D10)</f>
        <v>33144028</v>
      </c>
      <c r="E11" s="157"/>
      <c r="F11" s="20"/>
      <c r="G11" s="157">
        <f>SUM(G8:G10)</f>
        <v>13824643</v>
      </c>
      <c r="H11" s="20"/>
      <c r="I11" s="158">
        <f>D11+G11</f>
        <v>46968671</v>
      </c>
    </row>
    <row r="12" spans="2:9" x14ac:dyDescent="0.25">
      <c r="B12" s="155"/>
      <c r="C12" s="20"/>
      <c r="D12" s="157"/>
      <c r="E12" s="157"/>
      <c r="F12" s="20"/>
      <c r="G12" s="20"/>
      <c r="H12" s="20"/>
      <c r="I12" s="91"/>
    </row>
    <row r="13" spans="2:9" x14ac:dyDescent="0.25">
      <c r="B13" s="154" t="s">
        <v>117</v>
      </c>
      <c r="C13" s="20"/>
      <c r="D13" s="157"/>
      <c r="E13" s="157"/>
      <c r="F13" s="20"/>
      <c r="G13" s="20"/>
      <c r="H13" s="20"/>
      <c r="I13" s="91"/>
    </row>
    <row r="14" spans="2:9" x14ac:dyDescent="0.25">
      <c r="B14" s="155" t="s">
        <v>118</v>
      </c>
      <c r="C14" s="25">
        <v>1.78</v>
      </c>
      <c r="D14" s="157">
        <v>668250</v>
      </c>
      <c r="E14" s="157"/>
      <c r="F14" s="20">
        <v>1.78</v>
      </c>
      <c r="G14" s="20">
        <v>668250</v>
      </c>
      <c r="H14" s="20"/>
      <c r="I14" s="158">
        <f>D14+G14</f>
        <v>1336500</v>
      </c>
    </row>
    <row r="15" spans="2:9" x14ac:dyDescent="0.25">
      <c r="B15" s="154" t="s">
        <v>116</v>
      </c>
      <c r="C15" s="20"/>
      <c r="D15" s="157">
        <f>D14</f>
        <v>668250</v>
      </c>
      <c r="E15" s="157"/>
      <c r="F15" s="20"/>
      <c r="G15" s="20">
        <f>G14</f>
        <v>668250</v>
      </c>
      <c r="H15" s="20"/>
      <c r="I15" s="91"/>
    </row>
    <row r="16" spans="2:9" x14ac:dyDescent="0.25">
      <c r="B16" s="155"/>
      <c r="C16" s="20"/>
      <c r="D16" s="157"/>
      <c r="E16" s="157"/>
      <c r="F16" s="20"/>
      <c r="G16" s="20"/>
      <c r="H16" s="20"/>
      <c r="I16" s="91"/>
    </row>
    <row r="17" spans="2:9" x14ac:dyDescent="0.25">
      <c r="B17" s="155"/>
      <c r="C17" s="20"/>
      <c r="D17" s="157"/>
      <c r="E17" s="157"/>
      <c r="F17" s="20"/>
      <c r="G17" s="20"/>
      <c r="H17" s="20"/>
      <c r="I17" s="91"/>
    </row>
    <row r="18" spans="2:9" ht="15.75" thickBot="1" x14ac:dyDescent="0.3">
      <c r="B18" s="160" t="s">
        <v>119</v>
      </c>
      <c r="C18" s="161"/>
      <c r="D18" s="162">
        <f>D11+D15</f>
        <v>33812278</v>
      </c>
      <c r="E18" s="162"/>
      <c r="F18" s="163"/>
      <c r="G18" s="162">
        <f>G11+G15</f>
        <v>14492893</v>
      </c>
      <c r="H18" s="163"/>
      <c r="I18" s="164">
        <f>D18+G18</f>
        <v>48305171</v>
      </c>
    </row>
  </sheetData>
  <mergeCells count="2">
    <mergeCell ref="C3:D3"/>
    <mergeCell ref="F3:G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DISCLAIMER</vt:lpstr>
      <vt:lpstr>Cover_Page</vt:lpstr>
      <vt:lpstr>Scenario Inputs</vt:lpstr>
      <vt:lpstr>No_mitigation_calc</vt:lpstr>
      <vt:lpstr>Mitigation_calc</vt:lpstr>
      <vt:lpstr>Scenario results</vt:lpstr>
      <vt:lpstr>Case Study Inputs</vt:lpstr>
      <vt:lpstr>Case Study Results</vt:lpstr>
    </vt:vector>
  </TitlesOfParts>
  <Company>Parsons Brinckerhoff</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Elias Scheker</dc:creator>
  <cp:lastModifiedBy>The National Academies</cp:lastModifiedBy>
  <dcterms:created xsi:type="dcterms:W3CDTF">2015-07-26T02:43:58Z</dcterms:created>
  <dcterms:modified xsi:type="dcterms:W3CDTF">2016-06-07T18:09:12Z</dcterms:modified>
</cp:coreProperties>
</file>