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nchrp\"/>
    </mc:Choice>
  </mc:AlternateContent>
  <bookViews>
    <workbookView xWindow="0" yWindow="0" windowWidth="14610" windowHeight="7170" tabRatio="862"/>
  </bookViews>
  <sheets>
    <sheet name="Welcome" sheetId="36" r:id="rId1"/>
    <sheet name="Instructions" sheetId="37" r:id="rId2"/>
    <sheet name="Segment1" sheetId="17" r:id="rId3"/>
    <sheet name="Segment2" sheetId="39" r:id="rId4"/>
    <sheet name="Segment3" sheetId="40" r:id="rId5"/>
    <sheet name="Segment4" sheetId="41" r:id="rId6"/>
    <sheet name="Segment5" sheetId="42" r:id="rId7"/>
    <sheet name="Segment6" sheetId="43" r:id="rId8"/>
    <sheet name="Segment7" sheetId="44" r:id="rId9"/>
    <sheet name="Segment8" sheetId="45" r:id="rId10"/>
    <sheet name="Segment9" sheetId="46" r:id="rId11"/>
    <sheet name="Segment10" sheetId="47" r:id="rId12"/>
    <sheet name="Segment11" sheetId="48" r:id="rId13"/>
    <sheet name="Segment12" sheetId="49" r:id="rId14"/>
    <sheet name="Segment13" sheetId="50" r:id="rId15"/>
    <sheet name="Segment14" sheetId="51" r:id="rId16"/>
    <sheet name="Segment15" sheetId="52" r:id="rId17"/>
    <sheet name="Segment16" sheetId="53" r:id="rId18"/>
    <sheet name="Segment17" sheetId="54" r:id="rId19"/>
    <sheet name="Segment18" sheetId="55" r:id="rId20"/>
    <sheet name="Segment19" sheetId="56" r:id="rId21"/>
    <sheet name="Segment20" sheetId="57" r:id="rId22"/>
    <sheet name="LocalValues" sheetId="35" r:id="rId23"/>
    <sheet name="Summary" sheetId="38" r:id="rId24"/>
    <sheet name="Menus" sheetId="33" r:id="rId25"/>
  </sheets>
  <externalReferences>
    <externalReference r:id="rId26"/>
  </externalReferences>
  <definedNames>
    <definedName name="CRumble">#REF!</definedName>
    <definedName name="Differ">#REF!</definedName>
    <definedName name="Division">#REF!</definedName>
    <definedName name="IApproach">#REF!</definedName>
    <definedName name="ILight">#REF!</definedName>
    <definedName name="IType">#REF!</definedName>
    <definedName name="IType2">#REF!</definedName>
    <definedName name="LApproach">#REF!</definedName>
    <definedName name="Lighting">#REF!</definedName>
    <definedName name="Local" localSheetId="1">'[1]Construction - do not delete'!$L$16:$L$17</definedName>
    <definedName name="Local" localSheetId="0">'[1]Construction - do not delete'!$L$16:$L$17</definedName>
    <definedName name="Local">#REF!</definedName>
    <definedName name="LWidth">#REF!</definedName>
    <definedName name="MWidth">#REF!</definedName>
    <definedName name="Not_Present">#REF!</definedName>
    <definedName name="OffsetFO" localSheetId="1">'[1]Construction - do not delete'!$L$55:$L$61</definedName>
    <definedName name="OffsetFO" localSheetId="0">'[1]Construction - do not delete'!$L$55:$L$61</definedName>
    <definedName name="OffsetFO">#REF!</definedName>
    <definedName name="OnStreet">#REF!</definedName>
    <definedName name="OnStreetType" localSheetId="1">'[1]Construction - do not delete'!$J$55:$J$59</definedName>
    <definedName name="OnStreetType" localSheetId="0">'[1]Construction - do not delete'!$J$55:$J$59</definedName>
    <definedName name="OnStreetType">#REF!</definedName>
    <definedName name="Phasing">#REF!</definedName>
    <definedName name="Phasing2">#REF!</definedName>
    <definedName name="PLane">#REF!</definedName>
    <definedName name="PLane2">#REF!</definedName>
    <definedName name="Posted" localSheetId="1">'[1]Construction - do not delete'!$N$55:$N$56</definedName>
    <definedName name="Posted" localSheetId="0">'[1]Construction - do not delete'!$N$55:$N$56</definedName>
    <definedName name="Posted">#REF!</definedName>
    <definedName name="PresOrNot" localSheetId="1">'[1]Construction - do not delete'!$H$55:$H$56</definedName>
    <definedName name="PresOrNot" localSheetId="0">'[1]Construction - do not delete'!$H$55:$H$56</definedName>
    <definedName name="PresOrNot">#REF!</definedName>
    <definedName name="_xlnm.Print_Area" localSheetId="2">Segment1!$A$1:$M$73</definedName>
    <definedName name="_xlnm.Print_Area" localSheetId="11">Segment10!$A$1:$M$73</definedName>
    <definedName name="_xlnm.Print_Area" localSheetId="12">Segment11!$A$1:$M$73</definedName>
    <definedName name="_xlnm.Print_Area" localSheetId="13">Segment12!$A$1:$M$73</definedName>
    <definedName name="_xlnm.Print_Area" localSheetId="14">Segment13!$A$1:$M$73</definedName>
    <definedName name="_xlnm.Print_Area" localSheetId="15">Segment14!$A$1:$M$73</definedName>
    <definedName name="_xlnm.Print_Area" localSheetId="16">Segment15!$A$1:$M$73</definedName>
    <definedName name="_xlnm.Print_Area" localSheetId="17">Segment16!$A$1:$M$73</definedName>
    <definedName name="_xlnm.Print_Area" localSheetId="18">Segment17!$A$1:$M$73</definedName>
    <definedName name="_xlnm.Print_Area" localSheetId="19">Segment18!$A$1:$M$73</definedName>
    <definedName name="_xlnm.Print_Area" localSheetId="20">Segment19!$A$1:$M$73</definedName>
    <definedName name="_xlnm.Print_Area" localSheetId="3">Segment2!$A$1:$M$73</definedName>
    <definedName name="_xlnm.Print_Area" localSheetId="21">Segment20!$A$1:$M$73</definedName>
    <definedName name="_xlnm.Print_Area" localSheetId="4">Segment3!$A$1:$M$73</definedName>
    <definedName name="_xlnm.Print_Area" localSheetId="5">Segment4!$A$1:$M$73</definedName>
    <definedName name="_xlnm.Print_Area" localSheetId="6">Segment5!$A$1:$M$73</definedName>
    <definedName name="_xlnm.Print_Area" localSheetId="7">Segment6!$A$1:$M$73</definedName>
    <definedName name="_xlnm.Print_Area" localSheetId="8">Segment7!$A$1:$M$73</definedName>
    <definedName name="_xlnm.Print_Area" localSheetId="9">Segment8!$A$1:$M$73</definedName>
    <definedName name="_xlnm.Print_Area" localSheetId="10">Segment9!$A$1:$M$73</definedName>
    <definedName name="Pspeed">#REF!</definedName>
    <definedName name="RApproach">#REF!</definedName>
    <definedName name="RHR">#REF!</definedName>
    <definedName name="RType" localSheetId="1">'[1]Construction - do not delete'!$D$55:$D$59</definedName>
    <definedName name="RType" localSheetId="0">'[1]Construction - do not delete'!$D$55:$D$59</definedName>
    <definedName name="RType">#REF!</definedName>
    <definedName name="Shld2">#REF!</definedName>
    <definedName name="SpEnforce">#REF!</definedName>
    <definedName name="Spiral">#REF!</definedName>
    <definedName name="SSlope">#REF!</definedName>
    <definedName name="SType">#REF!</definedName>
    <definedName name="SWidth">#REF!</definedName>
    <definedName name="TLanes">#REF!</definedName>
    <definedName name="TWLTL">#REF!</definedName>
    <definedName name="UMedian">#REF!</definedName>
    <definedName name="UMedian2">#REF!</definedName>
    <definedName name="UMedWidth" localSheetId="1">'[1]Construction - do not delete'!$F$55:$F$66</definedName>
    <definedName name="UMedWidth" localSheetId="0">'[1]Construction - do not delete'!$F$55:$F$66</definedName>
    <definedName name="UMedWidth">#REF!</definedName>
    <definedName name="UnsigApproach">#REF!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38" l="1"/>
  <c r="K30" i="38" l="1"/>
  <c r="J30" i="38"/>
  <c r="E30" i="38"/>
  <c r="B30" i="38"/>
  <c r="K29" i="38"/>
  <c r="J29" i="38"/>
  <c r="E29" i="38"/>
  <c r="B29" i="38"/>
  <c r="K28" i="38"/>
  <c r="J28" i="38"/>
  <c r="E28" i="38"/>
  <c r="B28" i="38"/>
  <c r="K27" i="38"/>
  <c r="J27" i="38"/>
  <c r="E27" i="38"/>
  <c r="B27" i="38"/>
  <c r="K26" i="38"/>
  <c r="J26" i="38"/>
  <c r="E26" i="38"/>
  <c r="B26" i="38"/>
  <c r="K25" i="38"/>
  <c r="J25" i="38"/>
  <c r="E25" i="38"/>
  <c r="B25" i="38"/>
  <c r="K24" i="38"/>
  <c r="J24" i="38"/>
  <c r="E24" i="38"/>
  <c r="B24" i="38"/>
  <c r="K23" i="38"/>
  <c r="J23" i="38"/>
  <c r="E23" i="38"/>
  <c r="B23" i="38"/>
  <c r="K22" i="38"/>
  <c r="J22" i="38"/>
  <c r="E22" i="38"/>
  <c r="B22" i="38"/>
  <c r="K21" i="38"/>
  <c r="J21" i="38"/>
  <c r="E21" i="38"/>
  <c r="B21" i="38"/>
  <c r="K20" i="38"/>
  <c r="J20" i="38"/>
  <c r="E20" i="38"/>
  <c r="B20" i="38"/>
  <c r="K19" i="38"/>
  <c r="J19" i="38"/>
  <c r="E19" i="38"/>
  <c r="B19" i="38"/>
  <c r="K18" i="38"/>
  <c r="J18" i="38"/>
  <c r="E18" i="38"/>
  <c r="B18" i="38"/>
  <c r="K17" i="38"/>
  <c r="J17" i="38"/>
  <c r="E17" i="38"/>
  <c r="B17" i="38"/>
  <c r="K16" i="38"/>
  <c r="J16" i="38"/>
  <c r="E16" i="38"/>
  <c r="B16" i="38"/>
  <c r="K15" i="38"/>
  <c r="J15" i="38"/>
  <c r="E15" i="38"/>
  <c r="B15" i="38"/>
  <c r="K14" i="38"/>
  <c r="J14" i="38"/>
  <c r="E14" i="38"/>
  <c r="B14" i="38"/>
  <c r="K13" i="38"/>
  <c r="J13" i="38"/>
  <c r="E13" i="38"/>
  <c r="B13" i="38"/>
  <c r="K12" i="38"/>
  <c r="J12" i="38"/>
  <c r="E12" i="38"/>
  <c r="B12" i="38"/>
  <c r="M181" i="57"/>
  <c r="I181" i="57" s="1"/>
  <c r="G181" i="57"/>
  <c r="F181" i="57"/>
  <c r="E181" i="57"/>
  <c r="M180" i="57"/>
  <c r="I180" i="57" s="1"/>
  <c r="G180" i="57"/>
  <c r="F180" i="57"/>
  <c r="E180" i="57"/>
  <c r="M179" i="57"/>
  <c r="I179" i="57" s="1"/>
  <c r="G179" i="57"/>
  <c r="F179" i="57"/>
  <c r="E179" i="57"/>
  <c r="M178" i="57"/>
  <c r="I178" i="57" s="1"/>
  <c r="G178" i="57"/>
  <c r="F178" i="57"/>
  <c r="E178" i="57"/>
  <c r="M177" i="57"/>
  <c r="I177" i="57" s="1"/>
  <c r="G177" i="57"/>
  <c r="F177" i="57"/>
  <c r="E177" i="57"/>
  <c r="M176" i="57"/>
  <c r="I176" i="57" s="1"/>
  <c r="G176" i="57"/>
  <c r="F176" i="57"/>
  <c r="E176" i="57"/>
  <c r="M175" i="57"/>
  <c r="I175" i="57" s="1"/>
  <c r="G175" i="57"/>
  <c r="F175" i="57"/>
  <c r="E175" i="57"/>
  <c r="M174" i="57"/>
  <c r="I174" i="57" s="1"/>
  <c r="G174" i="57"/>
  <c r="F174" i="57"/>
  <c r="E174" i="57"/>
  <c r="M173" i="57"/>
  <c r="I173" i="57" s="1"/>
  <c r="J173" i="57"/>
  <c r="G173" i="57"/>
  <c r="F173" i="57"/>
  <c r="E173" i="57"/>
  <c r="M172" i="57"/>
  <c r="I172" i="57"/>
  <c r="G172" i="57"/>
  <c r="F172" i="57"/>
  <c r="E172" i="57"/>
  <c r="M171" i="57"/>
  <c r="I171" i="57" s="1"/>
  <c r="G171" i="57"/>
  <c r="F171" i="57"/>
  <c r="E171" i="57"/>
  <c r="M170" i="57"/>
  <c r="I170" i="57" s="1"/>
  <c r="G170" i="57"/>
  <c r="F170" i="57"/>
  <c r="E170" i="57"/>
  <c r="R165" i="57"/>
  <c r="H229" i="57" s="1"/>
  <c r="R163" i="57"/>
  <c r="L211" i="57" s="1"/>
  <c r="R162" i="57"/>
  <c r="G192" i="57" s="1"/>
  <c r="R160" i="57"/>
  <c r="K188" i="57" s="1"/>
  <c r="M156" i="57"/>
  <c r="Q165" i="57" s="1"/>
  <c r="D156" i="57"/>
  <c r="D155" i="57"/>
  <c r="M155" i="57" s="1"/>
  <c r="Q162" i="57" s="1"/>
  <c r="D153" i="57"/>
  <c r="M153" i="57" s="1"/>
  <c r="Q164" i="57" s="1"/>
  <c r="D152" i="57"/>
  <c r="M152" i="57" s="1"/>
  <c r="Q161" i="57" s="1"/>
  <c r="M148" i="57"/>
  <c r="P163" i="57" s="1"/>
  <c r="E148" i="57"/>
  <c r="C148" i="57"/>
  <c r="E147" i="57"/>
  <c r="C147" i="57"/>
  <c r="E143" i="57"/>
  <c r="C143" i="57"/>
  <c r="M143" i="57" s="1"/>
  <c r="O163" i="57" s="1"/>
  <c r="E142" i="57"/>
  <c r="C142" i="57"/>
  <c r="I138" i="57"/>
  <c r="H138" i="57"/>
  <c r="G138" i="57"/>
  <c r="F138" i="57"/>
  <c r="E138" i="57"/>
  <c r="C138" i="57"/>
  <c r="M138" i="57" s="1"/>
  <c r="N165" i="57" s="1"/>
  <c r="I137" i="57"/>
  <c r="H137" i="57"/>
  <c r="G137" i="57"/>
  <c r="F137" i="57"/>
  <c r="E137" i="57"/>
  <c r="C137" i="57"/>
  <c r="M137" i="57" s="1"/>
  <c r="E133" i="57"/>
  <c r="C133" i="57"/>
  <c r="E129" i="57"/>
  <c r="D129" i="57"/>
  <c r="M129" i="57" s="1"/>
  <c r="E128" i="57"/>
  <c r="D128" i="57"/>
  <c r="M128" i="57" s="1"/>
  <c r="K124" i="57"/>
  <c r="I124" i="57"/>
  <c r="H124" i="57"/>
  <c r="G124" i="57"/>
  <c r="F124" i="57"/>
  <c r="D124" i="57"/>
  <c r="J124" i="57" s="1"/>
  <c r="E120" i="57"/>
  <c r="J118" i="57"/>
  <c r="F120" i="57" s="1"/>
  <c r="G118" i="57"/>
  <c r="F118" i="57"/>
  <c r="D120" i="57" s="1"/>
  <c r="E118" i="57"/>
  <c r="F116" i="57"/>
  <c r="J114" i="57"/>
  <c r="G114" i="57"/>
  <c r="E116" i="57" s="1"/>
  <c r="F114" i="57"/>
  <c r="E114" i="57"/>
  <c r="F110" i="57"/>
  <c r="E110" i="57"/>
  <c r="C110" i="57"/>
  <c r="F109" i="57"/>
  <c r="E109" i="57"/>
  <c r="C109" i="57"/>
  <c r="H178" i="57" s="1"/>
  <c r="L105" i="57"/>
  <c r="J105" i="57"/>
  <c r="I105" i="57"/>
  <c r="H105" i="57"/>
  <c r="G105" i="57"/>
  <c r="F105" i="57"/>
  <c r="E105" i="57"/>
  <c r="D105" i="57"/>
  <c r="C105" i="57"/>
  <c r="L104" i="57"/>
  <c r="J104" i="57"/>
  <c r="I104" i="57"/>
  <c r="H104" i="57"/>
  <c r="G104" i="57"/>
  <c r="F104" i="57"/>
  <c r="E104" i="57"/>
  <c r="C104" i="57"/>
  <c r="E100" i="57"/>
  <c r="C100" i="57"/>
  <c r="M100" i="57" s="1"/>
  <c r="E96" i="57"/>
  <c r="D96" i="57"/>
  <c r="M96" i="57" s="1"/>
  <c r="E95" i="57"/>
  <c r="D95" i="57"/>
  <c r="M91" i="57"/>
  <c r="D91" i="57"/>
  <c r="D90" i="57"/>
  <c r="M90" i="57" s="1"/>
  <c r="E162" i="57" s="1"/>
  <c r="D86" i="57"/>
  <c r="M86" i="57" s="1"/>
  <c r="D85" i="57"/>
  <c r="M85" i="57" s="1"/>
  <c r="D162" i="57" s="1"/>
  <c r="J78" i="57"/>
  <c r="C165" i="57" s="1"/>
  <c r="I78" i="57"/>
  <c r="G78" i="57"/>
  <c r="B78" i="57"/>
  <c r="H77" i="57"/>
  <c r="G77" i="57"/>
  <c r="B77" i="57"/>
  <c r="G76" i="57"/>
  <c r="B76" i="57"/>
  <c r="I75" i="57"/>
  <c r="G75" i="57"/>
  <c r="B75" i="57"/>
  <c r="H74" i="57"/>
  <c r="J74" i="57" s="1"/>
  <c r="C161" i="57" s="1"/>
  <c r="G74" i="57"/>
  <c r="B74" i="57"/>
  <c r="G73" i="57"/>
  <c r="B73" i="57"/>
  <c r="J73" i="57" s="1"/>
  <c r="C160" i="57" s="1"/>
  <c r="N64" i="57"/>
  <c r="N60" i="57"/>
  <c r="K177" i="57"/>
  <c r="N58" i="57"/>
  <c r="N57" i="57"/>
  <c r="N56" i="57"/>
  <c r="N53" i="57"/>
  <c r="N52" i="57"/>
  <c r="N51" i="57"/>
  <c r="N50" i="57"/>
  <c r="N49" i="57"/>
  <c r="N48" i="57"/>
  <c r="N46" i="57"/>
  <c r="N45" i="57"/>
  <c r="N44" i="57"/>
  <c r="N43" i="57"/>
  <c r="N42" i="57"/>
  <c r="N41" i="57"/>
  <c r="N40" i="57"/>
  <c r="N39" i="57"/>
  <c r="N38" i="57"/>
  <c r="N37" i="57"/>
  <c r="N36" i="57"/>
  <c r="N34" i="57"/>
  <c r="N33" i="57"/>
  <c r="N32" i="57"/>
  <c r="N31" i="57"/>
  <c r="N30" i="57"/>
  <c r="N29" i="57"/>
  <c r="N28" i="57"/>
  <c r="N27" i="57"/>
  <c r="N26" i="57"/>
  <c r="N25" i="57"/>
  <c r="N24" i="57"/>
  <c r="N23" i="57"/>
  <c r="N22" i="57"/>
  <c r="N20" i="57"/>
  <c r="N19" i="57"/>
  <c r="N18" i="57"/>
  <c r="N16" i="57"/>
  <c r="F13" i="57"/>
  <c r="N13" i="57" s="1"/>
  <c r="F12" i="57"/>
  <c r="N12" i="57" s="1"/>
  <c r="E6" i="57"/>
  <c r="M181" i="56"/>
  <c r="I181" i="56" s="1"/>
  <c r="G181" i="56"/>
  <c r="F181" i="56"/>
  <c r="E181" i="56"/>
  <c r="M180" i="56"/>
  <c r="I180" i="56" s="1"/>
  <c r="G180" i="56"/>
  <c r="F180" i="56"/>
  <c r="E180" i="56"/>
  <c r="M179" i="56"/>
  <c r="I179" i="56" s="1"/>
  <c r="G179" i="56"/>
  <c r="F179" i="56"/>
  <c r="E179" i="56"/>
  <c r="M178" i="56"/>
  <c r="I178" i="56" s="1"/>
  <c r="G178" i="56"/>
  <c r="F178" i="56"/>
  <c r="E178" i="56"/>
  <c r="M177" i="56"/>
  <c r="I177" i="56" s="1"/>
  <c r="G177" i="56"/>
  <c r="F177" i="56"/>
  <c r="E177" i="56"/>
  <c r="M176" i="56"/>
  <c r="I176" i="56" s="1"/>
  <c r="G176" i="56"/>
  <c r="F176" i="56"/>
  <c r="E176" i="56"/>
  <c r="M175" i="56"/>
  <c r="I175" i="56" s="1"/>
  <c r="G175" i="56"/>
  <c r="F175" i="56"/>
  <c r="E175" i="56"/>
  <c r="M174" i="56"/>
  <c r="I174" i="56" s="1"/>
  <c r="J174" i="56"/>
  <c r="G174" i="56"/>
  <c r="F174" i="56"/>
  <c r="E174" i="56"/>
  <c r="M173" i="56"/>
  <c r="I173" i="56" s="1"/>
  <c r="L173" i="56"/>
  <c r="G173" i="56"/>
  <c r="F173" i="56"/>
  <c r="E173" i="56"/>
  <c r="M172" i="56"/>
  <c r="I172" i="56" s="1"/>
  <c r="G172" i="56"/>
  <c r="F172" i="56"/>
  <c r="E172" i="56"/>
  <c r="M171" i="56"/>
  <c r="I171" i="56" s="1"/>
  <c r="L171" i="56"/>
  <c r="G171" i="56"/>
  <c r="F171" i="56"/>
  <c r="E171" i="56"/>
  <c r="M170" i="56"/>
  <c r="I170" i="56"/>
  <c r="G170" i="56"/>
  <c r="F170" i="56"/>
  <c r="E170" i="56"/>
  <c r="R165" i="56"/>
  <c r="K229" i="56" s="1"/>
  <c r="R163" i="56"/>
  <c r="H211" i="56" s="1"/>
  <c r="R162" i="56"/>
  <c r="I192" i="56" s="1"/>
  <c r="E162" i="56"/>
  <c r="R160" i="56"/>
  <c r="D156" i="56"/>
  <c r="M156" i="56" s="1"/>
  <c r="Q165" i="56" s="1"/>
  <c r="D155" i="56"/>
  <c r="M155" i="56" s="1"/>
  <c r="Q162" i="56" s="1"/>
  <c r="D153" i="56"/>
  <c r="M153" i="56" s="1"/>
  <c r="Q164" i="56" s="1"/>
  <c r="M152" i="56"/>
  <c r="Q161" i="56" s="1"/>
  <c r="D152" i="56"/>
  <c r="E148" i="56"/>
  <c r="C148" i="56"/>
  <c r="E147" i="56"/>
  <c r="C147" i="56"/>
  <c r="M147" i="56" s="1"/>
  <c r="P160" i="56" s="1"/>
  <c r="M143" i="56"/>
  <c r="E143" i="56"/>
  <c r="C143" i="56"/>
  <c r="F143" i="56" s="1"/>
  <c r="F142" i="56"/>
  <c r="E142" i="56"/>
  <c r="C142" i="56"/>
  <c r="M142" i="56" s="1"/>
  <c r="I138" i="56"/>
  <c r="H138" i="56"/>
  <c r="G138" i="56"/>
  <c r="F138" i="56"/>
  <c r="E138" i="56"/>
  <c r="C138" i="56"/>
  <c r="M138" i="56" s="1"/>
  <c r="I137" i="56"/>
  <c r="H137" i="56"/>
  <c r="G137" i="56"/>
  <c r="F137" i="56"/>
  <c r="E137" i="56"/>
  <c r="C137" i="56"/>
  <c r="E133" i="56"/>
  <c r="C133" i="56"/>
  <c r="M133" i="56" s="1"/>
  <c r="E129" i="56"/>
  <c r="D129" i="56"/>
  <c r="M129" i="56" s="1"/>
  <c r="E128" i="56"/>
  <c r="D128" i="56"/>
  <c r="M128" i="56" s="1"/>
  <c r="L161" i="56" s="1"/>
  <c r="I124" i="56"/>
  <c r="H124" i="56"/>
  <c r="G124" i="56"/>
  <c r="K124" i="56" s="1"/>
  <c r="F124" i="56"/>
  <c r="D124" i="56"/>
  <c r="J118" i="56"/>
  <c r="F120" i="56" s="1"/>
  <c r="G118" i="56"/>
  <c r="E120" i="56" s="1"/>
  <c r="F118" i="56"/>
  <c r="D120" i="56" s="1"/>
  <c r="E118" i="56"/>
  <c r="C118" i="56"/>
  <c r="J114" i="56"/>
  <c r="G114" i="56"/>
  <c r="F114" i="56"/>
  <c r="E114" i="56"/>
  <c r="F110" i="56"/>
  <c r="E110" i="56"/>
  <c r="C110" i="56"/>
  <c r="F109" i="56"/>
  <c r="E109" i="56"/>
  <c r="C109" i="56"/>
  <c r="H177" i="56" s="1"/>
  <c r="L105" i="56"/>
  <c r="J105" i="56"/>
  <c r="I105" i="56"/>
  <c r="H105" i="56"/>
  <c r="G105" i="56"/>
  <c r="F105" i="56"/>
  <c r="E105" i="56"/>
  <c r="D105" i="56"/>
  <c r="C105" i="56"/>
  <c r="L104" i="56"/>
  <c r="J104" i="56"/>
  <c r="I104" i="56"/>
  <c r="H104" i="56"/>
  <c r="G104" i="56"/>
  <c r="F104" i="56"/>
  <c r="E104" i="56"/>
  <c r="C104" i="56"/>
  <c r="E100" i="56"/>
  <c r="C100" i="56"/>
  <c r="M100" i="56" s="1"/>
  <c r="E96" i="56"/>
  <c r="M96" i="56" s="1"/>
  <c r="F163" i="56" s="1"/>
  <c r="D96" i="56"/>
  <c r="E95" i="56"/>
  <c r="D95" i="56"/>
  <c r="D91" i="56"/>
  <c r="M91" i="56" s="1"/>
  <c r="E164" i="56" s="1"/>
  <c r="M90" i="56"/>
  <c r="E161" i="56" s="1"/>
  <c r="D90" i="56"/>
  <c r="M86" i="56"/>
  <c r="D164" i="56" s="1"/>
  <c r="D86" i="56"/>
  <c r="D85" i="56"/>
  <c r="M85" i="56" s="1"/>
  <c r="I78" i="56"/>
  <c r="G78" i="56"/>
  <c r="B78" i="56"/>
  <c r="H77" i="56"/>
  <c r="G77" i="56"/>
  <c r="B77" i="56"/>
  <c r="G76" i="56"/>
  <c r="B76" i="56"/>
  <c r="J76" i="56" s="1"/>
  <c r="C163" i="56" s="1"/>
  <c r="I75" i="56"/>
  <c r="G75" i="56"/>
  <c r="B75" i="56"/>
  <c r="H74" i="56"/>
  <c r="G74" i="56"/>
  <c r="J74" i="56" s="1"/>
  <c r="C161" i="56" s="1"/>
  <c r="B74" i="56"/>
  <c r="G73" i="56"/>
  <c r="B73" i="56"/>
  <c r="J73" i="56" s="1"/>
  <c r="C160" i="56" s="1"/>
  <c r="N64" i="56"/>
  <c r="N60" i="56"/>
  <c r="N58" i="56"/>
  <c r="N57" i="56"/>
  <c r="N56" i="56"/>
  <c r="N53" i="56"/>
  <c r="N52" i="56"/>
  <c r="N51" i="56"/>
  <c r="N50" i="56"/>
  <c r="N49" i="56"/>
  <c r="N48" i="56"/>
  <c r="N46" i="56"/>
  <c r="N45" i="56"/>
  <c r="N44" i="56"/>
  <c r="N43" i="56"/>
  <c r="N42" i="56"/>
  <c r="N41" i="56"/>
  <c r="N40" i="56"/>
  <c r="N39" i="56"/>
  <c r="N38" i="56"/>
  <c r="N37" i="56"/>
  <c r="N36" i="56"/>
  <c r="N34" i="56"/>
  <c r="N33" i="56"/>
  <c r="N32" i="56"/>
  <c r="N31" i="56"/>
  <c r="N30" i="56"/>
  <c r="N29" i="56"/>
  <c r="N28" i="56"/>
  <c r="N27" i="56"/>
  <c r="N26" i="56"/>
  <c r="N25" i="56"/>
  <c r="N24" i="56"/>
  <c r="N23" i="56"/>
  <c r="N22" i="56"/>
  <c r="N20" i="56"/>
  <c r="N19" i="56"/>
  <c r="N18" i="56"/>
  <c r="N16" i="56"/>
  <c r="F13" i="56"/>
  <c r="N13" i="56" s="1"/>
  <c r="F12" i="56"/>
  <c r="N12" i="56" s="1"/>
  <c r="E6" i="56"/>
  <c r="M181" i="55"/>
  <c r="I181" i="55" s="1"/>
  <c r="K181" i="55"/>
  <c r="G181" i="55"/>
  <c r="F181" i="55"/>
  <c r="E181" i="55"/>
  <c r="M180" i="55"/>
  <c r="I180" i="55" s="1"/>
  <c r="G180" i="55"/>
  <c r="F180" i="55"/>
  <c r="E180" i="55"/>
  <c r="M179" i="55"/>
  <c r="I179" i="55" s="1"/>
  <c r="G179" i="55"/>
  <c r="F179" i="55"/>
  <c r="E179" i="55"/>
  <c r="M178" i="55"/>
  <c r="I178" i="55" s="1"/>
  <c r="G178" i="55"/>
  <c r="F178" i="55"/>
  <c r="E178" i="55"/>
  <c r="M177" i="55"/>
  <c r="I177" i="55" s="1"/>
  <c r="K177" i="55"/>
  <c r="G177" i="55"/>
  <c r="F177" i="55"/>
  <c r="E177" i="55"/>
  <c r="M176" i="55"/>
  <c r="I176" i="55" s="1"/>
  <c r="G176" i="55"/>
  <c r="F176" i="55"/>
  <c r="E176" i="55"/>
  <c r="M175" i="55"/>
  <c r="I175" i="55" s="1"/>
  <c r="G175" i="55"/>
  <c r="F175" i="55"/>
  <c r="E175" i="55"/>
  <c r="M174" i="55"/>
  <c r="I174" i="55" s="1"/>
  <c r="G174" i="55"/>
  <c r="F174" i="55"/>
  <c r="E174" i="55"/>
  <c r="M173" i="55"/>
  <c r="I173" i="55" s="1"/>
  <c r="K173" i="55"/>
  <c r="G173" i="55"/>
  <c r="F173" i="55"/>
  <c r="E173" i="55"/>
  <c r="M172" i="55"/>
  <c r="I172" i="55" s="1"/>
  <c r="G172" i="55"/>
  <c r="F172" i="55"/>
  <c r="E172" i="55"/>
  <c r="M171" i="55"/>
  <c r="I171" i="55" s="1"/>
  <c r="G171" i="55"/>
  <c r="F171" i="55"/>
  <c r="E171" i="55"/>
  <c r="M170" i="55"/>
  <c r="I170" i="55" s="1"/>
  <c r="G170" i="55"/>
  <c r="F170" i="55"/>
  <c r="E170" i="55"/>
  <c r="R165" i="55"/>
  <c r="H201" i="55" s="1"/>
  <c r="R163" i="55"/>
  <c r="J211" i="55" s="1"/>
  <c r="R162" i="55"/>
  <c r="G192" i="55" s="1"/>
  <c r="R160" i="55"/>
  <c r="L188" i="55" s="1"/>
  <c r="M156" i="55"/>
  <c r="Q165" i="55" s="1"/>
  <c r="D156" i="55"/>
  <c r="M155" i="55"/>
  <c r="Q162" i="55" s="1"/>
  <c r="D155" i="55"/>
  <c r="D153" i="55"/>
  <c r="M153" i="55" s="1"/>
  <c r="Q164" i="55" s="1"/>
  <c r="D152" i="55"/>
  <c r="M152" i="55" s="1"/>
  <c r="Q161" i="55" s="1"/>
  <c r="E148" i="55"/>
  <c r="C148" i="55"/>
  <c r="M148" i="55" s="1"/>
  <c r="P163" i="55" s="1"/>
  <c r="E147" i="55"/>
  <c r="C147" i="55"/>
  <c r="M147" i="55" s="1"/>
  <c r="P160" i="55" s="1"/>
  <c r="E143" i="55"/>
  <c r="C143" i="55"/>
  <c r="M143" i="55" s="1"/>
  <c r="E142" i="55"/>
  <c r="C142" i="55"/>
  <c r="F142" i="55" s="1"/>
  <c r="I138" i="55"/>
  <c r="H138" i="55"/>
  <c r="G138" i="55"/>
  <c r="F138" i="55"/>
  <c r="E138" i="55"/>
  <c r="C138" i="55"/>
  <c r="M138" i="55" s="1"/>
  <c r="N164" i="55" s="1"/>
  <c r="I137" i="55"/>
  <c r="H137" i="55"/>
  <c r="G137" i="55"/>
  <c r="F137" i="55"/>
  <c r="E137" i="55"/>
  <c r="C137" i="55"/>
  <c r="E133" i="55"/>
  <c r="C133" i="55"/>
  <c r="M133" i="55" s="1"/>
  <c r="M129" i="55"/>
  <c r="E129" i="55"/>
  <c r="D129" i="55"/>
  <c r="E128" i="55"/>
  <c r="D128" i="55"/>
  <c r="M128" i="55" s="1"/>
  <c r="J124" i="55"/>
  <c r="I124" i="55"/>
  <c r="H124" i="55"/>
  <c r="G124" i="55"/>
  <c r="K124" i="55" s="1"/>
  <c r="F124" i="55"/>
  <c r="D124" i="55"/>
  <c r="E120" i="55"/>
  <c r="D120" i="55"/>
  <c r="J118" i="55"/>
  <c r="G118" i="55"/>
  <c r="F120" i="55" s="1"/>
  <c r="F118" i="55"/>
  <c r="E118" i="55"/>
  <c r="C120" i="55" s="1"/>
  <c r="E116" i="55"/>
  <c r="J114" i="55"/>
  <c r="G114" i="55"/>
  <c r="F114" i="55"/>
  <c r="E114" i="55"/>
  <c r="F110" i="55"/>
  <c r="E110" i="55"/>
  <c r="C110" i="55"/>
  <c r="F109" i="55"/>
  <c r="E109" i="55"/>
  <c r="C109" i="55"/>
  <c r="H181" i="55" s="1"/>
  <c r="L105" i="55"/>
  <c r="J105" i="55"/>
  <c r="I105" i="55"/>
  <c r="H105" i="55"/>
  <c r="G105" i="55"/>
  <c r="F105" i="55"/>
  <c r="E105" i="55"/>
  <c r="D105" i="55"/>
  <c r="C105" i="55"/>
  <c r="L104" i="55"/>
  <c r="J104" i="55"/>
  <c r="I104" i="55"/>
  <c r="H104" i="55"/>
  <c r="G104" i="55"/>
  <c r="F104" i="55"/>
  <c r="E104" i="55"/>
  <c r="C104" i="55"/>
  <c r="E100" i="55"/>
  <c r="M100" i="55" s="1"/>
  <c r="C100" i="55"/>
  <c r="E96" i="55"/>
  <c r="D96" i="55"/>
  <c r="M96" i="55" s="1"/>
  <c r="E95" i="55"/>
  <c r="D95" i="55"/>
  <c r="M95" i="55" s="1"/>
  <c r="D91" i="55"/>
  <c r="M91" i="55" s="1"/>
  <c r="D90" i="55"/>
  <c r="M90" i="55" s="1"/>
  <c r="D86" i="55"/>
  <c r="M86" i="55" s="1"/>
  <c r="D163" i="55" s="1"/>
  <c r="D85" i="55"/>
  <c r="M85" i="55" s="1"/>
  <c r="I78" i="55"/>
  <c r="J78" i="55" s="1"/>
  <c r="C165" i="55" s="1"/>
  <c r="G78" i="55"/>
  <c r="B78" i="55"/>
  <c r="H77" i="55"/>
  <c r="G77" i="55"/>
  <c r="B77" i="55"/>
  <c r="G76" i="55"/>
  <c r="B76" i="55"/>
  <c r="J76" i="55" s="1"/>
  <c r="C163" i="55" s="1"/>
  <c r="I75" i="55"/>
  <c r="G75" i="55"/>
  <c r="B75" i="55"/>
  <c r="J75" i="55" s="1"/>
  <c r="C162" i="55" s="1"/>
  <c r="H74" i="55"/>
  <c r="G74" i="55"/>
  <c r="B74" i="55"/>
  <c r="G73" i="55"/>
  <c r="J73" i="55" s="1"/>
  <c r="C160" i="55" s="1"/>
  <c r="B73" i="55"/>
  <c r="N64" i="55"/>
  <c r="N60" i="55"/>
  <c r="N59" i="55"/>
  <c r="L179" i="55"/>
  <c r="N58" i="55"/>
  <c r="N57" i="55"/>
  <c r="N56" i="55"/>
  <c r="N53" i="55"/>
  <c r="N52" i="55"/>
  <c r="N51" i="55"/>
  <c r="N50" i="55"/>
  <c r="N49" i="55"/>
  <c r="N48" i="55"/>
  <c r="N46" i="55"/>
  <c r="N45" i="55"/>
  <c r="N44" i="55"/>
  <c r="N43" i="55"/>
  <c r="N42" i="55"/>
  <c r="N41" i="55"/>
  <c r="N40" i="55"/>
  <c r="N39" i="55"/>
  <c r="N38" i="55"/>
  <c r="N37" i="55"/>
  <c r="N36" i="55"/>
  <c r="N34" i="55"/>
  <c r="N33" i="55"/>
  <c r="N32" i="55"/>
  <c r="N31" i="55"/>
  <c r="N30" i="55"/>
  <c r="N29" i="55"/>
  <c r="N28" i="55"/>
  <c r="N27" i="55"/>
  <c r="N26" i="55"/>
  <c r="N25" i="55"/>
  <c r="N24" i="55"/>
  <c r="N23" i="55"/>
  <c r="N22" i="55"/>
  <c r="N20" i="55"/>
  <c r="N19" i="55"/>
  <c r="N18" i="55"/>
  <c r="N16" i="55"/>
  <c r="F13" i="55"/>
  <c r="N13" i="55" s="1"/>
  <c r="N12" i="55"/>
  <c r="F12" i="55"/>
  <c r="E6" i="55"/>
  <c r="M181" i="54"/>
  <c r="I181" i="54" s="1"/>
  <c r="K181" i="54"/>
  <c r="G181" i="54"/>
  <c r="F181" i="54"/>
  <c r="E181" i="54"/>
  <c r="M180" i="54"/>
  <c r="I180" i="54" s="1"/>
  <c r="G180" i="54"/>
  <c r="F180" i="54"/>
  <c r="E180" i="54"/>
  <c r="M179" i="54"/>
  <c r="I179" i="54" s="1"/>
  <c r="G179" i="54"/>
  <c r="F179" i="54"/>
  <c r="E179" i="54"/>
  <c r="M178" i="54"/>
  <c r="I178" i="54" s="1"/>
  <c r="G178" i="54"/>
  <c r="F178" i="54"/>
  <c r="E178" i="54"/>
  <c r="M177" i="54"/>
  <c r="I177" i="54" s="1"/>
  <c r="K177" i="54"/>
  <c r="G177" i="54"/>
  <c r="F177" i="54"/>
  <c r="E177" i="54"/>
  <c r="M176" i="54"/>
  <c r="I176" i="54" s="1"/>
  <c r="G176" i="54"/>
  <c r="F176" i="54"/>
  <c r="E176" i="54"/>
  <c r="M175" i="54"/>
  <c r="I175" i="54" s="1"/>
  <c r="G175" i="54"/>
  <c r="F175" i="54"/>
  <c r="E175" i="54"/>
  <c r="M174" i="54"/>
  <c r="I174" i="54" s="1"/>
  <c r="G174" i="54"/>
  <c r="F174" i="54"/>
  <c r="E174" i="54"/>
  <c r="M173" i="54"/>
  <c r="I173" i="54" s="1"/>
  <c r="K173" i="54"/>
  <c r="G173" i="54"/>
  <c r="F173" i="54"/>
  <c r="E173" i="54"/>
  <c r="M172" i="54"/>
  <c r="I172" i="54"/>
  <c r="G172" i="54"/>
  <c r="F172" i="54"/>
  <c r="E172" i="54"/>
  <c r="M171" i="54"/>
  <c r="I171" i="54" s="1"/>
  <c r="G171" i="54"/>
  <c r="F171" i="54"/>
  <c r="E171" i="54"/>
  <c r="M170" i="54"/>
  <c r="I170" i="54" s="1"/>
  <c r="G170" i="54"/>
  <c r="F170" i="54"/>
  <c r="E170" i="54"/>
  <c r="R165" i="54"/>
  <c r="L201" i="54" s="1"/>
  <c r="R163" i="54"/>
  <c r="H211" i="54" s="1"/>
  <c r="R162" i="54"/>
  <c r="L192" i="54" s="1"/>
  <c r="R160" i="54"/>
  <c r="L188" i="54" s="1"/>
  <c r="D156" i="54"/>
  <c r="M156" i="54" s="1"/>
  <c r="Q165" i="54" s="1"/>
  <c r="D155" i="54"/>
  <c r="M155" i="54" s="1"/>
  <c r="Q162" i="54" s="1"/>
  <c r="D153" i="54"/>
  <c r="M153" i="54" s="1"/>
  <c r="Q164" i="54" s="1"/>
  <c r="D152" i="54"/>
  <c r="M152" i="54" s="1"/>
  <c r="Q161" i="54" s="1"/>
  <c r="E148" i="54"/>
  <c r="C148" i="54"/>
  <c r="M148" i="54" s="1"/>
  <c r="P163" i="54" s="1"/>
  <c r="E147" i="54"/>
  <c r="C147" i="54"/>
  <c r="F143" i="54"/>
  <c r="E143" i="54"/>
  <c r="C143" i="54"/>
  <c r="M143" i="54" s="1"/>
  <c r="E142" i="54"/>
  <c r="C142" i="54"/>
  <c r="M142" i="54" s="1"/>
  <c r="I138" i="54"/>
  <c r="H138" i="54"/>
  <c r="G138" i="54"/>
  <c r="F138" i="54"/>
  <c r="E138" i="54"/>
  <c r="C138" i="54"/>
  <c r="M138" i="54" s="1"/>
  <c r="I137" i="54"/>
  <c r="H137" i="54"/>
  <c r="G137" i="54"/>
  <c r="F137" i="54"/>
  <c r="E137" i="54"/>
  <c r="C137" i="54"/>
  <c r="E133" i="54"/>
  <c r="C133" i="54"/>
  <c r="M133" i="54" s="1"/>
  <c r="M160" i="54" s="1"/>
  <c r="M129" i="54"/>
  <c r="E129" i="54"/>
  <c r="D129" i="54"/>
  <c r="E128" i="54"/>
  <c r="D128" i="54"/>
  <c r="M128" i="54" s="1"/>
  <c r="L162" i="54" s="1"/>
  <c r="J124" i="54"/>
  <c r="I124" i="54"/>
  <c r="H124" i="54"/>
  <c r="G124" i="54"/>
  <c r="K124" i="54" s="1"/>
  <c r="F124" i="54"/>
  <c r="D124" i="54"/>
  <c r="J118" i="54"/>
  <c r="G118" i="54"/>
  <c r="D120" i="54" s="1"/>
  <c r="F118" i="54"/>
  <c r="E118" i="54"/>
  <c r="C120" i="54" s="1"/>
  <c r="J114" i="54"/>
  <c r="G114" i="54"/>
  <c r="E116" i="54" s="1"/>
  <c r="F114" i="54"/>
  <c r="E114" i="54"/>
  <c r="C116" i="54" s="1"/>
  <c r="F110" i="54"/>
  <c r="E110" i="54"/>
  <c r="C110" i="54"/>
  <c r="F109" i="54"/>
  <c r="E109" i="54"/>
  <c r="C109" i="54"/>
  <c r="H181" i="54" s="1"/>
  <c r="L105" i="54"/>
  <c r="J105" i="54"/>
  <c r="I105" i="54"/>
  <c r="H105" i="54"/>
  <c r="G105" i="54"/>
  <c r="F105" i="54"/>
  <c r="E105" i="54"/>
  <c r="D105" i="54"/>
  <c r="C105" i="54"/>
  <c r="L104" i="54"/>
  <c r="J104" i="54"/>
  <c r="I104" i="54"/>
  <c r="H104" i="54"/>
  <c r="G104" i="54"/>
  <c r="F104" i="54"/>
  <c r="E104" i="54"/>
  <c r="C104" i="54"/>
  <c r="E100" i="54"/>
  <c r="C100" i="54"/>
  <c r="E96" i="54"/>
  <c r="D96" i="54"/>
  <c r="E95" i="54"/>
  <c r="D95" i="54"/>
  <c r="M95" i="54" s="1"/>
  <c r="F161" i="54" s="1"/>
  <c r="M91" i="54"/>
  <c r="D91" i="54"/>
  <c r="D90" i="54"/>
  <c r="M90" i="54" s="1"/>
  <c r="D86" i="54"/>
  <c r="M86" i="54" s="1"/>
  <c r="D85" i="54"/>
  <c r="M85" i="54" s="1"/>
  <c r="I78" i="54"/>
  <c r="G78" i="54"/>
  <c r="B78" i="54"/>
  <c r="J78" i="54" s="1"/>
  <c r="C165" i="54" s="1"/>
  <c r="H77" i="54"/>
  <c r="G77" i="54"/>
  <c r="B77" i="54"/>
  <c r="G76" i="54"/>
  <c r="B76" i="54"/>
  <c r="J76" i="54" s="1"/>
  <c r="C163" i="54" s="1"/>
  <c r="I75" i="54"/>
  <c r="G75" i="54"/>
  <c r="B75" i="54"/>
  <c r="H74" i="54"/>
  <c r="J74" i="54" s="1"/>
  <c r="C161" i="54" s="1"/>
  <c r="G74" i="54"/>
  <c r="B74" i="54"/>
  <c r="G73" i="54"/>
  <c r="B73" i="54"/>
  <c r="J73" i="54" s="1"/>
  <c r="C160" i="54" s="1"/>
  <c r="N64" i="54"/>
  <c r="N60" i="54"/>
  <c r="N59" i="54"/>
  <c r="L179" i="54"/>
  <c r="N58" i="54"/>
  <c r="N57" i="54"/>
  <c r="N56" i="54"/>
  <c r="N53" i="54"/>
  <c r="N52" i="54"/>
  <c r="N51" i="54"/>
  <c r="N50" i="54"/>
  <c r="N49" i="54"/>
  <c r="N48" i="54"/>
  <c r="N46" i="54"/>
  <c r="N45" i="54"/>
  <c r="N44" i="54"/>
  <c r="N43" i="54"/>
  <c r="N42" i="54"/>
  <c r="N41" i="54"/>
  <c r="N40" i="54"/>
  <c r="N39" i="54"/>
  <c r="N38" i="54"/>
  <c r="N37" i="54"/>
  <c r="N36" i="54"/>
  <c r="N34" i="54"/>
  <c r="N33" i="54"/>
  <c r="N32" i="54"/>
  <c r="N31" i="54"/>
  <c r="N30" i="54"/>
  <c r="N29" i="54"/>
  <c r="N28" i="54"/>
  <c r="N27" i="54"/>
  <c r="N26" i="54"/>
  <c r="N25" i="54"/>
  <c r="N24" i="54"/>
  <c r="N23" i="54"/>
  <c r="N22" i="54"/>
  <c r="N20" i="54"/>
  <c r="N19" i="54"/>
  <c r="N18" i="54"/>
  <c r="N16" i="54"/>
  <c r="F13" i="54"/>
  <c r="N13" i="54" s="1"/>
  <c r="F12" i="54"/>
  <c r="N12" i="54" s="1"/>
  <c r="E6" i="54"/>
  <c r="M181" i="53"/>
  <c r="I181" i="53" s="1"/>
  <c r="G181" i="53"/>
  <c r="F181" i="53"/>
  <c r="E181" i="53"/>
  <c r="M180" i="53"/>
  <c r="I180" i="53" s="1"/>
  <c r="G180" i="53"/>
  <c r="F180" i="53"/>
  <c r="E180" i="53"/>
  <c r="M179" i="53"/>
  <c r="I179" i="53" s="1"/>
  <c r="G179" i="53"/>
  <c r="F179" i="53"/>
  <c r="E179" i="53"/>
  <c r="M178" i="53"/>
  <c r="I178" i="53" s="1"/>
  <c r="G178" i="53"/>
  <c r="F178" i="53"/>
  <c r="E178" i="53"/>
  <c r="M177" i="53"/>
  <c r="I177" i="53" s="1"/>
  <c r="G177" i="53"/>
  <c r="F177" i="53"/>
  <c r="E177" i="53"/>
  <c r="M176" i="53"/>
  <c r="I176" i="53" s="1"/>
  <c r="G176" i="53"/>
  <c r="F176" i="53"/>
  <c r="E176" i="53"/>
  <c r="M175" i="53"/>
  <c r="I175" i="53" s="1"/>
  <c r="G175" i="53"/>
  <c r="F175" i="53"/>
  <c r="E175" i="53"/>
  <c r="M174" i="53"/>
  <c r="I174" i="53" s="1"/>
  <c r="G174" i="53"/>
  <c r="F174" i="53"/>
  <c r="E174" i="53"/>
  <c r="M173" i="53"/>
  <c r="I173" i="53" s="1"/>
  <c r="G173" i="53"/>
  <c r="F173" i="53"/>
  <c r="E173" i="53"/>
  <c r="M172" i="53"/>
  <c r="I172" i="53" s="1"/>
  <c r="G172" i="53"/>
  <c r="F172" i="53"/>
  <c r="E172" i="53"/>
  <c r="M171" i="53"/>
  <c r="I171" i="53" s="1"/>
  <c r="G171" i="53"/>
  <c r="F171" i="53"/>
  <c r="E171" i="53"/>
  <c r="M170" i="53"/>
  <c r="I170" i="53" s="1"/>
  <c r="G170" i="53"/>
  <c r="F170" i="53"/>
  <c r="E170" i="53"/>
  <c r="R165" i="53"/>
  <c r="K201" i="53" s="1"/>
  <c r="R163" i="53"/>
  <c r="I197" i="53" s="1"/>
  <c r="R162" i="53"/>
  <c r="R160" i="53"/>
  <c r="D156" i="53"/>
  <c r="M156" i="53" s="1"/>
  <c r="Q165" i="53" s="1"/>
  <c r="D155" i="53"/>
  <c r="M155" i="53" s="1"/>
  <c r="Q162" i="53" s="1"/>
  <c r="D153" i="53"/>
  <c r="M153" i="53" s="1"/>
  <c r="Q164" i="53" s="1"/>
  <c r="D152" i="53"/>
  <c r="M152" i="53" s="1"/>
  <c r="Q161" i="53" s="1"/>
  <c r="M148" i="53"/>
  <c r="P163" i="53" s="1"/>
  <c r="E148" i="53"/>
  <c r="C148" i="53"/>
  <c r="E147" i="53"/>
  <c r="M147" i="53" s="1"/>
  <c r="P160" i="53" s="1"/>
  <c r="C147" i="53"/>
  <c r="F143" i="53"/>
  <c r="E143" i="53"/>
  <c r="C143" i="53"/>
  <c r="M143" i="53" s="1"/>
  <c r="E142" i="53"/>
  <c r="C142" i="53"/>
  <c r="M142" i="53" s="1"/>
  <c r="I138" i="53"/>
  <c r="H138" i="53"/>
  <c r="G138" i="53"/>
  <c r="F138" i="53"/>
  <c r="E138" i="53"/>
  <c r="M138" i="53" s="1"/>
  <c r="C138" i="53"/>
  <c r="I137" i="53"/>
  <c r="H137" i="53"/>
  <c r="G137" i="53"/>
  <c r="F137" i="53"/>
  <c r="E137" i="53"/>
  <c r="C137" i="53"/>
  <c r="M137" i="53" s="1"/>
  <c r="E133" i="53"/>
  <c r="C133" i="53"/>
  <c r="M133" i="53" s="1"/>
  <c r="M129" i="53"/>
  <c r="L164" i="53" s="1"/>
  <c r="E129" i="53"/>
  <c r="D129" i="53"/>
  <c r="E128" i="53"/>
  <c r="D128" i="53"/>
  <c r="K124" i="53"/>
  <c r="I124" i="53"/>
  <c r="H124" i="53"/>
  <c r="G124" i="53"/>
  <c r="J124" i="53" s="1"/>
  <c r="M124" i="53" s="1"/>
  <c r="K160" i="53" s="1"/>
  <c r="F124" i="53"/>
  <c r="D124" i="53"/>
  <c r="E120" i="53"/>
  <c r="D120" i="53"/>
  <c r="J118" i="53"/>
  <c r="G118" i="53"/>
  <c r="F120" i="53" s="1"/>
  <c r="F118" i="53"/>
  <c r="C120" i="53" s="1"/>
  <c r="E118" i="53"/>
  <c r="J114" i="53"/>
  <c r="G114" i="53"/>
  <c r="F114" i="53"/>
  <c r="E114" i="53"/>
  <c r="F110" i="53"/>
  <c r="E110" i="53"/>
  <c r="C110" i="53"/>
  <c r="F109" i="53"/>
  <c r="E109" i="53"/>
  <c r="C109" i="53"/>
  <c r="H178" i="53" s="1"/>
  <c r="L105" i="53"/>
  <c r="J105" i="53"/>
  <c r="I105" i="53"/>
  <c r="H105" i="53"/>
  <c r="G105" i="53"/>
  <c r="F105" i="53"/>
  <c r="E105" i="53"/>
  <c r="D105" i="53"/>
  <c r="C105" i="53"/>
  <c r="L104" i="53"/>
  <c r="J104" i="53"/>
  <c r="I104" i="53"/>
  <c r="H104" i="53"/>
  <c r="G104" i="53"/>
  <c r="F104" i="53"/>
  <c r="E104" i="53"/>
  <c r="C104" i="53"/>
  <c r="E100" i="53"/>
  <c r="C100" i="53"/>
  <c r="E96" i="53"/>
  <c r="D96" i="53"/>
  <c r="E95" i="53"/>
  <c r="D95" i="53"/>
  <c r="M95" i="53" s="1"/>
  <c r="M91" i="53"/>
  <c r="E165" i="53" s="1"/>
  <c r="D91" i="53"/>
  <c r="D90" i="53"/>
  <c r="M90" i="53" s="1"/>
  <c r="D86" i="53"/>
  <c r="M86" i="53" s="1"/>
  <c r="D165" i="53" s="1"/>
  <c r="D85" i="53"/>
  <c r="M85" i="53" s="1"/>
  <c r="I78" i="53"/>
  <c r="J78" i="53" s="1"/>
  <c r="C165" i="53" s="1"/>
  <c r="G78" i="53"/>
  <c r="B78" i="53"/>
  <c r="H77" i="53"/>
  <c r="J77" i="53" s="1"/>
  <c r="C164" i="53" s="1"/>
  <c r="G77" i="53"/>
  <c r="B77" i="53"/>
  <c r="G76" i="53"/>
  <c r="J76" i="53" s="1"/>
  <c r="C163" i="53" s="1"/>
  <c r="B76" i="53"/>
  <c r="I75" i="53"/>
  <c r="G75" i="53"/>
  <c r="B75" i="53"/>
  <c r="J75" i="53" s="1"/>
  <c r="C162" i="53" s="1"/>
  <c r="H74" i="53"/>
  <c r="G74" i="53"/>
  <c r="B74" i="53"/>
  <c r="G73" i="53"/>
  <c r="J73" i="53" s="1"/>
  <c r="C160" i="53" s="1"/>
  <c r="B73" i="53"/>
  <c r="N64" i="53"/>
  <c r="N60" i="53"/>
  <c r="N59" i="53"/>
  <c r="K179" i="53"/>
  <c r="N58" i="53"/>
  <c r="N57" i="53"/>
  <c r="N56" i="53"/>
  <c r="N53" i="53"/>
  <c r="N52" i="53"/>
  <c r="N51" i="53"/>
  <c r="N50" i="53"/>
  <c r="N49" i="53"/>
  <c r="N48" i="53"/>
  <c r="N46" i="53"/>
  <c r="N45" i="53"/>
  <c r="N44" i="53"/>
  <c r="N43" i="53"/>
  <c r="N42" i="53"/>
  <c r="N41" i="53"/>
  <c r="N40" i="53"/>
  <c r="N39" i="53"/>
  <c r="N38" i="53"/>
  <c r="N37" i="53"/>
  <c r="N36" i="53"/>
  <c r="N34" i="53"/>
  <c r="N33" i="53"/>
  <c r="N32" i="53"/>
  <c r="N31" i="53"/>
  <c r="N30" i="53"/>
  <c r="N29" i="53"/>
  <c r="N28" i="53"/>
  <c r="N27" i="53"/>
  <c r="N26" i="53"/>
  <c r="N25" i="53"/>
  <c r="N24" i="53"/>
  <c r="N23" i="53"/>
  <c r="N22" i="53"/>
  <c r="N20" i="53"/>
  <c r="N19" i="53"/>
  <c r="N18" i="53"/>
  <c r="N16" i="53"/>
  <c r="F13" i="53"/>
  <c r="N13" i="53" s="1"/>
  <c r="F12" i="53"/>
  <c r="N12" i="53" s="1"/>
  <c r="E6" i="53"/>
  <c r="M181" i="52"/>
  <c r="I181" i="52" s="1"/>
  <c r="G181" i="52"/>
  <c r="F181" i="52"/>
  <c r="E181" i="52"/>
  <c r="M180" i="52"/>
  <c r="K180" i="52"/>
  <c r="I180" i="52"/>
  <c r="G180" i="52"/>
  <c r="F180" i="52"/>
  <c r="E180" i="52"/>
  <c r="M179" i="52"/>
  <c r="I179" i="52" s="1"/>
  <c r="G179" i="52"/>
  <c r="F179" i="52"/>
  <c r="E179" i="52"/>
  <c r="M178" i="52"/>
  <c r="I178" i="52" s="1"/>
  <c r="G178" i="52"/>
  <c r="F178" i="52"/>
  <c r="E178" i="52"/>
  <c r="M177" i="52"/>
  <c r="I177" i="52" s="1"/>
  <c r="G177" i="52"/>
  <c r="F177" i="52"/>
  <c r="E177" i="52"/>
  <c r="M176" i="52"/>
  <c r="I176" i="52" s="1"/>
  <c r="K176" i="52"/>
  <c r="G176" i="52"/>
  <c r="F176" i="52"/>
  <c r="E176" i="52"/>
  <c r="M175" i="52"/>
  <c r="I175" i="52" s="1"/>
  <c r="G175" i="52"/>
  <c r="F175" i="52"/>
  <c r="E175" i="52"/>
  <c r="M174" i="52"/>
  <c r="I174" i="52" s="1"/>
  <c r="G174" i="52"/>
  <c r="F174" i="52"/>
  <c r="E174" i="52"/>
  <c r="M173" i="52"/>
  <c r="I173" i="52" s="1"/>
  <c r="G173" i="52"/>
  <c r="F173" i="52"/>
  <c r="E173" i="52"/>
  <c r="M172" i="52"/>
  <c r="I172" i="52" s="1"/>
  <c r="K172" i="52"/>
  <c r="G172" i="52"/>
  <c r="F172" i="52"/>
  <c r="E172" i="52"/>
  <c r="M171" i="52"/>
  <c r="I171" i="52" s="1"/>
  <c r="G171" i="52"/>
  <c r="F171" i="52"/>
  <c r="E171" i="52"/>
  <c r="M170" i="52"/>
  <c r="I170" i="52" s="1"/>
  <c r="G170" i="52"/>
  <c r="F170" i="52"/>
  <c r="E170" i="52"/>
  <c r="R165" i="52"/>
  <c r="H201" i="52" s="1"/>
  <c r="R163" i="52"/>
  <c r="J197" i="52" s="1"/>
  <c r="R162" i="52"/>
  <c r="D191" i="52" s="1"/>
  <c r="R160" i="52"/>
  <c r="F188" i="52" s="1"/>
  <c r="M156" i="52"/>
  <c r="Q165" i="52" s="1"/>
  <c r="D156" i="52"/>
  <c r="M155" i="52"/>
  <c r="Q162" i="52" s="1"/>
  <c r="D155" i="52"/>
  <c r="D153" i="52"/>
  <c r="M153" i="52" s="1"/>
  <c r="Q164" i="52" s="1"/>
  <c r="D152" i="52"/>
  <c r="M152" i="52" s="1"/>
  <c r="Q161" i="52" s="1"/>
  <c r="E148" i="52"/>
  <c r="C148" i="52"/>
  <c r="E147" i="52"/>
  <c r="C147" i="52"/>
  <c r="M147" i="52" s="1"/>
  <c r="P160" i="52" s="1"/>
  <c r="E143" i="52"/>
  <c r="C143" i="52"/>
  <c r="M143" i="52" s="1"/>
  <c r="E142" i="52"/>
  <c r="C142" i="52"/>
  <c r="I138" i="52"/>
  <c r="H138" i="52"/>
  <c r="G138" i="52"/>
  <c r="F138" i="52"/>
  <c r="E138" i="52"/>
  <c r="C138" i="52"/>
  <c r="I137" i="52"/>
  <c r="H137" i="52"/>
  <c r="G137" i="52"/>
  <c r="F137" i="52"/>
  <c r="E137" i="52"/>
  <c r="C137" i="52"/>
  <c r="M137" i="52" s="1"/>
  <c r="E133" i="52"/>
  <c r="C133" i="52"/>
  <c r="E129" i="52"/>
  <c r="D129" i="52"/>
  <c r="M129" i="52" s="1"/>
  <c r="L165" i="52" s="1"/>
  <c r="E128" i="52"/>
  <c r="D128" i="52"/>
  <c r="M128" i="52" s="1"/>
  <c r="I124" i="52"/>
  <c r="H124" i="52"/>
  <c r="G124" i="52"/>
  <c r="K124" i="52" s="1"/>
  <c r="F124" i="52"/>
  <c r="D124" i="52"/>
  <c r="F120" i="52"/>
  <c r="J118" i="52"/>
  <c r="G118" i="52"/>
  <c r="E120" i="52" s="1"/>
  <c r="F118" i="52"/>
  <c r="D120" i="52" s="1"/>
  <c r="E118" i="52"/>
  <c r="C118" i="52"/>
  <c r="J114" i="52"/>
  <c r="G114" i="52"/>
  <c r="F114" i="52"/>
  <c r="E114" i="52"/>
  <c r="C116" i="52" s="1"/>
  <c r="F110" i="52"/>
  <c r="E110" i="52"/>
  <c r="C110" i="52"/>
  <c r="F109" i="52"/>
  <c r="E109" i="52"/>
  <c r="C109" i="52"/>
  <c r="H179" i="52" s="1"/>
  <c r="L105" i="52"/>
  <c r="J105" i="52"/>
  <c r="I105" i="52"/>
  <c r="H105" i="52"/>
  <c r="G105" i="52"/>
  <c r="F105" i="52"/>
  <c r="E105" i="52"/>
  <c r="D105" i="52"/>
  <c r="C105" i="52"/>
  <c r="L104" i="52"/>
  <c r="J104" i="52"/>
  <c r="I104" i="52"/>
  <c r="H104" i="52"/>
  <c r="G104" i="52"/>
  <c r="K104" i="52" s="1"/>
  <c r="F104" i="52"/>
  <c r="E104" i="52"/>
  <c r="C104" i="52"/>
  <c r="E100" i="52"/>
  <c r="C100" i="52"/>
  <c r="E96" i="52"/>
  <c r="D96" i="52"/>
  <c r="M96" i="52" s="1"/>
  <c r="F163" i="52" s="1"/>
  <c r="E95" i="52"/>
  <c r="D95" i="52"/>
  <c r="D91" i="52"/>
  <c r="M91" i="52" s="1"/>
  <c r="E163" i="52" s="1"/>
  <c r="D90" i="52"/>
  <c r="M90" i="52" s="1"/>
  <c r="D86" i="52"/>
  <c r="M86" i="52" s="1"/>
  <c r="D85" i="52"/>
  <c r="M85" i="52" s="1"/>
  <c r="D162" i="52" s="1"/>
  <c r="I78" i="52"/>
  <c r="G78" i="52"/>
  <c r="J78" i="52" s="1"/>
  <c r="C165" i="52" s="1"/>
  <c r="B78" i="52"/>
  <c r="H77" i="52"/>
  <c r="G77" i="52"/>
  <c r="B77" i="52"/>
  <c r="G76" i="52"/>
  <c r="B76" i="52"/>
  <c r="J76" i="52" s="1"/>
  <c r="C163" i="52" s="1"/>
  <c r="I75" i="52"/>
  <c r="G75" i="52"/>
  <c r="B75" i="52"/>
  <c r="H74" i="52"/>
  <c r="G74" i="52"/>
  <c r="B74" i="52"/>
  <c r="G73" i="52"/>
  <c r="B73" i="52"/>
  <c r="J73" i="52" s="1"/>
  <c r="C160" i="52" s="1"/>
  <c r="N64" i="52"/>
  <c r="N60" i="52"/>
  <c r="N59" i="52"/>
  <c r="L181" i="52"/>
  <c r="N58" i="52"/>
  <c r="N57" i="52"/>
  <c r="N56" i="52"/>
  <c r="N53" i="52"/>
  <c r="N52" i="52"/>
  <c r="N51" i="52"/>
  <c r="N50" i="52"/>
  <c r="N49" i="52"/>
  <c r="N48" i="52"/>
  <c r="N46" i="52"/>
  <c r="N45" i="52"/>
  <c r="N44" i="52"/>
  <c r="N43" i="52"/>
  <c r="N42" i="52"/>
  <c r="N41" i="52"/>
  <c r="N40" i="52"/>
  <c r="N39" i="52"/>
  <c r="N38" i="52"/>
  <c r="N37" i="52"/>
  <c r="N36" i="52"/>
  <c r="N34" i="52"/>
  <c r="N33" i="52"/>
  <c r="N32" i="52"/>
  <c r="N31" i="52"/>
  <c r="N30" i="52"/>
  <c r="N29" i="52"/>
  <c r="N28" i="52"/>
  <c r="N27" i="52"/>
  <c r="N26" i="52"/>
  <c r="N25" i="52"/>
  <c r="N24" i="52"/>
  <c r="N23" i="52"/>
  <c r="N22" i="52"/>
  <c r="N20" i="52"/>
  <c r="N19" i="52"/>
  <c r="N18" i="52"/>
  <c r="N16" i="52"/>
  <c r="F13" i="52"/>
  <c r="N13" i="52" s="1"/>
  <c r="F12" i="52"/>
  <c r="N12" i="52" s="1"/>
  <c r="E6" i="52"/>
  <c r="M181" i="51"/>
  <c r="I181" i="51"/>
  <c r="G181" i="51"/>
  <c r="F181" i="51"/>
  <c r="E181" i="51"/>
  <c r="M180" i="51"/>
  <c r="I180" i="51" s="1"/>
  <c r="L180" i="51"/>
  <c r="G180" i="51"/>
  <c r="F180" i="51"/>
  <c r="E180" i="51"/>
  <c r="M179" i="51"/>
  <c r="I179" i="51" s="1"/>
  <c r="J179" i="51"/>
  <c r="G179" i="51"/>
  <c r="F179" i="51"/>
  <c r="E179" i="51"/>
  <c r="M178" i="51"/>
  <c r="I178" i="51" s="1"/>
  <c r="G178" i="51"/>
  <c r="F178" i="51"/>
  <c r="E178" i="51"/>
  <c r="M177" i="51"/>
  <c r="I177" i="51" s="1"/>
  <c r="G177" i="51"/>
  <c r="F177" i="51"/>
  <c r="E177" i="51"/>
  <c r="M176" i="51"/>
  <c r="L176" i="51"/>
  <c r="I176" i="51"/>
  <c r="G176" i="51"/>
  <c r="F176" i="51"/>
  <c r="E176" i="51"/>
  <c r="M175" i="51"/>
  <c r="I175" i="51" s="1"/>
  <c r="J175" i="51"/>
  <c r="G175" i="51"/>
  <c r="F175" i="51"/>
  <c r="E175" i="51"/>
  <c r="M174" i="51"/>
  <c r="I174" i="51" s="1"/>
  <c r="G174" i="51"/>
  <c r="F174" i="51"/>
  <c r="E174" i="51"/>
  <c r="M173" i="51"/>
  <c r="I173" i="51" s="1"/>
  <c r="G173" i="51"/>
  <c r="F173" i="51"/>
  <c r="E173" i="51"/>
  <c r="M172" i="51"/>
  <c r="I172" i="51" s="1"/>
  <c r="L172" i="51"/>
  <c r="G172" i="51"/>
  <c r="F172" i="51"/>
  <c r="E172" i="51"/>
  <c r="M171" i="51"/>
  <c r="I171" i="51" s="1"/>
  <c r="J171" i="51"/>
  <c r="G171" i="51"/>
  <c r="F171" i="51"/>
  <c r="E171" i="51"/>
  <c r="M170" i="51"/>
  <c r="I170" i="51" s="1"/>
  <c r="G170" i="51"/>
  <c r="F170" i="51"/>
  <c r="E170" i="51"/>
  <c r="R165" i="51"/>
  <c r="J201" i="51" s="1"/>
  <c r="Q165" i="51"/>
  <c r="R163" i="51"/>
  <c r="K197" i="51" s="1"/>
  <c r="R162" i="51"/>
  <c r="F192" i="51" s="1"/>
  <c r="R160" i="51"/>
  <c r="D156" i="51"/>
  <c r="M156" i="51" s="1"/>
  <c r="M155" i="51"/>
  <c r="Q162" i="51" s="1"/>
  <c r="D155" i="51"/>
  <c r="D153" i="51"/>
  <c r="M153" i="51" s="1"/>
  <c r="Q164" i="51" s="1"/>
  <c r="D152" i="51"/>
  <c r="M152" i="51" s="1"/>
  <c r="Q161" i="51" s="1"/>
  <c r="E148" i="51"/>
  <c r="M148" i="51" s="1"/>
  <c r="P163" i="51" s="1"/>
  <c r="C148" i="51"/>
  <c r="E147" i="51"/>
  <c r="C147" i="51"/>
  <c r="E143" i="51"/>
  <c r="C143" i="51"/>
  <c r="M143" i="51" s="1"/>
  <c r="E142" i="51"/>
  <c r="C142" i="51"/>
  <c r="F142" i="51" s="1"/>
  <c r="I138" i="51"/>
  <c r="H138" i="51"/>
  <c r="G138" i="51"/>
  <c r="F138" i="51"/>
  <c r="E138" i="51"/>
  <c r="C138" i="51"/>
  <c r="M138" i="51" s="1"/>
  <c r="I137" i="51"/>
  <c r="H137" i="51"/>
  <c r="G137" i="51"/>
  <c r="F137" i="51"/>
  <c r="E137" i="51"/>
  <c r="C137" i="51"/>
  <c r="E133" i="51"/>
  <c r="M133" i="51" s="1"/>
  <c r="M160" i="51" s="1"/>
  <c r="C133" i="51"/>
  <c r="E129" i="51"/>
  <c r="D129" i="51"/>
  <c r="M129" i="51" s="1"/>
  <c r="L164" i="51" s="1"/>
  <c r="E128" i="51"/>
  <c r="D128" i="51"/>
  <c r="M128" i="51" s="1"/>
  <c r="I124" i="51"/>
  <c r="H124" i="51"/>
  <c r="G124" i="51"/>
  <c r="F124" i="51"/>
  <c r="D124" i="51"/>
  <c r="J124" i="51" s="1"/>
  <c r="J118" i="51"/>
  <c r="G118" i="51"/>
  <c r="F120" i="51" s="1"/>
  <c r="F118" i="51"/>
  <c r="E118" i="51"/>
  <c r="C120" i="51" s="1"/>
  <c r="J114" i="51"/>
  <c r="G114" i="51"/>
  <c r="D116" i="51" s="1"/>
  <c r="F114" i="51"/>
  <c r="E114" i="51"/>
  <c r="C116" i="51" s="1"/>
  <c r="F110" i="51"/>
  <c r="E110" i="51"/>
  <c r="C110" i="51"/>
  <c r="F109" i="51"/>
  <c r="E109" i="51"/>
  <c r="C109" i="51"/>
  <c r="H178" i="51" s="1"/>
  <c r="L105" i="51"/>
  <c r="J105" i="51"/>
  <c r="I105" i="51"/>
  <c r="H105" i="51"/>
  <c r="G105" i="51"/>
  <c r="F105" i="51"/>
  <c r="E105" i="51"/>
  <c r="D105" i="51"/>
  <c r="C105" i="51"/>
  <c r="L104" i="51"/>
  <c r="J104" i="51"/>
  <c r="I104" i="51"/>
  <c r="H104" i="51"/>
  <c r="G104" i="51"/>
  <c r="F104" i="51"/>
  <c r="E104" i="51"/>
  <c r="C104" i="51"/>
  <c r="E100" i="51"/>
  <c r="C100" i="51"/>
  <c r="E96" i="51"/>
  <c r="D96" i="51"/>
  <c r="M96" i="51" s="1"/>
  <c r="F163" i="51" s="1"/>
  <c r="E95" i="51"/>
  <c r="D95" i="51"/>
  <c r="M95" i="51" s="1"/>
  <c r="D91" i="51"/>
  <c r="M91" i="51" s="1"/>
  <c r="E165" i="51" s="1"/>
  <c r="M90" i="51"/>
  <c r="E162" i="51" s="1"/>
  <c r="D90" i="51"/>
  <c r="D86" i="51"/>
  <c r="M86" i="51" s="1"/>
  <c r="D85" i="51"/>
  <c r="M85" i="51" s="1"/>
  <c r="D161" i="51" s="1"/>
  <c r="I78" i="51"/>
  <c r="G78" i="51"/>
  <c r="B78" i="51"/>
  <c r="J78" i="51" s="1"/>
  <c r="C165" i="51" s="1"/>
  <c r="H77" i="51"/>
  <c r="G77" i="51"/>
  <c r="B77" i="51"/>
  <c r="G76" i="51"/>
  <c r="B76" i="51"/>
  <c r="I75" i="51"/>
  <c r="G75" i="51"/>
  <c r="B75" i="51"/>
  <c r="H74" i="51"/>
  <c r="G74" i="51"/>
  <c r="B74" i="51"/>
  <c r="G73" i="51"/>
  <c r="B73" i="51"/>
  <c r="N64" i="51"/>
  <c r="N60" i="51"/>
  <c r="K180" i="51"/>
  <c r="N58" i="51"/>
  <c r="N57" i="51"/>
  <c r="N56" i="51"/>
  <c r="N53" i="51"/>
  <c r="N52" i="51"/>
  <c r="N51" i="51"/>
  <c r="N50" i="51"/>
  <c r="N49" i="51"/>
  <c r="N48" i="51"/>
  <c r="N46" i="51"/>
  <c r="N45" i="51"/>
  <c r="N44" i="51"/>
  <c r="N43" i="51"/>
  <c r="N42" i="51"/>
  <c r="N41" i="51"/>
  <c r="N40" i="51"/>
  <c r="N39" i="51"/>
  <c r="N38" i="51"/>
  <c r="N37" i="51"/>
  <c r="N36" i="51"/>
  <c r="N34" i="51"/>
  <c r="N33" i="51"/>
  <c r="N32" i="51"/>
  <c r="N31" i="51"/>
  <c r="N30" i="51"/>
  <c r="N29" i="51"/>
  <c r="N28" i="51"/>
  <c r="N27" i="51"/>
  <c r="N26" i="51"/>
  <c r="N25" i="51"/>
  <c r="N24" i="51"/>
  <c r="N23" i="51"/>
  <c r="N22" i="51"/>
  <c r="N20" i="51"/>
  <c r="N19" i="51"/>
  <c r="N18" i="51"/>
  <c r="N16" i="51"/>
  <c r="F13" i="51"/>
  <c r="N13" i="51" s="1"/>
  <c r="F12" i="51"/>
  <c r="N12" i="51" s="1"/>
  <c r="E6" i="51"/>
  <c r="M181" i="50"/>
  <c r="I181" i="50" s="1"/>
  <c r="L181" i="50"/>
  <c r="K181" i="50"/>
  <c r="H181" i="50"/>
  <c r="G181" i="50"/>
  <c r="F181" i="50"/>
  <c r="E181" i="50"/>
  <c r="M180" i="50"/>
  <c r="I180" i="50" s="1"/>
  <c r="J180" i="50"/>
  <c r="G180" i="50"/>
  <c r="F180" i="50"/>
  <c r="E180" i="50"/>
  <c r="M179" i="50"/>
  <c r="I179" i="50" s="1"/>
  <c r="L179" i="50"/>
  <c r="G179" i="50"/>
  <c r="F179" i="50"/>
  <c r="E179" i="50"/>
  <c r="M178" i="50"/>
  <c r="I178" i="50" s="1"/>
  <c r="J178" i="50"/>
  <c r="G178" i="50"/>
  <c r="F178" i="50"/>
  <c r="E178" i="50"/>
  <c r="M177" i="50"/>
  <c r="I177" i="50" s="1"/>
  <c r="L177" i="50"/>
  <c r="K177" i="50"/>
  <c r="G177" i="50"/>
  <c r="F177" i="50"/>
  <c r="E177" i="50"/>
  <c r="M176" i="50"/>
  <c r="J176" i="50"/>
  <c r="I176" i="50"/>
  <c r="G176" i="50"/>
  <c r="F176" i="50"/>
  <c r="E176" i="50"/>
  <c r="M175" i="50"/>
  <c r="I175" i="50" s="1"/>
  <c r="L175" i="50"/>
  <c r="G175" i="50"/>
  <c r="F175" i="50"/>
  <c r="E175" i="50"/>
  <c r="M174" i="50"/>
  <c r="I174" i="50" s="1"/>
  <c r="J174" i="50"/>
  <c r="G174" i="50"/>
  <c r="F174" i="50"/>
  <c r="E174" i="50"/>
  <c r="M173" i="50"/>
  <c r="I173" i="50" s="1"/>
  <c r="L173" i="50"/>
  <c r="K173" i="50"/>
  <c r="G173" i="50"/>
  <c r="F173" i="50"/>
  <c r="E173" i="50"/>
  <c r="M172" i="50"/>
  <c r="I172" i="50" s="1"/>
  <c r="J172" i="50"/>
  <c r="G172" i="50"/>
  <c r="F172" i="50"/>
  <c r="E172" i="50"/>
  <c r="M171" i="50"/>
  <c r="I171" i="50" s="1"/>
  <c r="L171" i="50"/>
  <c r="G171" i="50"/>
  <c r="F171" i="50"/>
  <c r="E171" i="50"/>
  <c r="M170" i="50"/>
  <c r="I170" i="50" s="1"/>
  <c r="J170" i="50"/>
  <c r="G170" i="50"/>
  <c r="F170" i="50"/>
  <c r="E170" i="50"/>
  <c r="R165" i="50"/>
  <c r="F229" i="50" s="1"/>
  <c r="R163" i="50"/>
  <c r="J211" i="50" s="1"/>
  <c r="R162" i="50"/>
  <c r="L192" i="50" s="1"/>
  <c r="R160" i="50"/>
  <c r="K187" i="50" s="1"/>
  <c r="M156" i="50"/>
  <c r="Q165" i="50" s="1"/>
  <c r="D156" i="50"/>
  <c r="M155" i="50"/>
  <c r="Q162" i="50" s="1"/>
  <c r="D155" i="50"/>
  <c r="D153" i="50"/>
  <c r="M153" i="50" s="1"/>
  <c r="Q164" i="50" s="1"/>
  <c r="M152" i="50"/>
  <c r="Q161" i="50" s="1"/>
  <c r="D152" i="50"/>
  <c r="E148" i="50"/>
  <c r="C148" i="50"/>
  <c r="M148" i="50" s="1"/>
  <c r="P163" i="50" s="1"/>
  <c r="E147" i="50"/>
  <c r="C147" i="50"/>
  <c r="E143" i="50"/>
  <c r="C143" i="50"/>
  <c r="M143" i="50" s="1"/>
  <c r="E142" i="50"/>
  <c r="C142" i="50"/>
  <c r="F142" i="50" s="1"/>
  <c r="I138" i="50"/>
  <c r="H138" i="50"/>
  <c r="G138" i="50"/>
  <c r="F138" i="50"/>
  <c r="E138" i="50"/>
  <c r="C138" i="50"/>
  <c r="M138" i="50" s="1"/>
  <c r="N165" i="50" s="1"/>
  <c r="I137" i="50"/>
  <c r="H137" i="50"/>
  <c r="G137" i="50"/>
  <c r="F137" i="50"/>
  <c r="E137" i="50"/>
  <c r="C137" i="50"/>
  <c r="E133" i="50"/>
  <c r="C133" i="50"/>
  <c r="M133" i="50" s="1"/>
  <c r="M129" i="50"/>
  <c r="L165" i="50" s="1"/>
  <c r="E129" i="50"/>
  <c r="D129" i="50"/>
  <c r="M128" i="50"/>
  <c r="L160" i="50" s="1"/>
  <c r="E128" i="50"/>
  <c r="D128" i="50"/>
  <c r="I124" i="50"/>
  <c r="H124" i="50"/>
  <c r="G124" i="50"/>
  <c r="K124" i="50" s="1"/>
  <c r="F124" i="50"/>
  <c r="D124" i="50"/>
  <c r="J118" i="50"/>
  <c r="G118" i="50"/>
  <c r="E120" i="50" s="1"/>
  <c r="F118" i="50"/>
  <c r="E118" i="50"/>
  <c r="F116" i="50"/>
  <c r="E116" i="50"/>
  <c r="J114" i="50"/>
  <c r="G114" i="50"/>
  <c r="F114" i="50"/>
  <c r="E114" i="50"/>
  <c r="F110" i="50"/>
  <c r="E110" i="50"/>
  <c r="C110" i="50"/>
  <c r="F109" i="50"/>
  <c r="E109" i="50"/>
  <c r="C109" i="50"/>
  <c r="H178" i="50" s="1"/>
  <c r="L105" i="50"/>
  <c r="J105" i="50"/>
  <c r="I105" i="50"/>
  <c r="H105" i="50"/>
  <c r="G105" i="50"/>
  <c r="F105" i="50"/>
  <c r="E105" i="50"/>
  <c r="D105" i="50"/>
  <c r="C105" i="50"/>
  <c r="L104" i="50"/>
  <c r="J104" i="50"/>
  <c r="I104" i="50"/>
  <c r="H104" i="50"/>
  <c r="G104" i="50"/>
  <c r="F104" i="50"/>
  <c r="E104" i="50"/>
  <c r="C104" i="50"/>
  <c r="E100" i="50"/>
  <c r="C100" i="50"/>
  <c r="M100" i="50" s="1"/>
  <c r="G162" i="50" s="1"/>
  <c r="E96" i="50"/>
  <c r="D96" i="50"/>
  <c r="M96" i="50" s="1"/>
  <c r="E95" i="50"/>
  <c r="D95" i="50"/>
  <c r="M95" i="50" s="1"/>
  <c r="D91" i="50"/>
  <c r="M91" i="50" s="1"/>
  <c r="D90" i="50"/>
  <c r="M90" i="50" s="1"/>
  <c r="M86" i="50"/>
  <c r="D165" i="50" s="1"/>
  <c r="D86" i="50"/>
  <c r="D85" i="50"/>
  <c r="M85" i="50" s="1"/>
  <c r="I78" i="50"/>
  <c r="G78" i="50"/>
  <c r="B78" i="50"/>
  <c r="J78" i="50" s="1"/>
  <c r="C165" i="50" s="1"/>
  <c r="H77" i="50"/>
  <c r="G77" i="50"/>
  <c r="B77" i="50"/>
  <c r="J77" i="50" s="1"/>
  <c r="C164" i="50" s="1"/>
  <c r="J76" i="50"/>
  <c r="C163" i="50" s="1"/>
  <c r="G76" i="50"/>
  <c r="B76" i="50"/>
  <c r="I75" i="50"/>
  <c r="J75" i="50" s="1"/>
  <c r="C162" i="50" s="1"/>
  <c r="G75" i="50"/>
  <c r="B75" i="50"/>
  <c r="H74" i="50"/>
  <c r="G74" i="50"/>
  <c r="B74" i="50"/>
  <c r="G73" i="50"/>
  <c r="B73" i="50"/>
  <c r="J73" i="50" s="1"/>
  <c r="C160" i="50" s="1"/>
  <c r="N64" i="50"/>
  <c r="N60" i="50"/>
  <c r="N59" i="50"/>
  <c r="K179" i="50"/>
  <c r="N58" i="50"/>
  <c r="N57" i="50"/>
  <c r="N56" i="50"/>
  <c r="N53" i="50"/>
  <c r="N52" i="50"/>
  <c r="N51" i="50"/>
  <c r="N50" i="50"/>
  <c r="N49" i="50"/>
  <c r="N48" i="50"/>
  <c r="N46" i="50"/>
  <c r="N45" i="50"/>
  <c r="N44" i="50"/>
  <c r="N43" i="50"/>
  <c r="N42" i="50"/>
  <c r="N41" i="50"/>
  <c r="N40" i="50"/>
  <c r="N39" i="50"/>
  <c r="N38" i="50"/>
  <c r="N37" i="50"/>
  <c r="N36" i="50"/>
  <c r="N34" i="50"/>
  <c r="N33" i="50"/>
  <c r="N32" i="50"/>
  <c r="N31" i="50"/>
  <c r="N30" i="50"/>
  <c r="N29" i="50"/>
  <c r="N28" i="50"/>
  <c r="N27" i="50"/>
  <c r="N26" i="50"/>
  <c r="N25" i="50"/>
  <c r="N24" i="50"/>
  <c r="N23" i="50"/>
  <c r="N22" i="50"/>
  <c r="N20" i="50"/>
  <c r="N19" i="50"/>
  <c r="N18" i="50"/>
  <c r="N16" i="50"/>
  <c r="F13" i="50"/>
  <c r="N13" i="50" s="1"/>
  <c r="F12" i="50"/>
  <c r="N12" i="50" s="1"/>
  <c r="E6" i="50"/>
  <c r="M181" i="49"/>
  <c r="I181" i="49" s="1"/>
  <c r="L181" i="49"/>
  <c r="G181" i="49"/>
  <c r="F181" i="49"/>
  <c r="E181" i="49"/>
  <c r="M180" i="49"/>
  <c r="I180" i="49" s="1"/>
  <c r="L180" i="49"/>
  <c r="J180" i="49"/>
  <c r="G180" i="49"/>
  <c r="F180" i="49"/>
  <c r="E180" i="49"/>
  <c r="M179" i="49"/>
  <c r="I179" i="49" s="1"/>
  <c r="J179" i="49"/>
  <c r="H179" i="49"/>
  <c r="G179" i="49"/>
  <c r="F179" i="49"/>
  <c r="E179" i="49"/>
  <c r="M178" i="49"/>
  <c r="I178" i="49" s="1"/>
  <c r="G178" i="49"/>
  <c r="F178" i="49"/>
  <c r="E178" i="49"/>
  <c r="M177" i="49"/>
  <c r="I177" i="49" s="1"/>
  <c r="L177" i="49"/>
  <c r="G177" i="49"/>
  <c r="F177" i="49"/>
  <c r="E177" i="49"/>
  <c r="M176" i="49"/>
  <c r="I176" i="49" s="1"/>
  <c r="L176" i="49"/>
  <c r="J176" i="49"/>
  <c r="G176" i="49"/>
  <c r="F176" i="49"/>
  <c r="E176" i="49"/>
  <c r="M175" i="49"/>
  <c r="I175" i="49" s="1"/>
  <c r="J175" i="49"/>
  <c r="G175" i="49"/>
  <c r="F175" i="49"/>
  <c r="E175" i="49"/>
  <c r="M174" i="49"/>
  <c r="I174" i="49" s="1"/>
  <c r="G174" i="49"/>
  <c r="F174" i="49"/>
  <c r="E174" i="49"/>
  <c r="M173" i="49"/>
  <c r="I173" i="49" s="1"/>
  <c r="L173" i="49"/>
  <c r="G173" i="49"/>
  <c r="F173" i="49"/>
  <c r="E173" i="49"/>
  <c r="M172" i="49"/>
  <c r="I172" i="49" s="1"/>
  <c r="L172" i="49"/>
  <c r="J172" i="49"/>
  <c r="G172" i="49"/>
  <c r="F172" i="49"/>
  <c r="E172" i="49"/>
  <c r="M171" i="49"/>
  <c r="J171" i="49"/>
  <c r="I171" i="49"/>
  <c r="G171" i="49"/>
  <c r="F171" i="49"/>
  <c r="E171" i="49"/>
  <c r="M170" i="49"/>
  <c r="I170" i="49" s="1"/>
  <c r="G170" i="49"/>
  <c r="F170" i="49"/>
  <c r="E170" i="49"/>
  <c r="R165" i="49"/>
  <c r="E229" i="49" s="1"/>
  <c r="Q165" i="49"/>
  <c r="R163" i="49"/>
  <c r="E211" i="49" s="1"/>
  <c r="R162" i="49"/>
  <c r="I191" i="49" s="1"/>
  <c r="R160" i="49"/>
  <c r="G188" i="49" s="1"/>
  <c r="E160" i="49"/>
  <c r="M156" i="49"/>
  <c r="D156" i="49"/>
  <c r="D155" i="49"/>
  <c r="M155" i="49" s="1"/>
  <c r="Q162" i="49" s="1"/>
  <c r="D153" i="49"/>
  <c r="M153" i="49" s="1"/>
  <c r="Q164" i="49" s="1"/>
  <c r="D152" i="49"/>
  <c r="M152" i="49" s="1"/>
  <c r="Q161" i="49" s="1"/>
  <c r="E148" i="49"/>
  <c r="M148" i="49" s="1"/>
  <c r="P163" i="49" s="1"/>
  <c r="C148" i="49"/>
  <c r="E147" i="49"/>
  <c r="C147" i="49"/>
  <c r="M147" i="49" s="1"/>
  <c r="P160" i="49" s="1"/>
  <c r="M143" i="49"/>
  <c r="O165" i="49" s="1"/>
  <c r="E143" i="49"/>
  <c r="C143" i="49"/>
  <c r="F143" i="49" s="1"/>
  <c r="E142" i="49"/>
  <c r="C142" i="49"/>
  <c r="M142" i="49" s="1"/>
  <c r="O162" i="49" s="1"/>
  <c r="I138" i="49"/>
  <c r="H138" i="49"/>
  <c r="G138" i="49"/>
  <c r="F138" i="49"/>
  <c r="E138" i="49"/>
  <c r="C138" i="49"/>
  <c r="M138" i="49" s="1"/>
  <c r="I137" i="49"/>
  <c r="H137" i="49"/>
  <c r="G137" i="49"/>
  <c r="F137" i="49"/>
  <c r="E137" i="49"/>
  <c r="C137" i="49"/>
  <c r="E133" i="49"/>
  <c r="C133" i="49"/>
  <c r="M133" i="49" s="1"/>
  <c r="E129" i="49"/>
  <c r="D129" i="49"/>
  <c r="M129" i="49" s="1"/>
  <c r="E128" i="49"/>
  <c r="D128" i="49"/>
  <c r="M128" i="49" s="1"/>
  <c r="K124" i="49"/>
  <c r="I124" i="49"/>
  <c r="H124" i="49"/>
  <c r="G124" i="49"/>
  <c r="F124" i="49"/>
  <c r="D124" i="49"/>
  <c r="J118" i="49"/>
  <c r="G118" i="49"/>
  <c r="E120" i="49" s="1"/>
  <c r="F118" i="49"/>
  <c r="E118" i="49"/>
  <c r="J114" i="49"/>
  <c r="G114" i="49"/>
  <c r="F114" i="49"/>
  <c r="E114" i="49"/>
  <c r="F110" i="49"/>
  <c r="E110" i="49"/>
  <c r="C110" i="49"/>
  <c r="F109" i="49"/>
  <c r="M109" i="49" s="1"/>
  <c r="E109" i="49"/>
  <c r="C109" i="49"/>
  <c r="H180" i="49" s="1"/>
  <c r="L105" i="49"/>
  <c r="J105" i="49"/>
  <c r="I105" i="49"/>
  <c r="H105" i="49"/>
  <c r="G105" i="49"/>
  <c r="F105" i="49"/>
  <c r="K105" i="49" s="1"/>
  <c r="E105" i="49"/>
  <c r="D105" i="49"/>
  <c r="C105" i="49"/>
  <c r="L104" i="49"/>
  <c r="J104" i="49"/>
  <c r="I104" i="49"/>
  <c r="H104" i="49"/>
  <c r="G104" i="49"/>
  <c r="K104" i="49" s="1"/>
  <c r="F104" i="49"/>
  <c r="E104" i="49"/>
  <c r="C104" i="49"/>
  <c r="E100" i="49"/>
  <c r="C100" i="49"/>
  <c r="M100" i="49" s="1"/>
  <c r="G161" i="49" s="1"/>
  <c r="E96" i="49"/>
  <c r="M96" i="49" s="1"/>
  <c r="D96" i="49"/>
  <c r="E95" i="49"/>
  <c r="D95" i="49"/>
  <c r="D91" i="49"/>
  <c r="M91" i="49" s="1"/>
  <c r="D90" i="49"/>
  <c r="M90" i="49" s="1"/>
  <c r="E162" i="49" s="1"/>
  <c r="D86" i="49"/>
  <c r="M86" i="49" s="1"/>
  <c r="D85" i="49"/>
  <c r="M85" i="49" s="1"/>
  <c r="I78" i="49"/>
  <c r="G78" i="49"/>
  <c r="B78" i="49"/>
  <c r="J78" i="49" s="1"/>
  <c r="C165" i="49" s="1"/>
  <c r="H77" i="49"/>
  <c r="G77" i="49"/>
  <c r="B77" i="49"/>
  <c r="G76" i="49"/>
  <c r="B76" i="49"/>
  <c r="J76" i="49" s="1"/>
  <c r="C163" i="49" s="1"/>
  <c r="I75" i="49"/>
  <c r="G75" i="49"/>
  <c r="B75" i="49"/>
  <c r="J74" i="49"/>
  <c r="C161" i="49" s="1"/>
  <c r="H74" i="49"/>
  <c r="G74" i="49"/>
  <c r="B74" i="49"/>
  <c r="G73" i="49"/>
  <c r="B73" i="49"/>
  <c r="N64" i="49"/>
  <c r="N60" i="49"/>
  <c r="K180" i="49"/>
  <c r="N58" i="49"/>
  <c r="N57" i="49"/>
  <c r="N56" i="49"/>
  <c r="N53" i="49"/>
  <c r="N52" i="49"/>
  <c r="N51" i="49"/>
  <c r="N50" i="49"/>
  <c r="N49" i="49"/>
  <c r="N48" i="49"/>
  <c r="N46" i="49"/>
  <c r="N45" i="49"/>
  <c r="N44" i="49"/>
  <c r="N43" i="49"/>
  <c r="N42" i="49"/>
  <c r="N41" i="49"/>
  <c r="N40" i="49"/>
  <c r="N39" i="49"/>
  <c r="N38" i="49"/>
  <c r="N37" i="49"/>
  <c r="N36" i="49"/>
  <c r="N34" i="49"/>
  <c r="N33" i="49"/>
  <c r="N32" i="49"/>
  <c r="N31" i="49"/>
  <c r="N30" i="49"/>
  <c r="N29" i="49"/>
  <c r="N28" i="49"/>
  <c r="N27" i="49"/>
  <c r="N26" i="49"/>
  <c r="N25" i="49"/>
  <c r="N24" i="49"/>
  <c r="N23" i="49"/>
  <c r="N22" i="49"/>
  <c r="N20" i="49"/>
  <c r="N19" i="49"/>
  <c r="N18" i="49"/>
  <c r="N16" i="49"/>
  <c r="F13" i="49"/>
  <c r="N13" i="49" s="1"/>
  <c r="N12" i="49"/>
  <c r="F12" i="49"/>
  <c r="E6" i="49"/>
  <c r="M181" i="48"/>
  <c r="I181" i="48" s="1"/>
  <c r="G181" i="48"/>
  <c r="F181" i="48"/>
  <c r="E181" i="48"/>
  <c r="M180" i="48"/>
  <c r="I180" i="48" s="1"/>
  <c r="L180" i="48"/>
  <c r="G180" i="48"/>
  <c r="F180" i="48"/>
  <c r="E180" i="48"/>
  <c r="M179" i="48"/>
  <c r="I179" i="48" s="1"/>
  <c r="L179" i="48"/>
  <c r="J179" i="48"/>
  <c r="G179" i="48"/>
  <c r="F179" i="48"/>
  <c r="E179" i="48"/>
  <c r="M178" i="48"/>
  <c r="I178" i="48" s="1"/>
  <c r="J178" i="48"/>
  <c r="G178" i="48"/>
  <c r="F178" i="48"/>
  <c r="E178" i="48"/>
  <c r="M177" i="48"/>
  <c r="I177" i="48" s="1"/>
  <c r="G177" i="48"/>
  <c r="F177" i="48"/>
  <c r="E177" i="48"/>
  <c r="M176" i="48"/>
  <c r="I176" i="48" s="1"/>
  <c r="L176" i="48"/>
  <c r="G176" i="48"/>
  <c r="F176" i="48"/>
  <c r="E176" i="48"/>
  <c r="M175" i="48"/>
  <c r="I175" i="48" s="1"/>
  <c r="L175" i="48"/>
  <c r="J175" i="48"/>
  <c r="G175" i="48"/>
  <c r="F175" i="48"/>
  <c r="E175" i="48"/>
  <c r="M174" i="48"/>
  <c r="I174" i="48" s="1"/>
  <c r="J174" i="48"/>
  <c r="G174" i="48"/>
  <c r="F174" i="48"/>
  <c r="E174" i="48"/>
  <c r="M173" i="48"/>
  <c r="I173" i="48" s="1"/>
  <c r="G173" i="48"/>
  <c r="F173" i="48"/>
  <c r="E173" i="48"/>
  <c r="M172" i="48"/>
  <c r="I172" i="48" s="1"/>
  <c r="L172" i="48"/>
  <c r="G172" i="48"/>
  <c r="F172" i="48"/>
  <c r="E172" i="48"/>
  <c r="M171" i="48"/>
  <c r="L171" i="48"/>
  <c r="J171" i="48"/>
  <c r="I171" i="48"/>
  <c r="G171" i="48"/>
  <c r="F171" i="48"/>
  <c r="E171" i="48"/>
  <c r="M170" i="48"/>
  <c r="J170" i="48"/>
  <c r="I170" i="48"/>
  <c r="G170" i="48"/>
  <c r="F170" i="48"/>
  <c r="E170" i="48"/>
  <c r="R165" i="48"/>
  <c r="F229" i="48" s="1"/>
  <c r="Q165" i="48"/>
  <c r="R163" i="48"/>
  <c r="J211" i="48" s="1"/>
  <c r="R162" i="48"/>
  <c r="K191" i="48" s="1"/>
  <c r="R160" i="48"/>
  <c r="I188" i="48" s="1"/>
  <c r="M156" i="48"/>
  <c r="D156" i="48"/>
  <c r="M155" i="48"/>
  <c r="Q162" i="48" s="1"/>
  <c r="D155" i="48"/>
  <c r="D153" i="48"/>
  <c r="M153" i="48" s="1"/>
  <c r="Q164" i="48" s="1"/>
  <c r="M152" i="48"/>
  <c r="Q161" i="48" s="1"/>
  <c r="D152" i="48"/>
  <c r="E148" i="48"/>
  <c r="C148" i="48"/>
  <c r="E147" i="48"/>
  <c r="M147" i="48" s="1"/>
  <c r="P160" i="48" s="1"/>
  <c r="C147" i="48"/>
  <c r="M143" i="48"/>
  <c r="O165" i="48" s="1"/>
  <c r="F143" i="48"/>
  <c r="E143" i="48"/>
  <c r="C143" i="48"/>
  <c r="M142" i="48"/>
  <c r="F142" i="48"/>
  <c r="E142" i="48"/>
  <c r="C142" i="48"/>
  <c r="I138" i="48"/>
  <c r="H138" i="48"/>
  <c r="G138" i="48"/>
  <c r="F138" i="48"/>
  <c r="E138" i="48"/>
  <c r="C138" i="48"/>
  <c r="M138" i="48" s="1"/>
  <c r="I137" i="48"/>
  <c r="H137" i="48"/>
  <c r="G137" i="48"/>
  <c r="F137" i="48"/>
  <c r="E137" i="48"/>
  <c r="C137" i="48"/>
  <c r="M137" i="48" s="1"/>
  <c r="E133" i="48"/>
  <c r="C133" i="48"/>
  <c r="M133" i="48" s="1"/>
  <c r="M160" i="48" s="1"/>
  <c r="E129" i="48"/>
  <c r="D129" i="48"/>
  <c r="M129" i="48" s="1"/>
  <c r="M128" i="48"/>
  <c r="E128" i="48"/>
  <c r="D128" i="48"/>
  <c r="I124" i="48"/>
  <c r="H124" i="48"/>
  <c r="G124" i="48"/>
  <c r="K124" i="48" s="1"/>
  <c r="F124" i="48"/>
  <c r="D124" i="48"/>
  <c r="J118" i="48"/>
  <c r="G118" i="48"/>
  <c r="F118" i="48"/>
  <c r="E118" i="48"/>
  <c r="J114" i="48"/>
  <c r="G114" i="48"/>
  <c r="F114" i="48"/>
  <c r="E114" i="48"/>
  <c r="C116" i="48" s="1"/>
  <c r="F110" i="48"/>
  <c r="E110" i="48"/>
  <c r="C110" i="48"/>
  <c r="F109" i="48"/>
  <c r="M109" i="48" s="1"/>
  <c r="E109" i="48"/>
  <c r="C109" i="48"/>
  <c r="H179" i="48" s="1"/>
  <c r="L105" i="48"/>
  <c r="J105" i="48"/>
  <c r="I105" i="48"/>
  <c r="H105" i="48"/>
  <c r="G105" i="48"/>
  <c r="F105" i="48"/>
  <c r="E105" i="48"/>
  <c r="D105" i="48"/>
  <c r="C105" i="48"/>
  <c r="L104" i="48"/>
  <c r="J104" i="48"/>
  <c r="I104" i="48"/>
  <c r="H104" i="48"/>
  <c r="G104" i="48"/>
  <c r="F104" i="48"/>
  <c r="E104" i="48"/>
  <c r="C104" i="48"/>
  <c r="M100" i="48"/>
  <c r="G162" i="48" s="1"/>
  <c r="E100" i="48"/>
  <c r="C100" i="48"/>
  <c r="E96" i="48"/>
  <c r="D96" i="48"/>
  <c r="E95" i="48"/>
  <c r="D95" i="48"/>
  <c r="D91" i="48"/>
  <c r="M91" i="48" s="1"/>
  <c r="D90" i="48"/>
  <c r="M90" i="48" s="1"/>
  <c r="D86" i="48"/>
  <c r="M86" i="48" s="1"/>
  <c r="D164" i="48" s="1"/>
  <c r="D85" i="48"/>
  <c r="M85" i="48" s="1"/>
  <c r="I78" i="48"/>
  <c r="G78" i="48"/>
  <c r="B78" i="48"/>
  <c r="H77" i="48"/>
  <c r="G77" i="48"/>
  <c r="B77" i="48"/>
  <c r="G76" i="48"/>
  <c r="B76" i="48"/>
  <c r="I75" i="48"/>
  <c r="G75" i="48"/>
  <c r="B75" i="48"/>
  <c r="J75" i="48" s="1"/>
  <c r="C162" i="48" s="1"/>
  <c r="H74" i="48"/>
  <c r="G74" i="48"/>
  <c r="B74" i="48"/>
  <c r="J74" i="48" s="1"/>
  <c r="C161" i="48" s="1"/>
  <c r="J73" i="48"/>
  <c r="C160" i="48" s="1"/>
  <c r="G73" i="48"/>
  <c r="B73" i="48"/>
  <c r="N64" i="48"/>
  <c r="N60" i="48"/>
  <c r="K179" i="48"/>
  <c r="N58" i="48"/>
  <c r="N57" i="48"/>
  <c r="N56" i="48"/>
  <c r="N53" i="48"/>
  <c r="N52" i="48"/>
  <c r="N51" i="48"/>
  <c r="N50" i="48"/>
  <c r="N49" i="48"/>
  <c r="N48" i="48"/>
  <c r="N46" i="48"/>
  <c r="N45" i="48"/>
  <c r="N44" i="48"/>
  <c r="N43" i="48"/>
  <c r="N42" i="48"/>
  <c r="N41" i="48"/>
  <c r="N40" i="48"/>
  <c r="N39" i="48"/>
  <c r="N38" i="48"/>
  <c r="N37" i="48"/>
  <c r="N36" i="48"/>
  <c r="N34" i="48"/>
  <c r="N33" i="48"/>
  <c r="N32" i="48"/>
  <c r="N31" i="48"/>
  <c r="N30" i="48"/>
  <c r="N29" i="48"/>
  <c r="N28" i="48"/>
  <c r="N27" i="48"/>
  <c r="N26" i="48"/>
  <c r="N25" i="48"/>
  <c r="N24" i="48"/>
  <c r="N23" i="48"/>
  <c r="N22" i="48"/>
  <c r="N20" i="48"/>
  <c r="N19" i="48"/>
  <c r="N18" i="48"/>
  <c r="N16" i="48"/>
  <c r="F13" i="48"/>
  <c r="N13" i="48" s="1"/>
  <c r="N12" i="48"/>
  <c r="F12" i="48"/>
  <c r="E6" i="48"/>
  <c r="M181" i="47"/>
  <c r="I181" i="47" s="1"/>
  <c r="J181" i="47"/>
  <c r="G181" i="47"/>
  <c r="F181" i="47"/>
  <c r="E181" i="47"/>
  <c r="M180" i="47"/>
  <c r="I180" i="47" s="1"/>
  <c r="G180" i="47"/>
  <c r="F180" i="47"/>
  <c r="E180" i="47"/>
  <c r="M179" i="47"/>
  <c r="I179" i="47" s="1"/>
  <c r="G179" i="47"/>
  <c r="F179" i="47"/>
  <c r="E179" i="47"/>
  <c r="M178" i="47"/>
  <c r="I178" i="47" s="1"/>
  <c r="G178" i="47"/>
  <c r="F178" i="47"/>
  <c r="E178" i="47"/>
  <c r="M177" i="47"/>
  <c r="I177" i="47" s="1"/>
  <c r="G177" i="47"/>
  <c r="F177" i="47"/>
  <c r="E177" i="47"/>
  <c r="M176" i="47"/>
  <c r="I176" i="47" s="1"/>
  <c r="G176" i="47"/>
  <c r="F176" i="47"/>
  <c r="E176" i="47"/>
  <c r="M175" i="47"/>
  <c r="I175" i="47" s="1"/>
  <c r="G175" i="47"/>
  <c r="F175" i="47"/>
  <c r="E175" i="47"/>
  <c r="M174" i="47"/>
  <c r="I174" i="47" s="1"/>
  <c r="G174" i="47"/>
  <c r="F174" i="47"/>
  <c r="E174" i="47"/>
  <c r="M173" i="47"/>
  <c r="I173" i="47" s="1"/>
  <c r="G173" i="47"/>
  <c r="F173" i="47"/>
  <c r="E173" i="47"/>
  <c r="M172" i="47"/>
  <c r="I172" i="47" s="1"/>
  <c r="G172" i="47"/>
  <c r="F172" i="47"/>
  <c r="E172" i="47"/>
  <c r="M171" i="47"/>
  <c r="I171" i="47" s="1"/>
  <c r="G171" i="47"/>
  <c r="F171" i="47"/>
  <c r="E171" i="47"/>
  <c r="M170" i="47"/>
  <c r="I170" i="47" s="1"/>
  <c r="G170" i="47"/>
  <c r="F170" i="47"/>
  <c r="E170" i="47"/>
  <c r="R165" i="47"/>
  <c r="H229" i="47" s="1"/>
  <c r="R163" i="47"/>
  <c r="L211" i="47" s="1"/>
  <c r="R162" i="47"/>
  <c r="L192" i="47" s="1"/>
  <c r="R160" i="47"/>
  <c r="L188" i="47" s="1"/>
  <c r="M156" i="47"/>
  <c r="Q165" i="47" s="1"/>
  <c r="D156" i="47"/>
  <c r="D155" i="47"/>
  <c r="M155" i="47" s="1"/>
  <c r="Q162" i="47" s="1"/>
  <c r="D153" i="47"/>
  <c r="M153" i="47" s="1"/>
  <c r="Q164" i="47" s="1"/>
  <c r="D152" i="47"/>
  <c r="M152" i="47" s="1"/>
  <c r="Q161" i="47" s="1"/>
  <c r="E148" i="47"/>
  <c r="C148" i="47"/>
  <c r="M148" i="47" s="1"/>
  <c r="P163" i="47" s="1"/>
  <c r="E147" i="47"/>
  <c r="C147" i="47"/>
  <c r="F143" i="47"/>
  <c r="E143" i="47"/>
  <c r="C143" i="47"/>
  <c r="M143" i="47" s="1"/>
  <c r="O163" i="47" s="1"/>
  <c r="E142" i="47"/>
  <c r="C142" i="47"/>
  <c r="M142" i="47" s="1"/>
  <c r="I138" i="47"/>
  <c r="H138" i="47"/>
  <c r="G138" i="47"/>
  <c r="F138" i="47"/>
  <c r="E138" i="47"/>
  <c r="C138" i="47"/>
  <c r="M138" i="47" s="1"/>
  <c r="I137" i="47"/>
  <c r="H137" i="47"/>
  <c r="G137" i="47"/>
  <c r="F137" i="47"/>
  <c r="E137" i="47"/>
  <c r="C137" i="47"/>
  <c r="E133" i="47"/>
  <c r="C133" i="47"/>
  <c r="E129" i="47"/>
  <c r="D129" i="47"/>
  <c r="M128" i="47"/>
  <c r="L161" i="47" s="1"/>
  <c r="E128" i="47"/>
  <c r="D128" i="47"/>
  <c r="J124" i="47"/>
  <c r="M124" i="47" s="1"/>
  <c r="K160" i="47" s="1"/>
  <c r="I124" i="47"/>
  <c r="K124" i="47" s="1"/>
  <c r="H124" i="47"/>
  <c r="G124" i="47"/>
  <c r="F124" i="47"/>
  <c r="D124" i="47"/>
  <c r="C120" i="47"/>
  <c r="J118" i="47"/>
  <c r="F120" i="47" s="1"/>
  <c r="G118" i="47"/>
  <c r="E120" i="47" s="1"/>
  <c r="F118" i="47"/>
  <c r="E118" i="47"/>
  <c r="F116" i="47"/>
  <c r="J114" i="47"/>
  <c r="G114" i="47"/>
  <c r="F114" i="47"/>
  <c r="E114" i="47"/>
  <c r="C114" i="47"/>
  <c r="F110" i="47"/>
  <c r="E110" i="47"/>
  <c r="C110" i="47"/>
  <c r="F109" i="47"/>
  <c r="E109" i="47"/>
  <c r="C109" i="47"/>
  <c r="H180" i="47" s="1"/>
  <c r="L105" i="47"/>
  <c r="J105" i="47"/>
  <c r="I105" i="47"/>
  <c r="H105" i="47"/>
  <c r="G105" i="47"/>
  <c r="F105" i="47"/>
  <c r="E105" i="47"/>
  <c r="D105" i="47"/>
  <c r="C105" i="47"/>
  <c r="L104" i="47"/>
  <c r="J104" i="47"/>
  <c r="I104" i="47"/>
  <c r="H104" i="47"/>
  <c r="G104" i="47"/>
  <c r="F104" i="47"/>
  <c r="E104" i="47"/>
  <c r="C104" i="47"/>
  <c r="E100" i="47"/>
  <c r="C100" i="47"/>
  <c r="E96" i="47"/>
  <c r="D96" i="47"/>
  <c r="M96" i="47" s="1"/>
  <c r="F164" i="47" s="1"/>
  <c r="E95" i="47"/>
  <c r="D95" i="47"/>
  <c r="M95" i="47" s="1"/>
  <c r="M91" i="47"/>
  <c r="D91" i="47"/>
  <c r="D90" i="47"/>
  <c r="M90" i="47" s="1"/>
  <c r="D86" i="47"/>
  <c r="M86" i="47" s="1"/>
  <c r="M85" i="47"/>
  <c r="D161" i="47" s="1"/>
  <c r="D85" i="47"/>
  <c r="J78" i="47"/>
  <c r="C165" i="47" s="1"/>
  <c r="I78" i="47"/>
  <c r="G78" i="47"/>
  <c r="B78" i="47"/>
  <c r="J77" i="47"/>
  <c r="C164" i="47" s="1"/>
  <c r="H77" i="47"/>
  <c r="G77" i="47"/>
  <c r="B77" i="47"/>
  <c r="J76" i="47"/>
  <c r="C163" i="47" s="1"/>
  <c r="G76" i="47"/>
  <c r="B76" i="47"/>
  <c r="I75" i="47"/>
  <c r="G75" i="47"/>
  <c r="B75" i="47"/>
  <c r="H74" i="47"/>
  <c r="G74" i="47"/>
  <c r="B74" i="47"/>
  <c r="G73" i="47"/>
  <c r="J73" i="47" s="1"/>
  <c r="C160" i="47" s="1"/>
  <c r="B73" i="47"/>
  <c r="N64" i="47"/>
  <c r="N60" i="47"/>
  <c r="L178" i="47"/>
  <c r="N58" i="47"/>
  <c r="N57" i="47"/>
  <c r="N56" i="47"/>
  <c r="N53" i="47"/>
  <c r="N52" i="47"/>
  <c r="N51" i="47"/>
  <c r="N50" i="47"/>
  <c r="N49" i="47"/>
  <c r="N48" i="47"/>
  <c r="N46" i="47"/>
  <c r="N45" i="47"/>
  <c r="N44" i="47"/>
  <c r="N43" i="47"/>
  <c r="N42" i="47"/>
  <c r="N41" i="47"/>
  <c r="N40" i="47"/>
  <c r="N39" i="47"/>
  <c r="N38" i="47"/>
  <c r="N37" i="47"/>
  <c r="N36" i="47"/>
  <c r="N34" i="47"/>
  <c r="N33" i="47"/>
  <c r="N32" i="47"/>
  <c r="N31" i="47"/>
  <c r="N30" i="47"/>
  <c r="N29" i="47"/>
  <c r="N28" i="47"/>
  <c r="N27" i="47"/>
  <c r="N26" i="47"/>
  <c r="N25" i="47"/>
  <c r="N24" i="47"/>
  <c r="N23" i="47"/>
  <c r="N22" i="47"/>
  <c r="N20" i="47"/>
  <c r="N19" i="47"/>
  <c r="N18" i="47"/>
  <c r="N16" i="47"/>
  <c r="F13" i="47"/>
  <c r="N13" i="47" s="1"/>
  <c r="N12" i="47"/>
  <c r="F12" i="47"/>
  <c r="E6" i="47"/>
  <c r="M181" i="46"/>
  <c r="I181" i="46" s="1"/>
  <c r="G181" i="46"/>
  <c r="F181" i="46"/>
  <c r="E181" i="46"/>
  <c r="M180" i="46"/>
  <c r="I180" i="46"/>
  <c r="G180" i="46"/>
  <c r="F180" i="46"/>
  <c r="E180" i="46"/>
  <c r="M179" i="46"/>
  <c r="I179" i="46" s="1"/>
  <c r="G179" i="46"/>
  <c r="F179" i="46"/>
  <c r="E179" i="46"/>
  <c r="M178" i="46"/>
  <c r="I178" i="46" s="1"/>
  <c r="L178" i="46"/>
  <c r="G178" i="46"/>
  <c r="F178" i="46"/>
  <c r="E178" i="46"/>
  <c r="M177" i="46"/>
  <c r="I177" i="46" s="1"/>
  <c r="J177" i="46"/>
  <c r="G177" i="46"/>
  <c r="F177" i="46"/>
  <c r="E177" i="46"/>
  <c r="M176" i="46"/>
  <c r="I176" i="46" s="1"/>
  <c r="J176" i="46"/>
  <c r="G176" i="46"/>
  <c r="F176" i="46"/>
  <c r="E176" i="46"/>
  <c r="M175" i="46"/>
  <c r="I175" i="46" s="1"/>
  <c r="G175" i="46"/>
  <c r="F175" i="46"/>
  <c r="E175" i="46"/>
  <c r="M174" i="46"/>
  <c r="I174" i="46" s="1"/>
  <c r="L174" i="46"/>
  <c r="G174" i="46"/>
  <c r="F174" i="46"/>
  <c r="E174" i="46"/>
  <c r="M173" i="46"/>
  <c r="I173" i="46" s="1"/>
  <c r="L173" i="46"/>
  <c r="J173" i="46"/>
  <c r="G173" i="46"/>
  <c r="F173" i="46"/>
  <c r="E173" i="46"/>
  <c r="M172" i="46"/>
  <c r="I172" i="46" s="1"/>
  <c r="K172" i="46"/>
  <c r="J172" i="46"/>
  <c r="G172" i="46"/>
  <c r="F172" i="46"/>
  <c r="E172" i="46"/>
  <c r="M171" i="46"/>
  <c r="I171" i="46" s="1"/>
  <c r="G171" i="46"/>
  <c r="F171" i="46"/>
  <c r="E171" i="46"/>
  <c r="M170" i="46"/>
  <c r="I170" i="46" s="1"/>
  <c r="G170" i="46"/>
  <c r="F170" i="46"/>
  <c r="E170" i="46"/>
  <c r="R165" i="46"/>
  <c r="H229" i="46" s="1"/>
  <c r="R163" i="46"/>
  <c r="E211" i="46" s="1"/>
  <c r="R162" i="46"/>
  <c r="G191" i="46" s="1"/>
  <c r="R160" i="46"/>
  <c r="E188" i="46" s="1"/>
  <c r="M156" i="46"/>
  <c r="Q165" i="46" s="1"/>
  <c r="D156" i="46"/>
  <c r="D155" i="46"/>
  <c r="M155" i="46" s="1"/>
  <c r="Q162" i="46" s="1"/>
  <c r="D153" i="46"/>
  <c r="M153" i="46" s="1"/>
  <c r="Q164" i="46" s="1"/>
  <c r="D152" i="46"/>
  <c r="M152" i="46" s="1"/>
  <c r="Q161" i="46" s="1"/>
  <c r="E148" i="46"/>
  <c r="M148" i="46" s="1"/>
  <c r="P163" i="46" s="1"/>
  <c r="C148" i="46"/>
  <c r="E147" i="46"/>
  <c r="C147" i="46"/>
  <c r="M147" i="46" s="1"/>
  <c r="P160" i="46" s="1"/>
  <c r="M143" i="46"/>
  <c r="E143" i="46"/>
  <c r="C143" i="46"/>
  <c r="F143" i="46" s="1"/>
  <c r="E142" i="46"/>
  <c r="C142" i="46"/>
  <c r="I138" i="46"/>
  <c r="H138" i="46"/>
  <c r="G138" i="46"/>
  <c r="F138" i="46"/>
  <c r="E138" i="46"/>
  <c r="C138" i="46"/>
  <c r="I137" i="46"/>
  <c r="H137" i="46"/>
  <c r="G137" i="46"/>
  <c r="F137" i="46"/>
  <c r="E137" i="46"/>
  <c r="C137" i="46"/>
  <c r="E133" i="46"/>
  <c r="C133" i="46"/>
  <c r="M133" i="46" s="1"/>
  <c r="M160" i="46" s="1"/>
  <c r="E129" i="46"/>
  <c r="D129" i="46"/>
  <c r="E128" i="46"/>
  <c r="D128" i="46"/>
  <c r="M128" i="46" s="1"/>
  <c r="I124" i="46"/>
  <c r="H124" i="46"/>
  <c r="G124" i="46"/>
  <c r="J124" i="46" s="1"/>
  <c r="F124" i="46"/>
  <c r="D124" i="46"/>
  <c r="D120" i="46"/>
  <c r="J118" i="46"/>
  <c r="F120" i="46" s="1"/>
  <c r="G118" i="46"/>
  <c r="E120" i="46" s="1"/>
  <c r="F118" i="46"/>
  <c r="E118" i="46"/>
  <c r="C120" i="46" s="1"/>
  <c r="J114" i="46"/>
  <c r="G114" i="46"/>
  <c r="F114" i="46"/>
  <c r="E114" i="46"/>
  <c r="F110" i="46"/>
  <c r="E110" i="46"/>
  <c r="C110" i="46"/>
  <c r="F109" i="46"/>
  <c r="E109" i="46"/>
  <c r="C109" i="46"/>
  <c r="H171" i="46" s="1"/>
  <c r="L105" i="46"/>
  <c r="J105" i="46"/>
  <c r="I105" i="46"/>
  <c r="H105" i="46"/>
  <c r="G105" i="46"/>
  <c r="F105" i="46"/>
  <c r="E105" i="46"/>
  <c r="D105" i="46"/>
  <c r="C105" i="46"/>
  <c r="L104" i="46"/>
  <c r="J104" i="46"/>
  <c r="I104" i="46"/>
  <c r="H104" i="46"/>
  <c r="G104" i="46"/>
  <c r="F104" i="46"/>
  <c r="E104" i="46"/>
  <c r="C104" i="46"/>
  <c r="E100" i="46"/>
  <c r="C100" i="46"/>
  <c r="M100" i="46" s="1"/>
  <c r="E96" i="46"/>
  <c r="D96" i="46"/>
  <c r="E95" i="46"/>
  <c r="D95" i="46"/>
  <c r="M95" i="46" s="1"/>
  <c r="D91" i="46"/>
  <c r="M91" i="46" s="1"/>
  <c r="E163" i="46" s="1"/>
  <c r="D90" i="46"/>
  <c r="M90" i="46" s="1"/>
  <c r="E162" i="46" s="1"/>
  <c r="M86" i="46"/>
  <c r="D164" i="46" s="1"/>
  <c r="D86" i="46"/>
  <c r="D85" i="46"/>
  <c r="M85" i="46" s="1"/>
  <c r="I78" i="46"/>
  <c r="G78" i="46"/>
  <c r="B78" i="46"/>
  <c r="H77" i="46"/>
  <c r="G77" i="46"/>
  <c r="B77" i="46"/>
  <c r="G76" i="46"/>
  <c r="B76" i="46"/>
  <c r="I75" i="46"/>
  <c r="G75" i="46"/>
  <c r="B75" i="46"/>
  <c r="J75" i="46" s="1"/>
  <c r="C162" i="46" s="1"/>
  <c r="H74" i="46"/>
  <c r="G74" i="46"/>
  <c r="B74" i="46"/>
  <c r="G73" i="46"/>
  <c r="J73" i="46" s="1"/>
  <c r="C160" i="46" s="1"/>
  <c r="B73" i="46"/>
  <c r="N64" i="46"/>
  <c r="N60" i="46"/>
  <c r="N58" i="46"/>
  <c r="N57" i="46"/>
  <c r="N56" i="46"/>
  <c r="N53" i="46"/>
  <c r="N52" i="46"/>
  <c r="N51" i="46"/>
  <c r="N50" i="46"/>
  <c r="N49" i="46"/>
  <c r="N48" i="46"/>
  <c r="N46" i="46"/>
  <c r="N45" i="46"/>
  <c r="N44" i="46"/>
  <c r="N43" i="46"/>
  <c r="N42" i="46"/>
  <c r="N41" i="46"/>
  <c r="N40" i="46"/>
  <c r="N39" i="46"/>
  <c r="N38" i="46"/>
  <c r="N37" i="46"/>
  <c r="N36" i="46"/>
  <c r="N34" i="46"/>
  <c r="N33" i="46"/>
  <c r="N32" i="46"/>
  <c r="N31" i="46"/>
  <c r="N30" i="46"/>
  <c r="N29" i="46"/>
  <c r="N28" i="46"/>
  <c r="N27" i="46"/>
  <c r="N26" i="46"/>
  <c r="N25" i="46"/>
  <c r="N24" i="46"/>
  <c r="N23" i="46"/>
  <c r="N22" i="46"/>
  <c r="N20" i="46"/>
  <c r="N19" i="46"/>
  <c r="N18" i="46"/>
  <c r="N16" i="46"/>
  <c r="F13" i="46"/>
  <c r="N13" i="46" s="1"/>
  <c r="F12" i="46"/>
  <c r="N12" i="46" s="1"/>
  <c r="E6" i="46"/>
  <c r="M181" i="45"/>
  <c r="I181" i="45" s="1"/>
  <c r="G181" i="45"/>
  <c r="F181" i="45"/>
  <c r="E181" i="45"/>
  <c r="M180" i="45"/>
  <c r="I180" i="45" s="1"/>
  <c r="K180" i="45"/>
  <c r="G180" i="45"/>
  <c r="F180" i="45"/>
  <c r="E180" i="45"/>
  <c r="M179" i="45"/>
  <c r="I179" i="45" s="1"/>
  <c r="L179" i="45"/>
  <c r="G179" i="45"/>
  <c r="F179" i="45"/>
  <c r="E179" i="45"/>
  <c r="M178" i="45"/>
  <c r="I178" i="45" s="1"/>
  <c r="L178" i="45"/>
  <c r="K178" i="45"/>
  <c r="G178" i="45"/>
  <c r="F178" i="45"/>
  <c r="E178" i="45"/>
  <c r="M177" i="45"/>
  <c r="I177" i="45" s="1"/>
  <c r="G177" i="45"/>
  <c r="F177" i="45"/>
  <c r="E177" i="45"/>
  <c r="M176" i="45"/>
  <c r="I176" i="45" s="1"/>
  <c r="G176" i="45"/>
  <c r="F176" i="45"/>
  <c r="E176" i="45"/>
  <c r="M175" i="45"/>
  <c r="I175" i="45" s="1"/>
  <c r="G175" i="45"/>
  <c r="F175" i="45"/>
  <c r="E175" i="45"/>
  <c r="M174" i="45"/>
  <c r="I174" i="45" s="1"/>
  <c r="J174" i="45"/>
  <c r="G174" i="45"/>
  <c r="F174" i="45"/>
  <c r="E174" i="45"/>
  <c r="M173" i="45"/>
  <c r="I173" i="45" s="1"/>
  <c r="J173" i="45"/>
  <c r="G173" i="45"/>
  <c r="F173" i="45"/>
  <c r="E173" i="45"/>
  <c r="M172" i="45"/>
  <c r="I172" i="45" s="1"/>
  <c r="G172" i="45"/>
  <c r="F172" i="45"/>
  <c r="E172" i="45"/>
  <c r="M171" i="45"/>
  <c r="I171" i="45" s="1"/>
  <c r="G171" i="45"/>
  <c r="F171" i="45"/>
  <c r="E171" i="45"/>
  <c r="M170" i="45"/>
  <c r="I170" i="45" s="1"/>
  <c r="L170" i="45"/>
  <c r="K170" i="45"/>
  <c r="G170" i="45"/>
  <c r="F170" i="45"/>
  <c r="E170" i="45"/>
  <c r="R165" i="45"/>
  <c r="J229" i="45" s="1"/>
  <c r="R163" i="45"/>
  <c r="I196" i="45" s="1"/>
  <c r="R162" i="45"/>
  <c r="F192" i="45" s="1"/>
  <c r="R160" i="45"/>
  <c r="K188" i="45" s="1"/>
  <c r="D156" i="45"/>
  <c r="M156" i="45" s="1"/>
  <c r="Q165" i="45" s="1"/>
  <c r="D155" i="45"/>
  <c r="M155" i="45" s="1"/>
  <c r="Q162" i="45" s="1"/>
  <c r="D153" i="45"/>
  <c r="M153" i="45" s="1"/>
  <c r="Q164" i="45" s="1"/>
  <c r="D152" i="45"/>
  <c r="M152" i="45" s="1"/>
  <c r="Q161" i="45" s="1"/>
  <c r="E148" i="45"/>
  <c r="M148" i="45" s="1"/>
  <c r="P163" i="45" s="1"/>
  <c r="C148" i="45"/>
  <c r="E147" i="45"/>
  <c r="C147" i="45"/>
  <c r="E143" i="45"/>
  <c r="C143" i="45"/>
  <c r="M143" i="45" s="1"/>
  <c r="E142" i="45"/>
  <c r="C142" i="45"/>
  <c r="F142" i="45" s="1"/>
  <c r="I138" i="45"/>
  <c r="H138" i="45"/>
  <c r="G138" i="45"/>
  <c r="F138" i="45"/>
  <c r="E138" i="45"/>
  <c r="C138" i="45"/>
  <c r="M138" i="45" s="1"/>
  <c r="M137" i="45"/>
  <c r="N160" i="45" s="1"/>
  <c r="I137" i="45"/>
  <c r="H137" i="45"/>
  <c r="G137" i="45"/>
  <c r="F137" i="45"/>
  <c r="E137" i="45"/>
  <c r="C137" i="45"/>
  <c r="E133" i="45"/>
  <c r="C133" i="45"/>
  <c r="E129" i="45"/>
  <c r="D129" i="45"/>
  <c r="M129" i="45" s="1"/>
  <c r="E128" i="45"/>
  <c r="D128" i="45"/>
  <c r="M128" i="45" s="1"/>
  <c r="I124" i="45"/>
  <c r="H124" i="45"/>
  <c r="K124" i="45" s="1"/>
  <c r="G124" i="45"/>
  <c r="F124" i="45"/>
  <c r="D124" i="45"/>
  <c r="J124" i="45" s="1"/>
  <c r="E120" i="45"/>
  <c r="J118" i="45"/>
  <c r="F120" i="45" s="1"/>
  <c r="G118" i="45"/>
  <c r="F118" i="45"/>
  <c r="D120" i="45" s="1"/>
  <c r="E118" i="45"/>
  <c r="C120" i="45" s="1"/>
  <c r="C118" i="45"/>
  <c r="J114" i="45"/>
  <c r="G114" i="45"/>
  <c r="F116" i="45" s="1"/>
  <c r="F114" i="45"/>
  <c r="E114" i="45"/>
  <c r="F110" i="45"/>
  <c r="E110" i="45"/>
  <c r="C110" i="45"/>
  <c r="F109" i="45"/>
  <c r="E109" i="45"/>
  <c r="C109" i="45"/>
  <c r="H172" i="45" s="1"/>
  <c r="L105" i="45"/>
  <c r="J105" i="45"/>
  <c r="I105" i="45"/>
  <c r="H105" i="45"/>
  <c r="G105" i="45"/>
  <c r="F105" i="45"/>
  <c r="E105" i="45"/>
  <c r="D105" i="45"/>
  <c r="C105" i="45"/>
  <c r="L104" i="45"/>
  <c r="J104" i="45"/>
  <c r="I104" i="45"/>
  <c r="H104" i="45"/>
  <c r="G104" i="45"/>
  <c r="F104" i="45"/>
  <c r="E104" i="45"/>
  <c r="C104" i="45"/>
  <c r="E100" i="45"/>
  <c r="C100" i="45"/>
  <c r="M100" i="45" s="1"/>
  <c r="E96" i="45"/>
  <c r="D96" i="45"/>
  <c r="M96" i="45" s="1"/>
  <c r="E95" i="45"/>
  <c r="D95" i="45"/>
  <c r="D91" i="45"/>
  <c r="M91" i="45" s="1"/>
  <c r="D90" i="45"/>
  <c r="M90" i="45" s="1"/>
  <c r="D86" i="45"/>
  <c r="M86" i="45" s="1"/>
  <c r="D85" i="45"/>
  <c r="M85" i="45" s="1"/>
  <c r="D161" i="45" s="1"/>
  <c r="I78" i="45"/>
  <c r="G78" i="45"/>
  <c r="B78" i="45"/>
  <c r="H77" i="45"/>
  <c r="G77" i="45"/>
  <c r="B77" i="45"/>
  <c r="G76" i="45"/>
  <c r="B76" i="45"/>
  <c r="J76" i="45" s="1"/>
  <c r="C163" i="45" s="1"/>
  <c r="I75" i="45"/>
  <c r="G75" i="45"/>
  <c r="B75" i="45"/>
  <c r="H74" i="45"/>
  <c r="G74" i="45"/>
  <c r="B74" i="45"/>
  <c r="G73" i="45"/>
  <c r="B73" i="45"/>
  <c r="J73" i="45" s="1"/>
  <c r="C160" i="45" s="1"/>
  <c r="N64" i="45"/>
  <c r="N60" i="45"/>
  <c r="J181" i="45"/>
  <c r="N58" i="45"/>
  <c r="N57" i="45"/>
  <c r="N56" i="45"/>
  <c r="N53" i="45"/>
  <c r="N52" i="45"/>
  <c r="N51" i="45"/>
  <c r="N50" i="45"/>
  <c r="N49" i="45"/>
  <c r="N48" i="45"/>
  <c r="N46" i="45"/>
  <c r="N45" i="45"/>
  <c r="N44" i="45"/>
  <c r="N43" i="45"/>
  <c r="N42" i="45"/>
  <c r="N41" i="45"/>
  <c r="N40" i="45"/>
  <c r="N39" i="45"/>
  <c r="N38" i="45"/>
  <c r="N37" i="45"/>
  <c r="N36" i="45"/>
  <c r="N34" i="45"/>
  <c r="N33" i="45"/>
  <c r="N32" i="45"/>
  <c r="N31" i="45"/>
  <c r="N30" i="45"/>
  <c r="N29" i="45"/>
  <c r="N28" i="45"/>
  <c r="N27" i="45"/>
  <c r="N26" i="45"/>
  <c r="N25" i="45"/>
  <c r="N24" i="45"/>
  <c r="N23" i="45"/>
  <c r="N22" i="45"/>
  <c r="N20" i="45"/>
  <c r="N19" i="45"/>
  <c r="N18" i="45"/>
  <c r="N16" i="45"/>
  <c r="F13" i="45"/>
  <c r="N13" i="45" s="1"/>
  <c r="F12" i="45"/>
  <c r="N12" i="45" s="1"/>
  <c r="E6" i="45"/>
  <c r="M181" i="44"/>
  <c r="I181" i="44" s="1"/>
  <c r="L181" i="44"/>
  <c r="G181" i="44"/>
  <c r="F181" i="44"/>
  <c r="E181" i="44"/>
  <c r="M180" i="44"/>
  <c r="I180" i="44" s="1"/>
  <c r="K180" i="44"/>
  <c r="J180" i="44"/>
  <c r="G180" i="44"/>
  <c r="F180" i="44"/>
  <c r="E180" i="44"/>
  <c r="M179" i="44"/>
  <c r="I179" i="44"/>
  <c r="G179" i="44"/>
  <c r="F179" i="44"/>
  <c r="E179" i="44"/>
  <c r="M178" i="44"/>
  <c r="I178" i="44" s="1"/>
  <c r="G178" i="44"/>
  <c r="F178" i="44"/>
  <c r="E178" i="44"/>
  <c r="M177" i="44"/>
  <c r="I177" i="44" s="1"/>
  <c r="L177" i="44"/>
  <c r="G177" i="44"/>
  <c r="F177" i="44"/>
  <c r="E177" i="44"/>
  <c r="M176" i="44"/>
  <c r="I176" i="44" s="1"/>
  <c r="K176" i="44"/>
  <c r="J176" i="44"/>
  <c r="G176" i="44"/>
  <c r="F176" i="44"/>
  <c r="E176" i="44"/>
  <c r="M175" i="44"/>
  <c r="I175" i="44" s="1"/>
  <c r="G175" i="44"/>
  <c r="F175" i="44"/>
  <c r="E175" i="44"/>
  <c r="M174" i="44"/>
  <c r="I174" i="44" s="1"/>
  <c r="G174" i="44"/>
  <c r="F174" i="44"/>
  <c r="E174" i="44"/>
  <c r="M173" i="44"/>
  <c r="I173" i="44" s="1"/>
  <c r="L173" i="44"/>
  <c r="G173" i="44"/>
  <c r="F173" i="44"/>
  <c r="E173" i="44"/>
  <c r="M172" i="44"/>
  <c r="I172" i="44" s="1"/>
  <c r="K172" i="44"/>
  <c r="J172" i="44"/>
  <c r="G172" i="44"/>
  <c r="F172" i="44"/>
  <c r="E172" i="44"/>
  <c r="M171" i="44"/>
  <c r="I171" i="44" s="1"/>
  <c r="G171" i="44"/>
  <c r="F171" i="44"/>
  <c r="E171" i="44"/>
  <c r="M170" i="44"/>
  <c r="I170" i="44"/>
  <c r="G170" i="44"/>
  <c r="F170" i="44"/>
  <c r="E170" i="44"/>
  <c r="R165" i="44"/>
  <c r="H229" i="44" s="1"/>
  <c r="R163" i="44"/>
  <c r="L211" i="44" s="1"/>
  <c r="R162" i="44"/>
  <c r="E192" i="44" s="1"/>
  <c r="R160" i="44"/>
  <c r="M156" i="44"/>
  <c r="Q165" i="44" s="1"/>
  <c r="D156" i="44"/>
  <c r="D155" i="44"/>
  <c r="M155" i="44" s="1"/>
  <c r="Q162" i="44" s="1"/>
  <c r="D153" i="44"/>
  <c r="M153" i="44" s="1"/>
  <c r="Q164" i="44" s="1"/>
  <c r="D152" i="44"/>
  <c r="M152" i="44" s="1"/>
  <c r="Q161" i="44" s="1"/>
  <c r="E148" i="44"/>
  <c r="C148" i="44"/>
  <c r="M148" i="44" s="1"/>
  <c r="P163" i="44" s="1"/>
  <c r="E147" i="44"/>
  <c r="C147" i="44"/>
  <c r="E143" i="44"/>
  <c r="C143" i="44"/>
  <c r="F143" i="44" s="1"/>
  <c r="E142" i="44"/>
  <c r="C142" i="44"/>
  <c r="M142" i="44" s="1"/>
  <c r="M138" i="44"/>
  <c r="N165" i="44" s="1"/>
  <c r="I138" i="44"/>
  <c r="H138" i="44"/>
  <c r="G138" i="44"/>
  <c r="F138" i="44"/>
  <c r="E138" i="44"/>
  <c r="C138" i="44"/>
  <c r="I137" i="44"/>
  <c r="H137" i="44"/>
  <c r="G137" i="44"/>
  <c r="F137" i="44"/>
  <c r="E137" i="44"/>
  <c r="C137" i="44"/>
  <c r="M137" i="44" s="1"/>
  <c r="N162" i="44" s="1"/>
  <c r="E133" i="44"/>
  <c r="C133" i="44"/>
  <c r="M133" i="44" s="1"/>
  <c r="M129" i="44"/>
  <c r="L163" i="44" s="1"/>
  <c r="E129" i="44"/>
  <c r="D129" i="44"/>
  <c r="E128" i="44"/>
  <c r="D128" i="44"/>
  <c r="M128" i="44" s="1"/>
  <c r="I124" i="44"/>
  <c r="H124" i="44"/>
  <c r="G124" i="44"/>
  <c r="J124" i="44" s="1"/>
  <c r="F124" i="44"/>
  <c r="D124" i="44"/>
  <c r="J118" i="44"/>
  <c r="G118" i="44"/>
  <c r="F118" i="44"/>
  <c r="E118" i="44"/>
  <c r="C118" i="44"/>
  <c r="J114" i="44"/>
  <c r="G114" i="44"/>
  <c r="F114" i="44"/>
  <c r="E114" i="44"/>
  <c r="F110" i="44"/>
  <c r="E110" i="44"/>
  <c r="C110" i="44"/>
  <c r="F109" i="44"/>
  <c r="E109" i="44"/>
  <c r="C109" i="44"/>
  <c r="H181" i="44" s="1"/>
  <c r="L105" i="44"/>
  <c r="J105" i="44"/>
  <c r="I105" i="44"/>
  <c r="H105" i="44"/>
  <c r="G105" i="44"/>
  <c r="F105" i="44"/>
  <c r="E105" i="44"/>
  <c r="D105" i="44"/>
  <c r="C105" i="44"/>
  <c r="L104" i="44"/>
  <c r="J104" i="44"/>
  <c r="I104" i="44"/>
  <c r="H104" i="44"/>
  <c r="G104" i="44"/>
  <c r="K104" i="44" s="1"/>
  <c r="F104" i="44"/>
  <c r="E104" i="44"/>
  <c r="C104" i="44"/>
  <c r="E100" i="44"/>
  <c r="C100" i="44"/>
  <c r="M100" i="44" s="1"/>
  <c r="E96" i="44"/>
  <c r="D96" i="44"/>
  <c r="M96" i="44" s="1"/>
  <c r="E95" i="44"/>
  <c r="D95" i="44"/>
  <c r="D91" i="44"/>
  <c r="M91" i="44" s="1"/>
  <c r="E163" i="44" s="1"/>
  <c r="D90" i="44"/>
  <c r="M90" i="44" s="1"/>
  <c r="D86" i="44"/>
  <c r="M86" i="44" s="1"/>
  <c r="D85" i="44"/>
  <c r="M85" i="44" s="1"/>
  <c r="I78" i="44"/>
  <c r="G78" i="44"/>
  <c r="B78" i="44"/>
  <c r="J78" i="44" s="1"/>
  <c r="C165" i="44" s="1"/>
  <c r="H77" i="44"/>
  <c r="G77" i="44"/>
  <c r="B77" i="44"/>
  <c r="J77" i="44" s="1"/>
  <c r="C164" i="44" s="1"/>
  <c r="G76" i="44"/>
  <c r="J76" i="44" s="1"/>
  <c r="C163" i="44" s="1"/>
  <c r="B76" i="44"/>
  <c r="I75" i="44"/>
  <c r="G75" i="44"/>
  <c r="B75" i="44"/>
  <c r="J75" i="44" s="1"/>
  <c r="C162" i="44" s="1"/>
  <c r="H74" i="44"/>
  <c r="G74" i="44"/>
  <c r="B74" i="44"/>
  <c r="J74" i="44" s="1"/>
  <c r="C161" i="44" s="1"/>
  <c r="G73" i="44"/>
  <c r="B73" i="44"/>
  <c r="J73" i="44" s="1"/>
  <c r="C160" i="44" s="1"/>
  <c r="N64" i="44"/>
  <c r="N60" i="44"/>
  <c r="K178" i="44"/>
  <c r="N58" i="44"/>
  <c r="N57" i="44"/>
  <c r="N56" i="44"/>
  <c r="N53" i="44"/>
  <c r="N52" i="44"/>
  <c r="N51" i="44"/>
  <c r="N50" i="44"/>
  <c r="N49" i="44"/>
  <c r="N48" i="44"/>
  <c r="N46" i="44"/>
  <c r="N45" i="44"/>
  <c r="N44" i="44"/>
  <c r="N43" i="44"/>
  <c r="N42" i="44"/>
  <c r="N41" i="44"/>
  <c r="N40" i="44"/>
  <c r="N39" i="44"/>
  <c r="N38" i="44"/>
  <c r="N37" i="44"/>
  <c r="N36" i="44"/>
  <c r="N34" i="44"/>
  <c r="N33" i="44"/>
  <c r="N32" i="44"/>
  <c r="N31" i="44"/>
  <c r="N30" i="44"/>
  <c r="N29" i="44"/>
  <c r="N28" i="44"/>
  <c r="N27" i="44"/>
  <c r="N26" i="44"/>
  <c r="N25" i="44"/>
  <c r="N24" i="44"/>
  <c r="N23" i="44"/>
  <c r="N22" i="44"/>
  <c r="N20" i="44"/>
  <c r="N19" i="44"/>
  <c r="N18" i="44"/>
  <c r="N16" i="44"/>
  <c r="N13" i="44"/>
  <c r="F13" i="44"/>
  <c r="F12" i="44"/>
  <c r="N12" i="44" s="1"/>
  <c r="E6" i="44"/>
  <c r="M181" i="43"/>
  <c r="I181" i="43" s="1"/>
  <c r="L181" i="43"/>
  <c r="G181" i="43"/>
  <c r="F181" i="43"/>
  <c r="E181" i="43"/>
  <c r="M180" i="43"/>
  <c r="I180" i="43" s="1"/>
  <c r="J180" i="43"/>
  <c r="G180" i="43"/>
  <c r="F180" i="43"/>
  <c r="E180" i="43"/>
  <c r="M179" i="43"/>
  <c r="I179" i="43" s="1"/>
  <c r="G179" i="43"/>
  <c r="F179" i="43"/>
  <c r="E179" i="43"/>
  <c r="M178" i="43"/>
  <c r="I178" i="43" s="1"/>
  <c r="G178" i="43"/>
  <c r="F178" i="43"/>
  <c r="E178" i="43"/>
  <c r="M177" i="43"/>
  <c r="I177" i="43" s="1"/>
  <c r="L177" i="43"/>
  <c r="G177" i="43"/>
  <c r="F177" i="43"/>
  <c r="E177" i="43"/>
  <c r="M176" i="43"/>
  <c r="I176" i="43" s="1"/>
  <c r="J176" i="43"/>
  <c r="G176" i="43"/>
  <c r="F176" i="43"/>
  <c r="E176" i="43"/>
  <c r="M175" i="43"/>
  <c r="I175" i="43" s="1"/>
  <c r="G175" i="43"/>
  <c r="F175" i="43"/>
  <c r="E175" i="43"/>
  <c r="M174" i="43"/>
  <c r="I174" i="43" s="1"/>
  <c r="G174" i="43"/>
  <c r="F174" i="43"/>
  <c r="E174" i="43"/>
  <c r="M173" i="43"/>
  <c r="I173" i="43" s="1"/>
  <c r="L173" i="43"/>
  <c r="G173" i="43"/>
  <c r="F173" i="43"/>
  <c r="E173" i="43"/>
  <c r="M172" i="43"/>
  <c r="I172" i="43" s="1"/>
  <c r="J172" i="43"/>
  <c r="G172" i="43"/>
  <c r="F172" i="43"/>
  <c r="E172" i="43"/>
  <c r="M171" i="43"/>
  <c r="I171" i="43" s="1"/>
  <c r="G171" i="43"/>
  <c r="F171" i="43"/>
  <c r="E171" i="43"/>
  <c r="M170" i="43"/>
  <c r="I170" i="43" s="1"/>
  <c r="G170" i="43"/>
  <c r="F170" i="43"/>
  <c r="E170" i="43"/>
  <c r="R165" i="43"/>
  <c r="H229" i="43" s="1"/>
  <c r="R163" i="43"/>
  <c r="L211" i="43" s="1"/>
  <c r="R162" i="43"/>
  <c r="E192" i="43" s="1"/>
  <c r="R160" i="43"/>
  <c r="E188" i="43" s="1"/>
  <c r="M156" i="43"/>
  <c r="Q165" i="43" s="1"/>
  <c r="D156" i="43"/>
  <c r="D155" i="43"/>
  <c r="M155" i="43" s="1"/>
  <c r="Q162" i="43" s="1"/>
  <c r="D153" i="43"/>
  <c r="M153" i="43" s="1"/>
  <c r="Q164" i="43" s="1"/>
  <c r="D152" i="43"/>
  <c r="M152" i="43" s="1"/>
  <c r="Q161" i="43" s="1"/>
  <c r="E148" i="43"/>
  <c r="C148" i="43"/>
  <c r="E147" i="43"/>
  <c r="C147" i="43"/>
  <c r="M147" i="43" s="1"/>
  <c r="P160" i="43" s="1"/>
  <c r="M143" i="43"/>
  <c r="O164" i="43" s="1"/>
  <c r="E143" i="43"/>
  <c r="C143" i="43"/>
  <c r="F143" i="43" s="1"/>
  <c r="E142" i="43"/>
  <c r="C142" i="43"/>
  <c r="M142" i="43" s="1"/>
  <c r="I138" i="43"/>
  <c r="H138" i="43"/>
  <c r="G138" i="43"/>
  <c r="F138" i="43"/>
  <c r="E138" i="43"/>
  <c r="C138" i="43"/>
  <c r="M138" i="43" s="1"/>
  <c r="N164" i="43" s="1"/>
  <c r="M137" i="43"/>
  <c r="N160" i="43" s="1"/>
  <c r="I137" i="43"/>
  <c r="H137" i="43"/>
  <c r="G137" i="43"/>
  <c r="F137" i="43"/>
  <c r="E137" i="43"/>
  <c r="C137" i="43"/>
  <c r="E133" i="43"/>
  <c r="C133" i="43"/>
  <c r="M133" i="43" s="1"/>
  <c r="E129" i="43"/>
  <c r="D129" i="43"/>
  <c r="M129" i="43" s="1"/>
  <c r="L163" i="43" s="1"/>
  <c r="M128" i="43"/>
  <c r="L160" i="43" s="1"/>
  <c r="E128" i="43"/>
  <c r="D128" i="43"/>
  <c r="K124" i="43"/>
  <c r="I124" i="43"/>
  <c r="H124" i="43"/>
  <c r="G124" i="43"/>
  <c r="J124" i="43" s="1"/>
  <c r="M124" i="43" s="1"/>
  <c r="K160" i="43" s="1"/>
  <c r="F124" i="43"/>
  <c r="D124" i="43"/>
  <c r="E120" i="43"/>
  <c r="J118" i="43"/>
  <c r="F120" i="43" s="1"/>
  <c r="G118" i="43"/>
  <c r="F118" i="43"/>
  <c r="E118" i="43"/>
  <c r="C118" i="43"/>
  <c r="J114" i="43"/>
  <c r="G114" i="43"/>
  <c r="F114" i="43"/>
  <c r="E114" i="43"/>
  <c r="F110" i="43"/>
  <c r="E110" i="43"/>
  <c r="C110" i="43"/>
  <c r="F109" i="43"/>
  <c r="E109" i="43"/>
  <c r="C109" i="43"/>
  <c r="H181" i="43" s="1"/>
  <c r="L105" i="43"/>
  <c r="J105" i="43"/>
  <c r="I105" i="43"/>
  <c r="H105" i="43"/>
  <c r="G105" i="43"/>
  <c r="F105" i="43"/>
  <c r="E105" i="43"/>
  <c r="D105" i="43"/>
  <c r="C105" i="43"/>
  <c r="L104" i="43"/>
  <c r="J104" i="43"/>
  <c r="I104" i="43"/>
  <c r="H104" i="43"/>
  <c r="G104" i="43"/>
  <c r="F104" i="43"/>
  <c r="E104" i="43"/>
  <c r="C104" i="43"/>
  <c r="E100" i="43"/>
  <c r="C100" i="43"/>
  <c r="M100" i="43" s="1"/>
  <c r="G161" i="43" s="1"/>
  <c r="E96" i="43"/>
  <c r="D96" i="43"/>
  <c r="E95" i="43"/>
  <c r="D95" i="43"/>
  <c r="D91" i="43"/>
  <c r="M91" i="43" s="1"/>
  <c r="D90" i="43"/>
  <c r="M90" i="43" s="1"/>
  <c r="D86" i="43"/>
  <c r="M86" i="43" s="1"/>
  <c r="D164" i="43" s="1"/>
  <c r="D85" i="43"/>
  <c r="M85" i="43" s="1"/>
  <c r="I78" i="43"/>
  <c r="G78" i="43"/>
  <c r="B78" i="43"/>
  <c r="H77" i="43"/>
  <c r="G77" i="43"/>
  <c r="B77" i="43"/>
  <c r="G76" i="43"/>
  <c r="J76" i="43" s="1"/>
  <c r="C163" i="43" s="1"/>
  <c r="B76" i="43"/>
  <c r="I75" i="43"/>
  <c r="G75" i="43"/>
  <c r="B75" i="43"/>
  <c r="J75" i="43" s="1"/>
  <c r="C162" i="43" s="1"/>
  <c r="H74" i="43"/>
  <c r="G74" i="43"/>
  <c r="B74" i="43"/>
  <c r="J74" i="43" s="1"/>
  <c r="C161" i="43" s="1"/>
  <c r="G73" i="43"/>
  <c r="B73" i="43"/>
  <c r="J73" i="43" s="1"/>
  <c r="C160" i="43" s="1"/>
  <c r="N64" i="43"/>
  <c r="N60" i="43"/>
  <c r="N59" i="43"/>
  <c r="K178" i="43"/>
  <c r="N58" i="43"/>
  <c r="N57" i="43"/>
  <c r="N56" i="43"/>
  <c r="N53" i="43"/>
  <c r="N52" i="43"/>
  <c r="N51" i="43"/>
  <c r="N50" i="43"/>
  <c r="N49" i="43"/>
  <c r="N48" i="43"/>
  <c r="N46" i="43"/>
  <c r="N45" i="43"/>
  <c r="N44" i="43"/>
  <c r="N43" i="43"/>
  <c r="N42" i="43"/>
  <c r="N41" i="43"/>
  <c r="N40" i="43"/>
  <c r="N39" i="43"/>
  <c r="N38" i="43"/>
  <c r="N37" i="43"/>
  <c r="N36" i="43"/>
  <c r="N34" i="43"/>
  <c r="N33" i="43"/>
  <c r="N32" i="43"/>
  <c r="N31" i="43"/>
  <c r="N30" i="43"/>
  <c r="N29" i="43"/>
  <c r="N28" i="43"/>
  <c r="N27" i="43"/>
  <c r="N26" i="43"/>
  <c r="N25" i="43"/>
  <c r="N24" i="43"/>
  <c r="N23" i="43"/>
  <c r="N22" i="43"/>
  <c r="N20" i="43"/>
  <c r="N19" i="43"/>
  <c r="N18" i="43"/>
  <c r="N16" i="43"/>
  <c r="F13" i="43"/>
  <c r="N13" i="43" s="1"/>
  <c r="F12" i="43"/>
  <c r="N12" i="43" s="1"/>
  <c r="E6" i="43"/>
  <c r="M181" i="42"/>
  <c r="I181" i="42" s="1"/>
  <c r="G181" i="42"/>
  <c r="F181" i="42"/>
  <c r="E181" i="42"/>
  <c r="M180" i="42"/>
  <c r="I180" i="42" s="1"/>
  <c r="G180" i="42"/>
  <c r="F180" i="42"/>
  <c r="E180" i="42"/>
  <c r="M179" i="42"/>
  <c r="I179" i="42" s="1"/>
  <c r="G179" i="42"/>
  <c r="F179" i="42"/>
  <c r="E179" i="42"/>
  <c r="M178" i="42"/>
  <c r="I178" i="42" s="1"/>
  <c r="L178" i="42"/>
  <c r="G178" i="42"/>
  <c r="F178" i="42"/>
  <c r="E178" i="42"/>
  <c r="M177" i="42"/>
  <c r="I177" i="42" s="1"/>
  <c r="G177" i="42"/>
  <c r="F177" i="42"/>
  <c r="E177" i="42"/>
  <c r="M176" i="42"/>
  <c r="I176" i="42" s="1"/>
  <c r="G176" i="42"/>
  <c r="F176" i="42"/>
  <c r="E176" i="42"/>
  <c r="M175" i="42"/>
  <c r="I175" i="42" s="1"/>
  <c r="G175" i="42"/>
  <c r="F175" i="42"/>
  <c r="E175" i="42"/>
  <c r="M174" i="42"/>
  <c r="L174" i="42"/>
  <c r="I174" i="42"/>
  <c r="G174" i="42"/>
  <c r="F174" i="42"/>
  <c r="E174" i="42"/>
  <c r="M173" i="42"/>
  <c r="I173" i="42" s="1"/>
  <c r="G173" i="42"/>
  <c r="F173" i="42"/>
  <c r="E173" i="42"/>
  <c r="M172" i="42"/>
  <c r="I172" i="42" s="1"/>
  <c r="G172" i="42"/>
  <c r="F172" i="42"/>
  <c r="E172" i="42"/>
  <c r="M171" i="42"/>
  <c r="I171" i="42" s="1"/>
  <c r="G171" i="42"/>
  <c r="F171" i="42"/>
  <c r="E171" i="42"/>
  <c r="M170" i="42"/>
  <c r="I170" i="42" s="1"/>
  <c r="L170" i="42"/>
  <c r="G170" i="42"/>
  <c r="F170" i="42"/>
  <c r="E170" i="42"/>
  <c r="R165" i="42"/>
  <c r="H229" i="42" s="1"/>
  <c r="R163" i="42"/>
  <c r="L211" i="42" s="1"/>
  <c r="R162" i="42"/>
  <c r="K192" i="42" s="1"/>
  <c r="D162" i="42"/>
  <c r="R160" i="42"/>
  <c r="E187" i="42" s="1"/>
  <c r="M156" i="42"/>
  <c r="Q165" i="42" s="1"/>
  <c r="D156" i="42"/>
  <c r="D155" i="42"/>
  <c r="M155" i="42" s="1"/>
  <c r="Q162" i="42" s="1"/>
  <c r="D153" i="42"/>
  <c r="M153" i="42" s="1"/>
  <c r="Q164" i="42" s="1"/>
  <c r="D152" i="42"/>
  <c r="M152" i="42" s="1"/>
  <c r="Q161" i="42" s="1"/>
  <c r="E148" i="42"/>
  <c r="C148" i="42"/>
  <c r="M148" i="42" s="1"/>
  <c r="P163" i="42" s="1"/>
  <c r="E147" i="42"/>
  <c r="C147" i="42"/>
  <c r="M147" i="42" s="1"/>
  <c r="P160" i="42" s="1"/>
  <c r="M143" i="42"/>
  <c r="E143" i="42"/>
  <c r="C143" i="42"/>
  <c r="F143" i="42" s="1"/>
  <c r="E142" i="42"/>
  <c r="C142" i="42"/>
  <c r="M142" i="42" s="1"/>
  <c r="I138" i="42"/>
  <c r="H138" i="42"/>
  <c r="G138" i="42"/>
  <c r="F138" i="42"/>
  <c r="E138" i="42"/>
  <c r="C138" i="42"/>
  <c r="I137" i="42"/>
  <c r="H137" i="42"/>
  <c r="G137" i="42"/>
  <c r="F137" i="42"/>
  <c r="E137" i="42"/>
  <c r="C137" i="42"/>
  <c r="E133" i="42"/>
  <c r="C133" i="42"/>
  <c r="E129" i="42"/>
  <c r="D129" i="42"/>
  <c r="M128" i="42"/>
  <c r="L160" i="42" s="1"/>
  <c r="E128" i="42"/>
  <c r="D128" i="42"/>
  <c r="I124" i="42"/>
  <c r="K124" i="42" s="1"/>
  <c r="H124" i="42"/>
  <c r="G124" i="42"/>
  <c r="F124" i="42"/>
  <c r="J124" i="42" s="1"/>
  <c r="D124" i="42"/>
  <c r="F120" i="42"/>
  <c r="E120" i="42"/>
  <c r="J118" i="42"/>
  <c r="G118" i="42"/>
  <c r="F118" i="42"/>
  <c r="E118" i="42"/>
  <c r="J114" i="42"/>
  <c r="G114" i="42"/>
  <c r="E116" i="42" s="1"/>
  <c r="F114" i="42"/>
  <c r="E114" i="42"/>
  <c r="C114" i="42"/>
  <c r="F110" i="42"/>
  <c r="E110" i="42"/>
  <c r="C110" i="42"/>
  <c r="F109" i="42"/>
  <c r="E109" i="42"/>
  <c r="C109" i="42"/>
  <c r="L105" i="42"/>
  <c r="J105" i="42"/>
  <c r="I105" i="42"/>
  <c r="H105" i="42"/>
  <c r="G105" i="42"/>
  <c r="F105" i="42"/>
  <c r="E105" i="42"/>
  <c r="D105" i="42"/>
  <c r="C105" i="42"/>
  <c r="L104" i="42"/>
  <c r="J104" i="42"/>
  <c r="I104" i="42"/>
  <c r="H104" i="42"/>
  <c r="G104" i="42"/>
  <c r="F104" i="42"/>
  <c r="E104" i="42"/>
  <c r="C104" i="42"/>
  <c r="E100" i="42"/>
  <c r="C100" i="42"/>
  <c r="E96" i="42"/>
  <c r="D96" i="42"/>
  <c r="E95" i="42"/>
  <c r="D95" i="42"/>
  <c r="D91" i="42"/>
  <c r="M91" i="42" s="1"/>
  <c r="D90" i="42"/>
  <c r="M90" i="42" s="1"/>
  <c r="M86" i="42"/>
  <c r="D164" i="42" s="1"/>
  <c r="D86" i="42"/>
  <c r="D85" i="42"/>
  <c r="M85" i="42" s="1"/>
  <c r="I78" i="42"/>
  <c r="G78" i="42"/>
  <c r="B78" i="42"/>
  <c r="H77" i="42"/>
  <c r="G77" i="42"/>
  <c r="B77" i="42"/>
  <c r="J77" i="42" s="1"/>
  <c r="C164" i="42" s="1"/>
  <c r="G76" i="42"/>
  <c r="B76" i="42"/>
  <c r="J76" i="42" s="1"/>
  <c r="C163" i="42" s="1"/>
  <c r="I75" i="42"/>
  <c r="G75" i="42"/>
  <c r="B75" i="42"/>
  <c r="H74" i="42"/>
  <c r="G74" i="42"/>
  <c r="J74" i="42" s="1"/>
  <c r="C161" i="42" s="1"/>
  <c r="B74" i="42"/>
  <c r="G73" i="42"/>
  <c r="B73" i="42"/>
  <c r="J73" i="42" s="1"/>
  <c r="C160" i="42" s="1"/>
  <c r="N64" i="42"/>
  <c r="N60" i="42"/>
  <c r="J181" i="42"/>
  <c r="N58" i="42"/>
  <c r="N57" i="42"/>
  <c r="N56" i="42"/>
  <c r="N53" i="42"/>
  <c r="N52" i="42"/>
  <c r="N51" i="42"/>
  <c r="N50" i="42"/>
  <c r="N49" i="42"/>
  <c r="N48" i="42"/>
  <c r="N46" i="42"/>
  <c r="N45" i="42"/>
  <c r="N44" i="42"/>
  <c r="N43" i="42"/>
  <c r="N42" i="42"/>
  <c r="N41" i="42"/>
  <c r="N40" i="42"/>
  <c r="N39" i="42"/>
  <c r="N38" i="42"/>
  <c r="N37" i="42"/>
  <c r="N36" i="42"/>
  <c r="N34" i="42"/>
  <c r="N33" i="42"/>
  <c r="N32" i="42"/>
  <c r="N31" i="42"/>
  <c r="N30" i="42"/>
  <c r="N29" i="42"/>
  <c r="N28" i="42"/>
  <c r="N27" i="42"/>
  <c r="N26" i="42"/>
  <c r="N25" i="42"/>
  <c r="N24" i="42"/>
  <c r="N23" i="42"/>
  <c r="N22" i="42"/>
  <c r="N20" i="42"/>
  <c r="N19" i="42"/>
  <c r="N18" i="42"/>
  <c r="N16" i="42"/>
  <c r="F13" i="42"/>
  <c r="N13" i="42" s="1"/>
  <c r="F12" i="42"/>
  <c r="N12" i="42" s="1"/>
  <c r="E6" i="42"/>
  <c r="M181" i="41"/>
  <c r="I181" i="41" s="1"/>
  <c r="G181" i="41"/>
  <c r="F181" i="41"/>
  <c r="E181" i="41"/>
  <c r="M180" i="41"/>
  <c r="I180" i="41" s="1"/>
  <c r="G180" i="41"/>
  <c r="F180" i="41"/>
  <c r="E180" i="41"/>
  <c r="M179" i="41"/>
  <c r="I179" i="41" s="1"/>
  <c r="G179" i="41"/>
  <c r="F179" i="41"/>
  <c r="E179" i="41"/>
  <c r="M178" i="41"/>
  <c r="I178" i="41" s="1"/>
  <c r="L178" i="41"/>
  <c r="G178" i="41"/>
  <c r="F178" i="41"/>
  <c r="E178" i="41"/>
  <c r="M177" i="41"/>
  <c r="I177" i="41" s="1"/>
  <c r="G177" i="41"/>
  <c r="F177" i="41"/>
  <c r="E177" i="41"/>
  <c r="M176" i="41"/>
  <c r="I176" i="41" s="1"/>
  <c r="G176" i="41"/>
  <c r="F176" i="41"/>
  <c r="E176" i="41"/>
  <c r="M175" i="41"/>
  <c r="I175" i="41"/>
  <c r="G175" i="41"/>
  <c r="F175" i="41"/>
  <c r="E175" i="41"/>
  <c r="M174" i="41"/>
  <c r="I174" i="41" s="1"/>
  <c r="G174" i="41"/>
  <c r="F174" i="41"/>
  <c r="E174" i="41"/>
  <c r="M173" i="41"/>
  <c r="I173" i="41" s="1"/>
  <c r="K173" i="41"/>
  <c r="G173" i="41"/>
  <c r="F173" i="41"/>
  <c r="E173" i="41"/>
  <c r="M172" i="41"/>
  <c r="I172" i="41"/>
  <c r="G172" i="41"/>
  <c r="F172" i="41"/>
  <c r="E172" i="41"/>
  <c r="M171" i="41"/>
  <c r="I171" i="41" s="1"/>
  <c r="G171" i="41"/>
  <c r="F171" i="41"/>
  <c r="E171" i="41"/>
  <c r="M170" i="41"/>
  <c r="I170" i="41" s="1"/>
  <c r="G170" i="41"/>
  <c r="F170" i="41"/>
  <c r="E170" i="41"/>
  <c r="R165" i="41"/>
  <c r="H229" i="41" s="1"/>
  <c r="R163" i="41"/>
  <c r="L211" i="41" s="1"/>
  <c r="R162" i="41"/>
  <c r="E191" i="41" s="1"/>
  <c r="R160" i="41"/>
  <c r="M156" i="41"/>
  <c r="Q165" i="41" s="1"/>
  <c r="D156" i="41"/>
  <c r="M155" i="41"/>
  <c r="Q162" i="41" s="1"/>
  <c r="D155" i="41"/>
  <c r="D153" i="41"/>
  <c r="M153" i="41" s="1"/>
  <c r="Q164" i="41" s="1"/>
  <c r="D152" i="41"/>
  <c r="M152" i="41" s="1"/>
  <c r="Q161" i="41" s="1"/>
  <c r="M148" i="41"/>
  <c r="P163" i="41" s="1"/>
  <c r="E148" i="41"/>
  <c r="C148" i="41"/>
  <c r="E147" i="41"/>
  <c r="C147" i="41"/>
  <c r="M147" i="41" s="1"/>
  <c r="P160" i="41" s="1"/>
  <c r="E143" i="41"/>
  <c r="C143" i="41"/>
  <c r="M143" i="41" s="1"/>
  <c r="O163" i="41" s="1"/>
  <c r="E142" i="41"/>
  <c r="C142" i="41"/>
  <c r="M142" i="41" s="1"/>
  <c r="I138" i="41"/>
  <c r="H138" i="41"/>
  <c r="G138" i="41"/>
  <c r="F138" i="41"/>
  <c r="E138" i="41"/>
  <c r="C138" i="41"/>
  <c r="I137" i="41"/>
  <c r="H137" i="41"/>
  <c r="G137" i="41"/>
  <c r="F137" i="41"/>
  <c r="E137" i="41"/>
  <c r="C137" i="41"/>
  <c r="E133" i="41"/>
  <c r="C133" i="41"/>
  <c r="M133" i="41" s="1"/>
  <c r="E129" i="41"/>
  <c r="M129" i="41" s="1"/>
  <c r="D129" i="41"/>
  <c r="E128" i="41"/>
  <c r="D128" i="41"/>
  <c r="M128" i="41" s="1"/>
  <c r="I124" i="41"/>
  <c r="H124" i="41"/>
  <c r="G124" i="41"/>
  <c r="J124" i="41" s="1"/>
  <c r="F124" i="41"/>
  <c r="D124" i="41"/>
  <c r="F120" i="41"/>
  <c r="J118" i="41"/>
  <c r="G118" i="41"/>
  <c r="E120" i="41" s="1"/>
  <c r="F118" i="41"/>
  <c r="D120" i="41" s="1"/>
  <c r="E118" i="41"/>
  <c r="E116" i="41"/>
  <c r="J114" i="41"/>
  <c r="G114" i="41"/>
  <c r="D116" i="41" s="1"/>
  <c r="F114" i="41"/>
  <c r="E114" i="41"/>
  <c r="C116" i="41" s="1"/>
  <c r="C114" i="41"/>
  <c r="F110" i="41"/>
  <c r="E110" i="41"/>
  <c r="C110" i="41"/>
  <c r="F109" i="41"/>
  <c r="E109" i="41"/>
  <c r="C109" i="41"/>
  <c r="H180" i="41" s="1"/>
  <c r="L105" i="41"/>
  <c r="J105" i="41"/>
  <c r="I105" i="41"/>
  <c r="H105" i="41"/>
  <c r="G105" i="41"/>
  <c r="F105" i="41"/>
  <c r="E105" i="41"/>
  <c r="D105" i="41"/>
  <c r="C105" i="41"/>
  <c r="L104" i="41"/>
  <c r="J104" i="41"/>
  <c r="I104" i="41"/>
  <c r="H104" i="41"/>
  <c r="G104" i="41"/>
  <c r="K104" i="41" s="1"/>
  <c r="F104" i="41"/>
  <c r="E104" i="41"/>
  <c r="C104" i="41"/>
  <c r="E100" i="41"/>
  <c r="C100" i="41"/>
  <c r="E96" i="41"/>
  <c r="D96" i="41"/>
  <c r="E95" i="41"/>
  <c r="D95" i="41"/>
  <c r="D91" i="41"/>
  <c r="M91" i="41" s="1"/>
  <c r="D90" i="41"/>
  <c r="M90" i="41" s="1"/>
  <c r="D86" i="41"/>
  <c r="M86" i="41" s="1"/>
  <c r="D163" i="41" s="1"/>
  <c r="D85" i="41"/>
  <c r="M85" i="41" s="1"/>
  <c r="D161" i="41" s="1"/>
  <c r="I78" i="41"/>
  <c r="G78" i="41"/>
  <c r="B78" i="41"/>
  <c r="H77" i="41"/>
  <c r="G77" i="41"/>
  <c r="B77" i="41"/>
  <c r="J77" i="41" s="1"/>
  <c r="C164" i="41" s="1"/>
  <c r="G76" i="41"/>
  <c r="J76" i="41" s="1"/>
  <c r="C163" i="41" s="1"/>
  <c r="B76" i="41"/>
  <c r="I75" i="41"/>
  <c r="G75" i="41"/>
  <c r="B75" i="41"/>
  <c r="H74" i="41"/>
  <c r="G74" i="41"/>
  <c r="B74" i="41"/>
  <c r="G73" i="41"/>
  <c r="B73" i="41"/>
  <c r="J73" i="41" s="1"/>
  <c r="C160" i="41" s="1"/>
  <c r="N64" i="41"/>
  <c r="N60" i="41"/>
  <c r="N59" i="41"/>
  <c r="J177" i="41"/>
  <c r="N58" i="41"/>
  <c r="N57" i="41"/>
  <c r="N56" i="41"/>
  <c r="N53" i="41"/>
  <c r="N52" i="41"/>
  <c r="N51" i="41"/>
  <c r="N50" i="41"/>
  <c r="N49" i="41"/>
  <c r="N48" i="41"/>
  <c r="N46" i="41"/>
  <c r="N45" i="41"/>
  <c r="N44" i="41"/>
  <c r="N43" i="41"/>
  <c r="N42" i="41"/>
  <c r="N41" i="41"/>
  <c r="N40" i="41"/>
  <c r="N39" i="41"/>
  <c r="N38" i="41"/>
  <c r="N37" i="41"/>
  <c r="N36" i="41"/>
  <c r="N34" i="41"/>
  <c r="N33" i="41"/>
  <c r="N32" i="41"/>
  <c r="N31" i="41"/>
  <c r="N30" i="41"/>
  <c r="N29" i="41"/>
  <c r="N28" i="41"/>
  <c r="N27" i="41"/>
  <c r="N26" i="41"/>
  <c r="N25" i="41"/>
  <c r="N24" i="41"/>
  <c r="N23" i="41"/>
  <c r="N22" i="41"/>
  <c r="N20" i="41"/>
  <c r="N19" i="41"/>
  <c r="N18" i="41"/>
  <c r="N16" i="41"/>
  <c r="F13" i="41"/>
  <c r="N13" i="41" s="1"/>
  <c r="F12" i="41"/>
  <c r="N12" i="41" s="1"/>
  <c r="E6" i="41"/>
  <c r="M181" i="40"/>
  <c r="I181" i="40" s="1"/>
  <c r="G181" i="40"/>
  <c r="F181" i="40"/>
  <c r="E181" i="40"/>
  <c r="M180" i="40"/>
  <c r="I180" i="40" s="1"/>
  <c r="G180" i="40"/>
  <c r="F180" i="40"/>
  <c r="E180" i="40"/>
  <c r="M179" i="40"/>
  <c r="I179" i="40" s="1"/>
  <c r="G179" i="40"/>
  <c r="F179" i="40"/>
  <c r="E179" i="40"/>
  <c r="M178" i="40"/>
  <c r="I178" i="40" s="1"/>
  <c r="G178" i="40"/>
  <c r="F178" i="40"/>
  <c r="E178" i="40"/>
  <c r="M177" i="40"/>
  <c r="I177" i="40" s="1"/>
  <c r="G177" i="40"/>
  <c r="F177" i="40"/>
  <c r="E177" i="40"/>
  <c r="M176" i="40"/>
  <c r="I176" i="40" s="1"/>
  <c r="G176" i="40"/>
  <c r="F176" i="40"/>
  <c r="E176" i="40"/>
  <c r="M175" i="40"/>
  <c r="I175" i="40" s="1"/>
  <c r="G175" i="40"/>
  <c r="F175" i="40"/>
  <c r="E175" i="40"/>
  <c r="M174" i="40"/>
  <c r="I174" i="40" s="1"/>
  <c r="G174" i="40"/>
  <c r="F174" i="40"/>
  <c r="E174" i="40"/>
  <c r="M173" i="40"/>
  <c r="I173" i="40" s="1"/>
  <c r="G173" i="40"/>
  <c r="F173" i="40"/>
  <c r="E173" i="40"/>
  <c r="M172" i="40"/>
  <c r="I172" i="40" s="1"/>
  <c r="G172" i="40"/>
  <c r="F172" i="40"/>
  <c r="E172" i="40"/>
  <c r="M171" i="40"/>
  <c r="I171" i="40" s="1"/>
  <c r="G171" i="40"/>
  <c r="F171" i="40"/>
  <c r="E171" i="40"/>
  <c r="M170" i="40"/>
  <c r="I170" i="40" s="1"/>
  <c r="G170" i="40"/>
  <c r="F170" i="40"/>
  <c r="E170" i="40"/>
  <c r="R165" i="40"/>
  <c r="H229" i="40" s="1"/>
  <c r="R163" i="40"/>
  <c r="L211" i="40" s="1"/>
  <c r="R162" i="40"/>
  <c r="K192" i="40" s="1"/>
  <c r="R160" i="40"/>
  <c r="M156" i="40"/>
  <c r="Q165" i="40" s="1"/>
  <c r="D156" i="40"/>
  <c r="M155" i="40"/>
  <c r="Q162" i="40" s="1"/>
  <c r="D155" i="40"/>
  <c r="D153" i="40"/>
  <c r="M153" i="40" s="1"/>
  <c r="Q164" i="40" s="1"/>
  <c r="M152" i="40"/>
  <c r="Q161" i="40" s="1"/>
  <c r="D152" i="40"/>
  <c r="M148" i="40"/>
  <c r="P163" i="40" s="1"/>
  <c r="E148" i="40"/>
  <c r="C148" i="40"/>
  <c r="E147" i="40"/>
  <c r="C147" i="40"/>
  <c r="M147" i="40" s="1"/>
  <c r="P160" i="40" s="1"/>
  <c r="E143" i="40"/>
  <c r="C143" i="40"/>
  <c r="F143" i="40" s="1"/>
  <c r="E142" i="40"/>
  <c r="C142" i="40"/>
  <c r="M142" i="40" s="1"/>
  <c r="I138" i="40"/>
  <c r="H138" i="40"/>
  <c r="G138" i="40"/>
  <c r="F138" i="40"/>
  <c r="E138" i="40"/>
  <c r="C138" i="40"/>
  <c r="I137" i="40"/>
  <c r="H137" i="40"/>
  <c r="G137" i="40"/>
  <c r="M137" i="40" s="1"/>
  <c r="F137" i="40"/>
  <c r="E137" i="40"/>
  <c r="C137" i="40"/>
  <c r="E133" i="40"/>
  <c r="C133" i="40"/>
  <c r="M133" i="40" s="1"/>
  <c r="E129" i="40"/>
  <c r="M129" i="40" s="1"/>
  <c r="D129" i="40"/>
  <c r="E128" i="40"/>
  <c r="D128" i="40"/>
  <c r="M128" i="40" s="1"/>
  <c r="L160" i="40" s="1"/>
  <c r="I124" i="40"/>
  <c r="H124" i="40"/>
  <c r="G124" i="40"/>
  <c r="J124" i="40" s="1"/>
  <c r="F124" i="40"/>
  <c r="D124" i="40"/>
  <c r="J118" i="40"/>
  <c r="G118" i="40"/>
  <c r="E120" i="40" s="1"/>
  <c r="F118" i="40"/>
  <c r="E118" i="40"/>
  <c r="J114" i="40"/>
  <c r="G114" i="40"/>
  <c r="F114" i="40"/>
  <c r="E114" i="40"/>
  <c r="F110" i="40"/>
  <c r="E110" i="40"/>
  <c r="C110" i="40"/>
  <c r="F109" i="40"/>
  <c r="E109" i="40"/>
  <c r="C109" i="40"/>
  <c r="L105" i="40"/>
  <c r="J105" i="40"/>
  <c r="I105" i="40"/>
  <c r="H105" i="40"/>
  <c r="G105" i="40"/>
  <c r="F105" i="40"/>
  <c r="E105" i="40"/>
  <c r="D105" i="40"/>
  <c r="C105" i="40"/>
  <c r="L104" i="40"/>
  <c r="J104" i="40"/>
  <c r="I104" i="40"/>
  <c r="H104" i="40"/>
  <c r="G104" i="40"/>
  <c r="F104" i="40"/>
  <c r="E104" i="40"/>
  <c r="C104" i="40"/>
  <c r="E100" i="40"/>
  <c r="C100" i="40"/>
  <c r="E96" i="40"/>
  <c r="D96" i="40"/>
  <c r="E95" i="40"/>
  <c r="D95" i="40"/>
  <c r="M95" i="40" s="1"/>
  <c r="D91" i="40"/>
  <c r="M91" i="40" s="1"/>
  <c r="D90" i="40"/>
  <c r="M90" i="40" s="1"/>
  <c r="D86" i="40"/>
  <c r="M86" i="40" s="1"/>
  <c r="D85" i="40"/>
  <c r="M85" i="40" s="1"/>
  <c r="D161" i="40" s="1"/>
  <c r="I78" i="40"/>
  <c r="G78" i="40"/>
  <c r="B78" i="40"/>
  <c r="H77" i="40"/>
  <c r="G77" i="40"/>
  <c r="B77" i="40"/>
  <c r="G76" i="40"/>
  <c r="B76" i="40"/>
  <c r="I75" i="40"/>
  <c r="G75" i="40"/>
  <c r="B75" i="40"/>
  <c r="H74" i="40"/>
  <c r="G74" i="40"/>
  <c r="J74" i="40" s="1"/>
  <c r="C161" i="40" s="1"/>
  <c r="B74" i="40"/>
  <c r="G73" i="40"/>
  <c r="B73" i="40"/>
  <c r="J73" i="40" s="1"/>
  <c r="C160" i="40" s="1"/>
  <c r="N64" i="40"/>
  <c r="N60" i="40"/>
  <c r="L170" i="40"/>
  <c r="N58" i="40"/>
  <c r="N57" i="40"/>
  <c r="N56" i="40"/>
  <c r="N53" i="40"/>
  <c r="N52" i="40"/>
  <c r="N51" i="40"/>
  <c r="N50" i="40"/>
  <c r="N49" i="40"/>
  <c r="N48" i="40"/>
  <c r="N46" i="40"/>
  <c r="N45" i="40"/>
  <c r="N44" i="40"/>
  <c r="N43" i="40"/>
  <c r="N42" i="40"/>
  <c r="N41" i="40"/>
  <c r="N40" i="40"/>
  <c r="N39" i="40"/>
  <c r="N38" i="40"/>
  <c r="N37" i="40"/>
  <c r="N36" i="40"/>
  <c r="N34" i="40"/>
  <c r="N33" i="40"/>
  <c r="N32" i="40"/>
  <c r="N31" i="40"/>
  <c r="N30" i="40"/>
  <c r="N29" i="40"/>
  <c r="N28" i="40"/>
  <c r="N27" i="40"/>
  <c r="N26" i="40"/>
  <c r="N25" i="40"/>
  <c r="N24" i="40"/>
  <c r="N23" i="40"/>
  <c r="N22" i="40"/>
  <c r="N20" i="40"/>
  <c r="N19" i="40"/>
  <c r="N18" i="40"/>
  <c r="N16" i="40"/>
  <c r="N13" i="40"/>
  <c r="F13" i="40"/>
  <c r="F12" i="40"/>
  <c r="N12" i="40" s="1"/>
  <c r="E6" i="40"/>
  <c r="M181" i="39"/>
  <c r="I181" i="39" s="1"/>
  <c r="G181" i="39"/>
  <c r="F181" i="39"/>
  <c r="E181" i="39"/>
  <c r="M180" i="39"/>
  <c r="I180" i="39" s="1"/>
  <c r="G180" i="39"/>
  <c r="F180" i="39"/>
  <c r="E180" i="39"/>
  <c r="M179" i="39"/>
  <c r="I179" i="39" s="1"/>
  <c r="G179" i="39"/>
  <c r="F179" i="39"/>
  <c r="E179" i="39"/>
  <c r="M178" i="39"/>
  <c r="I178" i="39" s="1"/>
  <c r="G178" i="39"/>
  <c r="F178" i="39"/>
  <c r="E178" i="39"/>
  <c r="M177" i="39"/>
  <c r="I177" i="39" s="1"/>
  <c r="G177" i="39"/>
  <c r="F177" i="39"/>
  <c r="E177" i="39"/>
  <c r="M176" i="39"/>
  <c r="I176" i="39" s="1"/>
  <c r="G176" i="39"/>
  <c r="F176" i="39"/>
  <c r="E176" i="39"/>
  <c r="M175" i="39"/>
  <c r="L175" i="39"/>
  <c r="K175" i="39"/>
  <c r="I175" i="39"/>
  <c r="G175" i="39"/>
  <c r="F175" i="39"/>
  <c r="E175" i="39"/>
  <c r="M174" i="39"/>
  <c r="I174" i="39" s="1"/>
  <c r="G174" i="39"/>
  <c r="F174" i="39"/>
  <c r="E174" i="39"/>
  <c r="M173" i="39"/>
  <c r="I173" i="39" s="1"/>
  <c r="G173" i="39"/>
  <c r="F173" i="39"/>
  <c r="E173" i="39"/>
  <c r="M172" i="39"/>
  <c r="I172" i="39" s="1"/>
  <c r="K172" i="39"/>
  <c r="G172" i="39"/>
  <c r="F172" i="39"/>
  <c r="E172" i="39"/>
  <c r="M171" i="39"/>
  <c r="I171" i="39" s="1"/>
  <c r="G171" i="39"/>
  <c r="F171" i="39"/>
  <c r="E171" i="39"/>
  <c r="M170" i="39"/>
  <c r="I170" i="39" s="1"/>
  <c r="L170" i="39"/>
  <c r="J170" i="39"/>
  <c r="G170" i="39"/>
  <c r="F170" i="39"/>
  <c r="E170" i="39"/>
  <c r="R165" i="39"/>
  <c r="D200" i="39" s="1"/>
  <c r="R163" i="39"/>
  <c r="E197" i="39" s="1"/>
  <c r="R162" i="39"/>
  <c r="F192" i="39" s="1"/>
  <c r="R160" i="39"/>
  <c r="I188" i="39" s="1"/>
  <c r="M156" i="39"/>
  <c r="Q165" i="39" s="1"/>
  <c r="D156" i="39"/>
  <c r="M155" i="39"/>
  <c r="Q162" i="39" s="1"/>
  <c r="D155" i="39"/>
  <c r="D153" i="39"/>
  <c r="M153" i="39" s="1"/>
  <c r="Q164" i="39" s="1"/>
  <c r="D152" i="39"/>
  <c r="M152" i="39" s="1"/>
  <c r="Q161" i="39" s="1"/>
  <c r="E148" i="39"/>
  <c r="C148" i="39"/>
  <c r="E147" i="39"/>
  <c r="C147" i="39"/>
  <c r="M147" i="39" s="1"/>
  <c r="P160" i="39" s="1"/>
  <c r="E143" i="39"/>
  <c r="C143" i="39"/>
  <c r="F143" i="39" s="1"/>
  <c r="E142" i="39"/>
  <c r="C142" i="39"/>
  <c r="M142" i="39" s="1"/>
  <c r="O162" i="39" s="1"/>
  <c r="I138" i="39"/>
  <c r="H138" i="39"/>
  <c r="G138" i="39"/>
  <c r="F138" i="39"/>
  <c r="E138" i="39"/>
  <c r="C138" i="39"/>
  <c r="M138" i="39" s="1"/>
  <c r="N165" i="39" s="1"/>
  <c r="I137" i="39"/>
  <c r="H137" i="39"/>
  <c r="G137" i="39"/>
  <c r="F137" i="39"/>
  <c r="E137" i="39"/>
  <c r="C137" i="39"/>
  <c r="M137" i="39" s="1"/>
  <c r="N161" i="39" s="1"/>
  <c r="E133" i="39"/>
  <c r="C133" i="39"/>
  <c r="E129" i="39"/>
  <c r="D129" i="39"/>
  <c r="E128" i="39"/>
  <c r="M128" i="39" s="1"/>
  <c r="D128" i="39"/>
  <c r="I124" i="39"/>
  <c r="H124" i="39"/>
  <c r="G124" i="39"/>
  <c r="F124" i="39"/>
  <c r="D124" i="39"/>
  <c r="J118" i="39"/>
  <c r="G118" i="39"/>
  <c r="C120" i="39" s="1"/>
  <c r="F118" i="39"/>
  <c r="E118" i="39"/>
  <c r="J114" i="39"/>
  <c r="G114" i="39"/>
  <c r="F114" i="39"/>
  <c r="E114" i="39"/>
  <c r="F110" i="39"/>
  <c r="E110" i="39"/>
  <c r="C110" i="39"/>
  <c r="F109" i="39"/>
  <c r="E109" i="39"/>
  <c r="C109" i="39"/>
  <c r="H177" i="39" s="1"/>
  <c r="L105" i="39"/>
  <c r="J105" i="39"/>
  <c r="I105" i="39"/>
  <c r="H105" i="39"/>
  <c r="G105" i="39"/>
  <c r="F105" i="39"/>
  <c r="E105" i="39"/>
  <c r="D105" i="39"/>
  <c r="C105" i="39"/>
  <c r="L104" i="39"/>
  <c r="J104" i="39"/>
  <c r="I104" i="39"/>
  <c r="H104" i="39"/>
  <c r="G104" i="39"/>
  <c r="F104" i="39"/>
  <c r="E104" i="39"/>
  <c r="C104" i="39"/>
  <c r="E100" i="39"/>
  <c r="C100" i="39"/>
  <c r="M100" i="39" s="1"/>
  <c r="G161" i="39" s="1"/>
  <c r="E96" i="39"/>
  <c r="D96" i="39"/>
  <c r="M96" i="39" s="1"/>
  <c r="F164" i="39" s="1"/>
  <c r="E95" i="39"/>
  <c r="D95" i="39"/>
  <c r="D91" i="39"/>
  <c r="M91" i="39" s="1"/>
  <c r="D90" i="39"/>
  <c r="M90" i="39" s="1"/>
  <c r="D86" i="39"/>
  <c r="M86" i="39" s="1"/>
  <c r="D163" i="39" s="1"/>
  <c r="M85" i="39"/>
  <c r="D162" i="39" s="1"/>
  <c r="D85" i="39"/>
  <c r="I78" i="39"/>
  <c r="G78" i="39"/>
  <c r="B78" i="39"/>
  <c r="H77" i="39"/>
  <c r="G77" i="39"/>
  <c r="B77" i="39"/>
  <c r="G76" i="39"/>
  <c r="B76" i="39"/>
  <c r="I75" i="39"/>
  <c r="G75" i="39"/>
  <c r="B75" i="39"/>
  <c r="H74" i="39"/>
  <c r="G74" i="39"/>
  <c r="B74" i="39"/>
  <c r="G73" i="39"/>
  <c r="B73" i="39"/>
  <c r="J73" i="39" s="1"/>
  <c r="C160" i="39" s="1"/>
  <c r="N64" i="39"/>
  <c r="N60" i="39"/>
  <c r="L171" i="39"/>
  <c r="N58" i="39"/>
  <c r="N57" i="39"/>
  <c r="N56" i="39"/>
  <c r="N53" i="39"/>
  <c r="N52" i="39"/>
  <c r="N51" i="39"/>
  <c r="N50" i="39"/>
  <c r="N49" i="39"/>
  <c r="N48" i="39"/>
  <c r="N46" i="39"/>
  <c r="N45" i="39"/>
  <c r="N44" i="39"/>
  <c r="N43" i="39"/>
  <c r="N42" i="39"/>
  <c r="N41" i="39"/>
  <c r="N40" i="39"/>
  <c r="N39" i="39"/>
  <c r="N38" i="39"/>
  <c r="N37" i="39"/>
  <c r="N36" i="39"/>
  <c r="N34" i="39"/>
  <c r="N33" i="39"/>
  <c r="N32" i="39"/>
  <c r="N31" i="39"/>
  <c r="N30" i="39"/>
  <c r="N29" i="39"/>
  <c r="N28" i="39"/>
  <c r="N27" i="39"/>
  <c r="N26" i="39"/>
  <c r="N25" i="39"/>
  <c r="N24" i="39"/>
  <c r="N23" i="39"/>
  <c r="N22" i="39"/>
  <c r="N20" i="39"/>
  <c r="N19" i="39"/>
  <c r="N18" i="39"/>
  <c r="N16" i="39"/>
  <c r="F13" i="39"/>
  <c r="N13" i="39" s="1"/>
  <c r="F12" i="39"/>
  <c r="N12" i="39" s="1"/>
  <c r="E6" i="39"/>
  <c r="K104" i="57" l="1"/>
  <c r="C120" i="57"/>
  <c r="C116" i="57"/>
  <c r="M95" i="57"/>
  <c r="M104" i="57"/>
  <c r="J75" i="57"/>
  <c r="C162" i="57" s="1"/>
  <c r="J76" i="57"/>
  <c r="C163" i="57" s="1"/>
  <c r="F143" i="57"/>
  <c r="M133" i="57"/>
  <c r="M160" i="57" s="1"/>
  <c r="M110" i="57"/>
  <c r="I164" i="57" s="1"/>
  <c r="M124" i="57"/>
  <c r="K160" i="57" s="1"/>
  <c r="M147" i="57"/>
  <c r="P160" i="57" s="1"/>
  <c r="C200" i="57"/>
  <c r="K104" i="56"/>
  <c r="K105" i="56"/>
  <c r="C116" i="56"/>
  <c r="D116" i="56"/>
  <c r="M95" i="56"/>
  <c r="M110" i="56"/>
  <c r="I165" i="56" s="1"/>
  <c r="M148" i="56"/>
  <c r="P163" i="56" s="1"/>
  <c r="J75" i="56"/>
  <c r="C162" i="56" s="1"/>
  <c r="F116" i="56"/>
  <c r="H171" i="56"/>
  <c r="D171" i="56" s="1"/>
  <c r="H172" i="56"/>
  <c r="J77" i="56"/>
  <c r="C164" i="56" s="1"/>
  <c r="J78" i="56"/>
  <c r="C165" i="56" s="1"/>
  <c r="M104" i="56"/>
  <c r="H161" i="56" s="1"/>
  <c r="M109" i="56"/>
  <c r="I161" i="56" s="1"/>
  <c r="J124" i="56"/>
  <c r="M124" i="56" s="1"/>
  <c r="K160" i="56" s="1"/>
  <c r="H170" i="56"/>
  <c r="C181" i="55"/>
  <c r="F116" i="55"/>
  <c r="K104" i="55"/>
  <c r="L160" i="55"/>
  <c r="L161" i="55"/>
  <c r="L162" i="55"/>
  <c r="M110" i="55"/>
  <c r="O164" i="55"/>
  <c r="O163" i="55"/>
  <c r="M137" i="55"/>
  <c r="M124" i="55"/>
  <c r="K160" i="55" s="1"/>
  <c r="F143" i="55"/>
  <c r="J74" i="55"/>
  <c r="C161" i="55" s="1"/>
  <c r="J77" i="55"/>
  <c r="C164" i="55" s="1"/>
  <c r="M142" i="55"/>
  <c r="O160" i="55" s="1"/>
  <c r="C181" i="54"/>
  <c r="E120" i="54"/>
  <c r="F120" i="54"/>
  <c r="F116" i="54"/>
  <c r="M109" i="54"/>
  <c r="I160" i="54" s="1"/>
  <c r="K104" i="54"/>
  <c r="M96" i="54"/>
  <c r="M110" i="54"/>
  <c r="I163" i="54" s="1"/>
  <c r="O164" i="54"/>
  <c r="O163" i="54"/>
  <c r="M137" i="54"/>
  <c r="J75" i="54"/>
  <c r="C162" i="54" s="1"/>
  <c r="M100" i="54"/>
  <c r="M124" i="54"/>
  <c r="K160" i="54" s="1"/>
  <c r="M147" i="54"/>
  <c r="P160" i="54" s="1"/>
  <c r="J77" i="54"/>
  <c r="C164" i="54" s="1"/>
  <c r="D116" i="53"/>
  <c r="F116" i="53"/>
  <c r="C116" i="53"/>
  <c r="E116" i="53"/>
  <c r="M96" i="53"/>
  <c r="K105" i="53"/>
  <c r="K104" i="53"/>
  <c r="M104" i="53" s="1"/>
  <c r="O165" i="53"/>
  <c r="O163" i="53"/>
  <c r="M100" i="53"/>
  <c r="M105" i="53"/>
  <c r="H165" i="53" s="1"/>
  <c r="M128" i="53"/>
  <c r="F142" i="53"/>
  <c r="J74" i="53"/>
  <c r="C161" i="53" s="1"/>
  <c r="M110" i="53"/>
  <c r="I164" i="53" s="1"/>
  <c r="M110" i="52"/>
  <c r="L161" i="52"/>
  <c r="L160" i="52"/>
  <c r="O164" i="52"/>
  <c r="O165" i="52"/>
  <c r="O163" i="52"/>
  <c r="J74" i="52"/>
  <c r="C161" i="52" s="1"/>
  <c r="M138" i="52"/>
  <c r="F143" i="52"/>
  <c r="M148" i="52"/>
  <c r="P163" i="52" s="1"/>
  <c r="J75" i="52"/>
  <c r="C162" i="52" s="1"/>
  <c r="M100" i="52"/>
  <c r="G160" i="52" s="1"/>
  <c r="M109" i="52"/>
  <c r="I160" i="52" s="1"/>
  <c r="J124" i="52"/>
  <c r="M124" i="52" s="1"/>
  <c r="K160" i="52" s="1"/>
  <c r="K104" i="51"/>
  <c r="M104" i="51" s="1"/>
  <c r="E116" i="51"/>
  <c r="M110" i="51"/>
  <c r="E161" i="51"/>
  <c r="E160" i="51"/>
  <c r="M109" i="51"/>
  <c r="I160" i="51" s="1"/>
  <c r="M100" i="51"/>
  <c r="M147" i="51"/>
  <c r="P160" i="51" s="1"/>
  <c r="J74" i="51"/>
  <c r="C161" i="51" s="1"/>
  <c r="J75" i="51"/>
  <c r="C162" i="51" s="1"/>
  <c r="M137" i="51"/>
  <c r="M142" i="51"/>
  <c r="H170" i="51"/>
  <c r="C192" i="51"/>
  <c r="J73" i="51"/>
  <c r="C160" i="51" s="1"/>
  <c r="J76" i="51"/>
  <c r="C163" i="51" s="1"/>
  <c r="K124" i="51"/>
  <c r="H174" i="51"/>
  <c r="D181" i="50"/>
  <c r="C116" i="50"/>
  <c r="K104" i="50"/>
  <c r="D163" i="50"/>
  <c r="D164" i="50"/>
  <c r="O165" i="50"/>
  <c r="O164" i="50"/>
  <c r="J74" i="50"/>
  <c r="C161" i="50" s="1"/>
  <c r="F143" i="50"/>
  <c r="H173" i="50"/>
  <c r="D173" i="50" s="1"/>
  <c r="H175" i="50"/>
  <c r="J124" i="50"/>
  <c r="M142" i="50"/>
  <c r="O160" i="50" s="1"/>
  <c r="H177" i="50"/>
  <c r="C177" i="50" s="1"/>
  <c r="B178" i="50"/>
  <c r="D175" i="50"/>
  <c r="M147" i="50"/>
  <c r="P160" i="50" s="1"/>
  <c r="H171" i="50"/>
  <c r="D171" i="50" s="1"/>
  <c r="H179" i="50"/>
  <c r="D179" i="50" s="1"/>
  <c r="B179" i="49"/>
  <c r="F120" i="49"/>
  <c r="C116" i="49"/>
  <c r="C120" i="49"/>
  <c r="D120" i="49"/>
  <c r="M110" i="49"/>
  <c r="M95" i="49"/>
  <c r="E161" i="49"/>
  <c r="M104" i="49"/>
  <c r="H160" i="49" s="1"/>
  <c r="H170" i="49"/>
  <c r="H174" i="49"/>
  <c r="H178" i="49"/>
  <c r="J73" i="49"/>
  <c r="C160" i="49" s="1"/>
  <c r="J124" i="49"/>
  <c r="M124" i="49" s="1"/>
  <c r="K160" i="49" s="1"/>
  <c r="M137" i="49"/>
  <c r="H171" i="49"/>
  <c r="B171" i="49" s="1"/>
  <c r="H175" i="49"/>
  <c r="B175" i="49" s="1"/>
  <c r="C120" i="48"/>
  <c r="M110" i="48"/>
  <c r="M95" i="48"/>
  <c r="F161" i="48" s="1"/>
  <c r="K105" i="48"/>
  <c r="K104" i="48"/>
  <c r="L165" i="48"/>
  <c r="L164" i="48"/>
  <c r="J76" i="48"/>
  <c r="C163" i="48" s="1"/>
  <c r="J78" i="48"/>
  <c r="C165" i="48" s="1"/>
  <c r="M104" i="48"/>
  <c r="H162" i="48" s="1"/>
  <c r="F116" i="48"/>
  <c r="H178" i="48"/>
  <c r="B178" i="48" s="1"/>
  <c r="J77" i="48"/>
  <c r="C164" i="48" s="1"/>
  <c r="G160" i="48"/>
  <c r="O164" i="48"/>
  <c r="E196" i="48"/>
  <c r="H173" i="48"/>
  <c r="H177" i="48"/>
  <c r="M148" i="48"/>
  <c r="P163" i="48" s="1"/>
  <c r="G161" i="48"/>
  <c r="H170" i="48"/>
  <c r="B170" i="48" s="1"/>
  <c r="H174" i="48"/>
  <c r="B174" i="48" s="1"/>
  <c r="H181" i="48"/>
  <c r="D116" i="47"/>
  <c r="D120" i="47"/>
  <c r="C116" i="47"/>
  <c r="E116" i="47"/>
  <c r="K104" i="47"/>
  <c r="D164" i="47"/>
  <c r="D163" i="47"/>
  <c r="M137" i="47"/>
  <c r="N160" i="47" s="1"/>
  <c r="M114" i="47"/>
  <c r="J161" i="47" s="1"/>
  <c r="M129" i="47"/>
  <c r="M147" i="47"/>
  <c r="P160" i="47" s="1"/>
  <c r="M110" i="47"/>
  <c r="I164" i="47" s="1"/>
  <c r="M133" i="47"/>
  <c r="L162" i="47"/>
  <c r="J75" i="47"/>
  <c r="C162" i="47" s="1"/>
  <c r="L160" i="47"/>
  <c r="K105" i="46"/>
  <c r="M96" i="46"/>
  <c r="F164" i="46" s="1"/>
  <c r="M110" i="46"/>
  <c r="I164" i="46" s="1"/>
  <c r="K104" i="46"/>
  <c r="D165" i="46"/>
  <c r="L162" i="46"/>
  <c r="L161" i="46"/>
  <c r="L160" i="46"/>
  <c r="M129" i="46"/>
  <c r="L163" i="46" s="1"/>
  <c r="M161" i="46"/>
  <c r="J76" i="46"/>
  <c r="C163" i="46" s="1"/>
  <c r="M138" i="46"/>
  <c r="N163" i="46" s="1"/>
  <c r="H179" i="46"/>
  <c r="H176" i="46"/>
  <c r="J77" i="46"/>
  <c r="C164" i="46" s="1"/>
  <c r="M109" i="46"/>
  <c r="I161" i="46" s="1"/>
  <c r="K124" i="46"/>
  <c r="M124" i="46" s="1"/>
  <c r="K160" i="46" s="1"/>
  <c r="M137" i="46"/>
  <c r="N160" i="46" s="1"/>
  <c r="J74" i="46"/>
  <c r="C161" i="46" s="1"/>
  <c r="J78" i="46"/>
  <c r="C165" i="46" s="1"/>
  <c r="H180" i="46"/>
  <c r="C116" i="45"/>
  <c r="M109" i="45"/>
  <c r="I162" i="45" s="1"/>
  <c r="K104" i="45"/>
  <c r="K105" i="45"/>
  <c r="E161" i="45"/>
  <c r="E160" i="45"/>
  <c r="J75" i="45"/>
  <c r="C162" i="45" s="1"/>
  <c r="J78" i="45"/>
  <c r="C165" i="45" s="1"/>
  <c r="M110" i="45"/>
  <c r="I163" i="45" s="1"/>
  <c r="M133" i="45"/>
  <c r="H173" i="45"/>
  <c r="H181" i="45"/>
  <c r="J74" i="45"/>
  <c r="C161" i="45" s="1"/>
  <c r="H171" i="45"/>
  <c r="B173" i="45"/>
  <c r="H180" i="45"/>
  <c r="C180" i="45" s="1"/>
  <c r="J77" i="45"/>
  <c r="C164" i="45" s="1"/>
  <c r="M95" i="45"/>
  <c r="M147" i="45"/>
  <c r="P160" i="45" s="1"/>
  <c r="D120" i="44"/>
  <c r="E120" i="44"/>
  <c r="F120" i="44"/>
  <c r="M110" i="44"/>
  <c r="M95" i="44"/>
  <c r="D164" i="44"/>
  <c r="D165" i="44"/>
  <c r="L162" i="44"/>
  <c r="L161" i="44"/>
  <c r="L160" i="44"/>
  <c r="M124" i="44"/>
  <c r="K160" i="44" s="1"/>
  <c r="D181" i="44"/>
  <c r="H175" i="44"/>
  <c r="M143" i="44"/>
  <c r="M109" i="44"/>
  <c r="I161" i="44" s="1"/>
  <c r="K124" i="44"/>
  <c r="M147" i="44"/>
  <c r="P160" i="44" s="1"/>
  <c r="H171" i="44"/>
  <c r="H179" i="44"/>
  <c r="D116" i="43"/>
  <c r="K104" i="43"/>
  <c r="D120" i="43"/>
  <c r="H179" i="43"/>
  <c r="M96" i="43"/>
  <c r="K105" i="43"/>
  <c r="M95" i="43"/>
  <c r="M110" i="43"/>
  <c r="I164" i="43" s="1"/>
  <c r="E164" i="43"/>
  <c r="E163" i="43"/>
  <c r="J78" i="43"/>
  <c r="C165" i="43" s="1"/>
  <c r="M104" i="43"/>
  <c r="H162" i="43" s="1"/>
  <c r="M109" i="43"/>
  <c r="I162" i="43" s="1"/>
  <c r="L161" i="43"/>
  <c r="J77" i="43"/>
  <c r="C164" i="43" s="1"/>
  <c r="H171" i="43"/>
  <c r="D181" i="43"/>
  <c r="M148" i="43"/>
  <c r="P163" i="43" s="1"/>
  <c r="H175" i="43"/>
  <c r="D120" i="42"/>
  <c r="C120" i="42"/>
  <c r="K104" i="42"/>
  <c r="M95" i="42"/>
  <c r="M96" i="42"/>
  <c r="J75" i="42"/>
  <c r="C162" i="42" s="1"/>
  <c r="M100" i="42"/>
  <c r="M110" i="42"/>
  <c r="I164" i="42" s="1"/>
  <c r="M133" i="42"/>
  <c r="M138" i="42"/>
  <c r="N163" i="42" s="1"/>
  <c r="L161" i="42"/>
  <c r="K196" i="42"/>
  <c r="C120" i="41"/>
  <c r="F116" i="41"/>
  <c r="M95" i="41"/>
  <c r="K105" i="41"/>
  <c r="M105" i="41" s="1"/>
  <c r="M96" i="41"/>
  <c r="F164" i="41" s="1"/>
  <c r="M110" i="41"/>
  <c r="I165" i="41" s="1"/>
  <c r="L160" i="41"/>
  <c r="L162" i="41"/>
  <c r="J78" i="41"/>
  <c r="C165" i="41" s="1"/>
  <c r="H176" i="41"/>
  <c r="K124" i="41"/>
  <c r="M124" i="41" s="1"/>
  <c r="K160" i="41" s="1"/>
  <c r="J75" i="41"/>
  <c r="C162" i="41" s="1"/>
  <c r="M100" i="41"/>
  <c r="F143" i="41"/>
  <c r="D116" i="40"/>
  <c r="E116" i="40"/>
  <c r="F120" i="40"/>
  <c r="C120" i="40"/>
  <c r="K104" i="40"/>
  <c r="K105" i="40"/>
  <c r="M96" i="40"/>
  <c r="F164" i="40" s="1"/>
  <c r="M110" i="40"/>
  <c r="I165" i="40" s="1"/>
  <c r="J75" i="40"/>
  <c r="C162" i="40" s="1"/>
  <c r="J76" i="40"/>
  <c r="C163" i="40" s="1"/>
  <c r="J78" i="40"/>
  <c r="C165" i="40" s="1"/>
  <c r="M100" i="40"/>
  <c r="G161" i="40" s="1"/>
  <c r="K124" i="40"/>
  <c r="M124" i="40" s="1"/>
  <c r="K160" i="40" s="1"/>
  <c r="M143" i="40"/>
  <c r="O164" i="40" s="1"/>
  <c r="J77" i="40"/>
  <c r="C164" i="40" s="1"/>
  <c r="M109" i="39"/>
  <c r="K105" i="39"/>
  <c r="D160" i="39"/>
  <c r="I162" i="39"/>
  <c r="I161" i="39"/>
  <c r="F142" i="39"/>
  <c r="M143" i="39"/>
  <c r="M148" i="39"/>
  <c r="P163" i="39" s="1"/>
  <c r="J74" i="39"/>
  <c r="C161" i="39" s="1"/>
  <c r="J77" i="39"/>
  <c r="C164" i="39" s="1"/>
  <c r="K124" i="39"/>
  <c r="M129" i="39"/>
  <c r="J75" i="39"/>
  <c r="C162" i="39" s="1"/>
  <c r="J76" i="39"/>
  <c r="C163" i="39" s="1"/>
  <c r="M110" i="39"/>
  <c r="M133" i="39"/>
  <c r="M161" i="39" s="1"/>
  <c r="I201" i="43"/>
  <c r="H196" i="56"/>
  <c r="I200" i="41"/>
  <c r="I201" i="42"/>
  <c r="F211" i="47"/>
  <c r="E201" i="50"/>
  <c r="G201" i="52"/>
  <c r="K197" i="56"/>
  <c r="G187" i="57"/>
  <c r="I201" i="57"/>
  <c r="G197" i="47"/>
  <c r="J229" i="41"/>
  <c r="E211" i="42"/>
  <c r="I229" i="47"/>
  <c r="I187" i="49"/>
  <c r="G197" i="57"/>
  <c r="G211" i="57"/>
  <c r="I196" i="42"/>
  <c r="F201" i="45"/>
  <c r="C229" i="46"/>
  <c r="J196" i="47"/>
  <c r="E196" i="49"/>
  <c r="E196" i="56"/>
  <c r="H197" i="57"/>
  <c r="I211" i="57"/>
  <c r="L229" i="49"/>
  <c r="C229" i="50"/>
  <c r="K200" i="57"/>
  <c r="I200" i="40"/>
  <c r="G201" i="45"/>
  <c r="G229" i="50"/>
  <c r="C201" i="57"/>
  <c r="C200" i="46"/>
  <c r="K200" i="50"/>
  <c r="G201" i="57"/>
  <c r="C229" i="57"/>
  <c r="I196" i="40"/>
  <c r="H197" i="41"/>
  <c r="K197" i="49"/>
  <c r="H197" i="54"/>
  <c r="F196" i="55"/>
  <c r="C211" i="56"/>
  <c r="C196" i="57"/>
  <c r="I197" i="57"/>
  <c r="I211" i="55"/>
  <c r="G211" i="43"/>
  <c r="E197" i="55"/>
  <c r="I196" i="57"/>
  <c r="F191" i="41"/>
  <c r="H192" i="51"/>
  <c r="C192" i="41"/>
  <c r="C192" i="52"/>
  <c r="E188" i="50"/>
  <c r="F187" i="54"/>
  <c r="F187" i="55"/>
  <c r="E187" i="45"/>
  <c r="K187" i="48"/>
  <c r="C187" i="50"/>
  <c r="D188" i="55"/>
  <c r="H187" i="45"/>
  <c r="D188" i="50"/>
  <c r="E191" i="57"/>
  <c r="K192" i="57"/>
  <c r="F191" i="57"/>
  <c r="L192" i="57"/>
  <c r="E187" i="57"/>
  <c r="I191" i="57"/>
  <c r="E196" i="57"/>
  <c r="K197" i="57"/>
  <c r="H201" i="57"/>
  <c r="E229" i="57"/>
  <c r="G191" i="57"/>
  <c r="C192" i="57"/>
  <c r="I229" i="57"/>
  <c r="C188" i="57"/>
  <c r="D192" i="57"/>
  <c r="J196" i="57"/>
  <c r="E200" i="57"/>
  <c r="K201" i="57"/>
  <c r="J229" i="57"/>
  <c r="D188" i="57"/>
  <c r="E192" i="57"/>
  <c r="K196" i="57"/>
  <c r="I200" i="57"/>
  <c r="E211" i="57"/>
  <c r="K229" i="57"/>
  <c r="C197" i="57"/>
  <c r="J200" i="57"/>
  <c r="F211" i="57"/>
  <c r="G187" i="56"/>
  <c r="K187" i="56"/>
  <c r="G196" i="56"/>
  <c r="C201" i="56"/>
  <c r="C191" i="56"/>
  <c r="K196" i="56"/>
  <c r="D211" i="56"/>
  <c r="G188" i="56"/>
  <c r="I191" i="56"/>
  <c r="C197" i="56"/>
  <c r="G211" i="56"/>
  <c r="E192" i="56"/>
  <c r="E197" i="56"/>
  <c r="I211" i="56"/>
  <c r="F197" i="56"/>
  <c r="K211" i="56"/>
  <c r="C196" i="56"/>
  <c r="I197" i="56"/>
  <c r="L211" i="56"/>
  <c r="C201" i="55"/>
  <c r="H191" i="55"/>
  <c r="J200" i="54"/>
  <c r="D188" i="54"/>
  <c r="I201" i="54"/>
  <c r="E211" i="54"/>
  <c r="F191" i="54"/>
  <c r="D229" i="54"/>
  <c r="D192" i="54"/>
  <c r="J196" i="54"/>
  <c r="L192" i="52"/>
  <c r="H200" i="52"/>
  <c r="H187" i="52"/>
  <c r="I188" i="51"/>
  <c r="F229" i="51"/>
  <c r="E191" i="51"/>
  <c r="I196" i="51"/>
  <c r="D197" i="51"/>
  <c r="F200" i="51"/>
  <c r="I187" i="51"/>
  <c r="K196" i="50"/>
  <c r="I188" i="50"/>
  <c r="E197" i="50"/>
  <c r="H201" i="50"/>
  <c r="J229" i="50"/>
  <c r="J196" i="50"/>
  <c r="L188" i="50"/>
  <c r="H197" i="50"/>
  <c r="I201" i="50"/>
  <c r="K229" i="50"/>
  <c r="I197" i="50"/>
  <c r="C211" i="50"/>
  <c r="F187" i="50"/>
  <c r="C196" i="50"/>
  <c r="C200" i="50"/>
  <c r="F211" i="50"/>
  <c r="G187" i="50"/>
  <c r="G196" i="50"/>
  <c r="G200" i="50"/>
  <c r="G211" i="50"/>
  <c r="I196" i="50"/>
  <c r="J200" i="50"/>
  <c r="K211" i="50"/>
  <c r="G187" i="49"/>
  <c r="I197" i="49"/>
  <c r="E188" i="49"/>
  <c r="K200" i="49"/>
  <c r="C201" i="49"/>
  <c r="G191" i="49"/>
  <c r="G211" i="49"/>
  <c r="I211" i="49"/>
  <c r="C196" i="49"/>
  <c r="G196" i="48"/>
  <c r="C187" i="48"/>
  <c r="C197" i="48"/>
  <c r="C211" i="48"/>
  <c r="E201" i="48"/>
  <c r="K201" i="48"/>
  <c r="I187" i="48"/>
  <c r="E197" i="48"/>
  <c r="I211" i="48"/>
  <c r="K197" i="48"/>
  <c r="G188" i="48"/>
  <c r="E200" i="48"/>
  <c r="E229" i="48"/>
  <c r="G200" i="48"/>
  <c r="G229" i="48"/>
  <c r="K211" i="48"/>
  <c r="C201" i="48"/>
  <c r="E191" i="47"/>
  <c r="F191" i="47"/>
  <c r="H197" i="47"/>
  <c r="J229" i="47"/>
  <c r="C192" i="47"/>
  <c r="I200" i="47"/>
  <c r="D192" i="47"/>
  <c r="J200" i="47"/>
  <c r="K192" i="47"/>
  <c r="G201" i="47"/>
  <c r="H201" i="47"/>
  <c r="I196" i="47"/>
  <c r="E211" i="47"/>
  <c r="C192" i="46"/>
  <c r="D200" i="46"/>
  <c r="D229" i="46"/>
  <c r="E192" i="46"/>
  <c r="I200" i="46"/>
  <c r="I229" i="46"/>
  <c r="H191" i="46"/>
  <c r="F192" i="46"/>
  <c r="K200" i="46"/>
  <c r="K229" i="46"/>
  <c r="C188" i="46"/>
  <c r="K192" i="46"/>
  <c r="L200" i="46"/>
  <c r="L229" i="46"/>
  <c r="L196" i="46"/>
  <c r="G201" i="46"/>
  <c r="E191" i="46"/>
  <c r="G197" i="46"/>
  <c r="I201" i="46"/>
  <c r="I197" i="46"/>
  <c r="J201" i="46"/>
  <c r="K187" i="45"/>
  <c r="D200" i="45"/>
  <c r="J201" i="45"/>
  <c r="C188" i="45"/>
  <c r="G200" i="45"/>
  <c r="L211" i="45"/>
  <c r="H200" i="45"/>
  <c r="C229" i="45"/>
  <c r="C191" i="45"/>
  <c r="I200" i="45"/>
  <c r="D229" i="45"/>
  <c r="I192" i="45"/>
  <c r="C192" i="45"/>
  <c r="L200" i="45"/>
  <c r="L229" i="45"/>
  <c r="E201" i="45"/>
  <c r="F192" i="44"/>
  <c r="I201" i="44"/>
  <c r="G187" i="44"/>
  <c r="C196" i="44"/>
  <c r="J201" i="44"/>
  <c r="H187" i="44"/>
  <c r="E188" i="44"/>
  <c r="I197" i="44"/>
  <c r="C229" i="44"/>
  <c r="G211" i="44"/>
  <c r="F188" i="44"/>
  <c r="C200" i="44"/>
  <c r="D229" i="44"/>
  <c r="G191" i="44"/>
  <c r="D200" i="44"/>
  <c r="K229" i="44"/>
  <c r="K196" i="44"/>
  <c r="H191" i="44"/>
  <c r="K200" i="44"/>
  <c r="L229" i="44"/>
  <c r="L200" i="44"/>
  <c r="G191" i="43"/>
  <c r="C229" i="43"/>
  <c r="C196" i="43"/>
  <c r="K229" i="43"/>
  <c r="K196" i="43"/>
  <c r="I197" i="43"/>
  <c r="C200" i="43"/>
  <c r="G187" i="43"/>
  <c r="K200" i="43"/>
  <c r="E191" i="42"/>
  <c r="G197" i="42"/>
  <c r="G211" i="42"/>
  <c r="G191" i="42"/>
  <c r="I197" i="42"/>
  <c r="C229" i="42"/>
  <c r="C192" i="42"/>
  <c r="C200" i="42"/>
  <c r="I229" i="42"/>
  <c r="E192" i="42"/>
  <c r="I200" i="42"/>
  <c r="K229" i="42"/>
  <c r="K200" i="42"/>
  <c r="C196" i="42"/>
  <c r="G201" i="42"/>
  <c r="D192" i="41"/>
  <c r="J200" i="41"/>
  <c r="K192" i="41"/>
  <c r="G201" i="41"/>
  <c r="L192" i="41"/>
  <c r="H201" i="41"/>
  <c r="I196" i="41"/>
  <c r="E211" i="41"/>
  <c r="J196" i="41"/>
  <c r="F211" i="41"/>
  <c r="G197" i="41"/>
  <c r="I229" i="41"/>
  <c r="G197" i="40"/>
  <c r="G201" i="40"/>
  <c r="E211" i="40"/>
  <c r="E191" i="40"/>
  <c r="I229" i="40"/>
  <c r="C192" i="40"/>
  <c r="J187" i="39"/>
  <c r="K187" i="39"/>
  <c r="K191" i="39"/>
  <c r="H161" i="49"/>
  <c r="D165" i="48"/>
  <c r="D163" i="48"/>
  <c r="O161" i="48"/>
  <c r="O162" i="48"/>
  <c r="I192" i="48"/>
  <c r="M105" i="49"/>
  <c r="C180" i="49"/>
  <c r="B180" i="49"/>
  <c r="F116" i="49"/>
  <c r="D161" i="48"/>
  <c r="D160" i="48"/>
  <c r="D162" i="48"/>
  <c r="F161" i="49"/>
  <c r="F160" i="49"/>
  <c r="E161" i="48"/>
  <c r="E160" i="48"/>
  <c r="E162" i="48"/>
  <c r="F120" i="48"/>
  <c r="E120" i="48"/>
  <c r="D120" i="48"/>
  <c r="N160" i="48"/>
  <c r="N161" i="48"/>
  <c r="N162" i="48"/>
  <c r="D161" i="49"/>
  <c r="D160" i="49"/>
  <c r="D162" i="49"/>
  <c r="F163" i="49"/>
  <c r="F164" i="49"/>
  <c r="F165" i="49"/>
  <c r="L165" i="49"/>
  <c r="L163" i="49"/>
  <c r="N162" i="49"/>
  <c r="N160" i="49"/>
  <c r="N161" i="49"/>
  <c r="L160" i="49"/>
  <c r="L161" i="49"/>
  <c r="L162" i="49"/>
  <c r="E165" i="48"/>
  <c r="E163" i="48"/>
  <c r="E164" i="48"/>
  <c r="L160" i="48"/>
  <c r="L161" i="48"/>
  <c r="L162" i="48"/>
  <c r="H192" i="48"/>
  <c r="J191" i="48"/>
  <c r="G192" i="48"/>
  <c r="I191" i="48"/>
  <c r="F192" i="48"/>
  <c r="H191" i="48"/>
  <c r="E192" i="48"/>
  <c r="G191" i="48"/>
  <c r="L192" i="48"/>
  <c r="D192" i="48"/>
  <c r="F191" i="48"/>
  <c r="K192" i="48"/>
  <c r="C192" i="48"/>
  <c r="E191" i="48"/>
  <c r="J192" i="48"/>
  <c r="L191" i="48"/>
  <c r="D191" i="48"/>
  <c r="D165" i="49"/>
  <c r="D163" i="49"/>
  <c r="D164" i="49"/>
  <c r="I161" i="49"/>
  <c r="I160" i="49"/>
  <c r="I162" i="49"/>
  <c r="O160" i="49"/>
  <c r="O161" i="49"/>
  <c r="N164" i="48"/>
  <c r="N165" i="48"/>
  <c r="N163" i="48"/>
  <c r="M105" i="48"/>
  <c r="J124" i="48"/>
  <c r="M124" i="48" s="1"/>
  <c r="K160" i="48" s="1"/>
  <c r="O160" i="48"/>
  <c r="C174" i="48"/>
  <c r="J77" i="49"/>
  <c r="C164" i="49" s="1"/>
  <c r="I164" i="49"/>
  <c r="I165" i="49"/>
  <c r="I163" i="49"/>
  <c r="F162" i="49"/>
  <c r="L164" i="49"/>
  <c r="I163" i="48"/>
  <c r="I164" i="48"/>
  <c r="I165" i="48"/>
  <c r="C179" i="48"/>
  <c r="B179" i="48"/>
  <c r="D179" i="48"/>
  <c r="E163" i="49"/>
  <c r="E164" i="49"/>
  <c r="N165" i="49"/>
  <c r="N163" i="49"/>
  <c r="N164" i="49"/>
  <c r="D180" i="49"/>
  <c r="M161" i="49"/>
  <c r="M162" i="49"/>
  <c r="M160" i="49"/>
  <c r="E165" i="49"/>
  <c r="M96" i="48"/>
  <c r="I161" i="48"/>
  <c r="I160" i="48"/>
  <c r="I162" i="48"/>
  <c r="C191" i="48"/>
  <c r="J75" i="49"/>
  <c r="C162" i="49" s="1"/>
  <c r="M124" i="50"/>
  <c r="K160" i="50" s="1"/>
  <c r="N162" i="51"/>
  <c r="N160" i="51"/>
  <c r="N161" i="51"/>
  <c r="D116" i="48"/>
  <c r="L163" i="48"/>
  <c r="K170" i="48"/>
  <c r="K174" i="48"/>
  <c r="K178" i="48"/>
  <c r="C178" i="48" s="1"/>
  <c r="D187" i="48"/>
  <c r="L187" i="48"/>
  <c r="J188" i="48"/>
  <c r="H196" i="48"/>
  <c r="F197" i="48"/>
  <c r="H200" i="48"/>
  <c r="F201" i="48"/>
  <c r="D211" i="48"/>
  <c r="L211" i="48"/>
  <c r="H229" i="48"/>
  <c r="F142" i="49"/>
  <c r="G162" i="49"/>
  <c r="H229" i="49"/>
  <c r="F201" i="49"/>
  <c r="H200" i="49"/>
  <c r="G229" i="49"/>
  <c r="E201" i="49"/>
  <c r="G200" i="49"/>
  <c r="F229" i="49"/>
  <c r="L201" i="49"/>
  <c r="D201" i="49"/>
  <c r="F200" i="49"/>
  <c r="K229" i="49"/>
  <c r="C229" i="49"/>
  <c r="J229" i="49"/>
  <c r="H201" i="49"/>
  <c r="J200" i="49"/>
  <c r="K171" i="49"/>
  <c r="C171" i="49" s="1"/>
  <c r="K175" i="49"/>
  <c r="C175" i="49" s="1"/>
  <c r="K179" i="49"/>
  <c r="C179" i="49" s="1"/>
  <c r="J187" i="49"/>
  <c r="H188" i="49"/>
  <c r="C192" i="49"/>
  <c r="I196" i="49"/>
  <c r="G201" i="49"/>
  <c r="K105" i="50"/>
  <c r="D120" i="50"/>
  <c r="O161" i="50"/>
  <c r="O162" i="50"/>
  <c r="O163" i="50"/>
  <c r="D177" i="50"/>
  <c r="C181" i="50"/>
  <c r="C191" i="50"/>
  <c r="M160" i="50"/>
  <c r="M161" i="50"/>
  <c r="C114" i="48"/>
  <c r="M114" i="48" s="1"/>
  <c r="E116" i="48"/>
  <c r="L170" i="48"/>
  <c r="D170" i="48" s="1"/>
  <c r="H172" i="48"/>
  <c r="D172" i="48" s="1"/>
  <c r="J173" i="48"/>
  <c r="B173" i="48" s="1"/>
  <c r="L174" i="48"/>
  <c r="D174" i="48" s="1"/>
  <c r="H176" i="48"/>
  <c r="D176" i="48" s="1"/>
  <c r="J177" i="48"/>
  <c r="B177" i="48" s="1"/>
  <c r="L178" i="48"/>
  <c r="D178" i="48" s="1"/>
  <c r="H180" i="48"/>
  <c r="D180" i="48" s="1"/>
  <c r="J181" i="48"/>
  <c r="B181" i="48" s="1"/>
  <c r="E187" i="48"/>
  <c r="C188" i="48"/>
  <c r="K188" i="48"/>
  <c r="I196" i="48"/>
  <c r="G197" i="48"/>
  <c r="I200" i="48"/>
  <c r="G201" i="48"/>
  <c r="E211" i="48"/>
  <c r="I229" i="48"/>
  <c r="G160" i="49"/>
  <c r="J192" i="49"/>
  <c r="L191" i="49"/>
  <c r="D191" i="49"/>
  <c r="I192" i="49"/>
  <c r="K191" i="49"/>
  <c r="C191" i="49"/>
  <c r="H192" i="49"/>
  <c r="J191" i="49"/>
  <c r="L192" i="49"/>
  <c r="D192" i="49"/>
  <c r="F191" i="49"/>
  <c r="O164" i="49"/>
  <c r="J170" i="49"/>
  <c r="B170" i="49" s="1"/>
  <c r="L171" i="49"/>
  <c r="D171" i="49" s="1"/>
  <c r="H173" i="49"/>
  <c r="D173" i="49" s="1"/>
  <c r="J174" i="49"/>
  <c r="L175" i="49"/>
  <c r="D175" i="49" s="1"/>
  <c r="H177" i="49"/>
  <c r="D177" i="49" s="1"/>
  <c r="J178" i="49"/>
  <c r="B178" i="49" s="1"/>
  <c r="L179" i="49"/>
  <c r="D179" i="49" s="1"/>
  <c r="H181" i="49"/>
  <c r="C187" i="49"/>
  <c r="K187" i="49"/>
  <c r="I188" i="49"/>
  <c r="E192" i="49"/>
  <c r="K196" i="49"/>
  <c r="C200" i="49"/>
  <c r="I201" i="49"/>
  <c r="M110" i="50"/>
  <c r="G161" i="50"/>
  <c r="L162" i="50"/>
  <c r="C179" i="50"/>
  <c r="F191" i="50"/>
  <c r="F161" i="51"/>
  <c r="F160" i="51"/>
  <c r="I161" i="51"/>
  <c r="I162" i="51"/>
  <c r="F116" i="51"/>
  <c r="L165" i="51"/>
  <c r="L163" i="51"/>
  <c r="F162" i="51"/>
  <c r="D163" i="52"/>
  <c r="D164" i="52"/>
  <c r="D165" i="52"/>
  <c r="D161" i="50"/>
  <c r="D160" i="50"/>
  <c r="L160" i="51"/>
  <c r="L161" i="51"/>
  <c r="L162" i="51"/>
  <c r="N59" i="48"/>
  <c r="O163" i="48"/>
  <c r="K173" i="48"/>
  <c r="K177" i="48"/>
  <c r="C177" i="48" s="1"/>
  <c r="K181" i="48"/>
  <c r="C181" i="48" s="1"/>
  <c r="F187" i="48"/>
  <c r="D188" i="48"/>
  <c r="L188" i="48"/>
  <c r="J196" i="48"/>
  <c r="H197" i="48"/>
  <c r="J200" i="48"/>
  <c r="H201" i="48"/>
  <c r="F211" i="48"/>
  <c r="J229" i="48"/>
  <c r="D116" i="49"/>
  <c r="K170" i="49"/>
  <c r="C170" i="49" s="1"/>
  <c r="K174" i="49"/>
  <c r="C174" i="49" s="1"/>
  <c r="K178" i="49"/>
  <c r="C178" i="49" s="1"/>
  <c r="D187" i="49"/>
  <c r="L187" i="49"/>
  <c r="J188" i="49"/>
  <c r="F192" i="49"/>
  <c r="L196" i="49"/>
  <c r="D200" i="49"/>
  <c r="J201" i="49"/>
  <c r="E161" i="50"/>
  <c r="E160" i="50"/>
  <c r="E162" i="50"/>
  <c r="M137" i="50"/>
  <c r="G160" i="50"/>
  <c r="M162" i="50"/>
  <c r="G191" i="50"/>
  <c r="M124" i="51"/>
  <c r="K160" i="51" s="1"/>
  <c r="F165" i="50"/>
  <c r="F163" i="50"/>
  <c r="F164" i="50"/>
  <c r="D162" i="50"/>
  <c r="N164" i="53"/>
  <c r="N165" i="53"/>
  <c r="N163" i="53"/>
  <c r="M162" i="48"/>
  <c r="H171" i="48"/>
  <c r="J172" i="48"/>
  <c r="L173" i="48"/>
  <c r="D173" i="48" s="1"/>
  <c r="H175" i="48"/>
  <c r="J176" i="48"/>
  <c r="L177" i="48"/>
  <c r="D177" i="48" s="1"/>
  <c r="J180" i="48"/>
  <c r="L181" i="48"/>
  <c r="D181" i="48" s="1"/>
  <c r="G187" i="48"/>
  <c r="E188" i="48"/>
  <c r="C196" i="48"/>
  <c r="K196" i="48"/>
  <c r="I197" i="48"/>
  <c r="C200" i="48"/>
  <c r="K200" i="48"/>
  <c r="I201" i="48"/>
  <c r="G211" i="48"/>
  <c r="C229" i="48"/>
  <c r="K229" i="48"/>
  <c r="C114" i="49"/>
  <c r="E116" i="49"/>
  <c r="L188" i="49"/>
  <c r="L170" i="49"/>
  <c r="D170" i="49" s="1"/>
  <c r="H172" i="49"/>
  <c r="J173" i="49"/>
  <c r="L174" i="49"/>
  <c r="H176" i="49"/>
  <c r="J177" i="49"/>
  <c r="L178" i="49"/>
  <c r="D178" i="49" s="1"/>
  <c r="J181" i="49"/>
  <c r="E187" i="49"/>
  <c r="C188" i="49"/>
  <c r="K188" i="49"/>
  <c r="G192" i="49"/>
  <c r="C197" i="49"/>
  <c r="E200" i="49"/>
  <c r="K201" i="49"/>
  <c r="L161" i="50"/>
  <c r="H192" i="50"/>
  <c r="J191" i="50"/>
  <c r="G192" i="50"/>
  <c r="I191" i="50"/>
  <c r="F192" i="50"/>
  <c r="H191" i="50"/>
  <c r="K192" i="50"/>
  <c r="C192" i="50"/>
  <c r="E191" i="50"/>
  <c r="J192" i="50"/>
  <c r="L191" i="50"/>
  <c r="D191" i="50"/>
  <c r="K191" i="50"/>
  <c r="D165" i="51"/>
  <c r="D163" i="51"/>
  <c r="D164" i="51"/>
  <c r="K105" i="51"/>
  <c r="M105" i="51" s="1"/>
  <c r="C118" i="48"/>
  <c r="M161" i="48"/>
  <c r="K172" i="48"/>
  <c r="K176" i="48"/>
  <c r="K180" i="48"/>
  <c r="H187" i="48"/>
  <c r="F188" i="48"/>
  <c r="D196" i="48"/>
  <c r="L196" i="48"/>
  <c r="J197" i="48"/>
  <c r="D200" i="48"/>
  <c r="L200" i="48"/>
  <c r="J201" i="48"/>
  <c r="H211" i="48"/>
  <c r="D229" i="48"/>
  <c r="L229" i="48"/>
  <c r="N59" i="49"/>
  <c r="O163" i="49"/>
  <c r="K173" i="49"/>
  <c r="K177" i="49"/>
  <c r="K181" i="49"/>
  <c r="F187" i="49"/>
  <c r="D188" i="49"/>
  <c r="E191" i="49"/>
  <c r="K192" i="49"/>
  <c r="G197" i="49"/>
  <c r="I200" i="49"/>
  <c r="D229" i="49"/>
  <c r="E165" i="50"/>
  <c r="E164" i="50"/>
  <c r="M104" i="50"/>
  <c r="D192" i="50"/>
  <c r="J77" i="51"/>
  <c r="C164" i="51" s="1"/>
  <c r="I164" i="51"/>
  <c r="I165" i="51"/>
  <c r="I163" i="51"/>
  <c r="N165" i="51"/>
  <c r="N163" i="51"/>
  <c r="N164" i="51"/>
  <c r="F162" i="48"/>
  <c r="F161" i="50"/>
  <c r="F160" i="50"/>
  <c r="F162" i="50"/>
  <c r="M105" i="50"/>
  <c r="N164" i="50"/>
  <c r="N163" i="50"/>
  <c r="E192" i="50"/>
  <c r="G161" i="51"/>
  <c r="G160" i="51"/>
  <c r="G162" i="51"/>
  <c r="M161" i="51"/>
  <c r="M162" i="51"/>
  <c r="O165" i="51"/>
  <c r="O163" i="51"/>
  <c r="O164" i="51"/>
  <c r="F160" i="48"/>
  <c r="K171" i="48"/>
  <c r="K175" i="48"/>
  <c r="J187" i="48"/>
  <c r="H188" i="48"/>
  <c r="F196" i="48"/>
  <c r="D197" i="48"/>
  <c r="L197" i="48"/>
  <c r="F200" i="48"/>
  <c r="D201" i="48"/>
  <c r="L201" i="48"/>
  <c r="C118" i="49"/>
  <c r="M117" i="49" s="1"/>
  <c r="L211" i="49"/>
  <c r="D211" i="49"/>
  <c r="F197" i="49"/>
  <c r="H196" i="49"/>
  <c r="K211" i="49"/>
  <c r="C211" i="49"/>
  <c r="E197" i="49"/>
  <c r="G196" i="49"/>
  <c r="J211" i="49"/>
  <c r="L197" i="49"/>
  <c r="D197" i="49"/>
  <c r="F196" i="49"/>
  <c r="F211" i="49"/>
  <c r="H197" i="49"/>
  <c r="J196" i="49"/>
  <c r="K172" i="49"/>
  <c r="K176" i="49"/>
  <c r="H187" i="49"/>
  <c r="F188" i="49"/>
  <c r="H191" i="49"/>
  <c r="D196" i="49"/>
  <c r="J197" i="49"/>
  <c r="L200" i="49"/>
  <c r="H211" i="49"/>
  <c r="I229" i="49"/>
  <c r="D116" i="50"/>
  <c r="F120" i="50"/>
  <c r="C120" i="50"/>
  <c r="L164" i="50"/>
  <c r="L163" i="50"/>
  <c r="E163" i="50"/>
  <c r="I192" i="50"/>
  <c r="E163" i="51"/>
  <c r="E164" i="51"/>
  <c r="K170" i="50"/>
  <c r="K174" i="50"/>
  <c r="K178" i="50"/>
  <c r="C178" i="50" s="1"/>
  <c r="D187" i="50"/>
  <c r="L187" i="50"/>
  <c r="J188" i="50"/>
  <c r="H196" i="50"/>
  <c r="F197" i="50"/>
  <c r="H200" i="50"/>
  <c r="F201" i="50"/>
  <c r="D211" i="50"/>
  <c r="L211" i="50"/>
  <c r="H229" i="50"/>
  <c r="F165" i="51"/>
  <c r="E229" i="51"/>
  <c r="K201" i="51"/>
  <c r="C201" i="51"/>
  <c r="E200" i="51"/>
  <c r="L229" i="51"/>
  <c r="D229" i="51"/>
  <c r="K229" i="51"/>
  <c r="C229" i="51"/>
  <c r="I201" i="51"/>
  <c r="K200" i="51"/>
  <c r="C200" i="51"/>
  <c r="J229" i="51"/>
  <c r="H201" i="51"/>
  <c r="J200" i="51"/>
  <c r="I229" i="51"/>
  <c r="G201" i="51"/>
  <c r="I200" i="51"/>
  <c r="H229" i="51"/>
  <c r="F201" i="51"/>
  <c r="H200" i="51"/>
  <c r="G229" i="51"/>
  <c r="E201" i="51"/>
  <c r="G200" i="51"/>
  <c r="K171" i="51"/>
  <c r="K175" i="51"/>
  <c r="K179" i="51"/>
  <c r="J187" i="51"/>
  <c r="K188" i="51"/>
  <c r="L196" i="51"/>
  <c r="L200" i="51"/>
  <c r="H211" i="51"/>
  <c r="E161" i="52"/>
  <c r="E160" i="52"/>
  <c r="M142" i="52"/>
  <c r="F142" i="52"/>
  <c r="E162" i="52"/>
  <c r="C114" i="50"/>
  <c r="L170" i="50"/>
  <c r="H172" i="50"/>
  <c r="J173" i="50"/>
  <c r="L174" i="50"/>
  <c r="H176" i="50"/>
  <c r="J177" i="50"/>
  <c r="B177" i="50" s="1"/>
  <c r="L178" i="50"/>
  <c r="D178" i="50" s="1"/>
  <c r="H180" i="50"/>
  <c r="J181" i="50"/>
  <c r="B181" i="50" s="1"/>
  <c r="E187" i="50"/>
  <c r="C188" i="50"/>
  <c r="K188" i="50"/>
  <c r="G197" i="50"/>
  <c r="I200" i="50"/>
  <c r="G201" i="50"/>
  <c r="E211" i="50"/>
  <c r="I229" i="50"/>
  <c r="E192" i="51"/>
  <c r="L192" i="51"/>
  <c r="D192" i="51"/>
  <c r="F191" i="51"/>
  <c r="J192" i="51"/>
  <c r="L191" i="51"/>
  <c r="D191" i="51"/>
  <c r="I192" i="51"/>
  <c r="K191" i="51"/>
  <c r="J170" i="51"/>
  <c r="L171" i="51"/>
  <c r="H173" i="51"/>
  <c r="J174" i="51"/>
  <c r="B174" i="51" s="1"/>
  <c r="L175" i="51"/>
  <c r="H177" i="51"/>
  <c r="J178" i="51"/>
  <c r="B178" i="51" s="1"/>
  <c r="L179" i="51"/>
  <c r="H181" i="51"/>
  <c r="C187" i="51"/>
  <c r="K187" i="51"/>
  <c r="C191" i="51"/>
  <c r="G192" i="51"/>
  <c r="C197" i="51"/>
  <c r="D201" i="51"/>
  <c r="J211" i="51"/>
  <c r="M104" i="52"/>
  <c r="M133" i="52"/>
  <c r="N160" i="52"/>
  <c r="N161" i="52"/>
  <c r="D160" i="52"/>
  <c r="N162" i="52"/>
  <c r="K170" i="51"/>
  <c r="K174" i="51"/>
  <c r="C174" i="51" s="1"/>
  <c r="K178" i="51"/>
  <c r="C178" i="51" s="1"/>
  <c r="D187" i="51"/>
  <c r="C188" i="51"/>
  <c r="C114" i="51"/>
  <c r="M114" i="51" s="1"/>
  <c r="L188" i="51"/>
  <c r="D188" i="51"/>
  <c r="J188" i="51"/>
  <c r="L187" i="51"/>
  <c r="F164" i="51"/>
  <c r="L170" i="51"/>
  <c r="D170" i="51" s="1"/>
  <c r="H172" i="51"/>
  <c r="D172" i="51" s="1"/>
  <c r="J173" i="51"/>
  <c r="L174" i="51"/>
  <c r="D174" i="51" s="1"/>
  <c r="H176" i="51"/>
  <c r="D176" i="51" s="1"/>
  <c r="J177" i="51"/>
  <c r="L178" i="51"/>
  <c r="D178" i="51" s="1"/>
  <c r="H180" i="51"/>
  <c r="D180" i="51" s="1"/>
  <c r="J181" i="51"/>
  <c r="E187" i="51"/>
  <c r="E188" i="51"/>
  <c r="G191" i="51"/>
  <c r="K192" i="51"/>
  <c r="G197" i="51"/>
  <c r="L201" i="51"/>
  <c r="M95" i="52"/>
  <c r="F116" i="52"/>
  <c r="E116" i="52"/>
  <c r="D116" i="52"/>
  <c r="K196" i="52"/>
  <c r="M109" i="50"/>
  <c r="C118" i="50"/>
  <c r="M117" i="50" s="1"/>
  <c r="K172" i="50"/>
  <c r="K176" i="50"/>
  <c r="K180" i="50"/>
  <c r="H187" i="50"/>
  <c r="F188" i="50"/>
  <c r="D196" i="50"/>
  <c r="L196" i="50"/>
  <c r="J197" i="50"/>
  <c r="D200" i="50"/>
  <c r="L200" i="50"/>
  <c r="J201" i="50"/>
  <c r="H211" i="50"/>
  <c r="D229" i="50"/>
  <c r="L229" i="50"/>
  <c r="N59" i="51"/>
  <c r="D120" i="51"/>
  <c r="F143" i="51"/>
  <c r="K173" i="51"/>
  <c r="K177" i="51"/>
  <c r="K181" i="51"/>
  <c r="F187" i="51"/>
  <c r="F188" i="51"/>
  <c r="H191" i="51"/>
  <c r="D196" i="51"/>
  <c r="J197" i="51"/>
  <c r="K105" i="52"/>
  <c r="M105" i="52" s="1"/>
  <c r="N165" i="52"/>
  <c r="N163" i="52"/>
  <c r="N164" i="52"/>
  <c r="H170" i="50"/>
  <c r="B170" i="50" s="1"/>
  <c r="J171" i="50"/>
  <c r="B171" i="50" s="1"/>
  <c r="L172" i="50"/>
  <c r="H174" i="50"/>
  <c r="C174" i="50" s="1"/>
  <c r="J175" i="50"/>
  <c r="B175" i="50" s="1"/>
  <c r="L176" i="50"/>
  <c r="J179" i="50"/>
  <c r="B179" i="50" s="1"/>
  <c r="L180" i="50"/>
  <c r="I187" i="50"/>
  <c r="G188" i="50"/>
  <c r="E196" i="50"/>
  <c r="C197" i="50"/>
  <c r="K197" i="50"/>
  <c r="E200" i="50"/>
  <c r="C201" i="50"/>
  <c r="K201" i="50"/>
  <c r="I211" i="50"/>
  <c r="E229" i="50"/>
  <c r="E120" i="51"/>
  <c r="D162" i="51"/>
  <c r="H171" i="51"/>
  <c r="J172" i="51"/>
  <c r="L173" i="51"/>
  <c r="H175" i="51"/>
  <c r="J176" i="51"/>
  <c r="L177" i="51"/>
  <c r="H179" i="51"/>
  <c r="C179" i="51" s="1"/>
  <c r="J180" i="51"/>
  <c r="L181" i="51"/>
  <c r="D181" i="51" s="1"/>
  <c r="G187" i="51"/>
  <c r="G188" i="51"/>
  <c r="I191" i="51"/>
  <c r="E196" i="51"/>
  <c r="F164" i="52"/>
  <c r="F165" i="52"/>
  <c r="I161" i="52"/>
  <c r="D161" i="52"/>
  <c r="K171" i="50"/>
  <c r="C171" i="50" s="1"/>
  <c r="K175" i="50"/>
  <c r="C175" i="50" s="1"/>
  <c r="J187" i="50"/>
  <c r="H188" i="50"/>
  <c r="F196" i="50"/>
  <c r="D197" i="50"/>
  <c r="L197" i="50"/>
  <c r="F200" i="50"/>
  <c r="D201" i="50"/>
  <c r="L201" i="50"/>
  <c r="C118" i="51"/>
  <c r="M117" i="51" s="1"/>
  <c r="D160" i="51"/>
  <c r="I211" i="51"/>
  <c r="G211" i="51"/>
  <c r="I197" i="51"/>
  <c r="K196" i="51"/>
  <c r="C196" i="51"/>
  <c r="F211" i="51"/>
  <c r="H197" i="51"/>
  <c r="J196" i="51"/>
  <c r="E211" i="51"/>
  <c r="L211" i="51"/>
  <c r="D211" i="51"/>
  <c r="F197" i="51"/>
  <c r="H196" i="51"/>
  <c r="K211" i="51"/>
  <c r="C211" i="51"/>
  <c r="E197" i="51"/>
  <c r="G196" i="51"/>
  <c r="K172" i="51"/>
  <c r="K176" i="51"/>
  <c r="H187" i="51"/>
  <c r="H188" i="51"/>
  <c r="J191" i="51"/>
  <c r="F196" i="51"/>
  <c r="L197" i="51"/>
  <c r="D200" i="51"/>
  <c r="J77" i="52"/>
  <c r="C164" i="52" s="1"/>
  <c r="I164" i="52"/>
  <c r="I165" i="52"/>
  <c r="I163" i="52"/>
  <c r="K211" i="52"/>
  <c r="C211" i="52"/>
  <c r="E197" i="52"/>
  <c r="G196" i="52"/>
  <c r="G211" i="52"/>
  <c r="F211" i="52"/>
  <c r="E211" i="52"/>
  <c r="L211" i="52"/>
  <c r="I197" i="52"/>
  <c r="J196" i="52"/>
  <c r="J211" i="52"/>
  <c r="H197" i="52"/>
  <c r="I196" i="52"/>
  <c r="I211" i="52"/>
  <c r="G197" i="52"/>
  <c r="H196" i="52"/>
  <c r="H211" i="52"/>
  <c r="F197" i="52"/>
  <c r="F196" i="52"/>
  <c r="D211" i="52"/>
  <c r="D197" i="52"/>
  <c r="E196" i="52"/>
  <c r="L197" i="52"/>
  <c r="C197" i="52"/>
  <c r="D196" i="52"/>
  <c r="K197" i="52"/>
  <c r="L196" i="52"/>
  <c r="C196" i="52"/>
  <c r="L164" i="52"/>
  <c r="E165" i="52"/>
  <c r="H170" i="52"/>
  <c r="J171" i="52"/>
  <c r="L172" i="52"/>
  <c r="H174" i="52"/>
  <c r="J175" i="52"/>
  <c r="L176" i="52"/>
  <c r="H178" i="52"/>
  <c r="J179" i="52"/>
  <c r="B179" i="52" s="1"/>
  <c r="L180" i="52"/>
  <c r="I187" i="52"/>
  <c r="G188" i="52"/>
  <c r="E191" i="52"/>
  <c r="D192" i="52"/>
  <c r="I200" i="52"/>
  <c r="F161" i="53"/>
  <c r="F160" i="53"/>
  <c r="F162" i="53"/>
  <c r="N160" i="53"/>
  <c r="N161" i="53"/>
  <c r="N162" i="53"/>
  <c r="H229" i="52"/>
  <c r="G229" i="52"/>
  <c r="E201" i="52"/>
  <c r="G200" i="52"/>
  <c r="F229" i="52"/>
  <c r="E229" i="52"/>
  <c r="L229" i="52"/>
  <c r="D229" i="52"/>
  <c r="K229" i="52"/>
  <c r="C229" i="52"/>
  <c r="J229" i="52"/>
  <c r="I229" i="52"/>
  <c r="K171" i="52"/>
  <c r="K175" i="52"/>
  <c r="K179" i="52"/>
  <c r="C179" i="52" s="1"/>
  <c r="J187" i="52"/>
  <c r="H188" i="52"/>
  <c r="F191" i="52"/>
  <c r="E192" i="52"/>
  <c r="J200" i="52"/>
  <c r="I201" i="52"/>
  <c r="I192" i="52"/>
  <c r="K191" i="52"/>
  <c r="C191" i="52"/>
  <c r="J170" i="52"/>
  <c r="L171" i="52"/>
  <c r="H173" i="52"/>
  <c r="J174" i="52"/>
  <c r="L175" i="52"/>
  <c r="H177" i="52"/>
  <c r="J178" i="52"/>
  <c r="L179" i="52"/>
  <c r="D179" i="52" s="1"/>
  <c r="H181" i="52"/>
  <c r="C187" i="52"/>
  <c r="K187" i="52"/>
  <c r="J188" i="52"/>
  <c r="G191" i="52"/>
  <c r="F192" i="52"/>
  <c r="K200" i="52"/>
  <c r="J201" i="52"/>
  <c r="D161" i="53"/>
  <c r="D160" i="53"/>
  <c r="D162" i="53"/>
  <c r="F165" i="53"/>
  <c r="F163" i="53"/>
  <c r="F164" i="53"/>
  <c r="L160" i="53"/>
  <c r="L161" i="53"/>
  <c r="L162" i="53"/>
  <c r="L163" i="52"/>
  <c r="E164" i="52"/>
  <c r="K170" i="52"/>
  <c r="K174" i="52"/>
  <c r="C174" i="52" s="1"/>
  <c r="K178" i="52"/>
  <c r="D187" i="52"/>
  <c r="L187" i="52"/>
  <c r="K188" i="52"/>
  <c r="H191" i="52"/>
  <c r="G192" i="52"/>
  <c r="C200" i="52"/>
  <c r="L200" i="52"/>
  <c r="K201" i="52"/>
  <c r="I163" i="53"/>
  <c r="C114" i="52"/>
  <c r="M114" i="52" s="1"/>
  <c r="C120" i="52"/>
  <c r="M117" i="52" s="1"/>
  <c r="I188" i="52"/>
  <c r="L170" i="52"/>
  <c r="H172" i="52"/>
  <c r="J173" i="52"/>
  <c r="L174" i="52"/>
  <c r="H176" i="52"/>
  <c r="J177" i="52"/>
  <c r="L178" i="52"/>
  <c r="H180" i="52"/>
  <c r="J181" i="52"/>
  <c r="E187" i="52"/>
  <c r="C188" i="52"/>
  <c r="L188" i="52"/>
  <c r="I191" i="52"/>
  <c r="H192" i="52"/>
  <c r="D200" i="52"/>
  <c r="C201" i="52"/>
  <c r="L201" i="52"/>
  <c r="O161" i="53"/>
  <c r="O162" i="53"/>
  <c r="O160" i="53"/>
  <c r="L162" i="52"/>
  <c r="K173" i="52"/>
  <c r="K177" i="52"/>
  <c r="K181" i="52"/>
  <c r="F187" i="52"/>
  <c r="D188" i="52"/>
  <c r="J191" i="52"/>
  <c r="J192" i="52"/>
  <c r="E200" i="52"/>
  <c r="D201" i="52"/>
  <c r="E161" i="53"/>
  <c r="E160" i="53"/>
  <c r="E162" i="53"/>
  <c r="G162" i="53"/>
  <c r="G161" i="53"/>
  <c r="G160" i="53"/>
  <c r="H171" i="52"/>
  <c r="B171" i="52" s="1"/>
  <c r="J172" i="52"/>
  <c r="L173" i="52"/>
  <c r="H175" i="52"/>
  <c r="B175" i="52" s="1"/>
  <c r="J176" i="52"/>
  <c r="L177" i="52"/>
  <c r="J180" i="52"/>
  <c r="G187" i="52"/>
  <c r="E188" i="52"/>
  <c r="L191" i="52"/>
  <c r="K192" i="52"/>
  <c r="F200" i="52"/>
  <c r="F201" i="52"/>
  <c r="M160" i="53"/>
  <c r="M161" i="53"/>
  <c r="M162" i="53"/>
  <c r="D164" i="53"/>
  <c r="O164" i="53"/>
  <c r="J170" i="53"/>
  <c r="L171" i="53"/>
  <c r="H173" i="53"/>
  <c r="J174" i="53"/>
  <c r="L175" i="53"/>
  <c r="H177" i="53"/>
  <c r="J178" i="53"/>
  <c r="B178" i="53" s="1"/>
  <c r="L179" i="53"/>
  <c r="H181" i="53"/>
  <c r="C187" i="53"/>
  <c r="K187" i="53"/>
  <c r="I188" i="53"/>
  <c r="C191" i="53"/>
  <c r="K191" i="53"/>
  <c r="I192" i="53"/>
  <c r="G196" i="53"/>
  <c r="E197" i="53"/>
  <c r="G200" i="53"/>
  <c r="E201" i="53"/>
  <c r="I211" i="53"/>
  <c r="D229" i="53"/>
  <c r="K105" i="54"/>
  <c r="M105" i="54" s="1"/>
  <c r="L163" i="53"/>
  <c r="E164" i="53"/>
  <c r="K170" i="53"/>
  <c r="K174" i="53"/>
  <c r="K178" i="53"/>
  <c r="C178" i="53" s="1"/>
  <c r="D187" i="53"/>
  <c r="L187" i="53"/>
  <c r="J188" i="53"/>
  <c r="D191" i="53"/>
  <c r="L191" i="53"/>
  <c r="J192" i="53"/>
  <c r="H196" i="53"/>
  <c r="F197" i="53"/>
  <c r="H200" i="53"/>
  <c r="F201" i="53"/>
  <c r="K211" i="53"/>
  <c r="L229" i="53"/>
  <c r="D161" i="54"/>
  <c r="D160" i="54"/>
  <c r="D162" i="54"/>
  <c r="F165" i="54"/>
  <c r="F163" i="54"/>
  <c r="F164" i="54"/>
  <c r="I165" i="54"/>
  <c r="C114" i="53"/>
  <c r="M114" i="53" s="1"/>
  <c r="L170" i="53"/>
  <c r="H172" i="53"/>
  <c r="J173" i="53"/>
  <c r="L174" i="53"/>
  <c r="H176" i="53"/>
  <c r="J177" i="53"/>
  <c r="L178" i="53"/>
  <c r="D178" i="53" s="1"/>
  <c r="H180" i="53"/>
  <c r="J181" i="53"/>
  <c r="E187" i="53"/>
  <c r="C188" i="53"/>
  <c r="K188" i="53"/>
  <c r="E191" i="53"/>
  <c r="C192" i="53"/>
  <c r="K192" i="53"/>
  <c r="I196" i="53"/>
  <c r="G197" i="53"/>
  <c r="I200" i="53"/>
  <c r="G201" i="53"/>
  <c r="D164" i="54"/>
  <c r="D165" i="54"/>
  <c r="F165" i="55"/>
  <c r="F163" i="55"/>
  <c r="F164" i="55"/>
  <c r="D163" i="53"/>
  <c r="L165" i="53"/>
  <c r="K173" i="53"/>
  <c r="K177" i="53"/>
  <c r="K181" i="53"/>
  <c r="F187" i="53"/>
  <c r="D188" i="53"/>
  <c r="L188" i="53"/>
  <c r="F191" i="53"/>
  <c r="D192" i="53"/>
  <c r="L192" i="53"/>
  <c r="J196" i="53"/>
  <c r="H197" i="53"/>
  <c r="J200" i="53"/>
  <c r="H201" i="53"/>
  <c r="E161" i="54"/>
  <c r="E160" i="54"/>
  <c r="E162" i="54"/>
  <c r="L164" i="54"/>
  <c r="L163" i="54"/>
  <c r="N160" i="54"/>
  <c r="N161" i="54"/>
  <c r="N162" i="54"/>
  <c r="O160" i="54"/>
  <c r="O161" i="54"/>
  <c r="O162" i="54"/>
  <c r="L165" i="54"/>
  <c r="E163" i="53"/>
  <c r="H171" i="53"/>
  <c r="C171" i="53" s="1"/>
  <c r="J172" i="53"/>
  <c r="L173" i="53"/>
  <c r="H175" i="53"/>
  <c r="J176" i="53"/>
  <c r="L177" i="53"/>
  <c r="H179" i="53"/>
  <c r="C179" i="53" s="1"/>
  <c r="J180" i="53"/>
  <c r="L181" i="53"/>
  <c r="G187" i="53"/>
  <c r="E188" i="53"/>
  <c r="G191" i="53"/>
  <c r="E192" i="53"/>
  <c r="C196" i="53"/>
  <c r="K196" i="53"/>
  <c r="C200" i="53"/>
  <c r="K200" i="53"/>
  <c r="I201" i="53"/>
  <c r="G161" i="54"/>
  <c r="G160" i="54"/>
  <c r="G162" i="54"/>
  <c r="M109" i="53"/>
  <c r="C118" i="53"/>
  <c r="M117" i="53" s="1"/>
  <c r="E211" i="53"/>
  <c r="L211" i="53"/>
  <c r="D211" i="53"/>
  <c r="J211" i="53"/>
  <c r="G211" i="53"/>
  <c r="F211" i="53"/>
  <c r="K172" i="53"/>
  <c r="K176" i="53"/>
  <c r="K180" i="53"/>
  <c r="H187" i="53"/>
  <c r="F188" i="53"/>
  <c r="H191" i="53"/>
  <c r="F192" i="53"/>
  <c r="D196" i="53"/>
  <c r="L196" i="53"/>
  <c r="J197" i="53"/>
  <c r="D200" i="53"/>
  <c r="L200" i="53"/>
  <c r="J201" i="53"/>
  <c r="E165" i="54"/>
  <c r="E163" i="54"/>
  <c r="E164" i="54"/>
  <c r="N164" i="54"/>
  <c r="N165" i="54"/>
  <c r="N163" i="54"/>
  <c r="D163" i="54"/>
  <c r="B181" i="54"/>
  <c r="G161" i="55"/>
  <c r="G160" i="55"/>
  <c r="G162" i="55"/>
  <c r="H170" i="53"/>
  <c r="J171" i="53"/>
  <c r="L172" i="53"/>
  <c r="H174" i="53"/>
  <c r="J175" i="53"/>
  <c r="L176" i="53"/>
  <c r="J179" i="53"/>
  <c r="L180" i="53"/>
  <c r="I187" i="53"/>
  <c r="G188" i="53"/>
  <c r="I191" i="53"/>
  <c r="G192" i="53"/>
  <c r="E196" i="53"/>
  <c r="C197" i="53"/>
  <c r="K197" i="53"/>
  <c r="E200" i="53"/>
  <c r="C201" i="53"/>
  <c r="C211" i="53"/>
  <c r="M104" i="54"/>
  <c r="I229" i="53"/>
  <c r="H229" i="53"/>
  <c r="G229" i="53"/>
  <c r="F229" i="53"/>
  <c r="E229" i="53"/>
  <c r="K229" i="53"/>
  <c r="C229" i="53"/>
  <c r="J229" i="53"/>
  <c r="K171" i="53"/>
  <c r="K175" i="53"/>
  <c r="J187" i="53"/>
  <c r="H188" i="53"/>
  <c r="J191" i="53"/>
  <c r="H192" i="53"/>
  <c r="F196" i="53"/>
  <c r="D197" i="53"/>
  <c r="L197" i="53"/>
  <c r="F200" i="53"/>
  <c r="D201" i="53"/>
  <c r="L201" i="53"/>
  <c r="H211" i="53"/>
  <c r="L160" i="54"/>
  <c r="L161" i="54"/>
  <c r="M160" i="55"/>
  <c r="M161" i="55"/>
  <c r="M162" i="55"/>
  <c r="D116" i="54"/>
  <c r="K170" i="54"/>
  <c r="K174" i="54"/>
  <c r="K178" i="54"/>
  <c r="D187" i="54"/>
  <c r="L187" i="54"/>
  <c r="J188" i="54"/>
  <c r="D191" i="54"/>
  <c r="L191" i="54"/>
  <c r="J192" i="54"/>
  <c r="H196" i="54"/>
  <c r="F197" i="54"/>
  <c r="H200" i="54"/>
  <c r="F201" i="54"/>
  <c r="F161" i="55"/>
  <c r="F160" i="55"/>
  <c r="F162" i="55"/>
  <c r="C114" i="54"/>
  <c r="L170" i="54"/>
  <c r="H172" i="54"/>
  <c r="J173" i="54"/>
  <c r="L174" i="54"/>
  <c r="H176" i="54"/>
  <c r="J177" i="54"/>
  <c r="L178" i="54"/>
  <c r="H180" i="54"/>
  <c r="J181" i="54"/>
  <c r="E187" i="54"/>
  <c r="C188" i="54"/>
  <c r="K188" i="54"/>
  <c r="E191" i="54"/>
  <c r="C192" i="54"/>
  <c r="K192" i="54"/>
  <c r="I196" i="54"/>
  <c r="G197" i="54"/>
  <c r="I200" i="54"/>
  <c r="G201" i="54"/>
  <c r="D116" i="55"/>
  <c r="L164" i="55"/>
  <c r="L163" i="55"/>
  <c r="M162" i="54"/>
  <c r="H171" i="54"/>
  <c r="J172" i="54"/>
  <c r="L173" i="54"/>
  <c r="H175" i="54"/>
  <c r="C175" i="54" s="1"/>
  <c r="J176" i="54"/>
  <c r="L177" i="54"/>
  <c r="H179" i="54"/>
  <c r="J180" i="54"/>
  <c r="L181" i="54"/>
  <c r="D181" i="54" s="1"/>
  <c r="G187" i="54"/>
  <c r="E188" i="54"/>
  <c r="G191" i="54"/>
  <c r="E192" i="54"/>
  <c r="C196" i="54"/>
  <c r="K196" i="54"/>
  <c r="I197" i="54"/>
  <c r="C200" i="54"/>
  <c r="K200" i="54"/>
  <c r="J201" i="54"/>
  <c r="E229" i="54"/>
  <c r="D161" i="55"/>
  <c r="D160" i="55"/>
  <c r="D162" i="55"/>
  <c r="K105" i="55"/>
  <c r="M105" i="55" s="1"/>
  <c r="C118" i="54"/>
  <c r="M117" i="54" s="1"/>
  <c r="M161" i="54"/>
  <c r="L211" i="54"/>
  <c r="D211" i="54"/>
  <c r="K211" i="54"/>
  <c r="C211" i="54"/>
  <c r="J211" i="54"/>
  <c r="G211" i="54"/>
  <c r="F211" i="54"/>
  <c r="O165" i="54"/>
  <c r="K172" i="54"/>
  <c r="K176" i="54"/>
  <c r="K180" i="54"/>
  <c r="H187" i="54"/>
  <c r="F188" i="54"/>
  <c r="H191" i="54"/>
  <c r="F192" i="54"/>
  <c r="D196" i="54"/>
  <c r="L196" i="54"/>
  <c r="J197" i="54"/>
  <c r="D200" i="54"/>
  <c r="L200" i="54"/>
  <c r="K201" i="54"/>
  <c r="I211" i="54"/>
  <c r="L229" i="54"/>
  <c r="D164" i="55"/>
  <c r="D165" i="55"/>
  <c r="I163" i="55"/>
  <c r="I164" i="55"/>
  <c r="I165" i="55"/>
  <c r="F162" i="54"/>
  <c r="H170" i="54"/>
  <c r="D170" i="54" s="1"/>
  <c r="J171" i="54"/>
  <c r="L172" i="54"/>
  <c r="H174" i="54"/>
  <c r="D174" i="54" s="1"/>
  <c r="J175" i="54"/>
  <c r="L176" i="54"/>
  <c r="H178" i="54"/>
  <c r="J179" i="54"/>
  <c r="L180" i="54"/>
  <c r="I187" i="54"/>
  <c r="G188" i="54"/>
  <c r="I191" i="54"/>
  <c r="G192" i="54"/>
  <c r="E196" i="54"/>
  <c r="C197" i="54"/>
  <c r="K197" i="54"/>
  <c r="E200" i="54"/>
  <c r="C201" i="54"/>
  <c r="E161" i="55"/>
  <c r="E160" i="55"/>
  <c r="E162" i="55"/>
  <c r="N160" i="55"/>
  <c r="N161" i="55"/>
  <c r="N162" i="55"/>
  <c r="O160" i="56"/>
  <c r="O161" i="56"/>
  <c r="O162" i="56"/>
  <c r="F142" i="54"/>
  <c r="F160" i="54"/>
  <c r="I229" i="54"/>
  <c r="H229" i="54"/>
  <c r="G229" i="54"/>
  <c r="F229" i="54"/>
  <c r="K229" i="54"/>
  <c r="C229" i="54"/>
  <c r="J229" i="54"/>
  <c r="H201" i="54"/>
  <c r="K171" i="54"/>
  <c r="K175" i="54"/>
  <c r="K179" i="54"/>
  <c r="J187" i="54"/>
  <c r="H188" i="54"/>
  <c r="J191" i="54"/>
  <c r="H192" i="54"/>
  <c r="F196" i="54"/>
  <c r="D197" i="54"/>
  <c r="L197" i="54"/>
  <c r="F200" i="54"/>
  <c r="D201" i="54"/>
  <c r="J170" i="54"/>
  <c r="L171" i="54"/>
  <c r="H173" i="54"/>
  <c r="B173" i="54" s="1"/>
  <c r="J174" i="54"/>
  <c r="L175" i="54"/>
  <c r="H177" i="54"/>
  <c r="B177" i="54" s="1"/>
  <c r="J178" i="54"/>
  <c r="C187" i="54"/>
  <c r="K187" i="54"/>
  <c r="I188" i="54"/>
  <c r="C191" i="54"/>
  <c r="K191" i="54"/>
  <c r="I192" i="54"/>
  <c r="G196" i="54"/>
  <c r="E197" i="54"/>
  <c r="G200" i="54"/>
  <c r="E201" i="54"/>
  <c r="E165" i="55"/>
  <c r="E163" i="55"/>
  <c r="E164" i="55"/>
  <c r="M104" i="55"/>
  <c r="C116" i="55"/>
  <c r="L165" i="55"/>
  <c r="K170" i="55"/>
  <c r="K174" i="55"/>
  <c r="K178" i="55"/>
  <c r="D187" i="55"/>
  <c r="L187" i="55"/>
  <c r="J188" i="55"/>
  <c r="F191" i="55"/>
  <c r="E192" i="55"/>
  <c r="D196" i="55"/>
  <c r="C197" i="55"/>
  <c r="L197" i="55"/>
  <c r="H200" i="55"/>
  <c r="D211" i="55"/>
  <c r="M105" i="56"/>
  <c r="C114" i="55"/>
  <c r="M114" i="55" s="1"/>
  <c r="N163" i="55"/>
  <c r="L170" i="55"/>
  <c r="H172" i="55"/>
  <c r="J173" i="55"/>
  <c r="L174" i="55"/>
  <c r="H176" i="55"/>
  <c r="J177" i="55"/>
  <c r="L178" i="55"/>
  <c r="H180" i="55"/>
  <c r="J181" i="55"/>
  <c r="B181" i="55" s="1"/>
  <c r="E187" i="55"/>
  <c r="C188" i="55"/>
  <c r="K188" i="55"/>
  <c r="G191" i="55"/>
  <c r="F192" i="55"/>
  <c r="E196" i="55"/>
  <c r="D197" i="55"/>
  <c r="J200" i="55"/>
  <c r="F211" i="55"/>
  <c r="I162" i="56"/>
  <c r="L165" i="56"/>
  <c r="L164" i="56"/>
  <c r="L163" i="56"/>
  <c r="N164" i="56"/>
  <c r="N163" i="56"/>
  <c r="N165" i="56"/>
  <c r="N165" i="55"/>
  <c r="H171" i="55"/>
  <c r="J172" i="55"/>
  <c r="L173" i="55"/>
  <c r="H175" i="55"/>
  <c r="J176" i="55"/>
  <c r="L177" i="55"/>
  <c r="H179" i="55"/>
  <c r="J180" i="55"/>
  <c r="L181" i="55"/>
  <c r="D181" i="55" s="1"/>
  <c r="G187" i="55"/>
  <c r="E188" i="55"/>
  <c r="I191" i="55"/>
  <c r="H192" i="55"/>
  <c r="G196" i="55"/>
  <c r="F197" i="55"/>
  <c r="D201" i="55"/>
  <c r="M160" i="56"/>
  <c r="M161" i="56"/>
  <c r="M162" i="56"/>
  <c r="M109" i="55"/>
  <c r="C118" i="55"/>
  <c r="M117" i="55" s="1"/>
  <c r="E211" i="55"/>
  <c r="G197" i="55"/>
  <c r="I196" i="55"/>
  <c r="K211" i="55"/>
  <c r="C211" i="55"/>
  <c r="H211" i="55"/>
  <c r="G211" i="55"/>
  <c r="O165" i="55"/>
  <c r="K172" i="55"/>
  <c r="K176" i="55"/>
  <c r="K180" i="55"/>
  <c r="H187" i="55"/>
  <c r="F188" i="55"/>
  <c r="J191" i="55"/>
  <c r="I192" i="55"/>
  <c r="H196" i="55"/>
  <c r="H197" i="55"/>
  <c r="F201" i="55"/>
  <c r="L211" i="55"/>
  <c r="E163" i="56"/>
  <c r="E165" i="56"/>
  <c r="G161" i="56"/>
  <c r="G160" i="56"/>
  <c r="G162" i="56"/>
  <c r="O162" i="55"/>
  <c r="H170" i="55"/>
  <c r="J171" i="55"/>
  <c r="L172" i="55"/>
  <c r="H174" i="55"/>
  <c r="D174" i="55" s="1"/>
  <c r="J175" i="55"/>
  <c r="L176" i="55"/>
  <c r="H178" i="55"/>
  <c r="D178" i="55" s="1"/>
  <c r="J179" i="55"/>
  <c r="L180" i="55"/>
  <c r="I187" i="55"/>
  <c r="G188" i="55"/>
  <c r="K191" i="55"/>
  <c r="J192" i="55"/>
  <c r="J196" i="55"/>
  <c r="I197" i="55"/>
  <c r="F161" i="56"/>
  <c r="F160" i="56"/>
  <c r="F162" i="56"/>
  <c r="O161" i="55"/>
  <c r="J229" i="55"/>
  <c r="I229" i="55"/>
  <c r="G201" i="55"/>
  <c r="I200" i="55"/>
  <c r="H229" i="55"/>
  <c r="G229" i="55"/>
  <c r="E201" i="55"/>
  <c r="G200" i="55"/>
  <c r="F229" i="55"/>
  <c r="L229" i="55"/>
  <c r="D229" i="55"/>
  <c r="J201" i="55"/>
  <c r="L200" i="55"/>
  <c r="D200" i="55"/>
  <c r="K229" i="55"/>
  <c r="C229" i="55"/>
  <c r="I201" i="55"/>
  <c r="K200" i="55"/>
  <c r="C200" i="55"/>
  <c r="K171" i="55"/>
  <c r="K175" i="55"/>
  <c r="K179" i="55"/>
  <c r="J187" i="55"/>
  <c r="H188" i="55"/>
  <c r="C191" i="55"/>
  <c r="L191" i="55"/>
  <c r="L192" i="55"/>
  <c r="K196" i="55"/>
  <c r="J197" i="55"/>
  <c r="E200" i="55"/>
  <c r="K201" i="55"/>
  <c r="E164" i="57"/>
  <c r="E163" i="57"/>
  <c r="E165" i="57"/>
  <c r="K192" i="55"/>
  <c r="C192" i="55"/>
  <c r="E191" i="55"/>
  <c r="J170" i="55"/>
  <c r="L171" i="55"/>
  <c r="H173" i="55"/>
  <c r="J174" i="55"/>
  <c r="L175" i="55"/>
  <c r="H177" i="55"/>
  <c r="J178" i="55"/>
  <c r="C187" i="55"/>
  <c r="K187" i="55"/>
  <c r="I188" i="55"/>
  <c r="D191" i="55"/>
  <c r="D192" i="55"/>
  <c r="C196" i="55"/>
  <c r="L196" i="55"/>
  <c r="K197" i="55"/>
  <c r="F200" i="55"/>
  <c r="L201" i="55"/>
  <c r="E229" i="55"/>
  <c r="D161" i="56"/>
  <c r="D160" i="56"/>
  <c r="D162" i="56"/>
  <c r="L162" i="56"/>
  <c r="L160" i="56"/>
  <c r="O165" i="56"/>
  <c r="O163" i="56"/>
  <c r="O164" i="56"/>
  <c r="H161" i="57"/>
  <c r="H160" i="57"/>
  <c r="H162" i="57"/>
  <c r="K180" i="56"/>
  <c r="K176" i="56"/>
  <c r="K172" i="56"/>
  <c r="K181" i="56"/>
  <c r="K177" i="56"/>
  <c r="K173" i="56"/>
  <c r="J181" i="56"/>
  <c r="L178" i="56"/>
  <c r="J177" i="56"/>
  <c r="L174" i="56"/>
  <c r="J173" i="56"/>
  <c r="K179" i="56"/>
  <c r="H180" i="56"/>
  <c r="H176" i="56"/>
  <c r="C114" i="56"/>
  <c r="M114" i="56" s="1"/>
  <c r="E116" i="56"/>
  <c r="C120" i="56"/>
  <c r="M117" i="56" s="1"/>
  <c r="F188" i="56"/>
  <c r="H187" i="56"/>
  <c r="L188" i="56"/>
  <c r="D188" i="56"/>
  <c r="F187" i="56"/>
  <c r="K188" i="56"/>
  <c r="C188" i="56"/>
  <c r="E187" i="56"/>
  <c r="H188" i="56"/>
  <c r="J187" i="56"/>
  <c r="J171" i="56"/>
  <c r="H174" i="56"/>
  <c r="L181" i="56"/>
  <c r="L187" i="56"/>
  <c r="D191" i="56"/>
  <c r="J192" i="56"/>
  <c r="H200" i="56"/>
  <c r="E229" i="56"/>
  <c r="N59" i="57"/>
  <c r="I165" i="57"/>
  <c r="I163" i="57"/>
  <c r="L160" i="57"/>
  <c r="L161" i="57"/>
  <c r="H179" i="57"/>
  <c r="L181" i="57"/>
  <c r="N59" i="56"/>
  <c r="I163" i="56"/>
  <c r="K171" i="56"/>
  <c r="L177" i="56"/>
  <c r="D177" i="56" s="1"/>
  <c r="H178" i="56"/>
  <c r="E188" i="56"/>
  <c r="G191" i="56"/>
  <c r="K200" i="56"/>
  <c r="G161" i="57"/>
  <c r="G160" i="57"/>
  <c r="G162" i="57"/>
  <c r="L162" i="57"/>
  <c r="H172" i="57"/>
  <c r="J180" i="57"/>
  <c r="M137" i="56"/>
  <c r="F164" i="56"/>
  <c r="J229" i="56"/>
  <c r="I229" i="56"/>
  <c r="H229" i="56"/>
  <c r="L229" i="56"/>
  <c r="J201" i="56"/>
  <c r="L200" i="56"/>
  <c r="D200" i="56"/>
  <c r="G229" i="56"/>
  <c r="H201" i="56"/>
  <c r="J200" i="56"/>
  <c r="F229" i="56"/>
  <c r="G201" i="56"/>
  <c r="I200" i="56"/>
  <c r="C229" i="56"/>
  <c r="L201" i="56"/>
  <c r="D201" i="56"/>
  <c r="F200" i="56"/>
  <c r="J172" i="56"/>
  <c r="K174" i="56"/>
  <c r="J178" i="56"/>
  <c r="C180" i="56"/>
  <c r="C187" i="56"/>
  <c r="I188" i="56"/>
  <c r="K191" i="56"/>
  <c r="E201" i="56"/>
  <c r="F161" i="57"/>
  <c r="F160" i="57"/>
  <c r="F162" i="57"/>
  <c r="J172" i="57"/>
  <c r="E160" i="56"/>
  <c r="F192" i="56"/>
  <c r="H191" i="56"/>
  <c r="L192" i="56"/>
  <c r="D192" i="56"/>
  <c r="F191" i="56"/>
  <c r="K192" i="56"/>
  <c r="C192" i="56"/>
  <c r="E191" i="56"/>
  <c r="H192" i="56"/>
  <c r="J191" i="56"/>
  <c r="I164" i="56"/>
  <c r="J170" i="56"/>
  <c r="B170" i="56" s="1"/>
  <c r="L172" i="56"/>
  <c r="H175" i="56"/>
  <c r="K178" i="56"/>
  <c r="H179" i="56"/>
  <c r="D187" i="56"/>
  <c r="J188" i="56"/>
  <c r="L191" i="56"/>
  <c r="F201" i="56"/>
  <c r="L163" i="57"/>
  <c r="L164" i="57"/>
  <c r="L165" i="57"/>
  <c r="M142" i="57"/>
  <c r="F142" i="57"/>
  <c r="L170" i="57"/>
  <c r="L172" i="57"/>
  <c r="D165" i="56"/>
  <c r="D163" i="56"/>
  <c r="F165" i="56"/>
  <c r="K170" i="56"/>
  <c r="C170" i="56" s="1"/>
  <c r="H173" i="56"/>
  <c r="B173" i="56" s="1"/>
  <c r="J175" i="56"/>
  <c r="C177" i="56"/>
  <c r="J179" i="56"/>
  <c r="J180" i="56"/>
  <c r="C200" i="56"/>
  <c r="I201" i="56"/>
  <c r="F165" i="57"/>
  <c r="F163" i="57"/>
  <c r="F164" i="57"/>
  <c r="H181" i="57"/>
  <c r="H177" i="57"/>
  <c r="H173" i="57"/>
  <c r="H176" i="57"/>
  <c r="H180" i="57"/>
  <c r="H171" i="57"/>
  <c r="H170" i="57"/>
  <c r="M109" i="57"/>
  <c r="H175" i="57"/>
  <c r="H174" i="57"/>
  <c r="N160" i="57"/>
  <c r="N162" i="57"/>
  <c r="N161" i="57"/>
  <c r="J177" i="57"/>
  <c r="L170" i="56"/>
  <c r="D170" i="56" s="1"/>
  <c r="K175" i="56"/>
  <c r="J176" i="56"/>
  <c r="L179" i="56"/>
  <c r="L180" i="56"/>
  <c r="H181" i="56"/>
  <c r="I187" i="56"/>
  <c r="G192" i="56"/>
  <c r="E200" i="56"/>
  <c r="K201" i="56"/>
  <c r="J77" i="57"/>
  <c r="C164" i="57" s="1"/>
  <c r="D161" i="57"/>
  <c r="D160" i="57"/>
  <c r="N164" i="57"/>
  <c r="N163" i="57"/>
  <c r="J175" i="57"/>
  <c r="L175" i="56"/>
  <c r="L176" i="56"/>
  <c r="B177" i="56"/>
  <c r="G200" i="56"/>
  <c r="D229" i="56"/>
  <c r="K178" i="57"/>
  <c r="K174" i="57"/>
  <c r="K170" i="57"/>
  <c r="L179" i="57"/>
  <c r="J178" i="57"/>
  <c r="B178" i="57" s="1"/>
  <c r="L175" i="57"/>
  <c r="J174" i="57"/>
  <c r="L171" i="57"/>
  <c r="J170" i="57"/>
  <c r="K179" i="57"/>
  <c r="K175" i="57"/>
  <c r="K171" i="57"/>
  <c r="K180" i="57"/>
  <c r="K176" i="57"/>
  <c r="K172" i="57"/>
  <c r="J171" i="57"/>
  <c r="J179" i="57"/>
  <c r="L174" i="57"/>
  <c r="L173" i="57"/>
  <c r="L178" i="57"/>
  <c r="D178" i="57" s="1"/>
  <c r="L177" i="57"/>
  <c r="K173" i="57"/>
  <c r="J181" i="57"/>
  <c r="L180" i="57"/>
  <c r="J176" i="57"/>
  <c r="C118" i="57"/>
  <c r="M117" i="57" s="1"/>
  <c r="C114" i="57"/>
  <c r="M114" i="57" s="1"/>
  <c r="D164" i="57"/>
  <c r="D165" i="57"/>
  <c r="D163" i="57"/>
  <c r="L176" i="57"/>
  <c r="K181" i="57"/>
  <c r="F196" i="56"/>
  <c r="D197" i="56"/>
  <c r="L197" i="56"/>
  <c r="J211" i="56"/>
  <c r="J188" i="57"/>
  <c r="L187" i="57"/>
  <c r="D187" i="57"/>
  <c r="I188" i="57"/>
  <c r="K187" i="57"/>
  <c r="C187" i="57"/>
  <c r="H188" i="57"/>
  <c r="J187" i="57"/>
  <c r="F188" i="57"/>
  <c r="H187" i="57"/>
  <c r="B174" i="57"/>
  <c r="C178" i="57"/>
  <c r="I187" i="57"/>
  <c r="I196" i="56"/>
  <c r="G197" i="56"/>
  <c r="E211" i="56"/>
  <c r="K105" i="57"/>
  <c r="M105" i="57" s="1"/>
  <c r="D116" i="57"/>
  <c r="E160" i="57"/>
  <c r="E161" i="57"/>
  <c r="D171" i="57"/>
  <c r="E188" i="57"/>
  <c r="J196" i="56"/>
  <c r="H197" i="56"/>
  <c r="F211" i="56"/>
  <c r="O164" i="57"/>
  <c r="O165" i="57"/>
  <c r="G188" i="57"/>
  <c r="D196" i="56"/>
  <c r="L196" i="56"/>
  <c r="J197" i="56"/>
  <c r="F187" i="57"/>
  <c r="L188" i="57"/>
  <c r="H191" i="57"/>
  <c r="F192" i="57"/>
  <c r="D196" i="57"/>
  <c r="L196" i="57"/>
  <c r="J197" i="57"/>
  <c r="D200" i="57"/>
  <c r="L200" i="57"/>
  <c r="J201" i="57"/>
  <c r="H211" i="57"/>
  <c r="D229" i="57"/>
  <c r="L229" i="57"/>
  <c r="J191" i="57"/>
  <c r="H192" i="57"/>
  <c r="F196" i="57"/>
  <c r="D197" i="57"/>
  <c r="L197" i="57"/>
  <c r="F200" i="57"/>
  <c r="D201" i="57"/>
  <c r="L201" i="57"/>
  <c r="J211" i="57"/>
  <c r="F229" i="57"/>
  <c r="C191" i="57"/>
  <c r="K191" i="57"/>
  <c r="I192" i="57"/>
  <c r="G196" i="57"/>
  <c r="E197" i="57"/>
  <c r="G200" i="57"/>
  <c r="E201" i="57"/>
  <c r="C211" i="57"/>
  <c r="K211" i="57"/>
  <c r="G229" i="57"/>
  <c r="D191" i="57"/>
  <c r="L191" i="57"/>
  <c r="J192" i="57"/>
  <c r="H196" i="57"/>
  <c r="F197" i="57"/>
  <c r="H200" i="57"/>
  <c r="F201" i="57"/>
  <c r="D211" i="57"/>
  <c r="L163" i="47"/>
  <c r="L164" i="47"/>
  <c r="L165" i="47"/>
  <c r="O160" i="47"/>
  <c r="O161" i="47"/>
  <c r="O162" i="47"/>
  <c r="M104" i="47"/>
  <c r="J160" i="47"/>
  <c r="L174" i="47"/>
  <c r="K181" i="47"/>
  <c r="E164" i="47"/>
  <c r="E165" i="47"/>
  <c r="E163" i="47"/>
  <c r="H181" i="47"/>
  <c r="H177" i="47"/>
  <c r="H173" i="47"/>
  <c r="H178" i="47"/>
  <c r="H174" i="47"/>
  <c r="H170" i="47"/>
  <c r="M109" i="47"/>
  <c r="H179" i="47"/>
  <c r="H175" i="47"/>
  <c r="H171" i="47"/>
  <c r="C171" i="47" s="1"/>
  <c r="M160" i="47"/>
  <c r="M161" i="47"/>
  <c r="M162" i="47"/>
  <c r="N164" i="47"/>
  <c r="N165" i="47"/>
  <c r="O164" i="47"/>
  <c r="O165" i="47"/>
  <c r="H172" i="47"/>
  <c r="J173" i="47"/>
  <c r="F161" i="47"/>
  <c r="F160" i="47"/>
  <c r="F162" i="47"/>
  <c r="J188" i="47"/>
  <c r="L187" i="47"/>
  <c r="D187" i="47"/>
  <c r="I188" i="47"/>
  <c r="K187" i="47"/>
  <c r="C187" i="47"/>
  <c r="H188" i="47"/>
  <c r="J187" i="47"/>
  <c r="G188" i="47"/>
  <c r="I187" i="47"/>
  <c r="F188" i="47"/>
  <c r="H187" i="47"/>
  <c r="E188" i="47"/>
  <c r="G187" i="47"/>
  <c r="K173" i="47"/>
  <c r="E187" i="47"/>
  <c r="E161" i="47"/>
  <c r="E160" i="47"/>
  <c r="E162" i="47"/>
  <c r="J74" i="47"/>
  <c r="C161" i="47" s="1"/>
  <c r="K105" i="47"/>
  <c r="M105" i="47" s="1"/>
  <c r="F187" i="47"/>
  <c r="K178" i="47"/>
  <c r="K174" i="47"/>
  <c r="K170" i="47"/>
  <c r="L179" i="47"/>
  <c r="J178" i="47"/>
  <c r="L175" i="47"/>
  <c r="J174" i="47"/>
  <c r="L171" i="47"/>
  <c r="D171" i="47" s="1"/>
  <c r="J170" i="47"/>
  <c r="B170" i="47" s="1"/>
  <c r="K179" i="47"/>
  <c r="C179" i="47" s="1"/>
  <c r="K175" i="47"/>
  <c r="K171" i="47"/>
  <c r="L180" i="47"/>
  <c r="D180" i="47" s="1"/>
  <c r="J179" i="47"/>
  <c r="B179" i="47" s="1"/>
  <c r="L176" i="47"/>
  <c r="J175" i="47"/>
  <c r="L172" i="47"/>
  <c r="J171" i="47"/>
  <c r="B171" i="47" s="1"/>
  <c r="K180" i="47"/>
  <c r="C180" i="47" s="1"/>
  <c r="K176" i="47"/>
  <c r="K172" i="47"/>
  <c r="C118" i="47"/>
  <c r="M117" i="47" s="1"/>
  <c r="L181" i="47"/>
  <c r="J180" i="47"/>
  <c r="L177" i="47"/>
  <c r="D177" i="47" s="1"/>
  <c r="J176" i="47"/>
  <c r="L173" i="47"/>
  <c r="D173" i="47" s="1"/>
  <c r="J172" i="47"/>
  <c r="F165" i="47"/>
  <c r="F163" i="47"/>
  <c r="H176" i="47"/>
  <c r="C176" i="47" s="1"/>
  <c r="J177" i="47"/>
  <c r="B180" i="47"/>
  <c r="C188" i="47"/>
  <c r="N59" i="47"/>
  <c r="L170" i="47"/>
  <c r="B174" i="47"/>
  <c r="K177" i="47"/>
  <c r="D188" i="47"/>
  <c r="N162" i="47"/>
  <c r="M100" i="47"/>
  <c r="N163" i="47"/>
  <c r="B172" i="47"/>
  <c r="K188" i="47"/>
  <c r="D162" i="47"/>
  <c r="G191" i="47"/>
  <c r="E192" i="47"/>
  <c r="C196" i="47"/>
  <c r="K196" i="47"/>
  <c r="I197" i="47"/>
  <c r="C200" i="47"/>
  <c r="K200" i="47"/>
  <c r="I201" i="47"/>
  <c r="G211" i="47"/>
  <c r="C229" i="47"/>
  <c r="K229" i="47"/>
  <c r="D160" i="47"/>
  <c r="D165" i="47"/>
  <c r="H191" i="47"/>
  <c r="F192" i="47"/>
  <c r="D196" i="47"/>
  <c r="L196" i="47"/>
  <c r="J197" i="47"/>
  <c r="D200" i="47"/>
  <c r="L200" i="47"/>
  <c r="J201" i="47"/>
  <c r="H211" i="47"/>
  <c r="D229" i="47"/>
  <c r="L229" i="47"/>
  <c r="I191" i="47"/>
  <c r="G192" i="47"/>
  <c r="E196" i="47"/>
  <c r="C197" i="47"/>
  <c r="K197" i="47"/>
  <c r="E200" i="47"/>
  <c r="C201" i="47"/>
  <c r="K201" i="47"/>
  <c r="I211" i="47"/>
  <c r="E229" i="47"/>
  <c r="F142" i="47"/>
  <c r="J191" i="47"/>
  <c r="H192" i="47"/>
  <c r="F196" i="47"/>
  <c r="D197" i="47"/>
  <c r="L197" i="47"/>
  <c r="F200" i="47"/>
  <c r="D201" i="47"/>
  <c r="L201" i="47"/>
  <c r="J211" i="47"/>
  <c r="F229" i="47"/>
  <c r="C191" i="47"/>
  <c r="K191" i="47"/>
  <c r="I192" i="47"/>
  <c r="G196" i="47"/>
  <c r="E197" i="47"/>
  <c r="G200" i="47"/>
  <c r="E201" i="47"/>
  <c r="C211" i="47"/>
  <c r="K211" i="47"/>
  <c r="G229" i="47"/>
  <c r="D191" i="47"/>
  <c r="L191" i="47"/>
  <c r="J192" i="47"/>
  <c r="H196" i="47"/>
  <c r="F197" i="47"/>
  <c r="H200" i="47"/>
  <c r="F201" i="47"/>
  <c r="D211" i="47"/>
  <c r="M104" i="45"/>
  <c r="M105" i="45"/>
  <c r="L160" i="45"/>
  <c r="L162" i="45"/>
  <c r="L161" i="45"/>
  <c r="B181" i="45"/>
  <c r="G162" i="45"/>
  <c r="G161" i="45"/>
  <c r="G160" i="45"/>
  <c r="E165" i="45"/>
  <c r="E164" i="45"/>
  <c r="E163" i="45"/>
  <c r="D160" i="46"/>
  <c r="D161" i="46"/>
  <c r="D162" i="46"/>
  <c r="L164" i="45"/>
  <c r="L163" i="45"/>
  <c r="L165" i="45"/>
  <c r="F161" i="45"/>
  <c r="F160" i="45"/>
  <c r="F162" i="45"/>
  <c r="M124" i="45"/>
  <c r="K160" i="45" s="1"/>
  <c r="F165" i="45"/>
  <c r="F164" i="45"/>
  <c r="F163" i="45"/>
  <c r="M117" i="45"/>
  <c r="D165" i="45"/>
  <c r="D163" i="45"/>
  <c r="D164" i="45"/>
  <c r="I165" i="45"/>
  <c r="M162" i="45"/>
  <c r="M161" i="45"/>
  <c r="M160" i="45"/>
  <c r="N164" i="45"/>
  <c r="N163" i="45"/>
  <c r="N165" i="45"/>
  <c r="O163" i="45"/>
  <c r="O164" i="45"/>
  <c r="O165" i="45"/>
  <c r="J211" i="45"/>
  <c r="L197" i="45"/>
  <c r="D197" i="45"/>
  <c r="F196" i="45"/>
  <c r="I211" i="45"/>
  <c r="K197" i="45"/>
  <c r="C197" i="45"/>
  <c r="E196" i="45"/>
  <c r="H211" i="45"/>
  <c r="G211" i="45"/>
  <c r="I197" i="45"/>
  <c r="K196" i="45"/>
  <c r="C196" i="45"/>
  <c r="F211" i="45"/>
  <c r="H197" i="45"/>
  <c r="J196" i="45"/>
  <c r="M142" i="45"/>
  <c r="H188" i="45"/>
  <c r="J187" i="45"/>
  <c r="G188" i="45"/>
  <c r="I187" i="45"/>
  <c r="E188" i="45"/>
  <c r="G187" i="45"/>
  <c r="L188" i="45"/>
  <c r="D188" i="45"/>
  <c r="F187" i="45"/>
  <c r="D162" i="45"/>
  <c r="N162" i="45"/>
  <c r="L171" i="45"/>
  <c r="D171" i="45" s="1"/>
  <c r="K174" i="45"/>
  <c r="H176" i="45"/>
  <c r="L187" i="45"/>
  <c r="D191" i="45"/>
  <c r="J192" i="45"/>
  <c r="F197" i="45"/>
  <c r="D116" i="46"/>
  <c r="F116" i="46"/>
  <c r="E116" i="46"/>
  <c r="D116" i="45"/>
  <c r="I160" i="45"/>
  <c r="E162" i="45"/>
  <c r="L174" i="45"/>
  <c r="L175" i="45"/>
  <c r="E191" i="45"/>
  <c r="K192" i="45"/>
  <c r="G197" i="45"/>
  <c r="C211" i="45"/>
  <c r="O164" i="46"/>
  <c r="O163" i="46"/>
  <c r="J188" i="46"/>
  <c r="L187" i="46"/>
  <c r="D187" i="46"/>
  <c r="I188" i="46"/>
  <c r="K187" i="46"/>
  <c r="C187" i="46"/>
  <c r="H188" i="46"/>
  <c r="J187" i="46"/>
  <c r="G188" i="46"/>
  <c r="I187" i="46"/>
  <c r="L188" i="46"/>
  <c r="D188" i="46"/>
  <c r="F187" i="46"/>
  <c r="G187" i="46"/>
  <c r="E187" i="46"/>
  <c r="K188" i="46"/>
  <c r="F188" i="46"/>
  <c r="K179" i="45"/>
  <c r="K175" i="45"/>
  <c r="K171" i="45"/>
  <c r="L180" i="45"/>
  <c r="D180" i="45" s="1"/>
  <c r="J179" i="45"/>
  <c r="L176" i="45"/>
  <c r="J175" i="45"/>
  <c r="L172" i="45"/>
  <c r="D172" i="45" s="1"/>
  <c r="J171" i="45"/>
  <c r="L181" i="45"/>
  <c r="D181" i="45" s="1"/>
  <c r="J180" i="45"/>
  <c r="L177" i="45"/>
  <c r="J176" i="45"/>
  <c r="L173" i="45"/>
  <c r="D173" i="45" s="1"/>
  <c r="K181" i="45"/>
  <c r="C181" i="45" s="1"/>
  <c r="K177" i="45"/>
  <c r="K173" i="45"/>
  <c r="H178" i="45"/>
  <c r="H174" i="45"/>
  <c r="H170" i="45"/>
  <c r="H179" i="45"/>
  <c r="D179" i="45" s="1"/>
  <c r="H175" i="45"/>
  <c r="D175" i="45" s="1"/>
  <c r="C114" i="45"/>
  <c r="M114" i="45" s="1"/>
  <c r="E116" i="45"/>
  <c r="H192" i="45"/>
  <c r="J191" i="45"/>
  <c r="G192" i="45"/>
  <c r="I191" i="45"/>
  <c r="E192" i="45"/>
  <c r="G191" i="45"/>
  <c r="L192" i="45"/>
  <c r="D192" i="45"/>
  <c r="F191" i="45"/>
  <c r="K176" i="45"/>
  <c r="H177" i="45"/>
  <c r="F188" i="45"/>
  <c r="H191" i="45"/>
  <c r="D196" i="45"/>
  <c r="J197" i="45"/>
  <c r="D211" i="45"/>
  <c r="F165" i="46"/>
  <c r="F163" i="46"/>
  <c r="D160" i="45"/>
  <c r="C173" i="45"/>
  <c r="B180" i="45"/>
  <c r="C175" i="45"/>
  <c r="N59" i="45"/>
  <c r="F143" i="45"/>
  <c r="N161" i="45"/>
  <c r="B171" i="45"/>
  <c r="J172" i="45"/>
  <c r="B172" i="45" s="1"/>
  <c r="C179" i="45"/>
  <c r="C187" i="45"/>
  <c r="I188" i="45"/>
  <c r="K191" i="45"/>
  <c r="G196" i="45"/>
  <c r="E211" i="45"/>
  <c r="O165" i="46"/>
  <c r="L196" i="45"/>
  <c r="I161" i="45"/>
  <c r="E197" i="45"/>
  <c r="J170" i="45"/>
  <c r="C171" i="45"/>
  <c r="K172" i="45"/>
  <c r="C172" i="45" s="1"/>
  <c r="J177" i="45"/>
  <c r="J178" i="45"/>
  <c r="D187" i="45"/>
  <c r="J188" i="45"/>
  <c r="L191" i="45"/>
  <c r="H196" i="45"/>
  <c r="K211" i="45"/>
  <c r="G161" i="46"/>
  <c r="G160" i="46"/>
  <c r="G162" i="46"/>
  <c r="H187" i="46"/>
  <c r="J200" i="45"/>
  <c r="H201" i="45"/>
  <c r="E229" i="45"/>
  <c r="K178" i="46"/>
  <c r="K174" i="46"/>
  <c r="K170" i="46"/>
  <c r="L179" i="46"/>
  <c r="J178" i="46"/>
  <c r="L175" i="46"/>
  <c r="J174" i="46"/>
  <c r="L171" i="46"/>
  <c r="D171" i="46" s="1"/>
  <c r="J170" i="46"/>
  <c r="K179" i="46"/>
  <c r="C179" i="46" s="1"/>
  <c r="K175" i="46"/>
  <c r="K171" i="46"/>
  <c r="L180" i="46"/>
  <c r="D180" i="46" s="1"/>
  <c r="J179" i="46"/>
  <c r="B179" i="46" s="1"/>
  <c r="L176" i="46"/>
  <c r="J175" i="46"/>
  <c r="L172" i="46"/>
  <c r="J171" i="46"/>
  <c r="B171" i="46" s="1"/>
  <c r="K181" i="46"/>
  <c r="K177" i="46"/>
  <c r="K173" i="46"/>
  <c r="N59" i="46"/>
  <c r="I165" i="46"/>
  <c r="I163" i="46"/>
  <c r="M142" i="46"/>
  <c r="F142" i="46"/>
  <c r="K176" i="46"/>
  <c r="L177" i="46"/>
  <c r="J180" i="46"/>
  <c r="B180" i="46" s="1"/>
  <c r="J181" i="46"/>
  <c r="J197" i="46"/>
  <c r="C200" i="45"/>
  <c r="K200" i="45"/>
  <c r="I201" i="45"/>
  <c r="F229" i="45"/>
  <c r="E161" i="46"/>
  <c r="E160" i="46"/>
  <c r="C171" i="46"/>
  <c r="K180" i="46"/>
  <c r="C180" i="46" s="1"/>
  <c r="L181" i="46"/>
  <c r="C196" i="46"/>
  <c r="I229" i="45"/>
  <c r="E164" i="46"/>
  <c r="E165" i="46"/>
  <c r="M104" i="46"/>
  <c r="C118" i="46"/>
  <c r="M117" i="46" s="1"/>
  <c r="M162" i="46"/>
  <c r="D196" i="46"/>
  <c r="E200" i="45"/>
  <c r="C201" i="45"/>
  <c r="K201" i="45"/>
  <c r="F161" i="46"/>
  <c r="F160" i="46"/>
  <c r="F162" i="46"/>
  <c r="M105" i="46"/>
  <c r="C114" i="46"/>
  <c r="L211" i="46"/>
  <c r="D211" i="46"/>
  <c r="F197" i="46"/>
  <c r="H196" i="46"/>
  <c r="K211" i="46"/>
  <c r="C211" i="46"/>
  <c r="E197" i="46"/>
  <c r="G196" i="46"/>
  <c r="J211" i="46"/>
  <c r="L197" i="46"/>
  <c r="D197" i="46"/>
  <c r="F196" i="46"/>
  <c r="I211" i="46"/>
  <c r="K197" i="46"/>
  <c r="C197" i="46"/>
  <c r="E196" i="46"/>
  <c r="F211" i="46"/>
  <c r="H197" i="46"/>
  <c r="J196" i="46"/>
  <c r="I196" i="46"/>
  <c r="G211" i="46"/>
  <c r="H229" i="45"/>
  <c r="G229" i="45"/>
  <c r="F200" i="45"/>
  <c r="D201" i="45"/>
  <c r="L201" i="45"/>
  <c r="K229" i="45"/>
  <c r="H181" i="46"/>
  <c r="H177" i="46"/>
  <c r="H173" i="46"/>
  <c r="H178" i="46"/>
  <c r="H174" i="46"/>
  <c r="D174" i="46" s="1"/>
  <c r="H170" i="46"/>
  <c r="C116" i="46"/>
  <c r="L170" i="46"/>
  <c r="H172" i="46"/>
  <c r="D172" i="46" s="1"/>
  <c r="H175" i="46"/>
  <c r="C175" i="46" s="1"/>
  <c r="D179" i="46"/>
  <c r="K196" i="46"/>
  <c r="H211" i="46"/>
  <c r="D163" i="46"/>
  <c r="F191" i="46"/>
  <c r="D192" i="46"/>
  <c r="L192" i="46"/>
  <c r="J200" i="46"/>
  <c r="H201" i="46"/>
  <c r="J229" i="46"/>
  <c r="I191" i="46"/>
  <c r="G192" i="46"/>
  <c r="E200" i="46"/>
  <c r="C201" i="46"/>
  <c r="K201" i="46"/>
  <c r="E229" i="46"/>
  <c r="J191" i="46"/>
  <c r="H192" i="46"/>
  <c r="F200" i="46"/>
  <c r="D201" i="46"/>
  <c r="L201" i="46"/>
  <c r="F229" i="46"/>
  <c r="C191" i="46"/>
  <c r="K191" i="46"/>
  <c r="I192" i="46"/>
  <c r="G200" i="46"/>
  <c r="E201" i="46"/>
  <c r="G229" i="46"/>
  <c r="D191" i="46"/>
  <c r="L191" i="46"/>
  <c r="J192" i="46"/>
  <c r="H200" i="46"/>
  <c r="F201" i="46"/>
  <c r="F163" i="44"/>
  <c r="F165" i="44"/>
  <c r="F164" i="44"/>
  <c r="D161" i="44"/>
  <c r="D160" i="44"/>
  <c r="K105" i="44"/>
  <c r="I162" i="44"/>
  <c r="O164" i="44"/>
  <c r="O163" i="44"/>
  <c r="O165" i="44"/>
  <c r="I165" i="44"/>
  <c r="I163" i="44"/>
  <c r="E161" i="44"/>
  <c r="E160" i="44"/>
  <c r="E162" i="44"/>
  <c r="G161" i="44"/>
  <c r="G160" i="44"/>
  <c r="G162" i="44"/>
  <c r="N164" i="44"/>
  <c r="N163" i="44"/>
  <c r="E164" i="44"/>
  <c r="E165" i="44"/>
  <c r="M104" i="44"/>
  <c r="M160" i="44"/>
  <c r="M161" i="44"/>
  <c r="O160" i="44"/>
  <c r="O161" i="44"/>
  <c r="O162" i="44"/>
  <c r="D162" i="44"/>
  <c r="I164" i="44"/>
  <c r="F161" i="44"/>
  <c r="F160" i="44"/>
  <c r="F162" i="44"/>
  <c r="M105" i="44"/>
  <c r="M162" i="44"/>
  <c r="D116" i="44"/>
  <c r="C114" i="44"/>
  <c r="E116" i="44"/>
  <c r="C120" i="44"/>
  <c r="M117" i="44" s="1"/>
  <c r="L170" i="44"/>
  <c r="H172" i="44"/>
  <c r="J173" i="44"/>
  <c r="L174" i="44"/>
  <c r="H176" i="44"/>
  <c r="J177" i="44"/>
  <c r="L178" i="44"/>
  <c r="H180" i="44"/>
  <c r="J181" i="44"/>
  <c r="B181" i="44" s="1"/>
  <c r="E187" i="44"/>
  <c r="C188" i="44"/>
  <c r="K188" i="44"/>
  <c r="E191" i="44"/>
  <c r="C192" i="44"/>
  <c r="K192" i="44"/>
  <c r="I196" i="44"/>
  <c r="G197" i="44"/>
  <c r="I200" i="44"/>
  <c r="G201" i="44"/>
  <c r="E211" i="44"/>
  <c r="I229" i="44"/>
  <c r="N59" i="44"/>
  <c r="F116" i="44"/>
  <c r="D163" i="44"/>
  <c r="L165" i="44"/>
  <c r="K173" i="44"/>
  <c r="K177" i="44"/>
  <c r="K181" i="44"/>
  <c r="C181" i="44" s="1"/>
  <c r="F187" i="44"/>
  <c r="D188" i="44"/>
  <c r="L188" i="44"/>
  <c r="F191" i="44"/>
  <c r="D192" i="44"/>
  <c r="L192" i="44"/>
  <c r="J196" i="44"/>
  <c r="H197" i="44"/>
  <c r="J200" i="44"/>
  <c r="H201" i="44"/>
  <c r="F211" i="44"/>
  <c r="J229" i="44"/>
  <c r="N161" i="44"/>
  <c r="L164" i="44"/>
  <c r="H170" i="44"/>
  <c r="D170" i="44" s="1"/>
  <c r="J171" i="44"/>
  <c r="L172" i="44"/>
  <c r="H174" i="44"/>
  <c r="J175" i="44"/>
  <c r="B175" i="44" s="1"/>
  <c r="L176" i="44"/>
  <c r="H178" i="44"/>
  <c r="J179" i="44"/>
  <c r="L180" i="44"/>
  <c r="I187" i="44"/>
  <c r="G188" i="44"/>
  <c r="I191" i="44"/>
  <c r="G192" i="44"/>
  <c r="E196" i="44"/>
  <c r="C197" i="44"/>
  <c r="K197" i="44"/>
  <c r="E200" i="44"/>
  <c r="C201" i="44"/>
  <c r="K201" i="44"/>
  <c r="I211" i="44"/>
  <c r="E229" i="44"/>
  <c r="J197" i="44"/>
  <c r="H211" i="44"/>
  <c r="F142" i="44"/>
  <c r="N160" i="44"/>
  <c r="K171" i="44"/>
  <c r="C171" i="44" s="1"/>
  <c r="K175" i="44"/>
  <c r="C175" i="44" s="1"/>
  <c r="K179" i="44"/>
  <c r="J187" i="44"/>
  <c r="H188" i="44"/>
  <c r="J191" i="44"/>
  <c r="H192" i="44"/>
  <c r="F196" i="44"/>
  <c r="D197" i="44"/>
  <c r="L197" i="44"/>
  <c r="F200" i="44"/>
  <c r="D201" i="44"/>
  <c r="L201" i="44"/>
  <c r="J211" i="44"/>
  <c r="F229" i="44"/>
  <c r="D196" i="44"/>
  <c r="C116" i="44"/>
  <c r="J170" i="44"/>
  <c r="L171" i="44"/>
  <c r="D171" i="44" s="1"/>
  <c r="H173" i="44"/>
  <c r="D173" i="44" s="1"/>
  <c r="J174" i="44"/>
  <c r="L175" i="44"/>
  <c r="D175" i="44" s="1"/>
  <c r="H177" i="44"/>
  <c r="D177" i="44" s="1"/>
  <c r="J178" i="44"/>
  <c r="L179" i="44"/>
  <c r="C187" i="44"/>
  <c r="K187" i="44"/>
  <c r="I188" i="44"/>
  <c r="C191" i="44"/>
  <c r="K191" i="44"/>
  <c r="I192" i="44"/>
  <c r="G196" i="44"/>
  <c r="E197" i="44"/>
  <c r="G200" i="44"/>
  <c r="E201" i="44"/>
  <c r="C211" i="44"/>
  <c r="K211" i="44"/>
  <c r="G229" i="44"/>
  <c r="L196" i="44"/>
  <c r="K170" i="44"/>
  <c r="K174" i="44"/>
  <c r="D187" i="44"/>
  <c r="L187" i="44"/>
  <c r="J188" i="44"/>
  <c r="D191" i="44"/>
  <c r="L191" i="44"/>
  <c r="J192" i="44"/>
  <c r="H196" i="44"/>
  <c r="F197" i="44"/>
  <c r="H200" i="44"/>
  <c r="F201" i="44"/>
  <c r="D211" i="44"/>
  <c r="O160" i="43"/>
  <c r="O161" i="43"/>
  <c r="O162" i="43"/>
  <c r="M160" i="43"/>
  <c r="M161" i="43"/>
  <c r="M162" i="43"/>
  <c r="F161" i="43"/>
  <c r="F160" i="43"/>
  <c r="F162" i="43"/>
  <c r="M105" i="43"/>
  <c r="D161" i="43"/>
  <c r="D160" i="43"/>
  <c r="D162" i="43"/>
  <c r="F165" i="43"/>
  <c r="F163" i="43"/>
  <c r="F164" i="43"/>
  <c r="C171" i="43"/>
  <c r="I160" i="43"/>
  <c r="I163" i="43"/>
  <c r="E161" i="43"/>
  <c r="E160" i="43"/>
  <c r="E162" i="43"/>
  <c r="N165" i="43"/>
  <c r="C114" i="43"/>
  <c r="E116" i="43"/>
  <c r="C120" i="43"/>
  <c r="M117" i="43" s="1"/>
  <c r="N163" i="43"/>
  <c r="L170" i="43"/>
  <c r="H172" i="43"/>
  <c r="J173" i="43"/>
  <c r="L174" i="43"/>
  <c r="H176" i="43"/>
  <c r="J177" i="43"/>
  <c r="L178" i="43"/>
  <c r="H180" i="43"/>
  <c r="J181" i="43"/>
  <c r="B181" i="43" s="1"/>
  <c r="E187" i="43"/>
  <c r="C188" i="43"/>
  <c r="K188" i="43"/>
  <c r="E191" i="43"/>
  <c r="C192" i="43"/>
  <c r="K192" i="43"/>
  <c r="I196" i="43"/>
  <c r="G197" i="43"/>
  <c r="I200" i="43"/>
  <c r="G201" i="43"/>
  <c r="E211" i="43"/>
  <c r="I229" i="43"/>
  <c r="F116" i="43"/>
  <c r="L162" i="43"/>
  <c r="D163" i="43"/>
  <c r="O163" i="43"/>
  <c r="L165" i="43"/>
  <c r="K173" i="43"/>
  <c r="K177" i="43"/>
  <c r="K181" i="43"/>
  <c r="C181" i="43" s="1"/>
  <c r="F187" i="43"/>
  <c r="D188" i="43"/>
  <c r="L188" i="43"/>
  <c r="F191" i="43"/>
  <c r="D192" i="43"/>
  <c r="L192" i="43"/>
  <c r="J196" i="43"/>
  <c r="H197" i="43"/>
  <c r="J200" i="43"/>
  <c r="H201" i="43"/>
  <c r="F211" i="43"/>
  <c r="J229" i="43"/>
  <c r="N162" i="43"/>
  <c r="D165" i="43"/>
  <c r="O165" i="43"/>
  <c r="K172" i="43"/>
  <c r="K176" i="43"/>
  <c r="K180" i="43"/>
  <c r="H187" i="43"/>
  <c r="F188" i="43"/>
  <c r="H191" i="43"/>
  <c r="F192" i="43"/>
  <c r="D196" i="43"/>
  <c r="L196" i="43"/>
  <c r="J197" i="43"/>
  <c r="D200" i="43"/>
  <c r="L200" i="43"/>
  <c r="J201" i="43"/>
  <c r="H211" i="43"/>
  <c r="D229" i="43"/>
  <c r="L229" i="43"/>
  <c r="N161" i="43"/>
  <c r="L164" i="43"/>
  <c r="E165" i="43"/>
  <c r="H170" i="43"/>
  <c r="D170" i="43" s="1"/>
  <c r="J171" i="43"/>
  <c r="B171" i="43" s="1"/>
  <c r="L172" i="43"/>
  <c r="H174" i="43"/>
  <c r="J175" i="43"/>
  <c r="L176" i="43"/>
  <c r="H178" i="43"/>
  <c r="C178" i="43" s="1"/>
  <c r="J179" i="43"/>
  <c r="B179" i="43" s="1"/>
  <c r="L180" i="43"/>
  <c r="I187" i="43"/>
  <c r="G188" i="43"/>
  <c r="I191" i="43"/>
  <c r="G192" i="43"/>
  <c r="E196" i="43"/>
  <c r="C197" i="43"/>
  <c r="K197" i="43"/>
  <c r="E200" i="43"/>
  <c r="C201" i="43"/>
  <c r="K201" i="43"/>
  <c r="I211" i="43"/>
  <c r="E229" i="43"/>
  <c r="F142" i="43"/>
  <c r="G162" i="43"/>
  <c r="K171" i="43"/>
  <c r="K175" i="43"/>
  <c r="K179" i="43"/>
  <c r="C179" i="43" s="1"/>
  <c r="J187" i="43"/>
  <c r="H188" i="43"/>
  <c r="J191" i="43"/>
  <c r="H192" i="43"/>
  <c r="F196" i="43"/>
  <c r="D197" i="43"/>
  <c r="L197" i="43"/>
  <c r="F200" i="43"/>
  <c r="D201" i="43"/>
  <c r="L201" i="43"/>
  <c r="J211" i="43"/>
  <c r="F229" i="43"/>
  <c r="C116" i="43"/>
  <c r="G160" i="43"/>
  <c r="J170" i="43"/>
  <c r="L171" i="43"/>
  <c r="D171" i="43" s="1"/>
  <c r="H173" i="43"/>
  <c r="D173" i="43" s="1"/>
  <c r="J174" i="43"/>
  <c r="L175" i="43"/>
  <c r="H177" i="43"/>
  <c r="D177" i="43" s="1"/>
  <c r="J178" i="43"/>
  <c r="L179" i="43"/>
  <c r="D179" i="43" s="1"/>
  <c r="C187" i="43"/>
  <c r="K187" i="43"/>
  <c r="I188" i="43"/>
  <c r="C191" i="43"/>
  <c r="K191" i="43"/>
  <c r="I192" i="43"/>
  <c r="G196" i="43"/>
  <c r="E197" i="43"/>
  <c r="G200" i="43"/>
  <c r="E201" i="43"/>
  <c r="C211" i="43"/>
  <c r="K211" i="43"/>
  <c r="G229" i="43"/>
  <c r="K170" i="43"/>
  <c r="K174" i="43"/>
  <c r="D187" i="43"/>
  <c r="L187" i="43"/>
  <c r="J188" i="43"/>
  <c r="D191" i="43"/>
  <c r="L191" i="43"/>
  <c r="J192" i="43"/>
  <c r="H196" i="43"/>
  <c r="F197" i="43"/>
  <c r="H200" i="43"/>
  <c r="F201" i="43"/>
  <c r="D211" i="43"/>
  <c r="G161" i="42"/>
  <c r="G160" i="42"/>
  <c r="G162" i="42"/>
  <c r="N165" i="42"/>
  <c r="E164" i="42"/>
  <c r="E165" i="42"/>
  <c r="M104" i="42"/>
  <c r="O160" i="42"/>
  <c r="O161" i="42"/>
  <c r="O162" i="42"/>
  <c r="E163" i="42"/>
  <c r="J78" i="42"/>
  <c r="C165" i="42" s="1"/>
  <c r="F161" i="42"/>
  <c r="F160" i="42"/>
  <c r="F162" i="42"/>
  <c r="M160" i="42"/>
  <c r="M161" i="42"/>
  <c r="J173" i="42"/>
  <c r="J177" i="42"/>
  <c r="H181" i="42"/>
  <c r="H177" i="42"/>
  <c r="H173" i="42"/>
  <c r="H171" i="42"/>
  <c r="H179" i="42"/>
  <c r="H178" i="42"/>
  <c r="D178" i="42" s="1"/>
  <c r="H174" i="42"/>
  <c r="D174" i="42" s="1"/>
  <c r="H170" i="42"/>
  <c r="D170" i="42" s="1"/>
  <c r="M109" i="42"/>
  <c r="H175" i="42"/>
  <c r="D161" i="42"/>
  <c r="D160" i="42"/>
  <c r="F165" i="42"/>
  <c r="F163" i="42"/>
  <c r="K105" i="42"/>
  <c r="O164" i="42"/>
  <c r="O165" i="42"/>
  <c r="O163" i="42"/>
  <c r="J188" i="42"/>
  <c r="L187" i="42"/>
  <c r="D187" i="42"/>
  <c r="I188" i="42"/>
  <c r="K187" i="42"/>
  <c r="C187" i="42"/>
  <c r="G187" i="42"/>
  <c r="H188" i="42"/>
  <c r="J187" i="42"/>
  <c r="G188" i="42"/>
  <c r="I187" i="42"/>
  <c r="F188" i="42"/>
  <c r="H187" i="42"/>
  <c r="E188" i="42"/>
  <c r="L188" i="42"/>
  <c r="D188" i="42"/>
  <c r="F187" i="42"/>
  <c r="M162" i="42"/>
  <c r="C188" i="42"/>
  <c r="M105" i="42"/>
  <c r="H172" i="42"/>
  <c r="H176" i="42"/>
  <c r="H180" i="42"/>
  <c r="D116" i="42"/>
  <c r="M137" i="42"/>
  <c r="F164" i="42"/>
  <c r="K188" i="42"/>
  <c r="K178" i="42"/>
  <c r="C178" i="42" s="1"/>
  <c r="K174" i="42"/>
  <c r="K170" i="42"/>
  <c r="J176" i="42"/>
  <c r="L173" i="42"/>
  <c r="L179" i="42"/>
  <c r="J178" i="42"/>
  <c r="B178" i="42" s="1"/>
  <c r="L175" i="42"/>
  <c r="D175" i="42" s="1"/>
  <c r="J174" i="42"/>
  <c r="B174" i="42" s="1"/>
  <c r="L171" i="42"/>
  <c r="J170" i="42"/>
  <c r="K179" i="42"/>
  <c r="K175" i="42"/>
  <c r="C175" i="42" s="1"/>
  <c r="K171" i="42"/>
  <c r="L181" i="42"/>
  <c r="J180" i="42"/>
  <c r="L180" i="42"/>
  <c r="J179" i="42"/>
  <c r="B179" i="42" s="1"/>
  <c r="L176" i="42"/>
  <c r="J175" i="42"/>
  <c r="B175" i="42" s="1"/>
  <c r="L172" i="42"/>
  <c r="D172" i="42" s="1"/>
  <c r="J171" i="42"/>
  <c r="K180" i="42"/>
  <c r="K176" i="42"/>
  <c r="K172" i="42"/>
  <c r="C118" i="42"/>
  <c r="M117" i="42" s="1"/>
  <c r="L177" i="42"/>
  <c r="J172" i="42"/>
  <c r="K181" i="42"/>
  <c r="C181" i="42" s="1"/>
  <c r="K177" i="42"/>
  <c r="C177" i="42" s="1"/>
  <c r="K173" i="42"/>
  <c r="N59" i="42"/>
  <c r="E161" i="42"/>
  <c r="E160" i="42"/>
  <c r="E162" i="42"/>
  <c r="M124" i="42"/>
  <c r="K160" i="42" s="1"/>
  <c r="M129" i="42"/>
  <c r="F116" i="42"/>
  <c r="L162" i="42"/>
  <c r="D163" i="42"/>
  <c r="F191" i="42"/>
  <c r="D192" i="42"/>
  <c r="L192" i="42"/>
  <c r="J196" i="42"/>
  <c r="H197" i="42"/>
  <c r="J200" i="42"/>
  <c r="H201" i="42"/>
  <c r="F211" i="42"/>
  <c r="J229" i="42"/>
  <c r="D165" i="42"/>
  <c r="H191" i="42"/>
  <c r="F192" i="42"/>
  <c r="D196" i="42"/>
  <c r="L196" i="42"/>
  <c r="J197" i="42"/>
  <c r="D200" i="42"/>
  <c r="L200" i="42"/>
  <c r="J201" i="42"/>
  <c r="H211" i="42"/>
  <c r="D229" i="42"/>
  <c r="L229" i="42"/>
  <c r="I191" i="42"/>
  <c r="G192" i="42"/>
  <c r="E196" i="42"/>
  <c r="C197" i="42"/>
  <c r="K197" i="42"/>
  <c r="E200" i="42"/>
  <c r="C201" i="42"/>
  <c r="K201" i="42"/>
  <c r="I211" i="42"/>
  <c r="E229" i="42"/>
  <c r="F142" i="42"/>
  <c r="J191" i="42"/>
  <c r="H192" i="42"/>
  <c r="F196" i="42"/>
  <c r="D197" i="42"/>
  <c r="L197" i="42"/>
  <c r="F200" i="42"/>
  <c r="D201" i="42"/>
  <c r="L201" i="42"/>
  <c r="J211" i="42"/>
  <c r="F229" i="42"/>
  <c r="C116" i="42"/>
  <c r="M114" i="42" s="1"/>
  <c r="C191" i="42"/>
  <c r="K191" i="42"/>
  <c r="I192" i="42"/>
  <c r="G196" i="42"/>
  <c r="E197" i="42"/>
  <c r="G200" i="42"/>
  <c r="E201" i="42"/>
  <c r="C211" i="42"/>
  <c r="K211" i="42"/>
  <c r="G229" i="42"/>
  <c r="D191" i="42"/>
  <c r="L191" i="42"/>
  <c r="J192" i="42"/>
  <c r="H196" i="42"/>
  <c r="F197" i="42"/>
  <c r="H200" i="42"/>
  <c r="F201" i="42"/>
  <c r="D211" i="42"/>
  <c r="L163" i="41"/>
  <c r="L164" i="41"/>
  <c r="L165" i="41"/>
  <c r="E164" i="41"/>
  <c r="E165" i="41"/>
  <c r="E163" i="41"/>
  <c r="J188" i="41"/>
  <c r="L187" i="41"/>
  <c r="D187" i="41"/>
  <c r="I188" i="41"/>
  <c r="K187" i="41"/>
  <c r="C187" i="41"/>
  <c r="H188" i="41"/>
  <c r="J187" i="41"/>
  <c r="G188" i="41"/>
  <c r="I187" i="41"/>
  <c r="F188" i="41"/>
  <c r="H187" i="41"/>
  <c r="E188" i="41"/>
  <c r="G187" i="41"/>
  <c r="F165" i="41"/>
  <c r="F163" i="41"/>
  <c r="B180" i="41"/>
  <c r="C188" i="41"/>
  <c r="F187" i="41"/>
  <c r="K178" i="41"/>
  <c r="K174" i="41"/>
  <c r="K170" i="41"/>
  <c r="L179" i="41"/>
  <c r="J178" i="41"/>
  <c r="L175" i="41"/>
  <c r="J174" i="41"/>
  <c r="L171" i="41"/>
  <c r="J170" i="41"/>
  <c r="K179" i="41"/>
  <c r="K175" i="41"/>
  <c r="K171" i="41"/>
  <c r="L180" i="41"/>
  <c r="D180" i="41" s="1"/>
  <c r="J179" i="41"/>
  <c r="L176" i="41"/>
  <c r="J175" i="41"/>
  <c r="L172" i="41"/>
  <c r="J171" i="41"/>
  <c r="K180" i="41"/>
  <c r="C180" i="41" s="1"/>
  <c r="K176" i="41"/>
  <c r="K172" i="41"/>
  <c r="C118" i="41"/>
  <c r="M117" i="41" s="1"/>
  <c r="L181" i="41"/>
  <c r="J180" i="41"/>
  <c r="L177" i="41"/>
  <c r="J176" i="41"/>
  <c r="L173" i="41"/>
  <c r="J172" i="41"/>
  <c r="J74" i="41"/>
  <c r="C161" i="41" s="1"/>
  <c r="L170" i="41"/>
  <c r="K177" i="41"/>
  <c r="D188" i="41"/>
  <c r="F161" i="41"/>
  <c r="F160" i="41"/>
  <c r="F162" i="41"/>
  <c r="E187" i="41"/>
  <c r="D164" i="41"/>
  <c r="D165" i="41"/>
  <c r="G161" i="41"/>
  <c r="G160" i="41"/>
  <c r="G162" i="41"/>
  <c r="K188" i="41"/>
  <c r="E161" i="41"/>
  <c r="E160" i="41"/>
  <c r="E162" i="41"/>
  <c r="M114" i="41"/>
  <c r="M137" i="41"/>
  <c r="O160" i="41"/>
  <c r="O161" i="41"/>
  <c r="O162" i="41"/>
  <c r="J181" i="41"/>
  <c r="L188" i="41"/>
  <c r="L174" i="41"/>
  <c r="K181" i="41"/>
  <c r="M104" i="41"/>
  <c r="H181" i="41"/>
  <c r="D181" i="41" s="1"/>
  <c r="H177" i="41"/>
  <c r="H173" i="41"/>
  <c r="D173" i="41" s="1"/>
  <c r="H178" i="41"/>
  <c r="B178" i="41" s="1"/>
  <c r="H174" i="41"/>
  <c r="B174" i="41" s="1"/>
  <c r="H170" i="41"/>
  <c r="B170" i="41" s="1"/>
  <c r="M109" i="41"/>
  <c r="H179" i="41"/>
  <c r="H175" i="41"/>
  <c r="H171" i="41"/>
  <c r="B171" i="41" s="1"/>
  <c r="M160" i="41"/>
  <c r="M161" i="41"/>
  <c r="M162" i="41"/>
  <c r="M138" i="41"/>
  <c r="O164" i="41"/>
  <c r="O165" i="41"/>
  <c r="H172" i="41"/>
  <c r="J173" i="41"/>
  <c r="L161" i="41"/>
  <c r="D162" i="41"/>
  <c r="G191" i="41"/>
  <c r="E192" i="41"/>
  <c r="C196" i="41"/>
  <c r="K196" i="41"/>
  <c r="I197" i="41"/>
  <c r="C200" i="41"/>
  <c r="K200" i="41"/>
  <c r="I201" i="41"/>
  <c r="G211" i="41"/>
  <c r="C229" i="41"/>
  <c r="K229" i="41"/>
  <c r="D160" i="41"/>
  <c r="H191" i="41"/>
  <c r="F192" i="41"/>
  <c r="D196" i="41"/>
  <c r="L196" i="41"/>
  <c r="J197" i="41"/>
  <c r="D200" i="41"/>
  <c r="L200" i="41"/>
  <c r="J201" i="41"/>
  <c r="H211" i="41"/>
  <c r="D229" i="41"/>
  <c r="L229" i="41"/>
  <c r="I191" i="41"/>
  <c r="G192" i="41"/>
  <c r="E196" i="41"/>
  <c r="C197" i="41"/>
  <c r="K197" i="41"/>
  <c r="E200" i="41"/>
  <c r="C201" i="41"/>
  <c r="K201" i="41"/>
  <c r="I211" i="41"/>
  <c r="E229" i="41"/>
  <c r="F142" i="41"/>
  <c r="J191" i="41"/>
  <c r="H192" i="41"/>
  <c r="F196" i="41"/>
  <c r="D197" i="41"/>
  <c r="L197" i="41"/>
  <c r="F200" i="41"/>
  <c r="D201" i="41"/>
  <c r="L201" i="41"/>
  <c r="J211" i="41"/>
  <c r="F229" i="41"/>
  <c r="C191" i="41"/>
  <c r="K191" i="41"/>
  <c r="I192" i="41"/>
  <c r="G196" i="41"/>
  <c r="E197" i="41"/>
  <c r="G200" i="41"/>
  <c r="E201" i="41"/>
  <c r="C211" i="41"/>
  <c r="K211" i="41"/>
  <c r="G229" i="41"/>
  <c r="D191" i="41"/>
  <c r="L191" i="41"/>
  <c r="J192" i="41"/>
  <c r="H196" i="41"/>
  <c r="F197" i="41"/>
  <c r="H200" i="41"/>
  <c r="F201" i="41"/>
  <c r="D211" i="41"/>
  <c r="F161" i="40"/>
  <c r="F160" i="40"/>
  <c r="F162" i="40"/>
  <c r="N160" i="40"/>
  <c r="N161" i="40"/>
  <c r="N162" i="40"/>
  <c r="E164" i="40"/>
  <c r="E165" i="40"/>
  <c r="E163" i="40"/>
  <c r="F165" i="40"/>
  <c r="F163" i="40"/>
  <c r="L163" i="40"/>
  <c r="L164" i="40"/>
  <c r="L165" i="40"/>
  <c r="H181" i="40"/>
  <c r="H177" i="40"/>
  <c r="H173" i="40"/>
  <c r="H178" i="40"/>
  <c r="H174" i="40"/>
  <c r="H170" i="40"/>
  <c r="H180" i="40"/>
  <c r="H176" i="40"/>
  <c r="M109" i="40"/>
  <c r="H179" i="40"/>
  <c r="H175" i="40"/>
  <c r="H171" i="40"/>
  <c r="M160" i="40"/>
  <c r="M161" i="40"/>
  <c r="M162" i="40"/>
  <c r="M138" i="40"/>
  <c r="K178" i="40"/>
  <c r="K174" i="40"/>
  <c r="K170" i="40"/>
  <c r="J177" i="40"/>
  <c r="L179" i="40"/>
  <c r="J178" i="40"/>
  <c r="L175" i="40"/>
  <c r="J174" i="40"/>
  <c r="L171" i="40"/>
  <c r="J170" i="40"/>
  <c r="J181" i="40"/>
  <c r="K179" i="40"/>
  <c r="K175" i="40"/>
  <c r="K171" i="40"/>
  <c r="C171" i="40" s="1"/>
  <c r="L180" i="40"/>
  <c r="J179" i="40"/>
  <c r="L176" i="40"/>
  <c r="J175" i="40"/>
  <c r="L172" i="40"/>
  <c r="J171" i="40"/>
  <c r="L178" i="40"/>
  <c r="K180" i="40"/>
  <c r="K176" i="40"/>
  <c r="K172" i="40"/>
  <c r="C118" i="40"/>
  <c r="J173" i="40"/>
  <c r="L181" i="40"/>
  <c r="J180" i="40"/>
  <c r="L177" i="40"/>
  <c r="J176" i="40"/>
  <c r="L173" i="40"/>
  <c r="J172" i="40"/>
  <c r="K181" i="40"/>
  <c r="C181" i="40" s="1"/>
  <c r="K177" i="40"/>
  <c r="K173" i="40"/>
  <c r="N59" i="40"/>
  <c r="L174" i="40"/>
  <c r="O160" i="40"/>
  <c r="O161" i="40"/>
  <c r="O162" i="40"/>
  <c r="J188" i="40"/>
  <c r="L187" i="40"/>
  <c r="D187" i="40"/>
  <c r="K188" i="40"/>
  <c r="I188" i="40"/>
  <c r="K187" i="40"/>
  <c r="C187" i="40"/>
  <c r="H188" i="40"/>
  <c r="J187" i="40"/>
  <c r="G188" i="40"/>
  <c r="I187" i="40"/>
  <c r="F188" i="40"/>
  <c r="H187" i="40"/>
  <c r="C188" i="40"/>
  <c r="E188" i="40"/>
  <c r="G187" i="40"/>
  <c r="E187" i="40"/>
  <c r="L188" i="40"/>
  <c r="D188" i="40"/>
  <c r="F187" i="40"/>
  <c r="H172" i="40"/>
  <c r="C178" i="40"/>
  <c r="D164" i="40"/>
  <c r="D165" i="40"/>
  <c r="D163" i="40"/>
  <c r="C114" i="40"/>
  <c r="E161" i="40"/>
  <c r="E160" i="40"/>
  <c r="E162" i="40"/>
  <c r="M104" i="40"/>
  <c r="M105" i="40"/>
  <c r="C170" i="40"/>
  <c r="F116" i="40"/>
  <c r="D120" i="40"/>
  <c r="L162" i="40"/>
  <c r="O163" i="40"/>
  <c r="F191" i="40"/>
  <c r="D192" i="40"/>
  <c r="L192" i="40"/>
  <c r="J196" i="40"/>
  <c r="H197" i="40"/>
  <c r="J200" i="40"/>
  <c r="H201" i="40"/>
  <c r="F211" i="40"/>
  <c r="J229" i="40"/>
  <c r="L161" i="40"/>
  <c r="D162" i="40"/>
  <c r="G191" i="40"/>
  <c r="E192" i="40"/>
  <c r="C196" i="40"/>
  <c r="K196" i="40"/>
  <c r="I197" i="40"/>
  <c r="C200" i="40"/>
  <c r="K200" i="40"/>
  <c r="I201" i="40"/>
  <c r="G211" i="40"/>
  <c r="C229" i="40"/>
  <c r="K229" i="40"/>
  <c r="D160" i="40"/>
  <c r="O165" i="40"/>
  <c r="H191" i="40"/>
  <c r="F192" i="40"/>
  <c r="D196" i="40"/>
  <c r="L196" i="40"/>
  <c r="J197" i="40"/>
  <c r="D200" i="40"/>
  <c r="L200" i="40"/>
  <c r="J201" i="40"/>
  <c r="H211" i="40"/>
  <c r="D229" i="40"/>
  <c r="L229" i="40"/>
  <c r="I191" i="40"/>
  <c r="G192" i="40"/>
  <c r="E196" i="40"/>
  <c r="C197" i="40"/>
  <c r="K197" i="40"/>
  <c r="E200" i="40"/>
  <c r="C201" i="40"/>
  <c r="K201" i="40"/>
  <c r="I211" i="40"/>
  <c r="E229" i="40"/>
  <c r="F142" i="40"/>
  <c r="J191" i="40"/>
  <c r="H192" i="40"/>
  <c r="F196" i="40"/>
  <c r="D197" i="40"/>
  <c r="L197" i="40"/>
  <c r="F200" i="40"/>
  <c r="D201" i="40"/>
  <c r="L201" i="40"/>
  <c r="J211" i="40"/>
  <c r="F229" i="40"/>
  <c r="C116" i="40"/>
  <c r="C191" i="40"/>
  <c r="K191" i="40"/>
  <c r="I192" i="40"/>
  <c r="G196" i="40"/>
  <c r="E197" i="40"/>
  <c r="G200" i="40"/>
  <c r="E201" i="40"/>
  <c r="C211" i="40"/>
  <c r="K211" i="40"/>
  <c r="G229" i="40"/>
  <c r="D191" i="40"/>
  <c r="L191" i="40"/>
  <c r="J192" i="40"/>
  <c r="H196" i="40"/>
  <c r="F197" i="40"/>
  <c r="H200" i="40"/>
  <c r="F201" i="40"/>
  <c r="D211" i="40"/>
  <c r="L161" i="39"/>
  <c r="L162" i="39"/>
  <c r="L160" i="39"/>
  <c r="N162" i="39"/>
  <c r="O160" i="39"/>
  <c r="O161" i="39"/>
  <c r="L211" i="39"/>
  <c r="D211" i="39"/>
  <c r="F197" i="39"/>
  <c r="H196" i="39"/>
  <c r="I211" i="39"/>
  <c r="K197" i="39"/>
  <c r="C197" i="39"/>
  <c r="E196" i="39"/>
  <c r="G211" i="39"/>
  <c r="I197" i="39"/>
  <c r="K196" i="39"/>
  <c r="C196" i="39"/>
  <c r="F211" i="39"/>
  <c r="H197" i="39"/>
  <c r="J196" i="39"/>
  <c r="I196" i="39"/>
  <c r="E211" i="39"/>
  <c r="G197" i="39"/>
  <c r="K171" i="39"/>
  <c r="F188" i="39"/>
  <c r="H192" i="39"/>
  <c r="J197" i="39"/>
  <c r="L201" i="39"/>
  <c r="I165" i="39"/>
  <c r="I164" i="39"/>
  <c r="J188" i="39"/>
  <c r="L187" i="39"/>
  <c r="D187" i="39"/>
  <c r="G188" i="39"/>
  <c r="I187" i="39"/>
  <c r="E188" i="39"/>
  <c r="G187" i="39"/>
  <c r="L188" i="39"/>
  <c r="D188" i="39"/>
  <c r="F187" i="39"/>
  <c r="C188" i="39"/>
  <c r="E187" i="39"/>
  <c r="K188" i="39"/>
  <c r="J192" i="39"/>
  <c r="L191" i="39"/>
  <c r="D191" i="39"/>
  <c r="G192" i="39"/>
  <c r="I191" i="39"/>
  <c r="E192" i="39"/>
  <c r="G191" i="39"/>
  <c r="L192" i="39"/>
  <c r="D192" i="39"/>
  <c r="F191" i="39"/>
  <c r="E191" i="39"/>
  <c r="K192" i="39"/>
  <c r="C192" i="39"/>
  <c r="H181" i="39"/>
  <c r="H188" i="39"/>
  <c r="I192" i="39"/>
  <c r="L197" i="39"/>
  <c r="D116" i="39"/>
  <c r="F116" i="39"/>
  <c r="E120" i="39"/>
  <c r="D120" i="39"/>
  <c r="H229" i="39"/>
  <c r="F201" i="39"/>
  <c r="H200" i="39"/>
  <c r="G229" i="39"/>
  <c r="E229" i="39"/>
  <c r="K201" i="39"/>
  <c r="C201" i="39"/>
  <c r="E200" i="39"/>
  <c r="L229" i="39"/>
  <c r="D229" i="39"/>
  <c r="K229" i="39"/>
  <c r="C229" i="39"/>
  <c r="I201" i="39"/>
  <c r="K200" i="39"/>
  <c r="C200" i="39"/>
  <c r="J229" i="39"/>
  <c r="H201" i="39"/>
  <c r="J200" i="39"/>
  <c r="I229" i="39"/>
  <c r="G201" i="39"/>
  <c r="I200" i="39"/>
  <c r="D196" i="39"/>
  <c r="F200" i="39"/>
  <c r="J201" i="39"/>
  <c r="K178" i="39"/>
  <c r="K174" i="39"/>
  <c r="K170" i="39"/>
  <c r="L180" i="39"/>
  <c r="J179" i="39"/>
  <c r="L176" i="39"/>
  <c r="J175" i="39"/>
  <c r="L172" i="39"/>
  <c r="J171" i="39"/>
  <c r="L181" i="39"/>
  <c r="J180" i="39"/>
  <c r="L177" i="39"/>
  <c r="J176" i="39"/>
  <c r="L173" i="39"/>
  <c r="J172" i="39"/>
  <c r="K181" i="39"/>
  <c r="K177" i="39"/>
  <c r="C177" i="39" s="1"/>
  <c r="K173" i="39"/>
  <c r="N59" i="39"/>
  <c r="L178" i="39"/>
  <c r="J177" i="39"/>
  <c r="B177" i="39" s="1"/>
  <c r="L174" i="39"/>
  <c r="J173" i="39"/>
  <c r="J181" i="39"/>
  <c r="B181" i="39" s="1"/>
  <c r="C116" i="39"/>
  <c r="F120" i="39"/>
  <c r="D165" i="39"/>
  <c r="D177" i="39"/>
  <c r="E161" i="39"/>
  <c r="E160" i="39"/>
  <c r="M105" i="39"/>
  <c r="E116" i="39"/>
  <c r="J124" i="39"/>
  <c r="M124" i="39" s="1"/>
  <c r="K160" i="39" s="1"/>
  <c r="D161" i="39"/>
  <c r="E162" i="39"/>
  <c r="D164" i="39"/>
  <c r="F165" i="39"/>
  <c r="J178" i="39"/>
  <c r="K180" i="39"/>
  <c r="C191" i="39"/>
  <c r="F196" i="39"/>
  <c r="G200" i="39"/>
  <c r="C211" i="39"/>
  <c r="N160" i="39"/>
  <c r="N163" i="39"/>
  <c r="G160" i="39"/>
  <c r="G162" i="39"/>
  <c r="F163" i="39"/>
  <c r="K179" i="39"/>
  <c r="C187" i="39"/>
  <c r="H191" i="39"/>
  <c r="G196" i="39"/>
  <c r="L200" i="39"/>
  <c r="H211" i="39"/>
  <c r="J78" i="39"/>
  <c r="C165" i="39" s="1"/>
  <c r="E164" i="39"/>
  <c r="E165" i="39"/>
  <c r="E163" i="39"/>
  <c r="C114" i="39"/>
  <c r="M114" i="39" s="1"/>
  <c r="C118" i="39"/>
  <c r="M117" i="39" s="1"/>
  <c r="M95" i="39"/>
  <c r="K104" i="39"/>
  <c r="M104" i="39" s="1"/>
  <c r="H178" i="39"/>
  <c r="D178" i="39" s="1"/>
  <c r="H174" i="39"/>
  <c r="H170" i="39"/>
  <c r="B170" i="39" s="1"/>
  <c r="H179" i="39"/>
  <c r="H175" i="39"/>
  <c r="H171" i="39"/>
  <c r="H180" i="39"/>
  <c r="H176" i="39"/>
  <c r="H172" i="39"/>
  <c r="B172" i="39" s="1"/>
  <c r="L163" i="39"/>
  <c r="L164" i="39"/>
  <c r="L165" i="39"/>
  <c r="I160" i="39"/>
  <c r="I163" i="39"/>
  <c r="H173" i="39"/>
  <c r="C173" i="39" s="1"/>
  <c r="J174" i="39"/>
  <c r="K176" i="39"/>
  <c r="L179" i="39"/>
  <c r="H187" i="39"/>
  <c r="J191" i="39"/>
  <c r="L196" i="39"/>
  <c r="D201" i="39"/>
  <c r="J211" i="39"/>
  <c r="F229" i="39"/>
  <c r="M160" i="39"/>
  <c r="M162" i="39"/>
  <c r="N164" i="39"/>
  <c r="D197" i="39"/>
  <c r="E201" i="39"/>
  <c r="K211" i="39"/>
  <c r="N19" i="17"/>
  <c r="N36" i="17"/>
  <c r="N23" i="17"/>
  <c r="F109" i="17"/>
  <c r="L104" i="17"/>
  <c r="D170" i="57" l="1"/>
  <c r="B175" i="57"/>
  <c r="M162" i="57"/>
  <c r="C174" i="57"/>
  <c r="N174" i="57" s="1"/>
  <c r="M161" i="57"/>
  <c r="C172" i="56"/>
  <c r="D181" i="56"/>
  <c r="C178" i="56"/>
  <c r="D172" i="56"/>
  <c r="I160" i="56"/>
  <c r="B172" i="56"/>
  <c r="H162" i="56"/>
  <c r="B171" i="56"/>
  <c r="H160" i="56"/>
  <c r="C171" i="56"/>
  <c r="D170" i="55"/>
  <c r="B171" i="55"/>
  <c r="C171" i="55"/>
  <c r="I161" i="54"/>
  <c r="C179" i="54"/>
  <c r="B178" i="54"/>
  <c r="I162" i="54"/>
  <c r="I164" i="54"/>
  <c r="D178" i="54"/>
  <c r="B175" i="53"/>
  <c r="B180" i="53"/>
  <c r="D177" i="53"/>
  <c r="D170" i="53"/>
  <c r="B176" i="53"/>
  <c r="C172" i="53"/>
  <c r="H164" i="53"/>
  <c r="H161" i="53"/>
  <c r="H160" i="53"/>
  <c r="H162" i="53"/>
  <c r="H163" i="53"/>
  <c r="I165" i="53"/>
  <c r="B178" i="52"/>
  <c r="B181" i="52"/>
  <c r="B170" i="52"/>
  <c r="B174" i="52"/>
  <c r="G161" i="52"/>
  <c r="G162" i="52"/>
  <c r="D174" i="52"/>
  <c r="N174" i="52"/>
  <c r="B216" i="52" s="1"/>
  <c r="I162" i="52"/>
  <c r="H160" i="51"/>
  <c r="H162" i="51"/>
  <c r="H161" i="51"/>
  <c r="B173" i="51"/>
  <c r="B170" i="51"/>
  <c r="C177" i="51"/>
  <c r="C170" i="51"/>
  <c r="O160" i="51"/>
  <c r="O162" i="51"/>
  <c r="N178" i="51"/>
  <c r="B225" i="51" s="1"/>
  <c r="O161" i="51"/>
  <c r="C176" i="50"/>
  <c r="B173" i="50"/>
  <c r="C173" i="50"/>
  <c r="N178" i="50"/>
  <c r="B225" i="50" s="1"/>
  <c r="C181" i="49"/>
  <c r="H162" i="49"/>
  <c r="N178" i="49"/>
  <c r="D174" i="49"/>
  <c r="N170" i="49"/>
  <c r="B174" i="49"/>
  <c r="C173" i="48"/>
  <c r="C170" i="48"/>
  <c r="N170" i="48" s="1"/>
  <c r="O170" i="48" s="1"/>
  <c r="H160" i="48"/>
  <c r="H161" i="48"/>
  <c r="D172" i="47"/>
  <c r="B175" i="47"/>
  <c r="D179" i="47"/>
  <c r="N179" i="47" s="1"/>
  <c r="N161" i="47"/>
  <c r="I163" i="47"/>
  <c r="J162" i="47"/>
  <c r="I165" i="47"/>
  <c r="N180" i="47"/>
  <c r="O180" i="47" s="1"/>
  <c r="D176" i="47"/>
  <c r="B178" i="46"/>
  <c r="D176" i="46"/>
  <c r="I160" i="46"/>
  <c r="I162" i="46"/>
  <c r="N164" i="46"/>
  <c r="D175" i="46"/>
  <c r="B175" i="46"/>
  <c r="L165" i="46"/>
  <c r="L164" i="46"/>
  <c r="N165" i="46"/>
  <c r="M114" i="46"/>
  <c r="J162" i="46" s="1"/>
  <c r="N179" i="46"/>
  <c r="B176" i="46"/>
  <c r="N162" i="46"/>
  <c r="N180" i="46"/>
  <c r="B170" i="46"/>
  <c r="C178" i="46"/>
  <c r="C176" i="46"/>
  <c r="N161" i="46"/>
  <c r="D178" i="46"/>
  <c r="I164" i="45"/>
  <c r="D176" i="45"/>
  <c r="N180" i="45"/>
  <c r="D178" i="44"/>
  <c r="B179" i="44"/>
  <c r="C174" i="44"/>
  <c r="C179" i="44"/>
  <c r="N179" i="44" s="1"/>
  <c r="D179" i="44"/>
  <c r="B171" i="44"/>
  <c r="N171" i="44" s="1"/>
  <c r="I160" i="44"/>
  <c r="N175" i="44"/>
  <c r="B217" i="44" s="1"/>
  <c r="B174" i="43"/>
  <c r="I161" i="43"/>
  <c r="H160" i="43"/>
  <c r="C175" i="43"/>
  <c r="N175" i="43" s="1"/>
  <c r="B217" i="43" s="1"/>
  <c r="D175" i="43"/>
  <c r="B175" i="43"/>
  <c r="I165" i="43"/>
  <c r="H161" i="43"/>
  <c r="D174" i="43"/>
  <c r="N179" i="43"/>
  <c r="D171" i="42"/>
  <c r="I163" i="42"/>
  <c r="I165" i="42"/>
  <c r="D179" i="42"/>
  <c r="N164" i="42"/>
  <c r="C173" i="42"/>
  <c r="B170" i="42"/>
  <c r="C170" i="42"/>
  <c r="C174" i="42"/>
  <c r="N174" i="42" s="1"/>
  <c r="B216" i="42" s="1"/>
  <c r="C171" i="42"/>
  <c r="B172" i="41"/>
  <c r="B175" i="41"/>
  <c r="C179" i="41"/>
  <c r="C176" i="41"/>
  <c r="B176" i="41"/>
  <c r="I164" i="41"/>
  <c r="D176" i="41"/>
  <c r="I163" i="41"/>
  <c r="D179" i="41"/>
  <c r="D175" i="41"/>
  <c r="B179" i="41"/>
  <c r="N176" i="41"/>
  <c r="B218" i="41" s="1"/>
  <c r="C175" i="40"/>
  <c r="C180" i="40"/>
  <c r="C173" i="40"/>
  <c r="C179" i="40"/>
  <c r="C177" i="40"/>
  <c r="C172" i="40"/>
  <c r="I164" i="40"/>
  <c r="G162" i="40"/>
  <c r="I163" i="40"/>
  <c r="G160" i="40"/>
  <c r="C176" i="39"/>
  <c r="C181" i="39"/>
  <c r="B174" i="39"/>
  <c r="C170" i="39"/>
  <c r="C174" i="39"/>
  <c r="C178" i="39"/>
  <c r="O163" i="39"/>
  <c r="O164" i="39"/>
  <c r="O165" i="39"/>
  <c r="M229" i="50"/>
  <c r="M229" i="46"/>
  <c r="M211" i="50"/>
  <c r="M211" i="57"/>
  <c r="M211" i="56"/>
  <c r="M229" i="55"/>
  <c r="M229" i="49"/>
  <c r="M211" i="48"/>
  <c r="M229" i="45"/>
  <c r="M229" i="44"/>
  <c r="M229" i="43"/>
  <c r="M211" i="42"/>
  <c r="M229" i="42"/>
  <c r="M229" i="41"/>
  <c r="M211" i="39"/>
  <c r="B179" i="57"/>
  <c r="C179" i="57"/>
  <c r="N179" i="57" s="1"/>
  <c r="D179" i="57"/>
  <c r="D176" i="56"/>
  <c r="N176" i="56" s="1"/>
  <c r="B218" i="56" s="1"/>
  <c r="C176" i="56"/>
  <c r="B176" i="56"/>
  <c r="R164" i="55"/>
  <c r="I28" i="38" s="1"/>
  <c r="O28" i="38" s="1"/>
  <c r="J165" i="52"/>
  <c r="J163" i="52"/>
  <c r="J164" i="52"/>
  <c r="N172" i="56"/>
  <c r="H164" i="52"/>
  <c r="H165" i="52"/>
  <c r="H163" i="52"/>
  <c r="B207" i="49"/>
  <c r="O170" i="49"/>
  <c r="N178" i="48"/>
  <c r="N170" i="56"/>
  <c r="N174" i="48"/>
  <c r="N178" i="57"/>
  <c r="B225" i="49"/>
  <c r="O178" i="49"/>
  <c r="N179" i="49"/>
  <c r="B207" i="48"/>
  <c r="N179" i="52"/>
  <c r="N175" i="50"/>
  <c r="B217" i="50" s="1"/>
  <c r="H164" i="51"/>
  <c r="R164" i="51" s="1"/>
  <c r="I24" i="38" s="1"/>
  <c r="O24" i="38" s="1"/>
  <c r="H165" i="51"/>
  <c r="H163" i="51"/>
  <c r="N175" i="49"/>
  <c r="B217" i="49" s="1"/>
  <c r="I162" i="57"/>
  <c r="I161" i="57"/>
  <c r="I160" i="57"/>
  <c r="H165" i="55"/>
  <c r="H163" i="55"/>
  <c r="H164" i="55"/>
  <c r="N171" i="50"/>
  <c r="N171" i="49"/>
  <c r="J163" i="57"/>
  <c r="J164" i="57"/>
  <c r="J165" i="57"/>
  <c r="R161" i="52"/>
  <c r="H25" i="38" s="1"/>
  <c r="N25" i="38" s="1"/>
  <c r="N174" i="51"/>
  <c r="N174" i="49"/>
  <c r="M229" i="57"/>
  <c r="H165" i="57"/>
  <c r="H164" i="57"/>
  <c r="R164" i="57" s="1"/>
  <c r="I30" i="38" s="1"/>
  <c r="O30" i="38" s="1"/>
  <c r="H163" i="57"/>
  <c r="N171" i="56"/>
  <c r="J163" i="55"/>
  <c r="J164" i="55"/>
  <c r="J165" i="55"/>
  <c r="D176" i="55"/>
  <c r="B176" i="55"/>
  <c r="D176" i="54"/>
  <c r="C176" i="54"/>
  <c r="B176" i="54"/>
  <c r="H165" i="54"/>
  <c r="H163" i="54"/>
  <c r="H164" i="54"/>
  <c r="J161" i="53"/>
  <c r="J160" i="53"/>
  <c r="J162" i="53"/>
  <c r="C173" i="53"/>
  <c r="B173" i="53"/>
  <c r="N178" i="53"/>
  <c r="D171" i="53"/>
  <c r="D173" i="53"/>
  <c r="J161" i="48"/>
  <c r="R161" i="48" s="1"/>
  <c r="H21" i="38" s="1"/>
  <c r="N21" i="38" s="1"/>
  <c r="J160" i="48"/>
  <c r="J162" i="48"/>
  <c r="N170" i="51"/>
  <c r="C170" i="50"/>
  <c r="C181" i="56"/>
  <c r="B180" i="56"/>
  <c r="D180" i="56"/>
  <c r="D177" i="55"/>
  <c r="B177" i="55"/>
  <c r="C177" i="55"/>
  <c r="I161" i="55"/>
  <c r="I160" i="55"/>
  <c r="I162" i="55"/>
  <c r="B179" i="55"/>
  <c r="M211" i="53"/>
  <c r="D174" i="53"/>
  <c r="B174" i="54"/>
  <c r="D175" i="54"/>
  <c r="B180" i="52"/>
  <c r="D180" i="52"/>
  <c r="C180" i="52"/>
  <c r="D173" i="52"/>
  <c r="C173" i="52"/>
  <c r="B179" i="53"/>
  <c r="B170" i="53"/>
  <c r="D171" i="52"/>
  <c r="C171" i="52"/>
  <c r="M162" i="52"/>
  <c r="M160" i="52"/>
  <c r="M161" i="52"/>
  <c r="D180" i="50"/>
  <c r="B180" i="50"/>
  <c r="M114" i="50"/>
  <c r="C172" i="49"/>
  <c r="B172" i="49"/>
  <c r="D172" i="49"/>
  <c r="M229" i="48"/>
  <c r="D170" i="52"/>
  <c r="C180" i="50"/>
  <c r="B180" i="51"/>
  <c r="N179" i="50"/>
  <c r="D180" i="53"/>
  <c r="F165" i="48"/>
  <c r="F163" i="48"/>
  <c r="F164" i="48"/>
  <c r="N180" i="49"/>
  <c r="H164" i="49"/>
  <c r="R164" i="49" s="1"/>
  <c r="I22" i="38" s="1"/>
  <c r="O22" i="38" s="1"/>
  <c r="H165" i="49"/>
  <c r="H163" i="49"/>
  <c r="B171" i="57"/>
  <c r="D175" i="57"/>
  <c r="C179" i="56"/>
  <c r="B179" i="56"/>
  <c r="D179" i="56"/>
  <c r="B181" i="56"/>
  <c r="N160" i="56"/>
  <c r="N161" i="56"/>
  <c r="N162" i="56"/>
  <c r="D178" i="56"/>
  <c r="B178" i="56"/>
  <c r="C171" i="57"/>
  <c r="D174" i="56"/>
  <c r="C174" i="56"/>
  <c r="B174" i="56"/>
  <c r="J162" i="55"/>
  <c r="J160" i="55"/>
  <c r="J161" i="55"/>
  <c r="C174" i="55"/>
  <c r="B171" i="54"/>
  <c r="B170" i="54"/>
  <c r="C170" i="55"/>
  <c r="C171" i="54"/>
  <c r="C181" i="53"/>
  <c r="B181" i="53"/>
  <c r="J161" i="52"/>
  <c r="J160" i="52"/>
  <c r="J162" i="52"/>
  <c r="M211" i="52"/>
  <c r="D175" i="51"/>
  <c r="B175" i="51"/>
  <c r="J161" i="51"/>
  <c r="R161" i="51" s="1"/>
  <c r="H24" i="38" s="1"/>
  <c r="N24" i="38" s="1"/>
  <c r="J160" i="51"/>
  <c r="J162" i="51"/>
  <c r="J164" i="49"/>
  <c r="J165" i="49"/>
  <c r="J163" i="49"/>
  <c r="C180" i="51"/>
  <c r="D177" i="51"/>
  <c r="B176" i="48"/>
  <c r="C180" i="57"/>
  <c r="B180" i="57"/>
  <c r="D180" i="57"/>
  <c r="M229" i="56"/>
  <c r="M211" i="55"/>
  <c r="D173" i="56"/>
  <c r="D172" i="55"/>
  <c r="B172" i="55"/>
  <c r="C170" i="57"/>
  <c r="D171" i="55"/>
  <c r="N171" i="55" s="1"/>
  <c r="D177" i="54"/>
  <c r="C177" i="54"/>
  <c r="D172" i="54"/>
  <c r="C172" i="54"/>
  <c r="B172" i="54"/>
  <c r="C178" i="54"/>
  <c r="N178" i="54" s="1"/>
  <c r="D181" i="53"/>
  <c r="D181" i="52"/>
  <c r="C181" i="52"/>
  <c r="D175" i="53"/>
  <c r="D178" i="52"/>
  <c r="H161" i="52"/>
  <c r="H160" i="52"/>
  <c r="H162" i="52"/>
  <c r="C178" i="52"/>
  <c r="N178" i="52" s="1"/>
  <c r="H161" i="50"/>
  <c r="H160" i="50"/>
  <c r="H162" i="50"/>
  <c r="C175" i="48"/>
  <c r="B175" i="48"/>
  <c r="D175" i="48"/>
  <c r="C176" i="51"/>
  <c r="B176" i="51"/>
  <c r="D181" i="49"/>
  <c r="B181" i="49"/>
  <c r="B173" i="49"/>
  <c r="C180" i="48"/>
  <c r="N179" i="48"/>
  <c r="C177" i="49"/>
  <c r="B177" i="49"/>
  <c r="C176" i="57"/>
  <c r="B176" i="57"/>
  <c r="D176" i="57"/>
  <c r="C172" i="57"/>
  <c r="D172" i="57"/>
  <c r="B172" i="57"/>
  <c r="D173" i="55"/>
  <c r="B173" i="55"/>
  <c r="C173" i="55"/>
  <c r="B175" i="55"/>
  <c r="J163" i="54"/>
  <c r="J164" i="54"/>
  <c r="R164" i="54" s="1"/>
  <c r="I27" i="38" s="1"/>
  <c r="O27" i="38" s="1"/>
  <c r="J165" i="54"/>
  <c r="B179" i="54"/>
  <c r="D179" i="55"/>
  <c r="M114" i="54"/>
  <c r="M229" i="53"/>
  <c r="C170" i="54"/>
  <c r="J164" i="53"/>
  <c r="R164" i="53" s="1"/>
  <c r="I26" i="38" s="1"/>
  <c r="O26" i="38" s="1"/>
  <c r="J165" i="53"/>
  <c r="J163" i="53"/>
  <c r="C174" i="54"/>
  <c r="C180" i="53"/>
  <c r="B176" i="52"/>
  <c r="D176" i="52"/>
  <c r="C176" i="52"/>
  <c r="D179" i="53"/>
  <c r="B172" i="53"/>
  <c r="D174" i="50"/>
  <c r="B174" i="50"/>
  <c r="N174" i="50" s="1"/>
  <c r="J164" i="50"/>
  <c r="J165" i="50"/>
  <c r="J163" i="50"/>
  <c r="D175" i="52"/>
  <c r="B181" i="51"/>
  <c r="D176" i="50"/>
  <c r="B176" i="50"/>
  <c r="C175" i="52"/>
  <c r="M211" i="49"/>
  <c r="C172" i="51"/>
  <c r="D173" i="51"/>
  <c r="B172" i="48"/>
  <c r="B180" i="48"/>
  <c r="N180" i="48" s="1"/>
  <c r="D173" i="57"/>
  <c r="B173" i="57"/>
  <c r="C173" i="57"/>
  <c r="C175" i="56"/>
  <c r="D175" i="56"/>
  <c r="B170" i="57"/>
  <c r="J164" i="56"/>
  <c r="R164" i="56" s="1"/>
  <c r="I29" i="38" s="1"/>
  <c r="O29" i="38" s="1"/>
  <c r="J165" i="56"/>
  <c r="J163" i="56"/>
  <c r="D180" i="55"/>
  <c r="B180" i="55"/>
  <c r="M229" i="54"/>
  <c r="C178" i="55"/>
  <c r="B178" i="55"/>
  <c r="C176" i="55"/>
  <c r="D180" i="54"/>
  <c r="C180" i="54"/>
  <c r="B180" i="54"/>
  <c r="C179" i="55"/>
  <c r="I161" i="53"/>
  <c r="R161" i="53" s="1"/>
  <c r="H26" i="38" s="1"/>
  <c r="N26" i="38" s="1"/>
  <c r="I160" i="53"/>
  <c r="I162" i="53"/>
  <c r="C175" i="53"/>
  <c r="N175" i="53" s="1"/>
  <c r="B217" i="53" s="1"/>
  <c r="D171" i="54"/>
  <c r="C177" i="53"/>
  <c r="B177" i="53"/>
  <c r="D176" i="53"/>
  <c r="B174" i="53"/>
  <c r="C170" i="53"/>
  <c r="D171" i="51"/>
  <c r="B171" i="51"/>
  <c r="I161" i="50"/>
  <c r="I160" i="50"/>
  <c r="I162" i="50"/>
  <c r="C175" i="51"/>
  <c r="B172" i="51"/>
  <c r="C173" i="49"/>
  <c r="D174" i="57"/>
  <c r="B177" i="57"/>
  <c r="D177" i="57"/>
  <c r="O160" i="57"/>
  <c r="O161" i="57"/>
  <c r="O162" i="57"/>
  <c r="C177" i="57"/>
  <c r="C173" i="56"/>
  <c r="B175" i="56"/>
  <c r="H164" i="56"/>
  <c r="H165" i="56"/>
  <c r="H163" i="56"/>
  <c r="D173" i="54"/>
  <c r="C173" i="54"/>
  <c r="C180" i="55"/>
  <c r="D175" i="55"/>
  <c r="C175" i="55"/>
  <c r="B170" i="55"/>
  <c r="N170" i="55" s="1"/>
  <c r="D179" i="54"/>
  <c r="B171" i="53"/>
  <c r="N171" i="53" s="1"/>
  <c r="C174" i="53"/>
  <c r="D177" i="52"/>
  <c r="C177" i="52"/>
  <c r="B173" i="52"/>
  <c r="F161" i="52"/>
  <c r="F160" i="52"/>
  <c r="F162" i="52"/>
  <c r="C171" i="51"/>
  <c r="C176" i="49"/>
  <c r="B176" i="49"/>
  <c r="D176" i="49"/>
  <c r="C171" i="48"/>
  <c r="B171" i="48"/>
  <c r="D171" i="48"/>
  <c r="N160" i="50"/>
  <c r="N161" i="50"/>
  <c r="N162" i="50"/>
  <c r="H163" i="48"/>
  <c r="H164" i="48"/>
  <c r="H165" i="48"/>
  <c r="C176" i="48"/>
  <c r="J162" i="57"/>
  <c r="J160" i="57"/>
  <c r="J161" i="57"/>
  <c r="R161" i="57" s="1"/>
  <c r="H30" i="38" s="1"/>
  <c r="N30" i="38" s="1"/>
  <c r="D181" i="57"/>
  <c r="C181" i="57"/>
  <c r="B181" i="57"/>
  <c r="C175" i="57"/>
  <c r="J162" i="56"/>
  <c r="J161" i="56"/>
  <c r="R161" i="56" s="1"/>
  <c r="H29" i="38" s="1"/>
  <c r="N29" i="38" s="1"/>
  <c r="J160" i="56"/>
  <c r="H162" i="55"/>
  <c r="H161" i="55"/>
  <c r="R161" i="55" s="1"/>
  <c r="H28" i="38" s="1"/>
  <c r="N28" i="38" s="1"/>
  <c r="H160" i="55"/>
  <c r="B174" i="55"/>
  <c r="C172" i="55"/>
  <c r="M211" i="54"/>
  <c r="B175" i="54"/>
  <c r="N175" i="54" s="1"/>
  <c r="B217" i="54" s="1"/>
  <c r="H162" i="54"/>
  <c r="H161" i="54"/>
  <c r="H160" i="54"/>
  <c r="C176" i="53"/>
  <c r="B172" i="52"/>
  <c r="D172" i="52"/>
  <c r="C172" i="52"/>
  <c r="D172" i="53"/>
  <c r="N172" i="53" s="1"/>
  <c r="M229" i="52"/>
  <c r="C170" i="52"/>
  <c r="R164" i="52"/>
  <c r="I25" i="38" s="1"/>
  <c r="O25" i="38" s="1"/>
  <c r="M211" i="51"/>
  <c r="J164" i="51"/>
  <c r="J165" i="51"/>
  <c r="J163" i="51"/>
  <c r="D179" i="51"/>
  <c r="B179" i="51"/>
  <c r="D170" i="50"/>
  <c r="B177" i="52"/>
  <c r="N180" i="51"/>
  <c r="B177" i="51"/>
  <c r="D172" i="50"/>
  <c r="B172" i="50"/>
  <c r="O160" i="52"/>
  <c r="O161" i="52"/>
  <c r="O162" i="52"/>
  <c r="M229" i="51"/>
  <c r="H163" i="50"/>
  <c r="H164" i="50"/>
  <c r="R164" i="50" s="1"/>
  <c r="I23" i="38" s="1"/>
  <c r="O23" i="38" s="1"/>
  <c r="H165" i="50"/>
  <c r="M117" i="48"/>
  <c r="M114" i="49"/>
  <c r="I163" i="50"/>
  <c r="I165" i="50"/>
  <c r="I164" i="50"/>
  <c r="C181" i="51"/>
  <c r="C173" i="51"/>
  <c r="C172" i="50"/>
  <c r="C172" i="48"/>
  <c r="H165" i="47"/>
  <c r="H163" i="47"/>
  <c r="H164" i="47"/>
  <c r="R161" i="47"/>
  <c r="H20" i="38" s="1"/>
  <c r="N20" i="38" s="1"/>
  <c r="N171" i="47"/>
  <c r="J163" i="47"/>
  <c r="J164" i="47"/>
  <c r="J165" i="47"/>
  <c r="C181" i="47"/>
  <c r="B181" i="47"/>
  <c r="M211" i="47"/>
  <c r="G161" i="47"/>
  <c r="G160" i="47"/>
  <c r="G162" i="47"/>
  <c r="C175" i="47"/>
  <c r="I162" i="47"/>
  <c r="I161" i="47"/>
  <c r="I160" i="47"/>
  <c r="C170" i="47"/>
  <c r="D170" i="47"/>
  <c r="R164" i="47"/>
  <c r="I20" i="38" s="1"/>
  <c r="O20" i="38" s="1"/>
  <c r="D175" i="47"/>
  <c r="B176" i="47"/>
  <c r="N176" i="47" s="1"/>
  <c r="B218" i="47" s="1"/>
  <c r="C174" i="47"/>
  <c r="D174" i="47"/>
  <c r="M229" i="47"/>
  <c r="C178" i="47"/>
  <c r="D178" i="47"/>
  <c r="D181" i="47"/>
  <c r="C172" i="47"/>
  <c r="N172" i="47" s="1"/>
  <c r="C173" i="47"/>
  <c r="B173" i="47"/>
  <c r="B177" i="47"/>
  <c r="C177" i="47"/>
  <c r="B178" i="47"/>
  <c r="H161" i="47"/>
  <c r="H160" i="47"/>
  <c r="H162" i="47"/>
  <c r="B227" i="45"/>
  <c r="O180" i="45"/>
  <c r="B226" i="46"/>
  <c r="O179" i="46"/>
  <c r="N172" i="45"/>
  <c r="B227" i="46"/>
  <c r="O180" i="46"/>
  <c r="C181" i="46"/>
  <c r="D181" i="46"/>
  <c r="O160" i="46"/>
  <c r="O161" i="46"/>
  <c r="O162" i="46"/>
  <c r="B181" i="46"/>
  <c r="J164" i="45"/>
  <c r="J163" i="45"/>
  <c r="J165" i="45"/>
  <c r="J160" i="45"/>
  <c r="J162" i="45"/>
  <c r="J161" i="45"/>
  <c r="J161" i="46"/>
  <c r="J160" i="46"/>
  <c r="N171" i="45"/>
  <c r="C170" i="45"/>
  <c r="D170" i="45"/>
  <c r="B170" i="45"/>
  <c r="M211" i="45"/>
  <c r="H161" i="46"/>
  <c r="R161" i="46" s="1"/>
  <c r="H19" i="38" s="1"/>
  <c r="N19" i="38" s="1"/>
  <c r="H160" i="46"/>
  <c r="H162" i="46"/>
  <c r="H165" i="46"/>
  <c r="H163" i="46"/>
  <c r="H164" i="46"/>
  <c r="R164" i="46" s="1"/>
  <c r="I19" i="38" s="1"/>
  <c r="O19" i="38" s="1"/>
  <c r="D170" i="46"/>
  <c r="M211" i="46"/>
  <c r="N175" i="46"/>
  <c r="B217" i="46" s="1"/>
  <c r="C174" i="46"/>
  <c r="B174" i="46"/>
  <c r="B179" i="45"/>
  <c r="N179" i="45" s="1"/>
  <c r="C174" i="45"/>
  <c r="B174" i="45"/>
  <c r="N178" i="46"/>
  <c r="N176" i="46"/>
  <c r="B218" i="46" s="1"/>
  <c r="D177" i="45"/>
  <c r="C177" i="45"/>
  <c r="B177" i="45"/>
  <c r="C178" i="45"/>
  <c r="B178" i="45"/>
  <c r="D178" i="45"/>
  <c r="B176" i="45"/>
  <c r="O161" i="45"/>
  <c r="O160" i="45"/>
  <c r="O162" i="45"/>
  <c r="C173" i="46"/>
  <c r="D173" i="46"/>
  <c r="B173" i="46"/>
  <c r="C170" i="46"/>
  <c r="N170" i="46" s="1"/>
  <c r="C176" i="45"/>
  <c r="N176" i="45" s="1"/>
  <c r="B218" i="45" s="1"/>
  <c r="J163" i="46"/>
  <c r="J165" i="46"/>
  <c r="J164" i="46"/>
  <c r="H162" i="45"/>
  <c r="H161" i="45"/>
  <c r="R161" i="45" s="1"/>
  <c r="H18" i="38" s="1"/>
  <c r="N18" i="38" s="1"/>
  <c r="H160" i="45"/>
  <c r="N171" i="46"/>
  <c r="C172" i="46"/>
  <c r="B172" i="46"/>
  <c r="C177" i="46"/>
  <c r="D177" i="46"/>
  <c r="B177" i="46"/>
  <c r="B175" i="45"/>
  <c r="N175" i="45" s="1"/>
  <c r="B217" i="45" s="1"/>
  <c r="D174" i="45"/>
  <c r="H164" i="45"/>
  <c r="R164" i="45" s="1"/>
  <c r="I18" i="38" s="1"/>
  <c r="O18" i="38" s="1"/>
  <c r="H165" i="45"/>
  <c r="H163" i="45"/>
  <c r="C172" i="44"/>
  <c r="B172" i="44"/>
  <c r="C180" i="44"/>
  <c r="D180" i="44"/>
  <c r="B180" i="44"/>
  <c r="J163" i="44"/>
  <c r="J164" i="44"/>
  <c r="J165" i="44"/>
  <c r="C173" i="44"/>
  <c r="M211" i="44"/>
  <c r="C178" i="44"/>
  <c r="D172" i="44"/>
  <c r="B170" i="44"/>
  <c r="M114" i="44"/>
  <c r="D174" i="44"/>
  <c r="B178" i="44"/>
  <c r="B174" i="44"/>
  <c r="D176" i="44"/>
  <c r="C176" i="44"/>
  <c r="B176" i="44"/>
  <c r="B173" i="44"/>
  <c r="H165" i="44"/>
  <c r="H163" i="44"/>
  <c r="H164" i="44"/>
  <c r="R164" i="44" s="1"/>
  <c r="I17" i="38" s="1"/>
  <c r="O17" i="38" s="1"/>
  <c r="C177" i="44"/>
  <c r="H161" i="44"/>
  <c r="H160" i="44"/>
  <c r="H162" i="44"/>
  <c r="C170" i="44"/>
  <c r="B177" i="44"/>
  <c r="B226" i="43"/>
  <c r="O179" i="43"/>
  <c r="C173" i="43"/>
  <c r="B170" i="43"/>
  <c r="D178" i="43"/>
  <c r="J163" i="43"/>
  <c r="J164" i="43"/>
  <c r="J165" i="43"/>
  <c r="M211" i="43"/>
  <c r="D176" i="43"/>
  <c r="N176" i="43" s="1"/>
  <c r="B218" i="43" s="1"/>
  <c r="C176" i="43"/>
  <c r="B176" i="43"/>
  <c r="M114" i="43"/>
  <c r="C170" i="43"/>
  <c r="C177" i="43"/>
  <c r="C174" i="43"/>
  <c r="N174" i="43" s="1"/>
  <c r="N171" i="43"/>
  <c r="B178" i="43"/>
  <c r="B172" i="43"/>
  <c r="D172" i="43"/>
  <c r="C172" i="43"/>
  <c r="H165" i="43"/>
  <c r="H163" i="43"/>
  <c r="H164" i="43"/>
  <c r="B177" i="43"/>
  <c r="D180" i="43"/>
  <c r="C180" i="43"/>
  <c r="B180" i="43"/>
  <c r="B173" i="43"/>
  <c r="N178" i="42"/>
  <c r="J161" i="42"/>
  <c r="J160" i="42"/>
  <c r="J162" i="42"/>
  <c r="N175" i="42"/>
  <c r="B217" i="42" s="1"/>
  <c r="C179" i="42"/>
  <c r="N179" i="42" s="1"/>
  <c r="B171" i="42"/>
  <c r="N171" i="42" s="1"/>
  <c r="D173" i="42"/>
  <c r="B173" i="42"/>
  <c r="J163" i="42"/>
  <c r="J164" i="42"/>
  <c r="J165" i="42"/>
  <c r="D177" i="42"/>
  <c r="B177" i="42"/>
  <c r="N160" i="42"/>
  <c r="N161" i="42"/>
  <c r="N162" i="42"/>
  <c r="I162" i="42"/>
  <c r="I161" i="42"/>
  <c r="I160" i="42"/>
  <c r="D181" i="42"/>
  <c r="B181" i="42"/>
  <c r="B180" i="42"/>
  <c r="C180" i="42"/>
  <c r="D180" i="42"/>
  <c r="H161" i="42"/>
  <c r="R161" i="42" s="1"/>
  <c r="H15" i="38" s="1"/>
  <c r="N15" i="38" s="1"/>
  <c r="H160" i="42"/>
  <c r="H162" i="42"/>
  <c r="H165" i="42"/>
  <c r="H163" i="42"/>
  <c r="H164" i="42"/>
  <c r="R164" i="42" s="1"/>
  <c r="I15" i="38" s="1"/>
  <c r="O15" i="38" s="1"/>
  <c r="L163" i="42"/>
  <c r="L164" i="42"/>
  <c r="L165" i="42"/>
  <c r="B176" i="42"/>
  <c r="C176" i="42"/>
  <c r="B172" i="42"/>
  <c r="C172" i="42"/>
  <c r="D176" i="42"/>
  <c r="N176" i="42" s="1"/>
  <c r="B218" i="42" s="1"/>
  <c r="N180" i="41"/>
  <c r="C173" i="41"/>
  <c r="B173" i="41"/>
  <c r="J160" i="41"/>
  <c r="J162" i="41"/>
  <c r="J161" i="41"/>
  <c r="N160" i="41"/>
  <c r="N161" i="41"/>
  <c r="N162" i="41"/>
  <c r="M211" i="41"/>
  <c r="D171" i="41"/>
  <c r="B181" i="41"/>
  <c r="C181" i="41"/>
  <c r="C171" i="41"/>
  <c r="C177" i="41"/>
  <c r="B177" i="41"/>
  <c r="H161" i="41"/>
  <c r="R161" i="41" s="1"/>
  <c r="H14" i="38" s="1"/>
  <c r="N14" i="38" s="1"/>
  <c r="H160" i="41"/>
  <c r="H162" i="41"/>
  <c r="H165" i="41"/>
  <c r="H163" i="41"/>
  <c r="H164" i="41"/>
  <c r="J163" i="41"/>
  <c r="J164" i="41"/>
  <c r="J165" i="41"/>
  <c r="C178" i="41"/>
  <c r="N178" i="41" s="1"/>
  <c r="D178" i="41"/>
  <c r="I162" i="41"/>
  <c r="I160" i="41"/>
  <c r="I161" i="41"/>
  <c r="C175" i="41"/>
  <c r="N175" i="41" s="1"/>
  <c r="B217" i="41" s="1"/>
  <c r="D172" i="41"/>
  <c r="C172" i="41"/>
  <c r="N164" i="41"/>
  <c r="N165" i="41"/>
  <c r="N163" i="41"/>
  <c r="C170" i="41"/>
  <c r="N170" i="41" s="1"/>
  <c r="D170" i="41"/>
  <c r="R164" i="41"/>
  <c r="I14" i="38" s="1"/>
  <c r="O14" i="38" s="1"/>
  <c r="C174" i="41"/>
  <c r="D174" i="41"/>
  <c r="D177" i="41"/>
  <c r="M229" i="40"/>
  <c r="M114" i="40"/>
  <c r="D180" i="40"/>
  <c r="B180" i="40"/>
  <c r="B170" i="40"/>
  <c r="D170" i="40"/>
  <c r="M211" i="40"/>
  <c r="D174" i="40"/>
  <c r="B174" i="40"/>
  <c r="D176" i="40"/>
  <c r="B176" i="40"/>
  <c r="H165" i="40"/>
  <c r="H163" i="40"/>
  <c r="H164" i="40"/>
  <c r="D171" i="40"/>
  <c r="B171" i="40"/>
  <c r="B178" i="40"/>
  <c r="D178" i="40"/>
  <c r="D172" i="40"/>
  <c r="B172" i="40"/>
  <c r="H161" i="40"/>
  <c r="H160" i="40"/>
  <c r="H162" i="40"/>
  <c r="M117" i="40"/>
  <c r="D175" i="40"/>
  <c r="B175" i="40"/>
  <c r="B173" i="40"/>
  <c r="D173" i="40"/>
  <c r="C176" i="40"/>
  <c r="D179" i="40"/>
  <c r="B179" i="40"/>
  <c r="B177" i="40"/>
  <c r="D177" i="40"/>
  <c r="N164" i="40"/>
  <c r="N165" i="40"/>
  <c r="N163" i="40"/>
  <c r="C174" i="40"/>
  <c r="I162" i="40"/>
  <c r="I161" i="40"/>
  <c r="I160" i="40"/>
  <c r="D181" i="40"/>
  <c r="B181" i="40"/>
  <c r="R164" i="39"/>
  <c r="I12" i="38" s="1"/>
  <c r="O12" i="38" s="1"/>
  <c r="J163" i="39"/>
  <c r="J165" i="39"/>
  <c r="J164" i="39"/>
  <c r="D173" i="39"/>
  <c r="D174" i="39"/>
  <c r="N174" i="39" s="1"/>
  <c r="B173" i="39"/>
  <c r="J161" i="39"/>
  <c r="J160" i="39"/>
  <c r="J162" i="39"/>
  <c r="H163" i="39"/>
  <c r="H164" i="39"/>
  <c r="H165" i="39"/>
  <c r="B175" i="39"/>
  <c r="D175" i="39"/>
  <c r="C175" i="39"/>
  <c r="H161" i="39"/>
  <c r="H160" i="39"/>
  <c r="H162" i="39"/>
  <c r="B171" i="39"/>
  <c r="D171" i="39"/>
  <c r="C171" i="39"/>
  <c r="B179" i="39"/>
  <c r="C179" i="39"/>
  <c r="D179" i="39"/>
  <c r="F162" i="39"/>
  <c r="F161" i="39"/>
  <c r="R161" i="39" s="1"/>
  <c r="H12" i="38" s="1"/>
  <c r="N12" i="38" s="1"/>
  <c r="F160" i="39"/>
  <c r="M229" i="39"/>
  <c r="D180" i="39"/>
  <c r="C180" i="39"/>
  <c r="D172" i="39"/>
  <c r="C172" i="39"/>
  <c r="D181" i="39"/>
  <c r="B178" i="39"/>
  <c r="N178" i="39" s="1"/>
  <c r="D176" i="39"/>
  <c r="B176" i="39"/>
  <c r="B180" i="39"/>
  <c r="D170" i="39"/>
  <c r="N170" i="39" s="1"/>
  <c r="H138" i="17"/>
  <c r="H137" i="17"/>
  <c r="I138" i="17"/>
  <c r="I137" i="17"/>
  <c r="M170" i="17"/>
  <c r="M171" i="17"/>
  <c r="M172" i="17"/>
  <c r="M173" i="17"/>
  <c r="M174" i="17"/>
  <c r="M175" i="17"/>
  <c r="M176" i="17"/>
  <c r="M177" i="17"/>
  <c r="M178" i="17"/>
  <c r="M179" i="17"/>
  <c r="M180" i="17"/>
  <c r="M181" i="17"/>
  <c r="N64" i="17"/>
  <c r="N38" i="17"/>
  <c r="N170" i="57" l="1"/>
  <c r="B207" i="57" s="1"/>
  <c r="N175" i="57"/>
  <c r="B217" i="57" s="1"/>
  <c r="H217" i="57" s="1"/>
  <c r="N178" i="56"/>
  <c r="N176" i="54"/>
  <c r="B218" i="54" s="1"/>
  <c r="N179" i="54"/>
  <c r="N180" i="53"/>
  <c r="N179" i="53"/>
  <c r="N170" i="52"/>
  <c r="N172" i="52"/>
  <c r="N180" i="52"/>
  <c r="N181" i="52" s="1"/>
  <c r="O178" i="51"/>
  <c r="N179" i="51"/>
  <c r="N176" i="51"/>
  <c r="B218" i="51" s="1"/>
  <c r="G218" i="51" s="1"/>
  <c r="N172" i="51"/>
  <c r="B209" i="51" s="1"/>
  <c r="N176" i="50"/>
  <c r="B218" i="50" s="1"/>
  <c r="O178" i="50"/>
  <c r="N172" i="50"/>
  <c r="N170" i="50"/>
  <c r="B207" i="50" s="1"/>
  <c r="N172" i="49"/>
  <c r="N173" i="49" s="1"/>
  <c r="N171" i="48"/>
  <c r="N173" i="48" s="1"/>
  <c r="N176" i="48"/>
  <c r="B218" i="48" s="1"/>
  <c r="K218" i="48" s="1"/>
  <c r="N172" i="48"/>
  <c r="O179" i="47"/>
  <c r="B226" i="47"/>
  <c r="B227" i="47"/>
  <c r="N174" i="47"/>
  <c r="N170" i="47"/>
  <c r="N175" i="47"/>
  <c r="B217" i="47" s="1"/>
  <c r="N172" i="46"/>
  <c r="N178" i="45"/>
  <c r="B208" i="44"/>
  <c r="K208" i="44" s="1"/>
  <c r="O171" i="44"/>
  <c r="N172" i="44"/>
  <c r="O172" i="44" s="1"/>
  <c r="N178" i="43"/>
  <c r="N170" i="42"/>
  <c r="N172" i="42"/>
  <c r="N179" i="41"/>
  <c r="B226" i="41" s="1"/>
  <c r="N174" i="41"/>
  <c r="N171" i="40"/>
  <c r="B208" i="40" s="1"/>
  <c r="N175" i="40"/>
  <c r="B217" i="40" s="1"/>
  <c r="N172" i="40"/>
  <c r="O172" i="40" s="1"/>
  <c r="N179" i="40"/>
  <c r="N172" i="39"/>
  <c r="N179" i="39"/>
  <c r="N175" i="39"/>
  <c r="B217" i="39" s="1"/>
  <c r="N171" i="39"/>
  <c r="B208" i="39" s="1"/>
  <c r="I218" i="56"/>
  <c r="J190" i="56"/>
  <c r="L189" i="56"/>
  <c r="D189" i="56"/>
  <c r="G218" i="56"/>
  <c r="H190" i="56"/>
  <c r="J189" i="56"/>
  <c r="F218" i="56"/>
  <c r="G190" i="56"/>
  <c r="I189" i="56"/>
  <c r="K218" i="56"/>
  <c r="C218" i="56"/>
  <c r="L190" i="56"/>
  <c r="D190" i="56"/>
  <c r="F189" i="56"/>
  <c r="D218" i="56"/>
  <c r="G189" i="56"/>
  <c r="K190" i="56"/>
  <c r="E189" i="56"/>
  <c r="I190" i="56"/>
  <c r="C189" i="56"/>
  <c r="F190" i="56"/>
  <c r="L218" i="56"/>
  <c r="E190" i="56"/>
  <c r="H218" i="56"/>
  <c r="K189" i="56"/>
  <c r="E218" i="56"/>
  <c r="H189" i="56"/>
  <c r="J218" i="56"/>
  <c r="O176" i="56"/>
  <c r="C190" i="56"/>
  <c r="B208" i="55"/>
  <c r="O171" i="55"/>
  <c r="N173" i="50"/>
  <c r="B225" i="52"/>
  <c r="O178" i="52"/>
  <c r="H220" i="56"/>
  <c r="F220" i="56"/>
  <c r="E220" i="56"/>
  <c r="F199" i="56"/>
  <c r="H198" i="56"/>
  <c r="C220" i="56"/>
  <c r="L199" i="56"/>
  <c r="D199" i="56"/>
  <c r="F198" i="56"/>
  <c r="L220" i="56"/>
  <c r="K199" i="56"/>
  <c r="C199" i="56"/>
  <c r="E198" i="56"/>
  <c r="I220" i="56"/>
  <c r="H199" i="56"/>
  <c r="J198" i="56"/>
  <c r="K198" i="56"/>
  <c r="I198" i="56"/>
  <c r="G198" i="56"/>
  <c r="K220" i="56"/>
  <c r="J199" i="56"/>
  <c r="D198" i="56"/>
  <c r="J220" i="56"/>
  <c r="I199" i="56"/>
  <c r="C198" i="56"/>
  <c r="D220" i="56"/>
  <c r="E199" i="56"/>
  <c r="L198" i="56"/>
  <c r="G220" i="56"/>
  <c r="G199" i="56"/>
  <c r="B225" i="54"/>
  <c r="O178" i="54"/>
  <c r="H218" i="51"/>
  <c r="H190" i="51"/>
  <c r="J189" i="51"/>
  <c r="F218" i="51"/>
  <c r="F190" i="51"/>
  <c r="H189" i="51"/>
  <c r="L218" i="51"/>
  <c r="J190" i="51"/>
  <c r="I189" i="51"/>
  <c r="O174" i="51"/>
  <c r="I190" i="51"/>
  <c r="G189" i="51"/>
  <c r="I218" i="51"/>
  <c r="G190" i="51"/>
  <c r="F189" i="51"/>
  <c r="E190" i="51"/>
  <c r="E189" i="51"/>
  <c r="D190" i="51"/>
  <c r="D189" i="51"/>
  <c r="O176" i="51"/>
  <c r="C190" i="51"/>
  <c r="C189" i="51"/>
  <c r="L190" i="51"/>
  <c r="L189" i="51"/>
  <c r="K190" i="51"/>
  <c r="K189" i="51"/>
  <c r="L220" i="50"/>
  <c r="D220" i="50"/>
  <c r="H199" i="50"/>
  <c r="J198" i="50"/>
  <c r="K220" i="50"/>
  <c r="C220" i="50"/>
  <c r="G199" i="50"/>
  <c r="I198" i="50"/>
  <c r="J220" i="50"/>
  <c r="F199" i="50"/>
  <c r="H198" i="50"/>
  <c r="I220" i="50"/>
  <c r="E199" i="50"/>
  <c r="G220" i="50"/>
  <c r="K199" i="50"/>
  <c r="C199" i="50"/>
  <c r="E198" i="50"/>
  <c r="F220" i="50"/>
  <c r="J199" i="50"/>
  <c r="L198" i="50"/>
  <c r="D198" i="50"/>
  <c r="H220" i="50"/>
  <c r="L199" i="50"/>
  <c r="E220" i="50"/>
  <c r="I199" i="50"/>
  <c r="D199" i="50"/>
  <c r="K198" i="50"/>
  <c r="G198" i="50"/>
  <c r="F198" i="50"/>
  <c r="C198" i="50"/>
  <c r="J217" i="53"/>
  <c r="I217" i="53"/>
  <c r="G217" i="53"/>
  <c r="L217" i="53"/>
  <c r="D217" i="53"/>
  <c r="K217" i="53"/>
  <c r="C217" i="53"/>
  <c r="L190" i="53"/>
  <c r="D190" i="53"/>
  <c r="F189" i="53"/>
  <c r="K190" i="53"/>
  <c r="C190" i="53"/>
  <c r="E189" i="53"/>
  <c r="H217" i="53"/>
  <c r="J190" i="53"/>
  <c r="L189" i="53"/>
  <c r="D189" i="53"/>
  <c r="F217" i="53"/>
  <c r="I190" i="53"/>
  <c r="K189" i="53"/>
  <c r="C189" i="53"/>
  <c r="E217" i="53"/>
  <c r="H190" i="53"/>
  <c r="J189" i="53"/>
  <c r="O175" i="53"/>
  <c r="G190" i="53"/>
  <c r="I189" i="53"/>
  <c r="F190" i="53"/>
  <c r="H189" i="53"/>
  <c r="E190" i="53"/>
  <c r="G189" i="53"/>
  <c r="B226" i="53"/>
  <c r="O179" i="53"/>
  <c r="F220" i="57"/>
  <c r="J199" i="57"/>
  <c r="L198" i="57"/>
  <c r="D198" i="57"/>
  <c r="E220" i="57"/>
  <c r="I199" i="57"/>
  <c r="K198" i="57"/>
  <c r="C198" i="57"/>
  <c r="L220" i="57"/>
  <c r="D220" i="57"/>
  <c r="H199" i="57"/>
  <c r="J198" i="57"/>
  <c r="K220" i="57"/>
  <c r="C220" i="57"/>
  <c r="J220" i="57"/>
  <c r="F199" i="57"/>
  <c r="H198" i="57"/>
  <c r="H220" i="57"/>
  <c r="L199" i="57"/>
  <c r="F198" i="57"/>
  <c r="G220" i="57"/>
  <c r="K199" i="57"/>
  <c r="E198" i="57"/>
  <c r="G199" i="57"/>
  <c r="E199" i="57"/>
  <c r="I198" i="57"/>
  <c r="G198" i="57"/>
  <c r="D199" i="57"/>
  <c r="C199" i="57"/>
  <c r="I220" i="57"/>
  <c r="B226" i="54"/>
  <c r="O179" i="54"/>
  <c r="F220" i="49"/>
  <c r="J199" i="49"/>
  <c r="L198" i="49"/>
  <c r="D198" i="49"/>
  <c r="E220" i="49"/>
  <c r="I199" i="49"/>
  <c r="K198" i="49"/>
  <c r="C198" i="49"/>
  <c r="L220" i="49"/>
  <c r="D220" i="49"/>
  <c r="H199" i="49"/>
  <c r="J198" i="49"/>
  <c r="H220" i="49"/>
  <c r="L199" i="49"/>
  <c r="D199" i="49"/>
  <c r="F198" i="49"/>
  <c r="F199" i="49"/>
  <c r="E199" i="49"/>
  <c r="C199" i="49"/>
  <c r="K220" i="49"/>
  <c r="I198" i="49"/>
  <c r="J220" i="49"/>
  <c r="H198" i="49"/>
  <c r="I220" i="49"/>
  <c r="G198" i="49"/>
  <c r="C220" i="49"/>
  <c r="G220" i="49"/>
  <c r="K199" i="49"/>
  <c r="E198" i="49"/>
  <c r="G199" i="49"/>
  <c r="L190" i="48"/>
  <c r="D190" i="48"/>
  <c r="F189" i="48"/>
  <c r="K190" i="48"/>
  <c r="E189" i="48"/>
  <c r="J218" i="48"/>
  <c r="C190" i="48"/>
  <c r="J190" i="48"/>
  <c r="L189" i="48"/>
  <c r="D189" i="48"/>
  <c r="O174" i="48"/>
  <c r="H218" i="48"/>
  <c r="I190" i="48"/>
  <c r="K189" i="48"/>
  <c r="C189" i="48"/>
  <c r="G218" i="48"/>
  <c r="H190" i="48"/>
  <c r="J189" i="48"/>
  <c r="G190" i="48"/>
  <c r="I189" i="48"/>
  <c r="F190" i="48"/>
  <c r="H189" i="48"/>
  <c r="O176" i="48"/>
  <c r="E190" i="48"/>
  <c r="G189" i="48"/>
  <c r="D218" i="48"/>
  <c r="G190" i="55"/>
  <c r="E190" i="55"/>
  <c r="G189" i="55"/>
  <c r="D190" i="55"/>
  <c r="F189" i="55"/>
  <c r="L190" i="55"/>
  <c r="C190" i="55"/>
  <c r="E189" i="55"/>
  <c r="K190" i="55"/>
  <c r="L189" i="55"/>
  <c r="D189" i="55"/>
  <c r="J190" i="55"/>
  <c r="K189" i="55"/>
  <c r="C189" i="55"/>
  <c r="H190" i="55"/>
  <c r="I189" i="55"/>
  <c r="F190" i="55"/>
  <c r="H189" i="55"/>
  <c r="I190" i="55"/>
  <c r="J189" i="55"/>
  <c r="B209" i="48"/>
  <c r="O172" i="48"/>
  <c r="B207" i="52"/>
  <c r="O170" i="52"/>
  <c r="F190" i="57"/>
  <c r="H189" i="57"/>
  <c r="E190" i="57"/>
  <c r="G189" i="57"/>
  <c r="G217" i="57"/>
  <c r="L190" i="57"/>
  <c r="D190" i="57"/>
  <c r="F189" i="57"/>
  <c r="F217" i="57"/>
  <c r="J190" i="57"/>
  <c r="L189" i="57"/>
  <c r="D189" i="57"/>
  <c r="O174" i="57"/>
  <c r="H190" i="57"/>
  <c r="G190" i="57"/>
  <c r="C190" i="57"/>
  <c r="K189" i="57"/>
  <c r="D217" i="57"/>
  <c r="K190" i="57"/>
  <c r="E189" i="57"/>
  <c r="C189" i="57"/>
  <c r="K217" i="57"/>
  <c r="J189" i="57"/>
  <c r="I189" i="57"/>
  <c r="I190" i="57"/>
  <c r="G220" i="54"/>
  <c r="F220" i="54"/>
  <c r="E220" i="54"/>
  <c r="L220" i="54"/>
  <c r="D220" i="54"/>
  <c r="I220" i="54"/>
  <c r="H220" i="54"/>
  <c r="I199" i="54"/>
  <c r="K198" i="54"/>
  <c r="C198" i="54"/>
  <c r="H199" i="54"/>
  <c r="J198" i="54"/>
  <c r="G199" i="54"/>
  <c r="I198" i="54"/>
  <c r="F199" i="54"/>
  <c r="H198" i="54"/>
  <c r="K220" i="54"/>
  <c r="E199" i="54"/>
  <c r="G198" i="54"/>
  <c r="C220" i="54"/>
  <c r="K199" i="54"/>
  <c r="C199" i="54"/>
  <c r="E198" i="54"/>
  <c r="J199" i="54"/>
  <c r="L198" i="54"/>
  <c r="D198" i="54"/>
  <c r="J220" i="54"/>
  <c r="L199" i="54"/>
  <c r="D199" i="54"/>
  <c r="F198" i="54"/>
  <c r="B226" i="51"/>
  <c r="O179" i="51"/>
  <c r="N181" i="51"/>
  <c r="G220" i="53"/>
  <c r="F220" i="53"/>
  <c r="L220" i="53"/>
  <c r="D220" i="53"/>
  <c r="K220" i="53"/>
  <c r="C220" i="53"/>
  <c r="I220" i="53"/>
  <c r="H220" i="53"/>
  <c r="J220" i="53"/>
  <c r="H199" i="53"/>
  <c r="J198" i="53"/>
  <c r="E220" i="53"/>
  <c r="G199" i="53"/>
  <c r="I198" i="53"/>
  <c r="F199" i="53"/>
  <c r="H198" i="53"/>
  <c r="E199" i="53"/>
  <c r="G198" i="53"/>
  <c r="L199" i="53"/>
  <c r="D199" i="53"/>
  <c r="F198" i="53"/>
  <c r="K199" i="53"/>
  <c r="C199" i="53"/>
  <c r="E198" i="53"/>
  <c r="J199" i="53"/>
  <c r="L198" i="53"/>
  <c r="D198" i="53"/>
  <c r="I199" i="53"/>
  <c r="K198" i="53"/>
  <c r="C198" i="53"/>
  <c r="K220" i="51"/>
  <c r="C220" i="51"/>
  <c r="G199" i="51"/>
  <c r="J220" i="51"/>
  <c r="I220" i="51"/>
  <c r="E199" i="51"/>
  <c r="G198" i="51"/>
  <c r="H220" i="51"/>
  <c r="L199" i="51"/>
  <c r="D199" i="51"/>
  <c r="F198" i="51"/>
  <c r="G220" i="51"/>
  <c r="K199" i="51"/>
  <c r="F220" i="51"/>
  <c r="J199" i="51"/>
  <c r="L198" i="51"/>
  <c r="D198" i="51"/>
  <c r="E220" i="51"/>
  <c r="I199" i="51"/>
  <c r="K198" i="51"/>
  <c r="C198" i="51"/>
  <c r="H199" i="51"/>
  <c r="F199" i="51"/>
  <c r="C199" i="51"/>
  <c r="L220" i="51"/>
  <c r="J198" i="51"/>
  <c r="D220" i="51"/>
  <c r="I198" i="51"/>
  <c r="H198" i="51"/>
  <c r="E198" i="51"/>
  <c r="B227" i="49"/>
  <c r="O180" i="49"/>
  <c r="B208" i="53"/>
  <c r="O171" i="53"/>
  <c r="L216" i="52"/>
  <c r="D216" i="52"/>
  <c r="E190" i="52"/>
  <c r="G189" i="52"/>
  <c r="K216" i="52"/>
  <c r="H216" i="52"/>
  <c r="G216" i="52"/>
  <c r="F216" i="52"/>
  <c r="E216" i="52"/>
  <c r="L190" i="52"/>
  <c r="C190" i="52"/>
  <c r="D189" i="52"/>
  <c r="C216" i="52"/>
  <c r="K190" i="52"/>
  <c r="L189" i="52"/>
  <c r="C189" i="52"/>
  <c r="J190" i="52"/>
  <c r="K189" i="52"/>
  <c r="I190" i="52"/>
  <c r="J189" i="52"/>
  <c r="H190" i="52"/>
  <c r="I189" i="52"/>
  <c r="G190" i="52"/>
  <c r="H189" i="52"/>
  <c r="J216" i="52"/>
  <c r="F190" i="52"/>
  <c r="F189" i="52"/>
  <c r="E189" i="52"/>
  <c r="O174" i="52"/>
  <c r="D190" i="52"/>
  <c r="I216" i="52"/>
  <c r="B208" i="50"/>
  <c r="O171" i="50"/>
  <c r="K225" i="51"/>
  <c r="F225" i="51"/>
  <c r="E225" i="51"/>
  <c r="C225" i="51"/>
  <c r="G225" i="51"/>
  <c r="L225" i="51"/>
  <c r="I225" i="51"/>
  <c r="D225" i="51"/>
  <c r="H225" i="51"/>
  <c r="J225" i="51"/>
  <c r="B207" i="56"/>
  <c r="N173" i="56"/>
  <c r="O170" i="56"/>
  <c r="G220" i="55"/>
  <c r="K199" i="55"/>
  <c r="C199" i="55"/>
  <c r="E198" i="55"/>
  <c r="E220" i="55"/>
  <c r="I199" i="55"/>
  <c r="K198" i="55"/>
  <c r="C198" i="55"/>
  <c r="L220" i="55"/>
  <c r="D220" i="55"/>
  <c r="J220" i="55"/>
  <c r="I220" i="55"/>
  <c r="E199" i="55"/>
  <c r="H220" i="55"/>
  <c r="L198" i="55"/>
  <c r="F220" i="55"/>
  <c r="J198" i="55"/>
  <c r="C220" i="55"/>
  <c r="L199" i="55"/>
  <c r="I198" i="55"/>
  <c r="J199" i="55"/>
  <c r="H198" i="55"/>
  <c r="H199" i="55"/>
  <c r="G198" i="55"/>
  <c r="F199" i="55"/>
  <c r="D198" i="55"/>
  <c r="K220" i="55"/>
  <c r="D199" i="55"/>
  <c r="F198" i="55"/>
  <c r="G199" i="55"/>
  <c r="N174" i="55"/>
  <c r="O174" i="55" s="1"/>
  <c r="N176" i="49"/>
  <c r="B218" i="49" s="1"/>
  <c r="N178" i="55"/>
  <c r="O170" i="57"/>
  <c r="N176" i="52"/>
  <c r="B218" i="52" s="1"/>
  <c r="G218" i="52" s="1"/>
  <c r="N171" i="57"/>
  <c r="N176" i="55"/>
  <c r="B218" i="55" s="1"/>
  <c r="J218" i="55" s="1"/>
  <c r="B226" i="49"/>
  <c r="O179" i="49"/>
  <c r="H225" i="50"/>
  <c r="G225" i="50"/>
  <c r="F225" i="50"/>
  <c r="E225" i="50"/>
  <c r="L225" i="50"/>
  <c r="K225" i="50"/>
  <c r="J225" i="50"/>
  <c r="D225" i="50"/>
  <c r="C225" i="50"/>
  <c r="I225" i="50"/>
  <c r="B209" i="49"/>
  <c r="O172" i="49"/>
  <c r="B227" i="52"/>
  <c r="O180" i="52"/>
  <c r="B216" i="57"/>
  <c r="I216" i="57" s="1"/>
  <c r="B225" i="53"/>
  <c r="N181" i="53"/>
  <c r="O178" i="53"/>
  <c r="N170" i="54"/>
  <c r="B227" i="51"/>
  <c r="O180" i="51"/>
  <c r="J162" i="54"/>
  <c r="J161" i="54"/>
  <c r="J160" i="54"/>
  <c r="B225" i="56"/>
  <c r="O178" i="56"/>
  <c r="N179" i="56"/>
  <c r="E220" i="52"/>
  <c r="I199" i="52"/>
  <c r="K198" i="52"/>
  <c r="C198" i="52"/>
  <c r="L220" i="52"/>
  <c r="D220" i="52"/>
  <c r="K220" i="52"/>
  <c r="I220" i="52"/>
  <c r="H220" i="52"/>
  <c r="G220" i="52"/>
  <c r="G199" i="52"/>
  <c r="H198" i="52"/>
  <c r="F199" i="52"/>
  <c r="G198" i="52"/>
  <c r="E199" i="52"/>
  <c r="F198" i="52"/>
  <c r="D199" i="52"/>
  <c r="E198" i="52"/>
  <c r="L199" i="52"/>
  <c r="C199" i="52"/>
  <c r="D198" i="52"/>
  <c r="J220" i="52"/>
  <c r="K199" i="52"/>
  <c r="L198" i="52"/>
  <c r="F220" i="52"/>
  <c r="J199" i="52"/>
  <c r="J198" i="52"/>
  <c r="H199" i="52"/>
  <c r="I198" i="52"/>
  <c r="C220" i="52"/>
  <c r="N175" i="51"/>
  <c r="B217" i="51" s="1"/>
  <c r="K217" i="51" s="1"/>
  <c r="N174" i="53"/>
  <c r="O174" i="53" s="1"/>
  <c r="N175" i="56"/>
  <c r="B217" i="56" s="1"/>
  <c r="G217" i="56" s="1"/>
  <c r="N172" i="55"/>
  <c r="N173" i="55" s="1"/>
  <c r="N171" i="52"/>
  <c r="N181" i="49"/>
  <c r="B225" i="57"/>
  <c r="O178" i="57"/>
  <c r="N181" i="48"/>
  <c r="B225" i="48"/>
  <c r="O178" i="48"/>
  <c r="N176" i="53"/>
  <c r="B218" i="53" s="1"/>
  <c r="D218" i="53" s="1"/>
  <c r="N175" i="52"/>
  <c r="B227" i="53"/>
  <c r="O180" i="53"/>
  <c r="B207" i="51"/>
  <c r="O170" i="51"/>
  <c r="K225" i="49"/>
  <c r="J225" i="49"/>
  <c r="C225" i="49"/>
  <c r="L225" i="49"/>
  <c r="E225" i="49"/>
  <c r="F225" i="49"/>
  <c r="G225" i="49"/>
  <c r="I225" i="49"/>
  <c r="D225" i="49"/>
  <c r="H225" i="49"/>
  <c r="B216" i="48"/>
  <c r="K216" i="48" s="1"/>
  <c r="B208" i="48"/>
  <c r="O171" i="48"/>
  <c r="R161" i="54"/>
  <c r="H27" i="38" s="1"/>
  <c r="N27" i="38" s="1"/>
  <c r="N171" i="51"/>
  <c r="N179" i="55"/>
  <c r="B216" i="50"/>
  <c r="N177" i="50"/>
  <c r="B219" i="50" s="1"/>
  <c r="B226" i="48"/>
  <c r="O179" i="48"/>
  <c r="N180" i="55"/>
  <c r="N172" i="57"/>
  <c r="N175" i="48"/>
  <c r="B217" i="48" s="1"/>
  <c r="L217" i="48" s="1"/>
  <c r="N172" i="54"/>
  <c r="N171" i="54"/>
  <c r="B226" i="50"/>
  <c r="O179" i="50"/>
  <c r="J162" i="50"/>
  <c r="J160" i="50"/>
  <c r="J161" i="50"/>
  <c r="R161" i="50" s="1"/>
  <c r="H23" i="38" s="1"/>
  <c r="N23" i="38" s="1"/>
  <c r="N170" i="53"/>
  <c r="N174" i="54"/>
  <c r="B208" i="56"/>
  <c r="O171" i="56"/>
  <c r="B226" i="52"/>
  <c r="O179" i="52"/>
  <c r="O172" i="56"/>
  <c r="B209" i="56"/>
  <c r="B209" i="50"/>
  <c r="O172" i="50"/>
  <c r="B227" i="48"/>
  <c r="O180" i="48"/>
  <c r="J161" i="49"/>
  <c r="R161" i="49" s="1"/>
  <c r="H22" i="38" s="1"/>
  <c r="N22" i="38" s="1"/>
  <c r="J160" i="49"/>
  <c r="J162" i="49"/>
  <c r="B209" i="53"/>
  <c r="O172" i="53"/>
  <c r="B207" i="55"/>
  <c r="O170" i="55"/>
  <c r="N174" i="56"/>
  <c r="B216" i="49"/>
  <c r="N177" i="49"/>
  <c r="B219" i="49" s="1"/>
  <c r="F207" i="49"/>
  <c r="H207" i="49"/>
  <c r="J207" i="49"/>
  <c r="E207" i="49"/>
  <c r="D207" i="49"/>
  <c r="L207" i="49"/>
  <c r="K207" i="49"/>
  <c r="C207" i="49"/>
  <c r="I207" i="49"/>
  <c r="G207" i="49"/>
  <c r="B226" i="57"/>
  <c r="O179" i="57"/>
  <c r="B209" i="52"/>
  <c r="O172" i="52"/>
  <c r="J164" i="48"/>
  <c r="R164" i="48" s="1"/>
  <c r="I21" i="38" s="1"/>
  <c r="O21" i="38" s="1"/>
  <c r="J165" i="48"/>
  <c r="J163" i="48"/>
  <c r="N175" i="55"/>
  <c r="B217" i="55" s="1"/>
  <c r="J217" i="55" s="1"/>
  <c r="N180" i="54"/>
  <c r="N176" i="57"/>
  <c r="B218" i="57" s="1"/>
  <c r="H218" i="57" s="1"/>
  <c r="N180" i="57"/>
  <c r="N181" i="57" s="1"/>
  <c r="N180" i="50"/>
  <c r="N180" i="56"/>
  <c r="B216" i="51"/>
  <c r="F216" i="51" s="1"/>
  <c r="B208" i="49"/>
  <c r="O171" i="49"/>
  <c r="H207" i="48"/>
  <c r="J207" i="48"/>
  <c r="C207" i="48"/>
  <c r="D207" i="48"/>
  <c r="F207" i="48"/>
  <c r="K207" i="48"/>
  <c r="L207" i="48"/>
  <c r="I207" i="48"/>
  <c r="E207" i="48"/>
  <c r="G207" i="48"/>
  <c r="B207" i="47"/>
  <c r="N173" i="47"/>
  <c r="O170" i="47"/>
  <c r="B216" i="47"/>
  <c r="E216" i="47" s="1"/>
  <c r="N177" i="47"/>
  <c r="B219" i="47" s="1"/>
  <c r="B209" i="47"/>
  <c r="O172" i="47"/>
  <c r="E226" i="47"/>
  <c r="D226" i="47"/>
  <c r="L226" i="47"/>
  <c r="K226" i="47"/>
  <c r="F226" i="47"/>
  <c r="G226" i="47"/>
  <c r="J226" i="47"/>
  <c r="H226" i="47"/>
  <c r="C226" i="47"/>
  <c r="I226" i="47"/>
  <c r="I219" i="47"/>
  <c r="E218" i="47"/>
  <c r="I217" i="47"/>
  <c r="F190" i="47"/>
  <c r="H189" i="47"/>
  <c r="O176" i="47"/>
  <c r="H219" i="47"/>
  <c r="L218" i="47"/>
  <c r="D218" i="47"/>
  <c r="H217" i="47"/>
  <c r="D216" i="47"/>
  <c r="E190" i="47"/>
  <c r="G189" i="47"/>
  <c r="G219" i="47"/>
  <c r="K218" i="47"/>
  <c r="C218" i="47"/>
  <c r="G217" i="47"/>
  <c r="K216" i="47"/>
  <c r="C216" i="47"/>
  <c r="L190" i="47"/>
  <c r="D190" i="47"/>
  <c r="F189" i="47"/>
  <c r="O177" i="47"/>
  <c r="F219" i="47"/>
  <c r="J218" i="47"/>
  <c r="F217" i="47"/>
  <c r="J216" i="47"/>
  <c r="K190" i="47"/>
  <c r="C190" i="47"/>
  <c r="E189" i="47"/>
  <c r="E219" i="47"/>
  <c r="I218" i="47"/>
  <c r="E217" i="47"/>
  <c r="I216" i="47"/>
  <c r="J190" i="47"/>
  <c r="L189" i="47"/>
  <c r="D189" i="47"/>
  <c r="O174" i="47"/>
  <c r="L219" i="47"/>
  <c r="D219" i="47"/>
  <c r="H218" i="47"/>
  <c r="L217" i="47"/>
  <c r="D217" i="47"/>
  <c r="H216" i="47"/>
  <c r="I190" i="47"/>
  <c r="K189" i="47"/>
  <c r="C189" i="47"/>
  <c r="J217" i="47"/>
  <c r="K219" i="47"/>
  <c r="C217" i="47"/>
  <c r="J219" i="47"/>
  <c r="C219" i="47"/>
  <c r="G216" i="47"/>
  <c r="H190" i="47"/>
  <c r="K217" i="47"/>
  <c r="F216" i="47"/>
  <c r="G190" i="47"/>
  <c r="G218" i="47"/>
  <c r="J189" i="47"/>
  <c r="F218" i="47"/>
  <c r="I189" i="47"/>
  <c r="O175" i="47"/>
  <c r="I227" i="47"/>
  <c r="H227" i="47"/>
  <c r="J227" i="47"/>
  <c r="G227" i="47"/>
  <c r="C227" i="47"/>
  <c r="F227" i="47"/>
  <c r="K227" i="47"/>
  <c r="D227" i="47"/>
  <c r="L227" i="47"/>
  <c r="E227" i="47"/>
  <c r="N178" i="47"/>
  <c r="B208" i="47"/>
  <c r="O171" i="47"/>
  <c r="F220" i="47"/>
  <c r="J199" i="47"/>
  <c r="L198" i="47"/>
  <c r="D198" i="47"/>
  <c r="E220" i="47"/>
  <c r="I199" i="47"/>
  <c r="K198" i="47"/>
  <c r="C198" i="47"/>
  <c r="L220" i="47"/>
  <c r="D220" i="47"/>
  <c r="H199" i="47"/>
  <c r="J198" i="47"/>
  <c r="K220" i="47"/>
  <c r="C220" i="47"/>
  <c r="G199" i="47"/>
  <c r="I198" i="47"/>
  <c r="J220" i="47"/>
  <c r="F199" i="47"/>
  <c r="H198" i="47"/>
  <c r="I220" i="47"/>
  <c r="E199" i="47"/>
  <c r="G198" i="47"/>
  <c r="G220" i="47"/>
  <c r="E198" i="47"/>
  <c r="F198" i="47"/>
  <c r="L199" i="47"/>
  <c r="K199" i="47"/>
  <c r="D199" i="47"/>
  <c r="H220" i="47"/>
  <c r="C199" i="47"/>
  <c r="F220" i="45"/>
  <c r="E220" i="45"/>
  <c r="G220" i="45"/>
  <c r="H199" i="45"/>
  <c r="J198" i="45"/>
  <c r="D220" i="45"/>
  <c r="G199" i="45"/>
  <c r="I198" i="45"/>
  <c r="C220" i="45"/>
  <c r="L220" i="45"/>
  <c r="E199" i="45"/>
  <c r="G198" i="45"/>
  <c r="K220" i="45"/>
  <c r="L199" i="45"/>
  <c r="D199" i="45"/>
  <c r="F198" i="45"/>
  <c r="H220" i="45"/>
  <c r="J199" i="45"/>
  <c r="D198" i="45"/>
  <c r="K199" i="45"/>
  <c r="I199" i="45"/>
  <c r="C198" i="45"/>
  <c r="F199" i="45"/>
  <c r="C199" i="45"/>
  <c r="J220" i="45"/>
  <c r="E198" i="45"/>
  <c r="L198" i="45"/>
  <c r="K198" i="45"/>
  <c r="H198" i="45"/>
  <c r="I220" i="45"/>
  <c r="F220" i="46"/>
  <c r="J199" i="46"/>
  <c r="L198" i="46"/>
  <c r="D198" i="46"/>
  <c r="E220" i="46"/>
  <c r="I199" i="46"/>
  <c r="K198" i="46"/>
  <c r="C198" i="46"/>
  <c r="L220" i="46"/>
  <c r="D220" i="46"/>
  <c r="H199" i="46"/>
  <c r="J198" i="46"/>
  <c r="K220" i="46"/>
  <c r="C220" i="46"/>
  <c r="G199" i="46"/>
  <c r="I198" i="46"/>
  <c r="H220" i="46"/>
  <c r="L199" i="46"/>
  <c r="D199" i="46"/>
  <c r="F198" i="46"/>
  <c r="C199" i="46"/>
  <c r="H198" i="46"/>
  <c r="G198" i="46"/>
  <c r="E198" i="46"/>
  <c r="E199" i="46"/>
  <c r="K199" i="46"/>
  <c r="I220" i="46"/>
  <c r="G220" i="46"/>
  <c r="F199" i="46"/>
  <c r="J220" i="46"/>
  <c r="B226" i="45"/>
  <c r="O179" i="45"/>
  <c r="K218" i="45"/>
  <c r="C218" i="45"/>
  <c r="G217" i="45"/>
  <c r="L190" i="45"/>
  <c r="D190" i="45"/>
  <c r="F189" i="45"/>
  <c r="J218" i="45"/>
  <c r="F217" i="45"/>
  <c r="K190" i="45"/>
  <c r="C190" i="45"/>
  <c r="E189" i="45"/>
  <c r="I218" i="45"/>
  <c r="E217" i="45"/>
  <c r="H218" i="45"/>
  <c r="L217" i="45"/>
  <c r="D217" i="45"/>
  <c r="I190" i="45"/>
  <c r="K189" i="45"/>
  <c r="C189" i="45"/>
  <c r="G218" i="45"/>
  <c r="K217" i="45"/>
  <c r="C217" i="45"/>
  <c r="H190" i="45"/>
  <c r="J189" i="45"/>
  <c r="O175" i="45"/>
  <c r="E218" i="45"/>
  <c r="F190" i="45"/>
  <c r="G189" i="45"/>
  <c r="G190" i="45"/>
  <c r="D218" i="45"/>
  <c r="E190" i="45"/>
  <c r="L218" i="45"/>
  <c r="J190" i="45"/>
  <c r="J217" i="45"/>
  <c r="L189" i="45"/>
  <c r="F218" i="45"/>
  <c r="I217" i="45"/>
  <c r="I189" i="45"/>
  <c r="O176" i="45"/>
  <c r="H217" i="45"/>
  <c r="H189" i="45"/>
  <c r="D189" i="45"/>
  <c r="N181" i="45"/>
  <c r="B225" i="45"/>
  <c r="O178" i="45"/>
  <c r="B208" i="45"/>
  <c r="O171" i="45"/>
  <c r="N174" i="45"/>
  <c r="O174" i="45" s="1"/>
  <c r="B209" i="46"/>
  <c r="O172" i="46"/>
  <c r="N174" i="46"/>
  <c r="O174" i="46" s="1"/>
  <c r="L226" i="46"/>
  <c r="G226" i="46"/>
  <c r="F226" i="46"/>
  <c r="D226" i="46"/>
  <c r="H226" i="46"/>
  <c r="E226" i="46"/>
  <c r="J226" i="46"/>
  <c r="C226" i="46"/>
  <c r="I226" i="46"/>
  <c r="K226" i="46"/>
  <c r="B207" i="46"/>
  <c r="N173" i="46"/>
  <c r="O170" i="46"/>
  <c r="E218" i="46"/>
  <c r="I217" i="46"/>
  <c r="F190" i="46"/>
  <c r="H189" i="46"/>
  <c r="O176" i="46"/>
  <c r="L218" i="46"/>
  <c r="D218" i="46"/>
  <c r="H217" i="46"/>
  <c r="E190" i="46"/>
  <c r="G189" i="46"/>
  <c r="K218" i="46"/>
  <c r="C218" i="46"/>
  <c r="G217" i="46"/>
  <c r="L190" i="46"/>
  <c r="D190" i="46"/>
  <c r="F189" i="46"/>
  <c r="J218" i="46"/>
  <c r="F217" i="46"/>
  <c r="K190" i="46"/>
  <c r="C190" i="46"/>
  <c r="E189" i="46"/>
  <c r="G218" i="46"/>
  <c r="K217" i="46"/>
  <c r="C217" i="46"/>
  <c r="H190" i="46"/>
  <c r="J189" i="46"/>
  <c r="O175" i="46"/>
  <c r="F218" i="46"/>
  <c r="I189" i="46"/>
  <c r="D189" i="46"/>
  <c r="L217" i="46"/>
  <c r="C189" i="46"/>
  <c r="J217" i="46"/>
  <c r="J190" i="46"/>
  <c r="E217" i="46"/>
  <c r="I190" i="46"/>
  <c r="I218" i="46"/>
  <c r="H218" i="46"/>
  <c r="D217" i="46"/>
  <c r="G190" i="46"/>
  <c r="K189" i="46"/>
  <c r="L189" i="46"/>
  <c r="F227" i="45"/>
  <c r="J227" i="45"/>
  <c r="E227" i="45"/>
  <c r="C227" i="45"/>
  <c r="H227" i="45"/>
  <c r="G227" i="45"/>
  <c r="K227" i="45"/>
  <c r="D227" i="45"/>
  <c r="L227" i="45"/>
  <c r="I227" i="45"/>
  <c r="N181" i="46"/>
  <c r="B225" i="46"/>
  <c r="O178" i="46"/>
  <c r="K227" i="46"/>
  <c r="J227" i="46"/>
  <c r="C227" i="46"/>
  <c r="H227" i="46"/>
  <c r="F227" i="46"/>
  <c r="D227" i="46"/>
  <c r="L227" i="46"/>
  <c r="I227" i="46"/>
  <c r="G227" i="46"/>
  <c r="E227" i="46"/>
  <c r="B208" i="46"/>
  <c r="O171" i="46"/>
  <c r="N170" i="45"/>
  <c r="B209" i="45"/>
  <c r="O172" i="45"/>
  <c r="N170" i="44"/>
  <c r="B209" i="44"/>
  <c r="N180" i="44"/>
  <c r="N176" i="44"/>
  <c r="B218" i="44" s="1"/>
  <c r="N174" i="44"/>
  <c r="F220" i="44"/>
  <c r="J199" i="44"/>
  <c r="L198" i="44"/>
  <c r="D198" i="44"/>
  <c r="H198" i="44"/>
  <c r="I220" i="44"/>
  <c r="E220" i="44"/>
  <c r="I199" i="44"/>
  <c r="K198" i="44"/>
  <c r="C198" i="44"/>
  <c r="F199" i="44"/>
  <c r="L220" i="44"/>
  <c r="D220" i="44"/>
  <c r="H199" i="44"/>
  <c r="J198" i="44"/>
  <c r="K220" i="44"/>
  <c r="C220" i="44"/>
  <c r="G199" i="44"/>
  <c r="I198" i="44"/>
  <c r="H220" i="44"/>
  <c r="L199" i="44"/>
  <c r="D199" i="44"/>
  <c r="F198" i="44"/>
  <c r="G220" i="44"/>
  <c r="K199" i="44"/>
  <c r="C199" i="44"/>
  <c r="E198" i="44"/>
  <c r="J220" i="44"/>
  <c r="E199" i="44"/>
  <c r="G198" i="44"/>
  <c r="N178" i="44"/>
  <c r="B226" i="44"/>
  <c r="O179" i="44"/>
  <c r="J161" i="44"/>
  <c r="R161" i="44" s="1"/>
  <c r="H17" i="38" s="1"/>
  <c r="N17" i="38" s="1"/>
  <c r="J160" i="44"/>
  <c r="J162" i="44"/>
  <c r="C208" i="44"/>
  <c r="F208" i="44"/>
  <c r="H208" i="44"/>
  <c r="L208" i="44"/>
  <c r="G208" i="44"/>
  <c r="B216" i="43"/>
  <c r="N177" i="43"/>
  <c r="B219" i="43" s="1"/>
  <c r="N172" i="43"/>
  <c r="J161" i="43"/>
  <c r="R161" i="43" s="1"/>
  <c r="H16" i="38" s="1"/>
  <c r="N16" i="38" s="1"/>
  <c r="J160" i="43"/>
  <c r="J162" i="43"/>
  <c r="N170" i="43"/>
  <c r="N180" i="43"/>
  <c r="B225" i="43"/>
  <c r="O178" i="43"/>
  <c r="B208" i="43"/>
  <c r="O171" i="43"/>
  <c r="R164" i="43"/>
  <c r="I16" i="38" s="1"/>
  <c r="O16" i="38" s="1"/>
  <c r="F226" i="43"/>
  <c r="J226" i="43"/>
  <c r="I226" i="43"/>
  <c r="C226" i="43"/>
  <c r="K226" i="43"/>
  <c r="G226" i="43"/>
  <c r="H226" i="43"/>
  <c r="D226" i="43"/>
  <c r="E226" i="43"/>
  <c r="L226" i="43"/>
  <c r="B209" i="42"/>
  <c r="O172" i="42"/>
  <c r="E218" i="42"/>
  <c r="I217" i="42"/>
  <c r="E216" i="42"/>
  <c r="F190" i="42"/>
  <c r="H189" i="42"/>
  <c r="O176" i="42"/>
  <c r="L218" i="42"/>
  <c r="D218" i="42"/>
  <c r="H217" i="42"/>
  <c r="L216" i="42"/>
  <c r="D216" i="42"/>
  <c r="E190" i="42"/>
  <c r="G189" i="42"/>
  <c r="D217" i="42"/>
  <c r="K189" i="42"/>
  <c r="K218" i="42"/>
  <c r="C218" i="42"/>
  <c r="G217" i="42"/>
  <c r="K216" i="42"/>
  <c r="C216" i="42"/>
  <c r="L190" i="42"/>
  <c r="D190" i="42"/>
  <c r="F189" i="42"/>
  <c r="H216" i="42"/>
  <c r="J218" i="42"/>
  <c r="F217" i="42"/>
  <c r="J216" i="42"/>
  <c r="K190" i="42"/>
  <c r="C190" i="42"/>
  <c r="E189" i="42"/>
  <c r="L217" i="42"/>
  <c r="C189" i="42"/>
  <c r="I218" i="42"/>
  <c r="E217" i="42"/>
  <c r="I216" i="42"/>
  <c r="J190" i="42"/>
  <c r="L189" i="42"/>
  <c r="D189" i="42"/>
  <c r="O174" i="42"/>
  <c r="H218" i="42"/>
  <c r="I190" i="42"/>
  <c r="G218" i="42"/>
  <c r="K217" i="42"/>
  <c r="C217" i="42"/>
  <c r="G216" i="42"/>
  <c r="H190" i="42"/>
  <c r="J189" i="42"/>
  <c r="O175" i="42"/>
  <c r="F218" i="42"/>
  <c r="J217" i="42"/>
  <c r="G190" i="42"/>
  <c r="I189" i="42"/>
  <c r="F216" i="42"/>
  <c r="F220" i="42"/>
  <c r="J199" i="42"/>
  <c r="L198" i="42"/>
  <c r="D198" i="42"/>
  <c r="E199" i="42"/>
  <c r="E220" i="42"/>
  <c r="I199" i="42"/>
  <c r="K198" i="42"/>
  <c r="C198" i="42"/>
  <c r="I220" i="42"/>
  <c r="L220" i="42"/>
  <c r="D220" i="42"/>
  <c r="H199" i="42"/>
  <c r="J198" i="42"/>
  <c r="K220" i="42"/>
  <c r="C220" i="42"/>
  <c r="G199" i="42"/>
  <c r="I198" i="42"/>
  <c r="G198" i="42"/>
  <c r="J220" i="42"/>
  <c r="F199" i="42"/>
  <c r="H198" i="42"/>
  <c r="H220" i="42"/>
  <c r="L199" i="42"/>
  <c r="D199" i="42"/>
  <c r="F198" i="42"/>
  <c r="G220" i="42"/>
  <c r="E198" i="42"/>
  <c r="K199" i="42"/>
  <c r="C199" i="42"/>
  <c r="B208" i="42"/>
  <c r="O171" i="42"/>
  <c r="N173" i="42"/>
  <c r="N177" i="42"/>
  <c r="B219" i="42" s="1"/>
  <c r="F219" i="42" s="1"/>
  <c r="B226" i="42"/>
  <c r="O179" i="42"/>
  <c r="B225" i="42"/>
  <c r="O178" i="42"/>
  <c r="N180" i="42"/>
  <c r="N181" i="42" s="1"/>
  <c r="N181" i="41"/>
  <c r="B225" i="41"/>
  <c r="O178" i="41"/>
  <c r="B216" i="41"/>
  <c r="N177" i="41"/>
  <c r="B219" i="41" s="1"/>
  <c r="I219" i="41" s="1"/>
  <c r="B207" i="41"/>
  <c r="O170" i="41"/>
  <c r="N172" i="41"/>
  <c r="F220" i="41"/>
  <c r="J199" i="41"/>
  <c r="L198" i="41"/>
  <c r="D198" i="41"/>
  <c r="E220" i="41"/>
  <c r="I199" i="41"/>
  <c r="K198" i="41"/>
  <c r="C198" i="41"/>
  <c r="L220" i="41"/>
  <c r="D220" i="41"/>
  <c r="H199" i="41"/>
  <c r="J198" i="41"/>
  <c r="K220" i="41"/>
  <c r="C220" i="41"/>
  <c r="G199" i="41"/>
  <c r="I198" i="41"/>
  <c r="H220" i="41"/>
  <c r="J220" i="41"/>
  <c r="F199" i="41"/>
  <c r="H198" i="41"/>
  <c r="I220" i="41"/>
  <c r="E199" i="41"/>
  <c r="G198" i="41"/>
  <c r="D199" i="41"/>
  <c r="C199" i="41"/>
  <c r="L199" i="41"/>
  <c r="F198" i="41"/>
  <c r="G220" i="41"/>
  <c r="E198" i="41"/>
  <c r="K199" i="41"/>
  <c r="B227" i="41"/>
  <c r="O180" i="41"/>
  <c r="N171" i="41"/>
  <c r="N173" i="41" s="1"/>
  <c r="E218" i="41"/>
  <c r="I217" i="41"/>
  <c r="E216" i="41"/>
  <c r="F190" i="41"/>
  <c r="H189" i="41"/>
  <c r="O176" i="41"/>
  <c r="H219" i="41"/>
  <c r="L218" i="41"/>
  <c r="D218" i="41"/>
  <c r="H217" i="41"/>
  <c r="L216" i="41"/>
  <c r="D216" i="41"/>
  <c r="E190" i="41"/>
  <c r="G189" i="41"/>
  <c r="G218" i="41"/>
  <c r="K218" i="41"/>
  <c r="C218" i="41"/>
  <c r="G217" i="41"/>
  <c r="K216" i="41"/>
  <c r="C216" i="41"/>
  <c r="L190" i="41"/>
  <c r="D190" i="41"/>
  <c r="F189" i="41"/>
  <c r="J218" i="41"/>
  <c r="F217" i="41"/>
  <c r="J216" i="41"/>
  <c r="K190" i="41"/>
  <c r="C190" i="41"/>
  <c r="E189" i="41"/>
  <c r="K217" i="41"/>
  <c r="I218" i="41"/>
  <c r="E217" i="41"/>
  <c r="I216" i="41"/>
  <c r="J190" i="41"/>
  <c r="L189" i="41"/>
  <c r="D189" i="41"/>
  <c r="O174" i="41"/>
  <c r="G216" i="41"/>
  <c r="L219" i="41"/>
  <c r="H218" i="41"/>
  <c r="L217" i="41"/>
  <c r="D217" i="41"/>
  <c r="H216" i="41"/>
  <c r="I190" i="41"/>
  <c r="K189" i="41"/>
  <c r="C189" i="41"/>
  <c r="C217" i="41"/>
  <c r="J189" i="41"/>
  <c r="F216" i="41"/>
  <c r="I189" i="41"/>
  <c r="O175" i="41"/>
  <c r="J217" i="41"/>
  <c r="J219" i="41"/>
  <c r="F218" i="41"/>
  <c r="H190" i="41"/>
  <c r="G190" i="41"/>
  <c r="B226" i="40"/>
  <c r="O179" i="40"/>
  <c r="R161" i="40"/>
  <c r="H13" i="38" s="1"/>
  <c r="N13" i="38" s="1"/>
  <c r="O171" i="40"/>
  <c r="N176" i="40"/>
  <c r="B218" i="40" s="1"/>
  <c r="N178" i="40"/>
  <c r="N174" i="40"/>
  <c r="N180" i="40"/>
  <c r="J161" i="40"/>
  <c r="J160" i="40"/>
  <c r="J162" i="40"/>
  <c r="B209" i="40"/>
  <c r="J163" i="40"/>
  <c r="J164" i="40"/>
  <c r="R164" i="40" s="1"/>
  <c r="I13" i="38" s="1"/>
  <c r="O13" i="38" s="1"/>
  <c r="J165" i="40"/>
  <c r="N170" i="40"/>
  <c r="B216" i="39"/>
  <c r="D216" i="39" s="1"/>
  <c r="N173" i="39"/>
  <c r="B207" i="39"/>
  <c r="O170" i="39"/>
  <c r="I217" i="39"/>
  <c r="E216" i="39"/>
  <c r="F190" i="39"/>
  <c r="H189" i="39"/>
  <c r="H217" i="39"/>
  <c r="L216" i="39"/>
  <c r="F217" i="39"/>
  <c r="K190" i="39"/>
  <c r="C190" i="39"/>
  <c r="E189" i="39"/>
  <c r="L217" i="39"/>
  <c r="D217" i="39"/>
  <c r="H216" i="39"/>
  <c r="I190" i="39"/>
  <c r="K189" i="39"/>
  <c r="C189" i="39"/>
  <c r="K217" i="39"/>
  <c r="C217" i="39"/>
  <c r="G216" i="39"/>
  <c r="H190" i="39"/>
  <c r="J189" i="39"/>
  <c r="O175" i="39"/>
  <c r="I189" i="39"/>
  <c r="J217" i="39"/>
  <c r="F216" i="39"/>
  <c r="G190" i="39"/>
  <c r="E217" i="39"/>
  <c r="L189" i="39"/>
  <c r="G189" i="39"/>
  <c r="I216" i="39"/>
  <c r="F189" i="39"/>
  <c r="C216" i="39"/>
  <c r="D189" i="39"/>
  <c r="D190" i="39"/>
  <c r="O174" i="39"/>
  <c r="L190" i="39"/>
  <c r="J190" i="39"/>
  <c r="E190" i="39"/>
  <c r="G217" i="39"/>
  <c r="B225" i="39"/>
  <c r="O178" i="39"/>
  <c r="B226" i="39"/>
  <c r="O179" i="39"/>
  <c r="N180" i="39"/>
  <c r="N181" i="39" s="1"/>
  <c r="N176" i="39"/>
  <c r="B218" i="39" s="1"/>
  <c r="C218" i="39" s="1"/>
  <c r="F220" i="39"/>
  <c r="J199" i="39"/>
  <c r="L198" i="39"/>
  <c r="D198" i="39"/>
  <c r="E220" i="39"/>
  <c r="K220" i="39"/>
  <c r="C220" i="39"/>
  <c r="G199" i="39"/>
  <c r="I198" i="39"/>
  <c r="I220" i="39"/>
  <c r="E199" i="39"/>
  <c r="G198" i="39"/>
  <c r="H220" i="39"/>
  <c r="L199" i="39"/>
  <c r="D199" i="39"/>
  <c r="F198" i="39"/>
  <c r="G220" i="39"/>
  <c r="K199" i="39"/>
  <c r="C199" i="39"/>
  <c r="E198" i="39"/>
  <c r="F199" i="39"/>
  <c r="K198" i="39"/>
  <c r="J198" i="39"/>
  <c r="H198" i="39"/>
  <c r="C198" i="39"/>
  <c r="H199" i="39"/>
  <c r="L220" i="39"/>
  <c r="J220" i="39"/>
  <c r="I199" i="39"/>
  <c r="D220" i="39"/>
  <c r="B209" i="39"/>
  <c r="O172" i="39"/>
  <c r="E6" i="17"/>
  <c r="G179" i="17"/>
  <c r="G180" i="17"/>
  <c r="G181" i="17"/>
  <c r="G178" i="17"/>
  <c r="F179" i="17"/>
  <c r="F180" i="17"/>
  <c r="F181" i="17"/>
  <c r="F178" i="17"/>
  <c r="G177" i="17"/>
  <c r="G175" i="17"/>
  <c r="G176" i="17"/>
  <c r="G174" i="17"/>
  <c r="F175" i="17"/>
  <c r="F176" i="17"/>
  <c r="F177" i="17"/>
  <c r="F174" i="17"/>
  <c r="G171" i="17"/>
  <c r="G172" i="17"/>
  <c r="G173" i="17"/>
  <c r="G170" i="17"/>
  <c r="F171" i="17"/>
  <c r="F172" i="17"/>
  <c r="F173" i="17"/>
  <c r="F170" i="17"/>
  <c r="E174" i="17"/>
  <c r="E175" i="17"/>
  <c r="E176" i="17"/>
  <c r="E177" i="17"/>
  <c r="E178" i="17"/>
  <c r="E179" i="17"/>
  <c r="E180" i="17"/>
  <c r="E181" i="17"/>
  <c r="E171" i="17"/>
  <c r="E172" i="17"/>
  <c r="E173" i="17"/>
  <c r="E170" i="17"/>
  <c r="C217" i="57" l="1"/>
  <c r="O175" i="57"/>
  <c r="I217" i="57"/>
  <c r="J217" i="57"/>
  <c r="L217" i="57"/>
  <c r="E217" i="57"/>
  <c r="G216" i="57"/>
  <c r="J216" i="57"/>
  <c r="C216" i="57"/>
  <c r="D216" i="57"/>
  <c r="N173" i="57"/>
  <c r="D217" i="56"/>
  <c r="I217" i="56"/>
  <c r="F218" i="55"/>
  <c r="I218" i="55"/>
  <c r="O176" i="53"/>
  <c r="L218" i="53"/>
  <c r="C218" i="51"/>
  <c r="J218" i="51"/>
  <c r="N177" i="51"/>
  <c r="B219" i="51" s="1"/>
  <c r="D219" i="51" s="1"/>
  <c r="K218" i="51"/>
  <c r="D218" i="51"/>
  <c r="E218" i="51"/>
  <c r="O172" i="51"/>
  <c r="N173" i="51"/>
  <c r="B210" i="51" s="1"/>
  <c r="J217" i="51"/>
  <c r="O170" i="50"/>
  <c r="B210" i="49"/>
  <c r="O173" i="49"/>
  <c r="L218" i="48"/>
  <c r="F218" i="48"/>
  <c r="I218" i="48"/>
  <c r="C218" i="48"/>
  <c r="E218" i="48"/>
  <c r="I217" i="48"/>
  <c r="E217" i="48"/>
  <c r="G217" i="48"/>
  <c r="I208" i="44"/>
  <c r="J208" i="44"/>
  <c r="E208" i="44"/>
  <c r="D208" i="44"/>
  <c r="M208" i="44" s="1"/>
  <c r="O170" i="42"/>
  <c r="B207" i="42"/>
  <c r="L219" i="42"/>
  <c r="O177" i="42"/>
  <c r="K219" i="41"/>
  <c r="F219" i="41"/>
  <c r="E219" i="41"/>
  <c r="C219" i="41"/>
  <c r="D219" i="41"/>
  <c r="O177" i="41"/>
  <c r="G219" i="41"/>
  <c r="H226" i="41"/>
  <c r="G226" i="41"/>
  <c r="E226" i="41"/>
  <c r="I226" i="41"/>
  <c r="K226" i="41"/>
  <c r="D226" i="41"/>
  <c r="F226" i="41"/>
  <c r="J226" i="41"/>
  <c r="L226" i="41"/>
  <c r="C226" i="41"/>
  <c r="O179" i="41"/>
  <c r="O171" i="39"/>
  <c r="I218" i="39"/>
  <c r="M219" i="47"/>
  <c r="G221" i="41"/>
  <c r="M220" i="49"/>
  <c r="E221" i="47"/>
  <c r="M220" i="47"/>
  <c r="G221" i="47"/>
  <c r="M227" i="45"/>
  <c r="M220" i="44"/>
  <c r="M217" i="42"/>
  <c r="M218" i="42"/>
  <c r="L221" i="41"/>
  <c r="E221" i="41"/>
  <c r="L220" i="48"/>
  <c r="D220" i="48"/>
  <c r="H199" i="48"/>
  <c r="J198" i="48"/>
  <c r="I198" i="48"/>
  <c r="K220" i="48"/>
  <c r="C220" i="48"/>
  <c r="G199" i="48"/>
  <c r="J220" i="48"/>
  <c r="F199" i="48"/>
  <c r="H198" i="48"/>
  <c r="I220" i="48"/>
  <c r="E199" i="48"/>
  <c r="G198" i="48"/>
  <c r="H220" i="48"/>
  <c r="L199" i="48"/>
  <c r="D199" i="48"/>
  <c r="F198" i="48"/>
  <c r="G220" i="48"/>
  <c r="K199" i="48"/>
  <c r="C199" i="48"/>
  <c r="E198" i="48"/>
  <c r="F220" i="48"/>
  <c r="J199" i="48"/>
  <c r="L198" i="48"/>
  <c r="D198" i="48"/>
  <c r="E220" i="48"/>
  <c r="C198" i="48"/>
  <c r="I199" i="48"/>
  <c r="K198" i="48"/>
  <c r="G219" i="50"/>
  <c r="K218" i="50"/>
  <c r="C218" i="50"/>
  <c r="G217" i="50"/>
  <c r="K216" i="50"/>
  <c r="C216" i="50"/>
  <c r="L190" i="50"/>
  <c r="D190" i="50"/>
  <c r="F189" i="50"/>
  <c r="O177" i="50"/>
  <c r="F219" i="50"/>
  <c r="J218" i="50"/>
  <c r="F217" i="50"/>
  <c r="J216" i="50"/>
  <c r="K190" i="50"/>
  <c r="C190" i="50"/>
  <c r="E189" i="50"/>
  <c r="E219" i="50"/>
  <c r="I218" i="50"/>
  <c r="E217" i="50"/>
  <c r="I216" i="50"/>
  <c r="J190" i="50"/>
  <c r="L189" i="50"/>
  <c r="D189" i="50"/>
  <c r="O174" i="50"/>
  <c r="L219" i="50"/>
  <c r="D219" i="50"/>
  <c r="H218" i="50"/>
  <c r="L217" i="50"/>
  <c r="D217" i="50"/>
  <c r="H216" i="50"/>
  <c r="J219" i="50"/>
  <c r="F218" i="50"/>
  <c r="J217" i="50"/>
  <c r="F216" i="50"/>
  <c r="G190" i="50"/>
  <c r="I189" i="50"/>
  <c r="I219" i="50"/>
  <c r="E218" i="50"/>
  <c r="I217" i="50"/>
  <c r="E216" i="50"/>
  <c r="F190" i="50"/>
  <c r="H189" i="50"/>
  <c r="O176" i="50"/>
  <c r="K217" i="50"/>
  <c r="H190" i="50"/>
  <c r="O175" i="50"/>
  <c r="H217" i="50"/>
  <c r="E190" i="50"/>
  <c r="K219" i="50"/>
  <c r="C217" i="50"/>
  <c r="K189" i="50"/>
  <c r="H219" i="50"/>
  <c r="L216" i="50"/>
  <c r="J189" i="50"/>
  <c r="C219" i="50"/>
  <c r="G216" i="50"/>
  <c r="G189" i="50"/>
  <c r="L218" i="50"/>
  <c r="D216" i="50"/>
  <c r="C189" i="50"/>
  <c r="D218" i="50"/>
  <c r="I190" i="50"/>
  <c r="G218" i="50"/>
  <c r="B210" i="57"/>
  <c r="O173" i="57"/>
  <c r="L219" i="51"/>
  <c r="M207" i="48"/>
  <c r="B227" i="50"/>
  <c r="O180" i="50"/>
  <c r="N177" i="56"/>
  <c r="B216" i="56"/>
  <c r="I219" i="49"/>
  <c r="E218" i="49"/>
  <c r="I217" i="49"/>
  <c r="E216" i="49"/>
  <c r="H219" i="49"/>
  <c r="L218" i="49"/>
  <c r="D218" i="49"/>
  <c r="H217" i="49"/>
  <c r="L216" i="49"/>
  <c r="D216" i="49"/>
  <c r="E190" i="49"/>
  <c r="G189" i="49"/>
  <c r="G219" i="49"/>
  <c r="K218" i="49"/>
  <c r="C218" i="49"/>
  <c r="G217" i="49"/>
  <c r="K216" i="49"/>
  <c r="C216" i="49"/>
  <c r="K219" i="49"/>
  <c r="C219" i="49"/>
  <c r="G218" i="49"/>
  <c r="K217" i="49"/>
  <c r="C217" i="49"/>
  <c r="G216" i="49"/>
  <c r="H190" i="49"/>
  <c r="J189" i="49"/>
  <c r="I218" i="49"/>
  <c r="E217" i="49"/>
  <c r="F190" i="49"/>
  <c r="E189" i="49"/>
  <c r="O174" i="49"/>
  <c r="L219" i="49"/>
  <c r="H218" i="49"/>
  <c r="D217" i="49"/>
  <c r="D190" i="49"/>
  <c r="D189" i="49"/>
  <c r="J219" i="49"/>
  <c r="F218" i="49"/>
  <c r="C190" i="49"/>
  <c r="C189" i="49"/>
  <c r="O175" i="49"/>
  <c r="F219" i="49"/>
  <c r="J216" i="49"/>
  <c r="L190" i="49"/>
  <c r="L189" i="49"/>
  <c r="E219" i="49"/>
  <c r="I216" i="49"/>
  <c r="K190" i="49"/>
  <c r="K189" i="49"/>
  <c r="O176" i="49"/>
  <c r="J218" i="49"/>
  <c r="D219" i="49"/>
  <c r="L217" i="49"/>
  <c r="H216" i="49"/>
  <c r="J190" i="49"/>
  <c r="I189" i="49"/>
  <c r="J217" i="49"/>
  <c r="F216" i="49"/>
  <c r="I190" i="49"/>
  <c r="H189" i="49"/>
  <c r="O177" i="49"/>
  <c r="F217" i="49"/>
  <c r="G190" i="49"/>
  <c r="F189" i="49"/>
  <c r="G226" i="52"/>
  <c r="F226" i="52"/>
  <c r="L226" i="52"/>
  <c r="K226" i="52"/>
  <c r="D226" i="52"/>
  <c r="C226" i="52"/>
  <c r="H226" i="52"/>
  <c r="E226" i="52"/>
  <c r="I226" i="52"/>
  <c r="J226" i="52"/>
  <c r="E226" i="48"/>
  <c r="L226" i="48"/>
  <c r="I226" i="48"/>
  <c r="G226" i="48"/>
  <c r="F226" i="48"/>
  <c r="D226" i="48"/>
  <c r="K226" i="48"/>
  <c r="H226" i="48"/>
  <c r="C226" i="48"/>
  <c r="J226" i="48"/>
  <c r="N177" i="48"/>
  <c r="I227" i="53"/>
  <c r="G227" i="53"/>
  <c r="E227" i="53"/>
  <c r="H227" i="53"/>
  <c r="C227" i="53"/>
  <c r="J227" i="53"/>
  <c r="F227" i="53"/>
  <c r="L227" i="53"/>
  <c r="D227" i="53"/>
  <c r="K227" i="53"/>
  <c r="L225" i="57"/>
  <c r="D225" i="57"/>
  <c r="H225" i="57"/>
  <c r="J225" i="57"/>
  <c r="I225" i="57"/>
  <c r="C225" i="57"/>
  <c r="K225" i="57"/>
  <c r="E225" i="57"/>
  <c r="G225" i="57"/>
  <c r="F225" i="57"/>
  <c r="J225" i="56"/>
  <c r="G225" i="56"/>
  <c r="K225" i="56"/>
  <c r="L225" i="56"/>
  <c r="E225" i="56"/>
  <c r="H225" i="56"/>
  <c r="C225" i="56"/>
  <c r="D225" i="56"/>
  <c r="F225" i="56"/>
  <c r="I225" i="56"/>
  <c r="B228" i="53"/>
  <c r="O181" i="53"/>
  <c r="M216" i="52"/>
  <c r="F218" i="52"/>
  <c r="C218" i="52"/>
  <c r="D218" i="52"/>
  <c r="M220" i="54"/>
  <c r="F218" i="57"/>
  <c r="K216" i="57"/>
  <c r="L216" i="57"/>
  <c r="E216" i="57"/>
  <c r="H209" i="48"/>
  <c r="J209" i="48"/>
  <c r="E209" i="48"/>
  <c r="G209" i="48"/>
  <c r="F209" i="48"/>
  <c r="C209" i="48"/>
  <c r="D209" i="48"/>
  <c r="I209" i="48"/>
  <c r="K209" i="48"/>
  <c r="L209" i="48"/>
  <c r="D217" i="55"/>
  <c r="H217" i="55"/>
  <c r="O175" i="48"/>
  <c r="M218" i="48"/>
  <c r="M217" i="53"/>
  <c r="H218" i="53"/>
  <c r="C218" i="53"/>
  <c r="O177" i="51"/>
  <c r="I216" i="51"/>
  <c r="C219" i="51"/>
  <c r="J216" i="51"/>
  <c r="M220" i="56"/>
  <c r="F225" i="52"/>
  <c r="J225" i="52"/>
  <c r="C225" i="52"/>
  <c r="H225" i="52"/>
  <c r="G225" i="52"/>
  <c r="L225" i="52"/>
  <c r="D225" i="52"/>
  <c r="I225" i="52"/>
  <c r="K225" i="52"/>
  <c r="E225" i="52"/>
  <c r="J209" i="49"/>
  <c r="E209" i="49"/>
  <c r="G209" i="49"/>
  <c r="K209" i="49"/>
  <c r="F209" i="49"/>
  <c r="C209" i="49"/>
  <c r="I209" i="49"/>
  <c r="H209" i="49"/>
  <c r="D209" i="49"/>
  <c r="L209" i="49"/>
  <c r="G219" i="51"/>
  <c r="H219" i="51"/>
  <c r="B210" i="48"/>
  <c r="O173" i="48"/>
  <c r="B227" i="57"/>
  <c r="O180" i="57"/>
  <c r="L209" i="52"/>
  <c r="D209" i="52"/>
  <c r="J209" i="52"/>
  <c r="H209" i="52"/>
  <c r="G209" i="52"/>
  <c r="K209" i="52"/>
  <c r="C209" i="52"/>
  <c r="F209" i="52"/>
  <c r="E209" i="52"/>
  <c r="I209" i="52"/>
  <c r="J226" i="50"/>
  <c r="E226" i="50"/>
  <c r="L226" i="50"/>
  <c r="D226" i="50"/>
  <c r="K226" i="50"/>
  <c r="C226" i="50"/>
  <c r="I226" i="50"/>
  <c r="H226" i="50"/>
  <c r="G226" i="50"/>
  <c r="F226" i="50"/>
  <c r="M225" i="49"/>
  <c r="B217" i="52"/>
  <c r="N177" i="52"/>
  <c r="B228" i="49"/>
  <c r="O181" i="49"/>
  <c r="F225" i="53"/>
  <c r="L225" i="53"/>
  <c r="D225" i="53"/>
  <c r="I225" i="53"/>
  <c r="C225" i="53"/>
  <c r="G225" i="53"/>
  <c r="E225" i="53"/>
  <c r="K225" i="53"/>
  <c r="H225" i="53"/>
  <c r="J225" i="53"/>
  <c r="M225" i="50"/>
  <c r="K218" i="52"/>
  <c r="L218" i="52"/>
  <c r="M217" i="57"/>
  <c r="J218" i="57"/>
  <c r="C217" i="55"/>
  <c r="L217" i="55"/>
  <c r="D218" i="55"/>
  <c r="K218" i="53"/>
  <c r="F218" i="53"/>
  <c r="E219" i="51"/>
  <c r="J219" i="51"/>
  <c r="K219" i="51"/>
  <c r="F217" i="51"/>
  <c r="F217" i="56"/>
  <c r="C217" i="56"/>
  <c r="B228" i="52"/>
  <c r="O181" i="52"/>
  <c r="B210" i="55"/>
  <c r="O173" i="55"/>
  <c r="K227" i="48"/>
  <c r="H227" i="48"/>
  <c r="E227" i="48"/>
  <c r="L227" i="48"/>
  <c r="C227" i="48"/>
  <c r="J227" i="48"/>
  <c r="G227" i="48"/>
  <c r="D227" i="48"/>
  <c r="F227" i="48"/>
  <c r="I227" i="48"/>
  <c r="L208" i="56"/>
  <c r="D208" i="56"/>
  <c r="F208" i="56"/>
  <c r="J208" i="56"/>
  <c r="G208" i="56"/>
  <c r="K208" i="56"/>
  <c r="I208" i="56"/>
  <c r="H208" i="56"/>
  <c r="C208" i="56"/>
  <c r="E208" i="56"/>
  <c r="B208" i="54"/>
  <c r="O171" i="54"/>
  <c r="B208" i="52"/>
  <c r="O171" i="52"/>
  <c r="N177" i="57"/>
  <c r="L207" i="57"/>
  <c r="E207" i="57"/>
  <c r="D207" i="57"/>
  <c r="K207" i="57"/>
  <c r="I207" i="57"/>
  <c r="C207" i="57"/>
  <c r="J207" i="57"/>
  <c r="G207" i="57"/>
  <c r="F207" i="57"/>
  <c r="H207" i="57"/>
  <c r="M220" i="55"/>
  <c r="J208" i="50"/>
  <c r="I208" i="50"/>
  <c r="F208" i="50"/>
  <c r="G208" i="50"/>
  <c r="H208" i="50"/>
  <c r="C208" i="50"/>
  <c r="D208" i="50"/>
  <c r="K208" i="50"/>
  <c r="L208" i="50"/>
  <c r="E208" i="50"/>
  <c r="C218" i="57"/>
  <c r="D218" i="57"/>
  <c r="E218" i="57"/>
  <c r="I217" i="55"/>
  <c r="K217" i="55"/>
  <c r="H218" i="55"/>
  <c r="G217" i="55"/>
  <c r="L218" i="55"/>
  <c r="D210" i="49"/>
  <c r="F210" i="49"/>
  <c r="I210" i="49"/>
  <c r="K210" i="49"/>
  <c r="C210" i="49"/>
  <c r="G210" i="49"/>
  <c r="E210" i="49"/>
  <c r="J210" i="49"/>
  <c r="L210" i="49"/>
  <c r="H210" i="49"/>
  <c r="G226" i="54"/>
  <c r="J226" i="54"/>
  <c r="F226" i="54"/>
  <c r="H226" i="54"/>
  <c r="K226" i="54"/>
  <c r="C226" i="54"/>
  <c r="I226" i="54"/>
  <c r="E226" i="54"/>
  <c r="L226" i="54"/>
  <c r="D226" i="54"/>
  <c r="H226" i="53"/>
  <c r="E226" i="53"/>
  <c r="K226" i="53"/>
  <c r="C226" i="53"/>
  <c r="I226" i="53"/>
  <c r="L226" i="53"/>
  <c r="G226" i="53"/>
  <c r="D226" i="53"/>
  <c r="F226" i="53"/>
  <c r="J226" i="53"/>
  <c r="G218" i="53"/>
  <c r="D216" i="51"/>
  <c r="E216" i="51"/>
  <c r="H216" i="51"/>
  <c r="F207" i="50"/>
  <c r="E207" i="50"/>
  <c r="J207" i="50"/>
  <c r="G207" i="50"/>
  <c r="H207" i="50"/>
  <c r="I207" i="50"/>
  <c r="C207" i="50"/>
  <c r="D207" i="50"/>
  <c r="K207" i="50"/>
  <c r="L207" i="50"/>
  <c r="J217" i="56"/>
  <c r="K217" i="56"/>
  <c r="E217" i="56"/>
  <c r="B227" i="56"/>
  <c r="O180" i="56"/>
  <c r="L208" i="48"/>
  <c r="D208" i="48"/>
  <c r="F208" i="48"/>
  <c r="K208" i="48"/>
  <c r="J208" i="48"/>
  <c r="G208" i="48"/>
  <c r="H208" i="48"/>
  <c r="E208" i="48"/>
  <c r="I208" i="48"/>
  <c r="C208" i="48"/>
  <c r="H226" i="57"/>
  <c r="L226" i="57"/>
  <c r="F226" i="57"/>
  <c r="E226" i="57"/>
  <c r="D226" i="57"/>
  <c r="J226" i="57"/>
  <c r="G226" i="57"/>
  <c r="I226" i="57"/>
  <c r="C226" i="57"/>
  <c r="K226" i="57"/>
  <c r="H207" i="55"/>
  <c r="I207" i="55"/>
  <c r="F207" i="55"/>
  <c r="L207" i="55"/>
  <c r="D207" i="55"/>
  <c r="E207" i="55"/>
  <c r="K207" i="55"/>
  <c r="C207" i="55"/>
  <c r="G207" i="55"/>
  <c r="J207" i="55"/>
  <c r="N177" i="54"/>
  <c r="B219" i="54" s="1"/>
  <c r="I219" i="54" s="1"/>
  <c r="B216" i="54"/>
  <c r="G216" i="54" s="1"/>
  <c r="B209" i="54"/>
  <c r="O172" i="54"/>
  <c r="B226" i="55"/>
  <c r="O179" i="55"/>
  <c r="B209" i="55"/>
  <c r="O172" i="55"/>
  <c r="D226" i="49"/>
  <c r="G226" i="49"/>
  <c r="F226" i="49"/>
  <c r="I226" i="49"/>
  <c r="L226" i="49"/>
  <c r="K226" i="49"/>
  <c r="J226" i="49"/>
  <c r="C226" i="49"/>
  <c r="E226" i="49"/>
  <c r="H226" i="49"/>
  <c r="B225" i="55"/>
  <c r="N181" i="55"/>
  <c r="O178" i="55"/>
  <c r="I218" i="52"/>
  <c r="O176" i="52"/>
  <c r="H218" i="52"/>
  <c r="M220" i="51"/>
  <c r="B228" i="51"/>
  <c r="O181" i="51"/>
  <c r="F216" i="57"/>
  <c r="H216" i="57"/>
  <c r="K218" i="57"/>
  <c r="L218" i="57"/>
  <c r="G218" i="55"/>
  <c r="C218" i="55"/>
  <c r="D216" i="48"/>
  <c r="G216" i="48"/>
  <c r="J216" i="48"/>
  <c r="M220" i="57"/>
  <c r="I218" i="53"/>
  <c r="J218" i="53"/>
  <c r="N181" i="50"/>
  <c r="E217" i="51"/>
  <c r="C216" i="51"/>
  <c r="L216" i="51"/>
  <c r="I217" i="51"/>
  <c r="D217" i="51"/>
  <c r="F219" i="51"/>
  <c r="B210" i="50"/>
  <c r="O173" i="50"/>
  <c r="H217" i="56"/>
  <c r="L217" i="56"/>
  <c r="M220" i="52"/>
  <c r="N181" i="56"/>
  <c r="J218" i="52"/>
  <c r="B227" i="54"/>
  <c r="O180" i="54"/>
  <c r="J208" i="49"/>
  <c r="L208" i="49"/>
  <c r="K208" i="49"/>
  <c r="C208" i="49"/>
  <c r="F208" i="49"/>
  <c r="I208" i="49"/>
  <c r="D208" i="49"/>
  <c r="D212" i="49" s="1"/>
  <c r="G208" i="49"/>
  <c r="G212" i="49" s="1"/>
  <c r="H208" i="49"/>
  <c r="E208" i="49"/>
  <c r="F209" i="50"/>
  <c r="J209" i="50"/>
  <c r="E209" i="50"/>
  <c r="C209" i="50"/>
  <c r="D209" i="50"/>
  <c r="K209" i="50"/>
  <c r="L209" i="50"/>
  <c r="G209" i="50"/>
  <c r="H209" i="50"/>
  <c r="I209" i="50"/>
  <c r="N173" i="53"/>
  <c r="B207" i="53"/>
  <c r="O170" i="53"/>
  <c r="B208" i="51"/>
  <c r="O171" i="51"/>
  <c r="I225" i="48"/>
  <c r="F225" i="48"/>
  <c r="E225" i="48"/>
  <c r="K225" i="48"/>
  <c r="J225" i="48"/>
  <c r="H225" i="48"/>
  <c r="L225" i="48"/>
  <c r="C225" i="48"/>
  <c r="G225" i="48"/>
  <c r="D225" i="48"/>
  <c r="O175" i="52"/>
  <c r="D208" i="53"/>
  <c r="F208" i="53"/>
  <c r="C208" i="53"/>
  <c r="E208" i="53"/>
  <c r="I208" i="53"/>
  <c r="K208" i="53"/>
  <c r="L208" i="53"/>
  <c r="H208" i="53"/>
  <c r="J208" i="53"/>
  <c r="G208" i="53"/>
  <c r="G218" i="57"/>
  <c r="F217" i="55"/>
  <c r="K218" i="55"/>
  <c r="L216" i="48"/>
  <c r="F216" i="48"/>
  <c r="C217" i="48"/>
  <c r="H216" i="48"/>
  <c r="F217" i="48"/>
  <c r="G209" i="51"/>
  <c r="H209" i="51"/>
  <c r="D209" i="51"/>
  <c r="I209" i="51"/>
  <c r="E209" i="51"/>
  <c r="F209" i="51"/>
  <c r="K209" i="51"/>
  <c r="J209" i="51"/>
  <c r="C209" i="51"/>
  <c r="L209" i="51"/>
  <c r="M218" i="51"/>
  <c r="H217" i="51"/>
  <c r="G216" i="51"/>
  <c r="L217" i="51"/>
  <c r="M218" i="56"/>
  <c r="B228" i="48"/>
  <c r="O181" i="48"/>
  <c r="B226" i="56"/>
  <c r="O179" i="56"/>
  <c r="E227" i="51"/>
  <c r="D227" i="51"/>
  <c r="I227" i="51"/>
  <c r="H227" i="51"/>
  <c r="J227" i="51"/>
  <c r="K227" i="51"/>
  <c r="C227" i="51"/>
  <c r="G227" i="51"/>
  <c r="F227" i="51"/>
  <c r="L227" i="51"/>
  <c r="H227" i="52"/>
  <c r="G227" i="52"/>
  <c r="L227" i="52"/>
  <c r="D227" i="52"/>
  <c r="K227" i="52"/>
  <c r="I227" i="52"/>
  <c r="E227" i="52"/>
  <c r="F227" i="52"/>
  <c r="C227" i="52"/>
  <c r="J227" i="52"/>
  <c r="N177" i="55"/>
  <c r="B216" i="55"/>
  <c r="B210" i="56"/>
  <c r="O173" i="56"/>
  <c r="M225" i="51"/>
  <c r="E218" i="52"/>
  <c r="M220" i="53"/>
  <c r="C226" i="51"/>
  <c r="H226" i="51"/>
  <c r="E226" i="51"/>
  <c r="L226" i="51"/>
  <c r="D226" i="51"/>
  <c r="F226" i="51"/>
  <c r="G226" i="51"/>
  <c r="K226" i="51"/>
  <c r="J226" i="51"/>
  <c r="I226" i="51"/>
  <c r="I218" i="57"/>
  <c r="O176" i="57"/>
  <c r="N173" i="52"/>
  <c r="O175" i="55"/>
  <c r="H217" i="48"/>
  <c r="J217" i="48"/>
  <c r="K217" i="48"/>
  <c r="D217" i="48"/>
  <c r="C216" i="48"/>
  <c r="E218" i="53"/>
  <c r="M220" i="50"/>
  <c r="O175" i="51"/>
  <c r="I219" i="51"/>
  <c r="C217" i="51"/>
  <c r="N181" i="54"/>
  <c r="L208" i="55"/>
  <c r="J208" i="55"/>
  <c r="H208" i="55"/>
  <c r="D208" i="55"/>
  <c r="E208" i="55"/>
  <c r="K208" i="55"/>
  <c r="C208" i="55"/>
  <c r="I208" i="55"/>
  <c r="G208" i="55"/>
  <c r="F208" i="55"/>
  <c r="O175" i="56"/>
  <c r="O174" i="56"/>
  <c r="B228" i="57"/>
  <c r="O181" i="57"/>
  <c r="J209" i="53"/>
  <c r="L209" i="53"/>
  <c r="E209" i="53"/>
  <c r="D209" i="53"/>
  <c r="H209" i="53"/>
  <c r="I209" i="53"/>
  <c r="K209" i="53"/>
  <c r="F209" i="53"/>
  <c r="G209" i="53"/>
  <c r="C209" i="53"/>
  <c r="F209" i="56"/>
  <c r="H209" i="56"/>
  <c r="J209" i="56"/>
  <c r="C209" i="56"/>
  <c r="G209" i="56"/>
  <c r="E209" i="56"/>
  <c r="L209" i="56"/>
  <c r="K209" i="56"/>
  <c r="D209" i="56"/>
  <c r="I209" i="56"/>
  <c r="B209" i="57"/>
  <c r="O172" i="57"/>
  <c r="F218" i="54"/>
  <c r="E218" i="54"/>
  <c r="I217" i="54"/>
  <c r="L218" i="54"/>
  <c r="D218" i="54"/>
  <c r="H217" i="54"/>
  <c r="K218" i="54"/>
  <c r="C218" i="54"/>
  <c r="G217" i="54"/>
  <c r="C216" i="54"/>
  <c r="H218" i="54"/>
  <c r="L217" i="54"/>
  <c r="D217" i="54"/>
  <c r="H216" i="54"/>
  <c r="C219" i="54"/>
  <c r="G218" i="54"/>
  <c r="K217" i="54"/>
  <c r="C217" i="54"/>
  <c r="E217" i="54"/>
  <c r="E190" i="54"/>
  <c r="G189" i="54"/>
  <c r="L190" i="54"/>
  <c r="D190" i="54"/>
  <c r="F189" i="54"/>
  <c r="J218" i="54"/>
  <c r="K190" i="54"/>
  <c r="C190" i="54"/>
  <c r="E189" i="54"/>
  <c r="I218" i="54"/>
  <c r="J190" i="54"/>
  <c r="L189" i="54"/>
  <c r="D189" i="54"/>
  <c r="O174" i="54"/>
  <c r="I190" i="54"/>
  <c r="K189" i="54"/>
  <c r="C189" i="54"/>
  <c r="J217" i="54"/>
  <c r="G190" i="54"/>
  <c r="I189" i="54"/>
  <c r="F217" i="54"/>
  <c r="F190" i="54"/>
  <c r="H189" i="54"/>
  <c r="O176" i="54"/>
  <c r="H190" i="54"/>
  <c r="J189" i="54"/>
  <c r="O175" i="54"/>
  <c r="B216" i="53"/>
  <c r="N177" i="53"/>
  <c r="M207" i="49"/>
  <c r="B227" i="55"/>
  <c r="O180" i="55"/>
  <c r="K207" i="51"/>
  <c r="C207" i="51"/>
  <c r="L207" i="51"/>
  <c r="H207" i="51"/>
  <c r="E207" i="51"/>
  <c r="D207" i="51"/>
  <c r="G207" i="51"/>
  <c r="F207" i="51"/>
  <c r="J207" i="51"/>
  <c r="I207" i="51"/>
  <c r="B207" i="54"/>
  <c r="N173" i="54"/>
  <c r="O170" i="54"/>
  <c r="B208" i="57"/>
  <c r="O171" i="57"/>
  <c r="H207" i="56"/>
  <c r="G207" i="56"/>
  <c r="L207" i="56"/>
  <c r="I207" i="56"/>
  <c r="D207" i="56"/>
  <c r="F207" i="56"/>
  <c r="J207" i="56"/>
  <c r="C207" i="56"/>
  <c r="K207" i="56"/>
  <c r="E207" i="56"/>
  <c r="H227" i="49"/>
  <c r="L227" i="49"/>
  <c r="C227" i="49"/>
  <c r="D227" i="49"/>
  <c r="J227" i="49"/>
  <c r="E227" i="49"/>
  <c r="G227" i="49"/>
  <c r="F227" i="49"/>
  <c r="K227" i="49"/>
  <c r="I227" i="49"/>
  <c r="E207" i="52"/>
  <c r="K207" i="52"/>
  <c r="I207" i="52"/>
  <c r="J207" i="52"/>
  <c r="D207" i="52"/>
  <c r="F207" i="52"/>
  <c r="H207" i="52"/>
  <c r="C207" i="52"/>
  <c r="L207" i="52"/>
  <c r="G207" i="52"/>
  <c r="O176" i="55"/>
  <c r="E218" i="55"/>
  <c r="E217" i="55"/>
  <c r="E216" i="48"/>
  <c r="I216" i="48"/>
  <c r="K216" i="51"/>
  <c r="K221" i="51" s="1"/>
  <c r="G217" i="51"/>
  <c r="H225" i="54"/>
  <c r="L225" i="54"/>
  <c r="F225" i="54"/>
  <c r="J225" i="54"/>
  <c r="K225" i="54"/>
  <c r="D225" i="54"/>
  <c r="C225" i="54"/>
  <c r="G225" i="54"/>
  <c r="E225" i="54"/>
  <c r="I225" i="54"/>
  <c r="M226" i="47"/>
  <c r="H221" i="47"/>
  <c r="M227" i="47"/>
  <c r="J221" i="47"/>
  <c r="C221" i="47"/>
  <c r="D221" i="47"/>
  <c r="E209" i="47"/>
  <c r="K209" i="47"/>
  <c r="L209" i="47"/>
  <c r="C209" i="47"/>
  <c r="I209" i="47"/>
  <c r="H209" i="47"/>
  <c r="G209" i="47"/>
  <c r="F209" i="47"/>
  <c r="D209" i="47"/>
  <c r="J209" i="47"/>
  <c r="H208" i="47"/>
  <c r="I208" i="47"/>
  <c r="G208" i="47"/>
  <c r="E208" i="47"/>
  <c r="L208" i="47"/>
  <c r="K208" i="47"/>
  <c r="J208" i="47"/>
  <c r="F208" i="47"/>
  <c r="D208" i="47"/>
  <c r="C208" i="47"/>
  <c r="M217" i="47"/>
  <c r="I221" i="47"/>
  <c r="K221" i="47"/>
  <c r="L216" i="47"/>
  <c r="L221" i="47" s="1"/>
  <c r="N181" i="47"/>
  <c r="O178" i="47"/>
  <c r="B225" i="47"/>
  <c r="F221" i="47"/>
  <c r="M218" i="47"/>
  <c r="B210" i="47"/>
  <c r="O173" i="47"/>
  <c r="E207" i="47"/>
  <c r="D207" i="47"/>
  <c r="K207" i="47"/>
  <c r="I207" i="47"/>
  <c r="F207" i="47"/>
  <c r="L207" i="47"/>
  <c r="C207" i="47"/>
  <c r="J207" i="47"/>
  <c r="H207" i="47"/>
  <c r="G207" i="47"/>
  <c r="N173" i="45"/>
  <c r="O170" i="45"/>
  <c r="B207" i="45"/>
  <c r="M218" i="46"/>
  <c r="M226" i="46"/>
  <c r="K209" i="46"/>
  <c r="E209" i="46"/>
  <c r="C209" i="46"/>
  <c r="I209" i="46"/>
  <c r="H209" i="46"/>
  <c r="G209" i="46"/>
  <c r="J209" i="46"/>
  <c r="L209" i="46"/>
  <c r="D209" i="46"/>
  <c r="F209" i="46"/>
  <c r="E226" i="45"/>
  <c r="G226" i="45"/>
  <c r="F226" i="45"/>
  <c r="I226" i="45"/>
  <c r="J226" i="45"/>
  <c r="L226" i="45"/>
  <c r="D226" i="45"/>
  <c r="H226" i="45"/>
  <c r="K226" i="45"/>
  <c r="C226" i="45"/>
  <c r="L209" i="45"/>
  <c r="F209" i="45"/>
  <c r="D209" i="45"/>
  <c r="C209" i="45"/>
  <c r="I209" i="45"/>
  <c r="H209" i="45"/>
  <c r="G209" i="45"/>
  <c r="J209" i="45"/>
  <c r="K209" i="45"/>
  <c r="E209" i="45"/>
  <c r="B228" i="46"/>
  <c r="O181" i="46"/>
  <c r="B228" i="45"/>
  <c r="O181" i="45"/>
  <c r="C208" i="46"/>
  <c r="J208" i="46"/>
  <c r="I208" i="46"/>
  <c r="G208" i="46"/>
  <c r="E208" i="46"/>
  <c r="L208" i="46"/>
  <c r="H208" i="46"/>
  <c r="F208" i="46"/>
  <c r="D208" i="46"/>
  <c r="K208" i="46"/>
  <c r="M227" i="46"/>
  <c r="B216" i="45"/>
  <c r="N177" i="45"/>
  <c r="M220" i="46"/>
  <c r="K225" i="46"/>
  <c r="J225" i="46"/>
  <c r="H225" i="46"/>
  <c r="C225" i="46"/>
  <c r="L225" i="46"/>
  <c r="G225" i="46"/>
  <c r="E225" i="46"/>
  <c r="I225" i="46"/>
  <c r="F225" i="46"/>
  <c r="D225" i="46"/>
  <c r="B210" i="46"/>
  <c r="O173" i="46"/>
  <c r="I225" i="45"/>
  <c r="H225" i="45"/>
  <c r="F225" i="45"/>
  <c r="L225" i="45"/>
  <c r="C225" i="45"/>
  <c r="J225" i="45"/>
  <c r="E225" i="45"/>
  <c r="G225" i="45"/>
  <c r="D225" i="45"/>
  <c r="K225" i="45"/>
  <c r="F207" i="46"/>
  <c r="G207" i="46"/>
  <c r="E207" i="46"/>
  <c r="L207" i="46"/>
  <c r="K207" i="46"/>
  <c r="I207" i="46"/>
  <c r="C207" i="46"/>
  <c r="J207" i="46"/>
  <c r="H207" i="46"/>
  <c r="D207" i="46"/>
  <c r="H208" i="45"/>
  <c r="G208" i="45"/>
  <c r="F208" i="45"/>
  <c r="I208" i="45"/>
  <c r="K208" i="45"/>
  <c r="L208" i="45"/>
  <c r="J208" i="45"/>
  <c r="E208" i="45"/>
  <c r="D208" i="45"/>
  <c r="C208" i="45"/>
  <c r="M218" i="45"/>
  <c r="B216" i="46"/>
  <c r="N177" i="46"/>
  <c r="M217" i="46"/>
  <c r="M217" i="45"/>
  <c r="M220" i="45"/>
  <c r="E218" i="44"/>
  <c r="I217" i="44"/>
  <c r="F190" i="44"/>
  <c r="H189" i="44"/>
  <c r="O176" i="44"/>
  <c r="E217" i="44"/>
  <c r="L218" i="44"/>
  <c r="D218" i="44"/>
  <c r="H217" i="44"/>
  <c r="E190" i="44"/>
  <c r="G189" i="44"/>
  <c r="H218" i="44"/>
  <c r="K218" i="44"/>
  <c r="C218" i="44"/>
  <c r="G217" i="44"/>
  <c r="L190" i="44"/>
  <c r="D190" i="44"/>
  <c r="F189" i="44"/>
  <c r="J190" i="44"/>
  <c r="D217" i="44"/>
  <c r="J218" i="44"/>
  <c r="F217" i="44"/>
  <c r="K190" i="44"/>
  <c r="C190" i="44"/>
  <c r="E189" i="44"/>
  <c r="I218" i="44"/>
  <c r="L217" i="44"/>
  <c r="G218" i="44"/>
  <c r="K217" i="44"/>
  <c r="C217" i="44"/>
  <c r="H190" i="44"/>
  <c r="J189" i="44"/>
  <c r="O175" i="44"/>
  <c r="L189" i="44"/>
  <c r="O174" i="44"/>
  <c r="F218" i="44"/>
  <c r="J217" i="44"/>
  <c r="G190" i="44"/>
  <c r="I189" i="44"/>
  <c r="D189" i="44"/>
  <c r="C189" i="44"/>
  <c r="K189" i="44"/>
  <c r="I190" i="44"/>
  <c r="B216" i="44"/>
  <c r="H216" i="44" s="1"/>
  <c r="N177" i="44"/>
  <c r="B219" i="44" s="1"/>
  <c r="I219" i="44" s="1"/>
  <c r="B227" i="44"/>
  <c r="O180" i="44"/>
  <c r="G226" i="44"/>
  <c r="F226" i="44"/>
  <c r="E226" i="44"/>
  <c r="I226" i="44"/>
  <c r="D226" i="44"/>
  <c r="C226" i="44"/>
  <c r="L226" i="44"/>
  <c r="H226" i="44"/>
  <c r="K226" i="44"/>
  <c r="J226" i="44"/>
  <c r="N181" i="44"/>
  <c r="O178" i="44"/>
  <c r="B225" i="44"/>
  <c r="G209" i="44"/>
  <c r="F209" i="44"/>
  <c r="J209" i="44"/>
  <c r="D209" i="44"/>
  <c r="E209" i="44"/>
  <c r="H209" i="44"/>
  <c r="I209" i="44"/>
  <c r="L209" i="44"/>
  <c r="C209" i="44"/>
  <c r="K209" i="44"/>
  <c r="B207" i="44"/>
  <c r="N173" i="44"/>
  <c r="O170" i="44"/>
  <c r="B227" i="43"/>
  <c r="O180" i="43"/>
  <c r="B207" i="43"/>
  <c r="N173" i="43"/>
  <c r="O170" i="43"/>
  <c r="F220" i="43"/>
  <c r="J199" i="43"/>
  <c r="L198" i="43"/>
  <c r="D198" i="43"/>
  <c r="E220" i="43"/>
  <c r="I199" i="43"/>
  <c r="K198" i="43"/>
  <c r="C198" i="43"/>
  <c r="E199" i="43"/>
  <c r="L220" i="43"/>
  <c r="D220" i="43"/>
  <c r="H199" i="43"/>
  <c r="J198" i="43"/>
  <c r="K220" i="43"/>
  <c r="C220" i="43"/>
  <c r="G199" i="43"/>
  <c r="I198" i="43"/>
  <c r="J220" i="43"/>
  <c r="F199" i="43"/>
  <c r="H198" i="43"/>
  <c r="H220" i="43"/>
  <c r="L199" i="43"/>
  <c r="D199" i="43"/>
  <c r="F198" i="43"/>
  <c r="I220" i="43"/>
  <c r="G198" i="43"/>
  <c r="G220" i="43"/>
  <c r="K199" i="43"/>
  <c r="C199" i="43"/>
  <c r="E198" i="43"/>
  <c r="J208" i="43"/>
  <c r="F208" i="43"/>
  <c r="C208" i="43"/>
  <c r="D208" i="43"/>
  <c r="K208" i="43"/>
  <c r="L208" i="43"/>
  <c r="E208" i="43"/>
  <c r="G208" i="43"/>
  <c r="I208" i="43"/>
  <c r="H208" i="43"/>
  <c r="I219" i="43"/>
  <c r="E218" i="43"/>
  <c r="I217" i="43"/>
  <c r="E216" i="43"/>
  <c r="F190" i="43"/>
  <c r="H189" i="43"/>
  <c r="O176" i="43"/>
  <c r="L217" i="43"/>
  <c r="H219" i="43"/>
  <c r="L218" i="43"/>
  <c r="D218" i="43"/>
  <c r="H217" i="43"/>
  <c r="L216" i="43"/>
  <c r="D216" i="43"/>
  <c r="E190" i="43"/>
  <c r="G189" i="43"/>
  <c r="H216" i="43"/>
  <c r="I190" i="43"/>
  <c r="K189" i="43"/>
  <c r="G219" i="43"/>
  <c r="K218" i="43"/>
  <c r="C218" i="43"/>
  <c r="G217" i="43"/>
  <c r="K216" i="43"/>
  <c r="C216" i="43"/>
  <c r="L190" i="43"/>
  <c r="D190" i="43"/>
  <c r="F189" i="43"/>
  <c r="O177" i="43"/>
  <c r="F219" i="43"/>
  <c r="J218" i="43"/>
  <c r="F217" i="43"/>
  <c r="J216" i="43"/>
  <c r="K190" i="43"/>
  <c r="C190" i="43"/>
  <c r="E189" i="43"/>
  <c r="E219" i="43"/>
  <c r="I218" i="43"/>
  <c r="E217" i="43"/>
  <c r="I216" i="43"/>
  <c r="J190" i="43"/>
  <c r="L189" i="43"/>
  <c r="D189" i="43"/>
  <c r="O174" i="43"/>
  <c r="H218" i="43"/>
  <c r="K219" i="43"/>
  <c r="C219" i="43"/>
  <c r="G218" i="43"/>
  <c r="K217" i="43"/>
  <c r="C217" i="43"/>
  <c r="G216" i="43"/>
  <c r="H190" i="43"/>
  <c r="J189" i="43"/>
  <c r="O175" i="43"/>
  <c r="L219" i="43"/>
  <c r="D219" i="43"/>
  <c r="D217" i="43"/>
  <c r="C189" i="43"/>
  <c r="J219" i="43"/>
  <c r="F218" i="43"/>
  <c r="J217" i="43"/>
  <c r="F216" i="43"/>
  <c r="G190" i="43"/>
  <c r="I189" i="43"/>
  <c r="B209" i="43"/>
  <c r="O172" i="43"/>
  <c r="M226" i="43"/>
  <c r="J225" i="43"/>
  <c r="E225" i="43"/>
  <c r="G225" i="43"/>
  <c r="F225" i="43"/>
  <c r="C225" i="43"/>
  <c r="D225" i="43"/>
  <c r="K225" i="43"/>
  <c r="L225" i="43"/>
  <c r="H225" i="43"/>
  <c r="I225" i="43"/>
  <c r="N181" i="43"/>
  <c r="F226" i="42"/>
  <c r="L226" i="42"/>
  <c r="D226" i="42"/>
  <c r="E226" i="42"/>
  <c r="C226" i="42"/>
  <c r="G226" i="42"/>
  <c r="K226" i="42"/>
  <c r="H226" i="42"/>
  <c r="J226" i="42"/>
  <c r="I226" i="42"/>
  <c r="J219" i="42"/>
  <c r="J221" i="42" s="1"/>
  <c r="C219" i="42"/>
  <c r="G219" i="42"/>
  <c r="G221" i="42" s="1"/>
  <c r="K219" i="42"/>
  <c r="K221" i="42" s="1"/>
  <c r="J225" i="42"/>
  <c r="H225" i="42"/>
  <c r="K225" i="42"/>
  <c r="D225" i="42"/>
  <c r="L225" i="42"/>
  <c r="F225" i="42"/>
  <c r="G225" i="42"/>
  <c r="E225" i="42"/>
  <c r="C225" i="42"/>
  <c r="I225" i="42"/>
  <c r="L221" i="42"/>
  <c r="B210" i="42"/>
  <c r="O173" i="42"/>
  <c r="H219" i="42"/>
  <c r="H221" i="42" s="1"/>
  <c r="I219" i="42"/>
  <c r="I221" i="42" s="1"/>
  <c r="B227" i="42"/>
  <c r="O180" i="42"/>
  <c r="M220" i="42"/>
  <c r="F221" i="42"/>
  <c r="E219" i="42"/>
  <c r="E221" i="42" s="1"/>
  <c r="M216" i="42"/>
  <c r="D219" i="42"/>
  <c r="D221" i="42" s="1"/>
  <c r="B228" i="42"/>
  <c r="O181" i="42"/>
  <c r="L208" i="42"/>
  <c r="K208" i="42"/>
  <c r="H208" i="42"/>
  <c r="D208" i="42"/>
  <c r="C208" i="42"/>
  <c r="I208" i="42"/>
  <c r="E208" i="42"/>
  <c r="G208" i="42"/>
  <c r="J208" i="42"/>
  <c r="F208" i="42"/>
  <c r="L209" i="42"/>
  <c r="E209" i="42"/>
  <c r="I209" i="42"/>
  <c r="K209" i="42"/>
  <c r="C209" i="42"/>
  <c r="G209" i="42"/>
  <c r="F209" i="42"/>
  <c r="H209" i="42"/>
  <c r="J209" i="42"/>
  <c r="D209" i="42"/>
  <c r="B210" i="41"/>
  <c r="O173" i="41"/>
  <c r="H221" i="41"/>
  <c r="E207" i="41"/>
  <c r="D207" i="41"/>
  <c r="C207" i="41"/>
  <c r="H207" i="41"/>
  <c r="G207" i="41"/>
  <c r="J207" i="41"/>
  <c r="K207" i="41"/>
  <c r="I207" i="41"/>
  <c r="F207" i="41"/>
  <c r="L207" i="41"/>
  <c r="F221" i="41"/>
  <c r="B208" i="41"/>
  <c r="O171" i="41"/>
  <c r="M218" i="41"/>
  <c r="J221" i="41"/>
  <c r="C221" i="41"/>
  <c r="M216" i="41"/>
  <c r="I227" i="41"/>
  <c r="H227" i="41"/>
  <c r="C227" i="41"/>
  <c r="K227" i="41"/>
  <c r="D227" i="41"/>
  <c r="L227" i="41"/>
  <c r="E227" i="41"/>
  <c r="G227" i="41"/>
  <c r="F227" i="41"/>
  <c r="J227" i="41"/>
  <c r="I225" i="41"/>
  <c r="H225" i="41"/>
  <c r="C225" i="41"/>
  <c r="J225" i="41"/>
  <c r="G225" i="41"/>
  <c r="K225" i="41"/>
  <c r="D225" i="41"/>
  <c r="F225" i="41"/>
  <c r="L225" i="41"/>
  <c r="E225" i="41"/>
  <c r="M217" i="41"/>
  <c r="M219" i="41"/>
  <c r="I221" i="41"/>
  <c r="K221" i="41"/>
  <c r="D221" i="41"/>
  <c r="M220" i="41"/>
  <c r="B209" i="41"/>
  <c r="O172" i="41"/>
  <c r="B228" i="41"/>
  <c r="O181" i="41"/>
  <c r="F220" i="40"/>
  <c r="J199" i="40"/>
  <c r="L198" i="40"/>
  <c r="D198" i="40"/>
  <c r="E220" i="40"/>
  <c r="I199" i="40"/>
  <c r="K198" i="40"/>
  <c r="C198" i="40"/>
  <c r="K199" i="40"/>
  <c r="L220" i="40"/>
  <c r="D220" i="40"/>
  <c r="H199" i="40"/>
  <c r="J198" i="40"/>
  <c r="K220" i="40"/>
  <c r="C220" i="40"/>
  <c r="G199" i="40"/>
  <c r="I198" i="40"/>
  <c r="J220" i="40"/>
  <c r="F199" i="40"/>
  <c r="H198" i="40"/>
  <c r="E198" i="40"/>
  <c r="I220" i="40"/>
  <c r="E199" i="40"/>
  <c r="G198" i="40"/>
  <c r="G220" i="40"/>
  <c r="C199" i="40"/>
  <c r="H220" i="40"/>
  <c r="L199" i="40"/>
  <c r="D199" i="40"/>
  <c r="F198" i="40"/>
  <c r="N181" i="40"/>
  <c r="B225" i="40"/>
  <c r="O178" i="40"/>
  <c r="E218" i="40"/>
  <c r="I217" i="40"/>
  <c r="F190" i="40"/>
  <c r="H189" i="40"/>
  <c r="O176" i="40"/>
  <c r="L218" i="40"/>
  <c r="D218" i="40"/>
  <c r="H217" i="40"/>
  <c r="E190" i="40"/>
  <c r="G189" i="40"/>
  <c r="K218" i="40"/>
  <c r="C218" i="40"/>
  <c r="G217" i="40"/>
  <c r="L190" i="40"/>
  <c r="D190" i="40"/>
  <c r="F189" i="40"/>
  <c r="J218" i="40"/>
  <c r="F217" i="40"/>
  <c r="K190" i="40"/>
  <c r="C190" i="40"/>
  <c r="E189" i="40"/>
  <c r="I189" i="40"/>
  <c r="I218" i="40"/>
  <c r="E217" i="40"/>
  <c r="J190" i="40"/>
  <c r="L189" i="40"/>
  <c r="D189" i="40"/>
  <c r="O174" i="40"/>
  <c r="F218" i="40"/>
  <c r="H218" i="40"/>
  <c r="L217" i="40"/>
  <c r="D217" i="40"/>
  <c r="I190" i="40"/>
  <c r="K189" i="40"/>
  <c r="C189" i="40"/>
  <c r="J217" i="40"/>
  <c r="G218" i="40"/>
  <c r="K217" i="40"/>
  <c r="C217" i="40"/>
  <c r="H190" i="40"/>
  <c r="J189" i="40"/>
  <c r="O175" i="40"/>
  <c r="G190" i="40"/>
  <c r="B216" i="40"/>
  <c r="F216" i="40" s="1"/>
  <c r="N177" i="40"/>
  <c r="B219" i="40" s="1"/>
  <c r="I219" i="40" s="1"/>
  <c r="C209" i="40"/>
  <c r="L209" i="40"/>
  <c r="E209" i="40"/>
  <c r="D209" i="40"/>
  <c r="K209" i="40"/>
  <c r="F209" i="40"/>
  <c r="J209" i="40"/>
  <c r="I209" i="40"/>
  <c r="H209" i="40"/>
  <c r="G209" i="40"/>
  <c r="J208" i="40"/>
  <c r="I208" i="40"/>
  <c r="G208" i="40"/>
  <c r="H208" i="40"/>
  <c r="F208" i="40"/>
  <c r="E208" i="40"/>
  <c r="L208" i="40"/>
  <c r="K208" i="40"/>
  <c r="D208" i="40"/>
  <c r="C208" i="40"/>
  <c r="B207" i="40"/>
  <c r="N173" i="40"/>
  <c r="O170" i="40"/>
  <c r="B227" i="40"/>
  <c r="O180" i="40"/>
  <c r="L226" i="40"/>
  <c r="D226" i="40"/>
  <c r="I226" i="40"/>
  <c r="J226" i="40"/>
  <c r="E226" i="40"/>
  <c r="F226" i="40"/>
  <c r="C226" i="40"/>
  <c r="K226" i="40"/>
  <c r="H226" i="40"/>
  <c r="G226" i="40"/>
  <c r="M217" i="39"/>
  <c r="B228" i="39"/>
  <c r="O181" i="39"/>
  <c r="F218" i="39"/>
  <c r="J216" i="39"/>
  <c r="L218" i="39"/>
  <c r="G225" i="39"/>
  <c r="H225" i="39"/>
  <c r="E225" i="39"/>
  <c r="C225" i="39"/>
  <c r="L225" i="39"/>
  <c r="I225" i="39"/>
  <c r="K225" i="39"/>
  <c r="D225" i="39"/>
  <c r="J225" i="39"/>
  <c r="F225" i="39"/>
  <c r="D218" i="39"/>
  <c r="E218" i="39"/>
  <c r="J209" i="39"/>
  <c r="K209" i="39"/>
  <c r="E209" i="39"/>
  <c r="C209" i="39"/>
  <c r="F209" i="39"/>
  <c r="L209" i="39"/>
  <c r="H209" i="39"/>
  <c r="D209" i="39"/>
  <c r="I209" i="39"/>
  <c r="G209" i="39"/>
  <c r="K216" i="39"/>
  <c r="G218" i="39"/>
  <c r="J218" i="39"/>
  <c r="H207" i="39"/>
  <c r="D207" i="39"/>
  <c r="L207" i="39"/>
  <c r="E207" i="39"/>
  <c r="J207" i="39"/>
  <c r="K207" i="39"/>
  <c r="I207" i="39"/>
  <c r="C207" i="39"/>
  <c r="F207" i="39"/>
  <c r="G207" i="39"/>
  <c r="H218" i="39"/>
  <c r="O176" i="39"/>
  <c r="F208" i="39"/>
  <c r="C208" i="39"/>
  <c r="D208" i="39"/>
  <c r="I208" i="39"/>
  <c r="E208" i="39"/>
  <c r="G208" i="39"/>
  <c r="J208" i="39"/>
  <c r="K208" i="39"/>
  <c r="L208" i="39"/>
  <c r="H208" i="39"/>
  <c r="M220" i="39"/>
  <c r="B227" i="39"/>
  <c r="O180" i="39"/>
  <c r="K218" i="39"/>
  <c r="B210" i="39"/>
  <c r="O173" i="39"/>
  <c r="N177" i="39"/>
  <c r="I226" i="39"/>
  <c r="H226" i="39"/>
  <c r="E226" i="39"/>
  <c r="K226" i="39"/>
  <c r="F226" i="39"/>
  <c r="L226" i="39"/>
  <c r="G226" i="39"/>
  <c r="C226" i="39"/>
  <c r="J226" i="39"/>
  <c r="D226" i="39"/>
  <c r="R165" i="17"/>
  <c r="F216" i="54" l="1"/>
  <c r="K216" i="54"/>
  <c r="D216" i="54"/>
  <c r="I216" i="54"/>
  <c r="M216" i="54" s="1"/>
  <c r="L216" i="54"/>
  <c r="E216" i="54"/>
  <c r="J216" i="54"/>
  <c r="O173" i="51"/>
  <c r="E212" i="49"/>
  <c r="L212" i="49"/>
  <c r="M212" i="49" s="1"/>
  <c r="H212" i="49"/>
  <c r="J212" i="49"/>
  <c r="C212" i="49"/>
  <c r="D219" i="44"/>
  <c r="J219" i="44"/>
  <c r="L219" i="44"/>
  <c r="O177" i="44"/>
  <c r="K216" i="44"/>
  <c r="G219" i="44"/>
  <c r="D216" i="44"/>
  <c r="F219" i="44"/>
  <c r="L216" i="44"/>
  <c r="L221" i="44" s="1"/>
  <c r="E216" i="44"/>
  <c r="G216" i="44"/>
  <c r="J207" i="42"/>
  <c r="L207" i="42"/>
  <c r="G207" i="42"/>
  <c r="K207" i="42"/>
  <c r="F207" i="42"/>
  <c r="H207" i="42"/>
  <c r="D207" i="42"/>
  <c r="E207" i="42"/>
  <c r="C207" i="42"/>
  <c r="I207" i="42"/>
  <c r="M226" i="41"/>
  <c r="K219" i="40"/>
  <c r="G216" i="40"/>
  <c r="C219" i="40"/>
  <c r="I216" i="40"/>
  <c r="I221" i="40" s="1"/>
  <c r="J216" i="40"/>
  <c r="D219" i="40"/>
  <c r="H219" i="40"/>
  <c r="L219" i="40"/>
  <c r="E219" i="40"/>
  <c r="F219" i="40"/>
  <c r="F221" i="40" s="1"/>
  <c r="C216" i="40"/>
  <c r="J219" i="40"/>
  <c r="K221" i="49"/>
  <c r="G221" i="50"/>
  <c r="H221" i="43"/>
  <c r="F221" i="51"/>
  <c r="H221" i="50"/>
  <c r="F212" i="49"/>
  <c r="M216" i="57"/>
  <c r="M217" i="56"/>
  <c r="M219" i="51"/>
  <c r="M226" i="51"/>
  <c r="I221" i="50"/>
  <c r="D221" i="50"/>
  <c r="I212" i="49"/>
  <c r="K212" i="49"/>
  <c r="L221" i="49"/>
  <c r="M208" i="48"/>
  <c r="M209" i="46"/>
  <c r="G221" i="43"/>
  <c r="M209" i="42"/>
  <c r="M218" i="39"/>
  <c r="M216" i="39"/>
  <c r="C221" i="54"/>
  <c r="D209" i="55"/>
  <c r="K209" i="55"/>
  <c r="G209" i="55"/>
  <c r="E209" i="55"/>
  <c r="H209" i="55"/>
  <c r="I209" i="55"/>
  <c r="J209" i="55"/>
  <c r="C209" i="55"/>
  <c r="L209" i="55"/>
  <c r="F209" i="55"/>
  <c r="D210" i="55"/>
  <c r="D212" i="55" s="1"/>
  <c r="K210" i="55"/>
  <c r="C210" i="55"/>
  <c r="E210" i="55"/>
  <c r="E212" i="55" s="1"/>
  <c r="I210" i="55"/>
  <c r="I212" i="55" s="1"/>
  <c r="L210" i="55"/>
  <c r="F210" i="55"/>
  <c r="H210" i="55"/>
  <c r="H212" i="55" s="1"/>
  <c r="J210" i="55"/>
  <c r="J212" i="55" s="1"/>
  <c r="G210" i="55"/>
  <c r="M220" i="48"/>
  <c r="M227" i="49"/>
  <c r="K216" i="53"/>
  <c r="D216" i="53"/>
  <c r="L216" i="53"/>
  <c r="C216" i="53"/>
  <c r="H216" i="53"/>
  <c r="I216" i="53"/>
  <c r="E216" i="53"/>
  <c r="J216" i="53"/>
  <c r="G216" i="53"/>
  <c r="F216" i="53"/>
  <c r="K219" i="54"/>
  <c r="K221" i="54" s="1"/>
  <c r="J219" i="54"/>
  <c r="J221" i="54" s="1"/>
  <c r="M208" i="55"/>
  <c r="M217" i="51"/>
  <c r="D216" i="55"/>
  <c r="F216" i="55"/>
  <c r="I216" i="55"/>
  <c r="G216" i="55"/>
  <c r="J216" i="55"/>
  <c r="H216" i="55"/>
  <c r="K216" i="55"/>
  <c r="C216" i="55"/>
  <c r="L216" i="55"/>
  <c r="E216" i="55"/>
  <c r="M227" i="51"/>
  <c r="K226" i="56"/>
  <c r="C226" i="56"/>
  <c r="J226" i="56"/>
  <c r="L226" i="56"/>
  <c r="G226" i="56"/>
  <c r="D226" i="56"/>
  <c r="F226" i="56"/>
  <c r="I226" i="56"/>
  <c r="E226" i="56"/>
  <c r="H226" i="56"/>
  <c r="E208" i="51"/>
  <c r="K208" i="51"/>
  <c r="L208" i="51"/>
  <c r="H208" i="51"/>
  <c r="D208" i="51"/>
  <c r="I208" i="51"/>
  <c r="C208" i="51"/>
  <c r="J208" i="51"/>
  <c r="F208" i="51"/>
  <c r="G208" i="51"/>
  <c r="L221" i="51"/>
  <c r="H221" i="51"/>
  <c r="M208" i="50"/>
  <c r="M209" i="52"/>
  <c r="L227" i="57"/>
  <c r="D227" i="57"/>
  <c r="I227" i="57"/>
  <c r="J227" i="57"/>
  <c r="H227" i="57"/>
  <c r="G227" i="57"/>
  <c r="F227" i="57"/>
  <c r="C227" i="57"/>
  <c r="K227" i="57"/>
  <c r="E227" i="57"/>
  <c r="I221" i="51"/>
  <c r="G221" i="49"/>
  <c r="E216" i="56"/>
  <c r="J216" i="56"/>
  <c r="K216" i="56"/>
  <c r="L216" i="56"/>
  <c r="H216" i="56"/>
  <c r="D216" i="56"/>
  <c r="I216" i="56"/>
  <c r="F216" i="56"/>
  <c r="C216" i="56"/>
  <c r="G216" i="56"/>
  <c r="L221" i="50"/>
  <c r="J221" i="50"/>
  <c r="C221" i="50"/>
  <c r="M216" i="50"/>
  <c r="M207" i="51"/>
  <c r="M225" i="53"/>
  <c r="M225" i="54"/>
  <c r="M207" i="52"/>
  <c r="M207" i="56"/>
  <c r="M209" i="56"/>
  <c r="H228" i="57"/>
  <c r="L228" i="57"/>
  <c r="F228" i="57"/>
  <c r="F230" i="57" s="1"/>
  <c r="E228" i="57"/>
  <c r="D228" i="57"/>
  <c r="D230" i="57" s="1"/>
  <c r="C228" i="57"/>
  <c r="K228" i="57"/>
  <c r="J228" i="57"/>
  <c r="I228" i="57"/>
  <c r="G228" i="57"/>
  <c r="B219" i="55"/>
  <c r="O177" i="55"/>
  <c r="M217" i="48"/>
  <c r="C221" i="51"/>
  <c r="M216" i="51"/>
  <c r="F228" i="51"/>
  <c r="F230" i="51" s="1"/>
  <c r="I228" i="51"/>
  <c r="I230" i="51" s="1"/>
  <c r="G228" i="51"/>
  <c r="G230" i="51" s="1"/>
  <c r="K228" i="51"/>
  <c r="K230" i="51" s="1"/>
  <c r="C228" i="51"/>
  <c r="J228" i="51"/>
  <c r="J230" i="51" s="1"/>
  <c r="H228" i="51"/>
  <c r="H230" i="51" s="1"/>
  <c r="L228" i="51"/>
  <c r="L230" i="51" s="1"/>
  <c r="E228" i="51"/>
  <c r="E230" i="51" s="1"/>
  <c r="D228" i="51"/>
  <c r="D230" i="51" s="1"/>
  <c r="B228" i="55"/>
  <c r="O181" i="55"/>
  <c r="M207" i="50"/>
  <c r="E221" i="51"/>
  <c r="M218" i="57"/>
  <c r="E208" i="54"/>
  <c r="C208" i="54"/>
  <c r="I208" i="54"/>
  <c r="H208" i="54"/>
  <c r="F208" i="54"/>
  <c r="K208" i="54"/>
  <c r="J208" i="54"/>
  <c r="G208" i="54"/>
  <c r="D208" i="54"/>
  <c r="L208" i="54"/>
  <c r="M227" i="48"/>
  <c r="M217" i="55"/>
  <c r="M218" i="52"/>
  <c r="I221" i="49"/>
  <c r="M217" i="49"/>
  <c r="M218" i="49"/>
  <c r="B219" i="56"/>
  <c r="O177" i="56"/>
  <c r="K221" i="50"/>
  <c r="D210" i="56"/>
  <c r="J210" i="56"/>
  <c r="J212" i="56" s="1"/>
  <c r="K210" i="56"/>
  <c r="K212" i="56" s="1"/>
  <c r="F210" i="56"/>
  <c r="F212" i="56" s="1"/>
  <c r="C210" i="56"/>
  <c r="C212" i="56" s="1"/>
  <c r="I210" i="56"/>
  <c r="H210" i="56"/>
  <c r="H212" i="56" s="1"/>
  <c r="L210" i="56"/>
  <c r="L212" i="56" s="1"/>
  <c r="E210" i="56"/>
  <c r="E212" i="56" s="1"/>
  <c r="G210" i="56"/>
  <c r="G212" i="56" s="1"/>
  <c r="F217" i="52"/>
  <c r="H217" i="52"/>
  <c r="K217" i="52"/>
  <c r="C217" i="52"/>
  <c r="J217" i="52"/>
  <c r="L217" i="52"/>
  <c r="I217" i="52"/>
  <c r="E217" i="52"/>
  <c r="D217" i="52"/>
  <c r="G217" i="52"/>
  <c r="H208" i="57"/>
  <c r="I208" i="57"/>
  <c r="F208" i="57"/>
  <c r="C208" i="57"/>
  <c r="D208" i="57"/>
  <c r="G208" i="57"/>
  <c r="E208" i="57"/>
  <c r="L208" i="57"/>
  <c r="J208" i="57"/>
  <c r="K208" i="57"/>
  <c r="O177" i="54"/>
  <c r="F219" i="54"/>
  <c r="F221" i="54" s="1"/>
  <c r="M218" i="54"/>
  <c r="H219" i="54"/>
  <c r="H221" i="54" s="1"/>
  <c r="D209" i="57"/>
  <c r="F209" i="57"/>
  <c r="L209" i="57"/>
  <c r="H209" i="57"/>
  <c r="K209" i="57"/>
  <c r="C209" i="57"/>
  <c r="I209" i="57"/>
  <c r="G209" i="57"/>
  <c r="E209" i="57"/>
  <c r="J209" i="57"/>
  <c r="I228" i="48"/>
  <c r="I230" i="48" s="1"/>
  <c r="H228" i="48"/>
  <c r="H230" i="48" s="1"/>
  <c r="F228" i="48"/>
  <c r="C228" i="48"/>
  <c r="C230" i="48" s="1"/>
  <c r="E228" i="48"/>
  <c r="E230" i="48" s="1"/>
  <c r="L228" i="48"/>
  <c r="L230" i="48" s="1"/>
  <c r="G228" i="48"/>
  <c r="D228" i="48"/>
  <c r="D230" i="48" s="1"/>
  <c r="K228" i="48"/>
  <c r="K230" i="48" s="1"/>
  <c r="J228" i="48"/>
  <c r="J230" i="48" s="1"/>
  <c r="G221" i="51"/>
  <c r="K207" i="53"/>
  <c r="D207" i="53"/>
  <c r="C207" i="53"/>
  <c r="H207" i="53"/>
  <c r="I207" i="53"/>
  <c r="J207" i="53"/>
  <c r="E207" i="53"/>
  <c r="L207" i="53"/>
  <c r="F207" i="53"/>
  <c r="G207" i="53"/>
  <c r="M209" i="50"/>
  <c r="M218" i="55"/>
  <c r="D225" i="55"/>
  <c r="J225" i="55"/>
  <c r="F225" i="55"/>
  <c r="K225" i="55"/>
  <c r="I225" i="55"/>
  <c r="L225" i="55"/>
  <c r="C225" i="55"/>
  <c r="H225" i="55"/>
  <c r="G225" i="55"/>
  <c r="E225" i="55"/>
  <c r="C212" i="55"/>
  <c r="M207" i="55"/>
  <c r="K227" i="56"/>
  <c r="G227" i="56"/>
  <c r="L227" i="56"/>
  <c r="H227" i="56"/>
  <c r="E227" i="56"/>
  <c r="D227" i="56"/>
  <c r="F227" i="56"/>
  <c r="I227" i="56"/>
  <c r="J227" i="56"/>
  <c r="C227" i="56"/>
  <c r="D221" i="51"/>
  <c r="M226" i="53"/>
  <c r="M226" i="54"/>
  <c r="M225" i="52"/>
  <c r="M218" i="53"/>
  <c r="M225" i="57"/>
  <c r="M226" i="52"/>
  <c r="H221" i="49"/>
  <c r="B228" i="54"/>
  <c r="O181" i="54"/>
  <c r="D227" i="55"/>
  <c r="F227" i="55"/>
  <c r="K227" i="55"/>
  <c r="L227" i="55"/>
  <c r="C227" i="55"/>
  <c r="I227" i="55"/>
  <c r="H227" i="55"/>
  <c r="G227" i="55"/>
  <c r="E227" i="55"/>
  <c r="J227" i="55"/>
  <c r="B210" i="52"/>
  <c r="O173" i="52"/>
  <c r="B210" i="53"/>
  <c r="O173" i="53"/>
  <c r="B228" i="50"/>
  <c r="O181" i="50"/>
  <c r="H226" i="55"/>
  <c r="J226" i="55"/>
  <c r="G226" i="55"/>
  <c r="L226" i="55"/>
  <c r="D226" i="55"/>
  <c r="K226" i="55"/>
  <c r="E226" i="55"/>
  <c r="C226" i="55"/>
  <c r="I226" i="55"/>
  <c r="F226" i="55"/>
  <c r="B219" i="57"/>
  <c r="O177" i="57"/>
  <c r="M208" i="56"/>
  <c r="M209" i="49"/>
  <c r="C228" i="53"/>
  <c r="C230" i="53" s="1"/>
  <c r="L228" i="53"/>
  <c r="L230" i="53" s="1"/>
  <c r="I228" i="53"/>
  <c r="I230" i="53" s="1"/>
  <c r="D228" i="53"/>
  <c r="D230" i="53" s="1"/>
  <c r="F228" i="53"/>
  <c r="F230" i="53" s="1"/>
  <c r="G228" i="53"/>
  <c r="J228" i="53"/>
  <c r="J230" i="53" s="1"/>
  <c r="H228" i="53"/>
  <c r="H230" i="53" s="1"/>
  <c r="K228" i="53"/>
  <c r="K230" i="53" s="1"/>
  <c r="E228" i="53"/>
  <c r="E230" i="53" s="1"/>
  <c r="B219" i="48"/>
  <c r="O177" i="48"/>
  <c r="M217" i="50"/>
  <c r="F221" i="50"/>
  <c r="M218" i="50"/>
  <c r="B219" i="53"/>
  <c r="O177" i="53"/>
  <c r="B228" i="56"/>
  <c r="O181" i="56"/>
  <c r="M225" i="56"/>
  <c r="D212" i="56"/>
  <c r="M217" i="54"/>
  <c r="G219" i="54"/>
  <c r="G221" i="54" s="1"/>
  <c r="C230" i="51"/>
  <c r="M227" i="52"/>
  <c r="I210" i="51"/>
  <c r="E210" i="51"/>
  <c r="J210" i="51"/>
  <c r="G210" i="51"/>
  <c r="F210" i="51"/>
  <c r="L210" i="51"/>
  <c r="L212" i="51" s="1"/>
  <c r="H210" i="51"/>
  <c r="K210" i="51"/>
  <c r="D210" i="51"/>
  <c r="C210" i="51"/>
  <c r="F230" i="48"/>
  <c r="K227" i="54"/>
  <c r="C227" i="54"/>
  <c r="F227" i="54"/>
  <c r="J227" i="54"/>
  <c r="D227" i="54"/>
  <c r="G227" i="54"/>
  <c r="E227" i="54"/>
  <c r="I227" i="54"/>
  <c r="L227" i="54"/>
  <c r="H227" i="54"/>
  <c r="J210" i="50"/>
  <c r="I210" i="50"/>
  <c r="I212" i="50" s="1"/>
  <c r="F210" i="50"/>
  <c r="F212" i="50" s="1"/>
  <c r="G210" i="50"/>
  <c r="G212" i="50" s="1"/>
  <c r="H210" i="50"/>
  <c r="H212" i="50" s="1"/>
  <c r="E210" i="50"/>
  <c r="C210" i="50"/>
  <c r="C212" i="50" s="1"/>
  <c r="D210" i="50"/>
  <c r="D212" i="50" s="1"/>
  <c r="K210" i="50"/>
  <c r="K212" i="50" s="1"/>
  <c r="L210" i="50"/>
  <c r="L212" i="50" s="1"/>
  <c r="M226" i="57"/>
  <c r="M207" i="57"/>
  <c r="C228" i="52"/>
  <c r="C230" i="52" s="1"/>
  <c r="H228" i="52"/>
  <c r="H230" i="52" s="1"/>
  <c r="G228" i="52"/>
  <c r="G230" i="52" s="1"/>
  <c r="E228" i="52"/>
  <c r="E230" i="52" s="1"/>
  <c r="I228" i="52"/>
  <c r="J228" i="52"/>
  <c r="J230" i="52" s="1"/>
  <c r="F228" i="52"/>
  <c r="F230" i="52" s="1"/>
  <c r="L228" i="52"/>
  <c r="L230" i="52" s="1"/>
  <c r="K228" i="52"/>
  <c r="K230" i="52" s="1"/>
  <c r="D228" i="52"/>
  <c r="D230" i="52" s="1"/>
  <c r="L210" i="48"/>
  <c r="L212" i="48" s="1"/>
  <c r="D210" i="48"/>
  <c r="D212" i="48" s="1"/>
  <c r="F210" i="48"/>
  <c r="F212" i="48" s="1"/>
  <c r="I210" i="48"/>
  <c r="I212" i="48" s="1"/>
  <c r="C210" i="48"/>
  <c r="C212" i="48" s="1"/>
  <c r="K210" i="48"/>
  <c r="K212" i="48" s="1"/>
  <c r="J210" i="48"/>
  <c r="J212" i="48" s="1"/>
  <c r="E210" i="48"/>
  <c r="E212" i="48" s="1"/>
  <c r="G210" i="48"/>
  <c r="G212" i="48" s="1"/>
  <c r="H210" i="48"/>
  <c r="H212" i="48" s="1"/>
  <c r="M219" i="49"/>
  <c r="E221" i="49"/>
  <c r="F227" i="50"/>
  <c r="H227" i="50"/>
  <c r="G227" i="50"/>
  <c r="L227" i="50"/>
  <c r="K227" i="50"/>
  <c r="E227" i="50"/>
  <c r="D227" i="50"/>
  <c r="C227" i="50"/>
  <c r="J227" i="50"/>
  <c r="I227" i="50"/>
  <c r="I212" i="56"/>
  <c r="B210" i="54"/>
  <c r="O173" i="54"/>
  <c r="M209" i="53"/>
  <c r="G230" i="48"/>
  <c r="M226" i="49"/>
  <c r="I209" i="54"/>
  <c r="E209" i="54"/>
  <c r="H209" i="54"/>
  <c r="D209" i="54"/>
  <c r="G209" i="54"/>
  <c r="J209" i="54"/>
  <c r="L209" i="54"/>
  <c r="K209" i="54"/>
  <c r="F209" i="54"/>
  <c r="C209" i="54"/>
  <c r="J212" i="50"/>
  <c r="M210" i="49"/>
  <c r="C208" i="52"/>
  <c r="F208" i="52"/>
  <c r="I208" i="52"/>
  <c r="H208" i="52"/>
  <c r="L208" i="52"/>
  <c r="D208" i="52"/>
  <c r="G208" i="52"/>
  <c r="J208" i="52"/>
  <c r="K208" i="52"/>
  <c r="E208" i="52"/>
  <c r="F228" i="49"/>
  <c r="F230" i="49" s="1"/>
  <c r="L228" i="49"/>
  <c r="L230" i="49" s="1"/>
  <c r="D228" i="49"/>
  <c r="D230" i="49" s="1"/>
  <c r="K228" i="49"/>
  <c r="K230" i="49" s="1"/>
  <c r="I228" i="49"/>
  <c r="I230" i="49" s="1"/>
  <c r="C228" i="49"/>
  <c r="C230" i="49" s="1"/>
  <c r="J228" i="49"/>
  <c r="J230" i="49" s="1"/>
  <c r="E228" i="49"/>
  <c r="E230" i="49" s="1"/>
  <c r="H228" i="49"/>
  <c r="H230" i="49" s="1"/>
  <c r="G228" i="49"/>
  <c r="G230" i="49" s="1"/>
  <c r="I230" i="52"/>
  <c r="M209" i="48"/>
  <c r="H230" i="57"/>
  <c r="M227" i="53"/>
  <c r="M226" i="48"/>
  <c r="J221" i="49"/>
  <c r="H210" i="57"/>
  <c r="J210" i="57"/>
  <c r="G210" i="57"/>
  <c r="K210" i="57"/>
  <c r="L210" i="57"/>
  <c r="E210" i="57"/>
  <c r="C210" i="57"/>
  <c r="F210" i="57"/>
  <c r="I210" i="57"/>
  <c r="D210" i="57"/>
  <c r="E221" i="50"/>
  <c r="H212" i="51"/>
  <c r="D219" i="54"/>
  <c r="M216" i="48"/>
  <c r="G207" i="54"/>
  <c r="D207" i="54"/>
  <c r="K207" i="54"/>
  <c r="H207" i="54"/>
  <c r="C207" i="54"/>
  <c r="E207" i="54"/>
  <c r="L207" i="54"/>
  <c r="I207" i="54"/>
  <c r="F207" i="54"/>
  <c r="J207" i="54"/>
  <c r="E219" i="54"/>
  <c r="E221" i="54" s="1"/>
  <c r="L219" i="54"/>
  <c r="L221" i="54" s="1"/>
  <c r="M209" i="51"/>
  <c r="M208" i="53"/>
  <c r="M225" i="48"/>
  <c r="M208" i="49"/>
  <c r="L212" i="55"/>
  <c r="E212" i="50"/>
  <c r="G230" i="53"/>
  <c r="B219" i="52"/>
  <c r="O177" i="52"/>
  <c r="M226" i="50"/>
  <c r="J221" i="51"/>
  <c r="F221" i="49"/>
  <c r="C221" i="49"/>
  <c r="M216" i="49"/>
  <c r="D221" i="49"/>
  <c r="M219" i="50"/>
  <c r="B228" i="47"/>
  <c r="O181" i="47"/>
  <c r="M216" i="47"/>
  <c r="M207" i="47"/>
  <c r="G210" i="47"/>
  <c r="G212" i="47" s="1"/>
  <c r="L210" i="47"/>
  <c r="L212" i="47" s="1"/>
  <c r="K210" i="47"/>
  <c r="K212" i="47" s="1"/>
  <c r="I210" i="47"/>
  <c r="I212" i="47" s="1"/>
  <c r="E210" i="47"/>
  <c r="E212" i="47" s="1"/>
  <c r="D210" i="47"/>
  <c r="D212" i="47" s="1"/>
  <c r="C210" i="47"/>
  <c r="C212" i="47" s="1"/>
  <c r="J210" i="47"/>
  <c r="J212" i="47" s="1"/>
  <c r="F210" i="47"/>
  <c r="F212" i="47" s="1"/>
  <c r="H210" i="47"/>
  <c r="H212" i="47" s="1"/>
  <c r="M221" i="47"/>
  <c r="M208" i="47"/>
  <c r="M209" i="47"/>
  <c r="I225" i="47"/>
  <c r="H225" i="47"/>
  <c r="K225" i="47"/>
  <c r="D225" i="47"/>
  <c r="F225" i="47"/>
  <c r="L225" i="47"/>
  <c r="C225" i="47"/>
  <c r="E225" i="47"/>
  <c r="J225" i="47"/>
  <c r="G225" i="47"/>
  <c r="M209" i="45"/>
  <c r="E210" i="46"/>
  <c r="E212" i="46" s="1"/>
  <c r="D210" i="46"/>
  <c r="D212" i="46" s="1"/>
  <c r="C210" i="46"/>
  <c r="C212" i="46" s="1"/>
  <c r="L210" i="46"/>
  <c r="L212" i="46" s="1"/>
  <c r="F210" i="46"/>
  <c r="F212" i="46" s="1"/>
  <c r="J210" i="46"/>
  <c r="J212" i="46" s="1"/>
  <c r="H210" i="46"/>
  <c r="H212" i="46" s="1"/>
  <c r="K210" i="46"/>
  <c r="K212" i="46" s="1"/>
  <c r="G210" i="46"/>
  <c r="G212" i="46" s="1"/>
  <c r="I210" i="46"/>
  <c r="I212" i="46" s="1"/>
  <c r="M225" i="45"/>
  <c r="E228" i="45"/>
  <c r="E230" i="45" s="1"/>
  <c r="K228" i="45"/>
  <c r="K230" i="45" s="1"/>
  <c r="F228" i="45"/>
  <c r="F230" i="45" s="1"/>
  <c r="D228" i="45"/>
  <c r="C228" i="45"/>
  <c r="C230" i="45" s="1"/>
  <c r="I228" i="45"/>
  <c r="I230" i="45" s="1"/>
  <c r="J228" i="45"/>
  <c r="J230" i="45" s="1"/>
  <c r="L228" i="45"/>
  <c r="L230" i="45" s="1"/>
  <c r="G228" i="45"/>
  <c r="G230" i="45" s="1"/>
  <c r="H228" i="45"/>
  <c r="H230" i="45" s="1"/>
  <c r="B219" i="45"/>
  <c r="O177" i="45"/>
  <c r="G228" i="46"/>
  <c r="G230" i="46" s="1"/>
  <c r="F228" i="46"/>
  <c r="F230" i="46" s="1"/>
  <c r="D228" i="46"/>
  <c r="D230" i="46" s="1"/>
  <c r="L228" i="46"/>
  <c r="E228" i="46"/>
  <c r="E230" i="46" s="1"/>
  <c r="J228" i="46"/>
  <c r="J230" i="46" s="1"/>
  <c r="H228" i="46"/>
  <c r="H230" i="46" s="1"/>
  <c r="C228" i="46"/>
  <c r="I228" i="46"/>
  <c r="I230" i="46" s="1"/>
  <c r="K228" i="46"/>
  <c r="K230" i="46" s="1"/>
  <c r="M208" i="46"/>
  <c r="M208" i="45"/>
  <c r="H216" i="45"/>
  <c r="G216" i="45"/>
  <c r="L216" i="45"/>
  <c r="K216" i="45"/>
  <c r="I216" i="45"/>
  <c r="D216" i="45"/>
  <c r="C216" i="45"/>
  <c r="J216" i="45"/>
  <c r="E216" i="45"/>
  <c r="F216" i="45"/>
  <c r="C207" i="45"/>
  <c r="G207" i="45"/>
  <c r="E207" i="45"/>
  <c r="J207" i="45"/>
  <c r="L207" i="45"/>
  <c r="D207" i="45"/>
  <c r="F207" i="45"/>
  <c r="K207" i="45"/>
  <c r="H207" i="45"/>
  <c r="I207" i="45"/>
  <c r="B219" i="46"/>
  <c r="O177" i="46"/>
  <c r="M207" i="46"/>
  <c r="D230" i="45"/>
  <c r="L230" i="46"/>
  <c r="D216" i="46"/>
  <c r="C216" i="46"/>
  <c r="J216" i="46"/>
  <c r="K216" i="46"/>
  <c r="G216" i="46"/>
  <c r="F216" i="46"/>
  <c r="H216" i="46"/>
  <c r="E216" i="46"/>
  <c r="I216" i="46"/>
  <c r="L216" i="46"/>
  <c r="C230" i="46"/>
  <c r="M225" i="46"/>
  <c r="M226" i="45"/>
  <c r="B210" i="45"/>
  <c r="O173" i="45"/>
  <c r="B210" i="44"/>
  <c r="O173" i="44"/>
  <c r="G221" i="44"/>
  <c r="M218" i="44"/>
  <c r="G207" i="44"/>
  <c r="F207" i="44"/>
  <c r="J207" i="44"/>
  <c r="D207" i="44"/>
  <c r="H207" i="44"/>
  <c r="L207" i="44"/>
  <c r="E207" i="44"/>
  <c r="I207" i="44"/>
  <c r="C207" i="44"/>
  <c r="K207" i="44"/>
  <c r="M217" i="44"/>
  <c r="M209" i="44"/>
  <c r="M226" i="44"/>
  <c r="J216" i="44"/>
  <c r="J221" i="44" s="1"/>
  <c r="D221" i="44"/>
  <c r="J225" i="44"/>
  <c r="K225" i="44"/>
  <c r="C225" i="44"/>
  <c r="H225" i="44"/>
  <c r="D225" i="44"/>
  <c r="G225" i="44"/>
  <c r="L225" i="44"/>
  <c r="E225" i="44"/>
  <c r="F225" i="44"/>
  <c r="I225" i="44"/>
  <c r="E219" i="44"/>
  <c r="E221" i="44" s="1"/>
  <c r="C219" i="44"/>
  <c r="I216" i="44"/>
  <c r="I221" i="44" s="1"/>
  <c r="H219" i="44"/>
  <c r="H221" i="44" s="1"/>
  <c r="B228" i="44"/>
  <c r="O181" i="44"/>
  <c r="C227" i="44"/>
  <c r="J227" i="44"/>
  <c r="K227" i="44"/>
  <c r="F227" i="44"/>
  <c r="I227" i="44"/>
  <c r="E227" i="44"/>
  <c r="H227" i="44"/>
  <c r="D227" i="44"/>
  <c r="G227" i="44"/>
  <c r="L227" i="44"/>
  <c r="F216" i="44"/>
  <c r="K219" i="44"/>
  <c r="C216" i="44"/>
  <c r="M217" i="43"/>
  <c r="F209" i="43"/>
  <c r="L209" i="43"/>
  <c r="E209" i="43"/>
  <c r="J209" i="43"/>
  <c r="D209" i="43"/>
  <c r="G209" i="43"/>
  <c r="H209" i="43"/>
  <c r="I209" i="43"/>
  <c r="C209" i="43"/>
  <c r="K209" i="43"/>
  <c r="J221" i="43"/>
  <c r="C221" i="43"/>
  <c r="M216" i="43"/>
  <c r="M208" i="43"/>
  <c r="M225" i="43"/>
  <c r="I221" i="43"/>
  <c r="K221" i="43"/>
  <c r="M219" i="43"/>
  <c r="M220" i="43"/>
  <c r="B210" i="43"/>
  <c r="O173" i="43"/>
  <c r="B228" i="43"/>
  <c r="O181" i="43"/>
  <c r="F221" i="43"/>
  <c r="M218" i="43"/>
  <c r="D221" i="43"/>
  <c r="F207" i="43"/>
  <c r="J207" i="43"/>
  <c r="G207" i="43"/>
  <c r="H207" i="43"/>
  <c r="C207" i="43"/>
  <c r="I207" i="43"/>
  <c r="K207" i="43"/>
  <c r="D207" i="43"/>
  <c r="L207" i="43"/>
  <c r="E207" i="43"/>
  <c r="L221" i="43"/>
  <c r="E221" i="43"/>
  <c r="J227" i="43"/>
  <c r="F227" i="43"/>
  <c r="E227" i="43"/>
  <c r="G227" i="43"/>
  <c r="C227" i="43"/>
  <c r="D227" i="43"/>
  <c r="I227" i="43"/>
  <c r="K227" i="43"/>
  <c r="L227" i="43"/>
  <c r="H227" i="43"/>
  <c r="M226" i="42"/>
  <c r="G210" i="42"/>
  <c r="G212" i="42" s="1"/>
  <c r="D210" i="42"/>
  <c r="D212" i="42" s="1"/>
  <c r="J210" i="42"/>
  <c r="J212" i="42" s="1"/>
  <c r="H210" i="42"/>
  <c r="H212" i="42" s="1"/>
  <c r="I210" i="42"/>
  <c r="I212" i="42" s="1"/>
  <c r="F210" i="42"/>
  <c r="F212" i="42" s="1"/>
  <c r="E210" i="42"/>
  <c r="L210" i="42"/>
  <c r="L212" i="42" s="1"/>
  <c r="K210" i="42"/>
  <c r="K212" i="42" s="1"/>
  <c r="C210" i="42"/>
  <c r="C212" i="42" s="1"/>
  <c r="M208" i="42"/>
  <c r="F228" i="42"/>
  <c r="L228" i="42"/>
  <c r="D228" i="42"/>
  <c r="K228" i="42"/>
  <c r="E228" i="42"/>
  <c r="C228" i="42"/>
  <c r="G228" i="42"/>
  <c r="J228" i="42"/>
  <c r="I228" i="42"/>
  <c r="H228" i="42"/>
  <c r="J227" i="42"/>
  <c r="H227" i="42"/>
  <c r="I227" i="42"/>
  <c r="G227" i="42"/>
  <c r="C227" i="42"/>
  <c r="K227" i="42"/>
  <c r="K230" i="42" s="1"/>
  <c r="D227" i="42"/>
  <c r="F227" i="42"/>
  <c r="L227" i="42"/>
  <c r="E227" i="42"/>
  <c r="E230" i="42" s="1"/>
  <c r="M219" i="42"/>
  <c r="C221" i="42"/>
  <c r="M221" i="42" s="1"/>
  <c r="M225" i="42"/>
  <c r="E228" i="41"/>
  <c r="E230" i="41" s="1"/>
  <c r="L228" i="41"/>
  <c r="L230" i="41" s="1"/>
  <c r="D228" i="41"/>
  <c r="C228" i="41"/>
  <c r="C230" i="41" s="1"/>
  <c r="J228" i="41"/>
  <c r="J230" i="41" s="1"/>
  <c r="G228" i="41"/>
  <c r="G230" i="41" s="1"/>
  <c r="K228" i="41"/>
  <c r="K230" i="41" s="1"/>
  <c r="H228" i="41"/>
  <c r="H230" i="41" s="1"/>
  <c r="I228" i="41"/>
  <c r="I230" i="41" s="1"/>
  <c r="F228" i="41"/>
  <c r="K209" i="41"/>
  <c r="E209" i="41"/>
  <c r="C209" i="41"/>
  <c r="I209" i="41"/>
  <c r="H209" i="41"/>
  <c r="G209" i="41"/>
  <c r="F209" i="41"/>
  <c r="D209" i="41"/>
  <c r="L209" i="41"/>
  <c r="J209" i="41"/>
  <c r="M227" i="41"/>
  <c r="H208" i="41"/>
  <c r="I208" i="41"/>
  <c r="G208" i="41"/>
  <c r="E208" i="41"/>
  <c r="L208" i="41"/>
  <c r="K208" i="41"/>
  <c r="J208" i="41"/>
  <c r="F208" i="41"/>
  <c r="D208" i="41"/>
  <c r="C208" i="41"/>
  <c r="M207" i="41"/>
  <c r="D230" i="41"/>
  <c r="F230" i="41"/>
  <c r="M221" i="41"/>
  <c r="M225" i="41"/>
  <c r="G210" i="41"/>
  <c r="L210" i="41"/>
  <c r="K210" i="41"/>
  <c r="E210" i="41"/>
  <c r="D210" i="41"/>
  <c r="C210" i="41"/>
  <c r="J210" i="41"/>
  <c r="F210" i="41"/>
  <c r="I210" i="41"/>
  <c r="H210" i="41"/>
  <c r="H225" i="40"/>
  <c r="I225" i="40"/>
  <c r="J225" i="40"/>
  <c r="C225" i="40"/>
  <c r="G225" i="40"/>
  <c r="E225" i="40"/>
  <c r="K225" i="40"/>
  <c r="D225" i="40"/>
  <c r="L225" i="40"/>
  <c r="F225" i="40"/>
  <c r="M208" i="40"/>
  <c r="K216" i="40"/>
  <c r="K221" i="40" s="1"/>
  <c r="B228" i="40"/>
  <c r="O181" i="40"/>
  <c r="M220" i="40"/>
  <c r="D216" i="40"/>
  <c r="D221" i="40" s="1"/>
  <c r="D207" i="40"/>
  <c r="F207" i="40"/>
  <c r="E207" i="40"/>
  <c r="K207" i="40"/>
  <c r="C207" i="40"/>
  <c r="L207" i="40"/>
  <c r="G207" i="40"/>
  <c r="J207" i="40"/>
  <c r="I207" i="40"/>
  <c r="H207" i="40"/>
  <c r="M218" i="40"/>
  <c r="L216" i="40"/>
  <c r="E216" i="40"/>
  <c r="M209" i="40"/>
  <c r="M217" i="40"/>
  <c r="O177" i="40"/>
  <c r="M226" i="40"/>
  <c r="H227" i="40"/>
  <c r="K227" i="40"/>
  <c r="D227" i="40"/>
  <c r="F227" i="40"/>
  <c r="C227" i="40"/>
  <c r="L227" i="40"/>
  <c r="E227" i="40"/>
  <c r="G227" i="40"/>
  <c r="I227" i="40"/>
  <c r="J227" i="40"/>
  <c r="H216" i="40"/>
  <c r="G219" i="40"/>
  <c r="G221" i="40" s="1"/>
  <c r="B210" i="40"/>
  <c r="O173" i="40"/>
  <c r="L227" i="39"/>
  <c r="K227" i="39"/>
  <c r="D227" i="39"/>
  <c r="C227" i="39"/>
  <c r="I227" i="39"/>
  <c r="E227" i="39"/>
  <c r="G227" i="39"/>
  <c r="J227" i="39"/>
  <c r="H227" i="39"/>
  <c r="F227" i="39"/>
  <c r="M207" i="39"/>
  <c r="M225" i="39"/>
  <c r="H228" i="39"/>
  <c r="G228" i="39"/>
  <c r="I228" i="39"/>
  <c r="E228" i="39"/>
  <c r="K228" i="39"/>
  <c r="L228" i="39"/>
  <c r="C228" i="39"/>
  <c r="F228" i="39"/>
  <c r="D228" i="39"/>
  <c r="J228" i="39"/>
  <c r="M208" i="39"/>
  <c r="M226" i="39"/>
  <c r="B219" i="39"/>
  <c r="O177" i="39"/>
  <c r="M209" i="39"/>
  <c r="E210" i="39"/>
  <c r="E212" i="39" s="1"/>
  <c r="G210" i="39"/>
  <c r="G212" i="39" s="1"/>
  <c r="I210" i="39"/>
  <c r="I212" i="39" s="1"/>
  <c r="K210" i="39"/>
  <c r="K212" i="39" s="1"/>
  <c r="F210" i="39"/>
  <c r="F212" i="39" s="1"/>
  <c r="L210" i="39"/>
  <c r="L212" i="39" s="1"/>
  <c r="J210" i="39"/>
  <c r="J212" i="39" s="1"/>
  <c r="H210" i="39"/>
  <c r="H212" i="39" s="1"/>
  <c r="C210" i="39"/>
  <c r="C212" i="39" s="1"/>
  <c r="D210" i="39"/>
  <c r="D212" i="39" s="1"/>
  <c r="D229" i="17"/>
  <c r="L229" i="17"/>
  <c r="E229" i="17"/>
  <c r="C229" i="17"/>
  <c r="F229" i="17"/>
  <c r="K229" i="17"/>
  <c r="G229" i="17"/>
  <c r="H229" i="17"/>
  <c r="I229" i="17"/>
  <c r="J229" i="17"/>
  <c r="F110" i="17"/>
  <c r="L105" i="17"/>
  <c r="N56" i="17"/>
  <c r="D105" i="17"/>
  <c r="J212" i="57" l="1"/>
  <c r="L230" i="57"/>
  <c r="G212" i="55"/>
  <c r="I221" i="54"/>
  <c r="I212" i="51"/>
  <c r="G212" i="51"/>
  <c r="F212" i="51"/>
  <c r="E212" i="51"/>
  <c r="F221" i="44"/>
  <c r="K221" i="44"/>
  <c r="E212" i="42"/>
  <c r="L230" i="42"/>
  <c r="M207" i="42"/>
  <c r="C221" i="40"/>
  <c r="L221" i="40"/>
  <c r="E221" i="40"/>
  <c r="J221" i="40"/>
  <c r="M219" i="40"/>
  <c r="H221" i="40"/>
  <c r="E230" i="39"/>
  <c r="J212" i="41"/>
  <c r="G212" i="41"/>
  <c r="I230" i="57"/>
  <c r="H230" i="39"/>
  <c r="G230" i="42"/>
  <c r="H230" i="42"/>
  <c r="J230" i="57"/>
  <c r="D212" i="57"/>
  <c r="D212" i="51"/>
  <c r="F212" i="55"/>
  <c r="K212" i="55"/>
  <c r="L212" i="41"/>
  <c r="E212" i="41"/>
  <c r="E230" i="57"/>
  <c r="F212" i="57"/>
  <c r="K230" i="57"/>
  <c r="K212" i="57"/>
  <c r="I212" i="57"/>
  <c r="M227" i="57"/>
  <c r="L212" i="57"/>
  <c r="H212" i="57"/>
  <c r="G212" i="57"/>
  <c r="G230" i="57"/>
  <c r="E212" i="57"/>
  <c r="M219" i="54"/>
  <c r="K212" i="51"/>
  <c r="J212" i="51"/>
  <c r="C212" i="51"/>
  <c r="M212" i="50"/>
  <c r="M230" i="49"/>
  <c r="M227" i="44"/>
  <c r="M227" i="43"/>
  <c r="D230" i="42"/>
  <c r="I230" i="42"/>
  <c r="F230" i="42"/>
  <c r="J230" i="42"/>
  <c r="I212" i="41"/>
  <c r="D212" i="41"/>
  <c r="H212" i="41"/>
  <c r="F212" i="41"/>
  <c r="K212" i="41"/>
  <c r="D230" i="39"/>
  <c r="J230" i="39"/>
  <c r="G230" i="39"/>
  <c r="I230" i="39"/>
  <c r="F230" i="39"/>
  <c r="K230" i="39"/>
  <c r="L230" i="39"/>
  <c r="M230" i="53"/>
  <c r="M212" i="48"/>
  <c r="M212" i="56"/>
  <c r="M230" i="52"/>
  <c r="K219" i="56"/>
  <c r="H219" i="56"/>
  <c r="H221" i="56" s="1"/>
  <c r="I219" i="56"/>
  <c r="I221" i="56" s="1"/>
  <c r="L219" i="56"/>
  <c r="F219" i="56"/>
  <c r="F221" i="56" s="1"/>
  <c r="D219" i="56"/>
  <c r="D221" i="56" s="1"/>
  <c r="C219" i="56"/>
  <c r="J219" i="56"/>
  <c r="J221" i="56" s="1"/>
  <c r="E219" i="56"/>
  <c r="E221" i="56" s="1"/>
  <c r="G219" i="56"/>
  <c r="G221" i="56" s="1"/>
  <c r="C221" i="56"/>
  <c r="M216" i="56"/>
  <c r="M216" i="53"/>
  <c r="M230" i="48"/>
  <c r="D221" i="54"/>
  <c r="M221" i="54" s="1"/>
  <c r="M227" i="50"/>
  <c r="M210" i="51"/>
  <c r="L228" i="56"/>
  <c r="L230" i="56" s="1"/>
  <c r="D228" i="56"/>
  <c r="D230" i="56" s="1"/>
  <c r="G228" i="56"/>
  <c r="G230" i="56" s="1"/>
  <c r="F228" i="56"/>
  <c r="F230" i="56" s="1"/>
  <c r="E228" i="56"/>
  <c r="E230" i="56" s="1"/>
  <c r="I228" i="56"/>
  <c r="I230" i="56" s="1"/>
  <c r="H228" i="56"/>
  <c r="H230" i="56" s="1"/>
  <c r="K228" i="56"/>
  <c r="K230" i="56" s="1"/>
  <c r="J228" i="56"/>
  <c r="J230" i="56" s="1"/>
  <c r="C228" i="56"/>
  <c r="K228" i="54"/>
  <c r="K230" i="54" s="1"/>
  <c r="C228" i="54"/>
  <c r="C230" i="54" s="1"/>
  <c r="H228" i="54"/>
  <c r="H230" i="54" s="1"/>
  <c r="L228" i="54"/>
  <c r="L230" i="54" s="1"/>
  <c r="I228" i="54"/>
  <c r="I230" i="54" s="1"/>
  <c r="E228" i="54"/>
  <c r="E230" i="54" s="1"/>
  <c r="G228" i="54"/>
  <c r="G230" i="54" s="1"/>
  <c r="D228" i="54"/>
  <c r="D230" i="54" s="1"/>
  <c r="J228" i="54"/>
  <c r="J230" i="54" s="1"/>
  <c r="F228" i="54"/>
  <c r="F230" i="54" s="1"/>
  <c r="M225" i="55"/>
  <c r="M207" i="53"/>
  <c r="M210" i="57"/>
  <c r="F219" i="48"/>
  <c r="F221" i="48" s="1"/>
  <c r="G219" i="48"/>
  <c r="G221" i="48" s="1"/>
  <c r="H219" i="48"/>
  <c r="H221" i="48" s="1"/>
  <c r="C219" i="48"/>
  <c r="E219" i="48"/>
  <c r="E221" i="48" s="1"/>
  <c r="L219" i="48"/>
  <c r="L221" i="48" s="1"/>
  <c r="I219" i="48"/>
  <c r="I221" i="48" s="1"/>
  <c r="J219" i="48"/>
  <c r="J221" i="48" s="1"/>
  <c r="D219" i="48"/>
  <c r="D221" i="48" s="1"/>
  <c r="K219" i="48"/>
  <c r="K221" i="48" s="1"/>
  <c r="M227" i="56"/>
  <c r="M209" i="55"/>
  <c r="C219" i="52"/>
  <c r="L219" i="52"/>
  <c r="D219" i="52"/>
  <c r="D221" i="52" s="1"/>
  <c r="K219" i="52"/>
  <c r="K221" i="52" s="1"/>
  <c r="F219" i="52"/>
  <c r="F221" i="52" s="1"/>
  <c r="H219" i="52"/>
  <c r="H221" i="52" s="1"/>
  <c r="G219" i="52"/>
  <c r="G221" i="52" s="1"/>
  <c r="E219" i="52"/>
  <c r="E221" i="52" s="1"/>
  <c r="J219" i="52"/>
  <c r="I219" i="52"/>
  <c r="I221" i="52" s="1"/>
  <c r="C210" i="53"/>
  <c r="C212" i="53" s="1"/>
  <c r="H210" i="53"/>
  <c r="H212" i="53" s="1"/>
  <c r="I210" i="53"/>
  <c r="D210" i="53"/>
  <c r="D212" i="53" s="1"/>
  <c r="E210" i="53"/>
  <c r="E212" i="53" s="1"/>
  <c r="L210" i="53"/>
  <c r="L212" i="53" s="1"/>
  <c r="F210" i="53"/>
  <c r="F212" i="53" s="1"/>
  <c r="K210" i="53"/>
  <c r="K212" i="53" s="1"/>
  <c r="G210" i="53"/>
  <c r="G212" i="53" s="1"/>
  <c r="J210" i="53"/>
  <c r="J212" i="53" s="1"/>
  <c r="M209" i="54"/>
  <c r="M208" i="54"/>
  <c r="M221" i="51"/>
  <c r="D210" i="54"/>
  <c r="D212" i="54" s="1"/>
  <c r="F210" i="54"/>
  <c r="F212" i="54" s="1"/>
  <c r="L210" i="54"/>
  <c r="L212" i="54" s="1"/>
  <c r="H210" i="54"/>
  <c r="H212" i="54" s="1"/>
  <c r="K210" i="54"/>
  <c r="K212" i="54" s="1"/>
  <c r="G210" i="54"/>
  <c r="G212" i="54" s="1"/>
  <c r="J210" i="54"/>
  <c r="J212" i="54" s="1"/>
  <c r="E210" i="54"/>
  <c r="E212" i="54" s="1"/>
  <c r="C210" i="54"/>
  <c r="C212" i="54" s="1"/>
  <c r="I210" i="54"/>
  <c r="I212" i="54" s="1"/>
  <c r="M230" i="51"/>
  <c r="I219" i="53"/>
  <c r="F219" i="53"/>
  <c r="F221" i="53" s="1"/>
  <c r="K219" i="53"/>
  <c r="K221" i="53" s="1"/>
  <c r="E219" i="53"/>
  <c r="E221" i="53" s="1"/>
  <c r="C219" i="53"/>
  <c r="J219" i="53"/>
  <c r="J221" i="53" s="1"/>
  <c r="G219" i="53"/>
  <c r="G221" i="53" s="1"/>
  <c r="L219" i="53"/>
  <c r="L221" i="53" s="1"/>
  <c r="D219" i="53"/>
  <c r="D221" i="53" s="1"/>
  <c r="H219" i="53"/>
  <c r="H221" i="53" s="1"/>
  <c r="K210" i="52"/>
  <c r="K212" i="52" s="1"/>
  <c r="H210" i="52"/>
  <c r="H212" i="52" s="1"/>
  <c r="C210" i="52"/>
  <c r="C212" i="52" s="1"/>
  <c r="G210" i="52"/>
  <c r="G212" i="52" s="1"/>
  <c r="J210" i="52"/>
  <c r="J212" i="52" s="1"/>
  <c r="E210" i="52"/>
  <c r="E212" i="52" s="1"/>
  <c r="I210" i="52"/>
  <c r="I212" i="52" s="1"/>
  <c r="L210" i="52"/>
  <c r="L212" i="52" s="1"/>
  <c r="D210" i="52"/>
  <c r="D212" i="52" s="1"/>
  <c r="F210" i="52"/>
  <c r="F212" i="52" s="1"/>
  <c r="L221" i="52"/>
  <c r="M228" i="51"/>
  <c r="M228" i="57"/>
  <c r="M221" i="50"/>
  <c r="M216" i="55"/>
  <c r="M228" i="52"/>
  <c r="M227" i="54"/>
  <c r="M226" i="55"/>
  <c r="M227" i="55"/>
  <c r="M228" i="48"/>
  <c r="M209" i="57"/>
  <c r="J221" i="52"/>
  <c r="L221" i="56"/>
  <c r="M210" i="55"/>
  <c r="M228" i="49"/>
  <c r="M208" i="52"/>
  <c r="M210" i="48"/>
  <c r="M210" i="50"/>
  <c r="M228" i="53"/>
  <c r="D228" i="50"/>
  <c r="D230" i="50" s="1"/>
  <c r="K228" i="50"/>
  <c r="K230" i="50" s="1"/>
  <c r="E228" i="50"/>
  <c r="E230" i="50" s="1"/>
  <c r="C228" i="50"/>
  <c r="H228" i="50"/>
  <c r="H230" i="50" s="1"/>
  <c r="G228" i="50"/>
  <c r="G230" i="50" s="1"/>
  <c r="I228" i="50"/>
  <c r="I230" i="50" s="1"/>
  <c r="F228" i="50"/>
  <c r="F230" i="50" s="1"/>
  <c r="J228" i="50"/>
  <c r="J230" i="50" s="1"/>
  <c r="L228" i="50"/>
  <c r="L230" i="50" s="1"/>
  <c r="C230" i="57"/>
  <c r="M208" i="57"/>
  <c r="M217" i="52"/>
  <c r="C221" i="52"/>
  <c r="L228" i="55"/>
  <c r="L230" i="55" s="1"/>
  <c r="D228" i="55"/>
  <c r="D230" i="55" s="1"/>
  <c r="K228" i="55"/>
  <c r="K230" i="55" s="1"/>
  <c r="C228" i="55"/>
  <c r="C230" i="55" s="1"/>
  <c r="I228" i="55"/>
  <c r="I230" i="55" s="1"/>
  <c r="E228" i="55"/>
  <c r="E230" i="55" s="1"/>
  <c r="F228" i="55"/>
  <c r="F230" i="55" s="1"/>
  <c r="H228" i="55"/>
  <c r="H230" i="55" s="1"/>
  <c r="J228" i="55"/>
  <c r="J230" i="55" s="1"/>
  <c r="G228" i="55"/>
  <c r="G230" i="55" s="1"/>
  <c r="K221" i="56"/>
  <c r="M208" i="51"/>
  <c r="I221" i="53"/>
  <c r="M207" i="54"/>
  <c r="M221" i="49"/>
  <c r="C212" i="57"/>
  <c r="E219" i="57"/>
  <c r="E221" i="57" s="1"/>
  <c r="D219" i="57"/>
  <c r="D221" i="57" s="1"/>
  <c r="K219" i="57"/>
  <c r="K221" i="57" s="1"/>
  <c r="H219" i="57"/>
  <c r="H221" i="57" s="1"/>
  <c r="G219" i="57"/>
  <c r="G221" i="57" s="1"/>
  <c r="I219" i="57"/>
  <c r="I221" i="57" s="1"/>
  <c r="F219" i="57"/>
  <c r="F221" i="57" s="1"/>
  <c r="L219" i="57"/>
  <c r="L221" i="57" s="1"/>
  <c r="C219" i="57"/>
  <c r="J219" i="57"/>
  <c r="J221" i="57" s="1"/>
  <c r="I212" i="53"/>
  <c r="M210" i="56"/>
  <c r="G219" i="55"/>
  <c r="G221" i="55" s="1"/>
  <c r="C219" i="55"/>
  <c r="C221" i="55" s="1"/>
  <c r="L219" i="55"/>
  <c r="L221" i="55" s="1"/>
  <c r="H219" i="55"/>
  <c r="H221" i="55" s="1"/>
  <c r="D219" i="55"/>
  <c r="D221" i="55" s="1"/>
  <c r="I219" i="55"/>
  <c r="I221" i="55" s="1"/>
  <c r="K219" i="55"/>
  <c r="K221" i="55" s="1"/>
  <c r="F219" i="55"/>
  <c r="F221" i="55" s="1"/>
  <c r="J219" i="55"/>
  <c r="J221" i="55" s="1"/>
  <c r="E219" i="55"/>
  <c r="E221" i="55" s="1"/>
  <c r="M226" i="56"/>
  <c r="M212" i="47"/>
  <c r="E228" i="47"/>
  <c r="E230" i="47" s="1"/>
  <c r="L228" i="47"/>
  <c r="D228" i="47"/>
  <c r="D230" i="47" s="1"/>
  <c r="K228" i="47"/>
  <c r="K230" i="47" s="1"/>
  <c r="F228" i="47"/>
  <c r="F230" i="47" s="1"/>
  <c r="C228" i="47"/>
  <c r="J228" i="47"/>
  <c r="J230" i="47" s="1"/>
  <c r="G228" i="47"/>
  <c r="G230" i="47" s="1"/>
  <c r="H228" i="47"/>
  <c r="H230" i="47" s="1"/>
  <c r="I228" i="47"/>
  <c r="I230" i="47" s="1"/>
  <c r="M225" i="47"/>
  <c r="M210" i="47"/>
  <c r="L230" i="47"/>
  <c r="M212" i="46"/>
  <c r="L219" i="46"/>
  <c r="L221" i="46" s="1"/>
  <c r="D219" i="46"/>
  <c r="D221" i="46" s="1"/>
  <c r="E219" i="46"/>
  <c r="E221" i="46" s="1"/>
  <c r="H219" i="46"/>
  <c r="H221" i="46" s="1"/>
  <c r="G219" i="46"/>
  <c r="G221" i="46" s="1"/>
  <c r="J219" i="46"/>
  <c r="I219" i="46"/>
  <c r="I221" i="46" s="1"/>
  <c r="K219" i="46"/>
  <c r="F219" i="46"/>
  <c r="F221" i="46" s="1"/>
  <c r="C219" i="46"/>
  <c r="C221" i="46" s="1"/>
  <c r="M228" i="46"/>
  <c r="M230" i="45"/>
  <c r="G210" i="45"/>
  <c r="G212" i="45" s="1"/>
  <c r="F210" i="45"/>
  <c r="F212" i="45" s="1"/>
  <c r="J210" i="45"/>
  <c r="J212" i="45" s="1"/>
  <c r="H210" i="45"/>
  <c r="H212" i="45" s="1"/>
  <c r="L210" i="45"/>
  <c r="L212" i="45" s="1"/>
  <c r="K210" i="45"/>
  <c r="E210" i="45"/>
  <c r="E212" i="45" s="1"/>
  <c r="D210" i="45"/>
  <c r="D212" i="45" s="1"/>
  <c r="C210" i="45"/>
  <c r="I210" i="45"/>
  <c r="I212" i="45" s="1"/>
  <c r="E219" i="45"/>
  <c r="E221" i="45" s="1"/>
  <c r="F219" i="45"/>
  <c r="F221" i="45" s="1"/>
  <c r="J219" i="45"/>
  <c r="J221" i="45" s="1"/>
  <c r="K219" i="45"/>
  <c r="K221" i="45" s="1"/>
  <c r="G219" i="45"/>
  <c r="G221" i="45" s="1"/>
  <c r="D219" i="45"/>
  <c r="D221" i="45" s="1"/>
  <c r="L219" i="45"/>
  <c r="L221" i="45" s="1"/>
  <c r="C219" i="45"/>
  <c r="C221" i="45" s="1"/>
  <c r="I219" i="45"/>
  <c r="I221" i="45" s="1"/>
  <c r="H219" i="45"/>
  <c r="H221" i="45" s="1"/>
  <c r="M210" i="46"/>
  <c r="M216" i="46"/>
  <c r="K221" i="46"/>
  <c r="C212" i="45"/>
  <c r="M207" i="45"/>
  <c r="M228" i="45"/>
  <c r="M216" i="45"/>
  <c r="M230" i="46"/>
  <c r="J221" i="46"/>
  <c r="K212" i="45"/>
  <c r="M207" i="44"/>
  <c r="G228" i="44"/>
  <c r="G230" i="44" s="1"/>
  <c r="F228" i="44"/>
  <c r="F230" i="44" s="1"/>
  <c r="K228" i="44"/>
  <c r="J228" i="44"/>
  <c r="J230" i="44" s="1"/>
  <c r="E228" i="44"/>
  <c r="E230" i="44" s="1"/>
  <c r="I228" i="44"/>
  <c r="I230" i="44" s="1"/>
  <c r="D228" i="44"/>
  <c r="D230" i="44" s="1"/>
  <c r="C228" i="44"/>
  <c r="L228" i="44"/>
  <c r="L230" i="44" s="1"/>
  <c r="H228" i="44"/>
  <c r="C221" i="44"/>
  <c r="M221" i="44" s="1"/>
  <c r="M216" i="44"/>
  <c r="H230" i="44"/>
  <c r="C210" i="44"/>
  <c r="K210" i="44"/>
  <c r="K212" i="44" s="1"/>
  <c r="J210" i="44"/>
  <c r="J212" i="44" s="1"/>
  <c r="F210" i="44"/>
  <c r="F212" i="44" s="1"/>
  <c r="G210" i="44"/>
  <c r="G212" i="44" s="1"/>
  <c r="H210" i="44"/>
  <c r="H212" i="44" s="1"/>
  <c r="L210" i="44"/>
  <c r="L212" i="44" s="1"/>
  <c r="I210" i="44"/>
  <c r="I212" i="44" s="1"/>
  <c r="D210" i="44"/>
  <c r="D212" i="44" s="1"/>
  <c r="E210" i="44"/>
  <c r="E212" i="44" s="1"/>
  <c r="M219" i="44"/>
  <c r="M225" i="44"/>
  <c r="K230" i="44"/>
  <c r="M221" i="43"/>
  <c r="M209" i="43"/>
  <c r="F228" i="43"/>
  <c r="F230" i="43" s="1"/>
  <c r="L228" i="43"/>
  <c r="L230" i="43" s="1"/>
  <c r="J228" i="43"/>
  <c r="J230" i="43" s="1"/>
  <c r="I228" i="43"/>
  <c r="I230" i="43" s="1"/>
  <c r="K228" i="43"/>
  <c r="K230" i="43" s="1"/>
  <c r="C228" i="43"/>
  <c r="D228" i="43"/>
  <c r="D230" i="43" s="1"/>
  <c r="E228" i="43"/>
  <c r="E230" i="43" s="1"/>
  <c r="G228" i="43"/>
  <c r="G230" i="43" s="1"/>
  <c r="H228" i="43"/>
  <c r="H230" i="43" s="1"/>
  <c r="J210" i="43"/>
  <c r="J212" i="43" s="1"/>
  <c r="H210" i="43"/>
  <c r="H212" i="43" s="1"/>
  <c r="I210" i="43"/>
  <c r="I212" i="43" s="1"/>
  <c r="F210" i="43"/>
  <c r="F212" i="43" s="1"/>
  <c r="K210" i="43"/>
  <c r="K212" i="43" s="1"/>
  <c r="L210" i="43"/>
  <c r="L212" i="43" s="1"/>
  <c r="G210" i="43"/>
  <c r="G212" i="43" s="1"/>
  <c r="C210" i="43"/>
  <c r="C212" i="43" s="1"/>
  <c r="D210" i="43"/>
  <c r="D212" i="43" s="1"/>
  <c r="E210" i="43"/>
  <c r="E212" i="43" s="1"/>
  <c r="M207" i="43"/>
  <c r="M227" i="42"/>
  <c r="M228" i="42"/>
  <c r="M210" i="42"/>
  <c r="M212" i="42"/>
  <c r="C230" i="42"/>
  <c r="M209" i="41"/>
  <c r="M230" i="41"/>
  <c r="M228" i="41"/>
  <c r="M208" i="41"/>
  <c r="M210" i="41"/>
  <c r="C212" i="41"/>
  <c r="M207" i="40"/>
  <c r="D228" i="40"/>
  <c r="D230" i="40" s="1"/>
  <c r="L228" i="40"/>
  <c r="L230" i="40" s="1"/>
  <c r="C228" i="40"/>
  <c r="C230" i="40" s="1"/>
  <c r="I228" i="40"/>
  <c r="I230" i="40" s="1"/>
  <c r="G228" i="40"/>
  <c r="G230" i="40" s="1"/>
  <c r="J228" i="40"/>
  <c r="J230" i="40" s="1"/>
  <c r="H228" i="40"/>
  <c r="H230" i="40" s="1"/>
  <c r="K228" i="40"/>
  <c r="K230" i="40" s="1"/>
  <c r="E228" i="40"/>
  <c r="E230" i="40" s="1"/>
  <c r="F228" i="40"/>
  <c r="F230" i="40" s="1"/>
  <c r="M216" i="40"/>
  <c r="M225" i="40"/>
  <c r="L210" i="40"/>
  <c r="L212" i="40" s="1"/>
  <c r="K210" i="40"/>
  <c r="K212" i="40" s="1"/>
  <c r="F210" i="40"/>
  <c r="F212" i="40" s="1"/>
  <c r="E210" i="40"/>
  <c r="E212" i="40" s="1"/>
  <c r="D210" i="40"/>
  <c r="D212" i="40" s="1"/>
  <c r="C210" i="40"/>
  <c r="H210" i="40"/>
  <c r="H212" i="40" s="1"/>
  <c r="G210" i="40"/>
  <c r="G212" i="40" s="1"/>
  <c r="J210" i="40"/>
  <c r="J212" i="40" s="1"/>
  <c r="I210" i="40"/>
  <c r="I212" i="40" s="1"/>
  <c r="M227" i="40"/>
  <c r="M212" i="39"/>
  <c r="M228" i="39"/>
  <c r="C230" i="39"/>
  <c r="L219" i="39"/>
  <c r="L221" i="39" s="1"/>
  <c r="F219" i="39"/>
  <c r="F221" i="39" s="1"/>
  <c r="D219" i="39"/>
  <c r="D221" i="39" s="1"/>
  <c r="K219" i="39"/>
  <c r="K221" i="39" s="1"/>
  <c r="C219" i="39"/>
  <c r="G219" i="39"/>
  <c r="G221" i="39" s="1"/>
  <c r="H219" i="39"/>
  <c r="H221" i="39" s="1"/>
  <c r="J219" i="39"/>
  <c r="J221" i="39" s="1"/>
  <c r="E219" i="39"/>
  <c r="E221" i="39" s="1"/>
  <c r="I219" i="39"/>
  <c r="I221" i="39" s="1"/>
  <c r="M210" i="39"/>
  <c r="M227" i="39"/>
  <c r="G118" i="17"/>
  <c r="F118" i="17"/>
  <c r="E118" i="17"/>
  <c r="M230" i="57" l="1"/>
  <c r="M221" i="40"/>
  <c r="M212" i="55"/>
  <c r="M212" i="41"/>
  <c r="M212" i="51"/>
  <c r="M212" i="57"/>
  <c r="M230" i="55"/>
  <c r="M228" i="44"/>
  <c r="M230" i="42"/>
  <c r="M210" i="40"/>
  <c r="M230" i="39"/>
  <c r="M212" i="52"/>
  <c r="M230" i="54"/>
  <c r="M219" i="55"/>
  <c r="M219" i="57"/>
  <c r="C221" i="57"/>
  <c r="M221" i="57" s="1"/>
  <c r="M210" i="53"/>
  <c r="M221" i="56"/>
  <c r="M228" i="55"/>
  <c r="M228" i="54"/>
  <c r="M228" i="50"/>
  <c r="M219" i="52"/>
  <c r="M210" i="54"/>
  <c r="M228" i="56"/>
  <c r="C230" i="56"/>
  <c r="M230" i="56" s="1"/>
  <c r="M219" i="56"/>
  <c r="M210" i="52"/>
  <c r="M219" i="53"/>
  <c r="M219" i="48"/>
  <c r="C221" i="48"/>
  <c r="M221" i="48" s="1"/>
  <c r="M221" i="52"/>
  <c r="M221" i="55"/>
  <c r="C221" i="53"/>
  <c r="M221" i="53" s="1"/>
  <c r="M212" i="54"/>
  <c r="M212" i="53"/>
  <c r="C230" i="50"/>
  <c r="M230" i="50" s="1"/>
  <c r="M228" i="47"/>
  <c r="C230" i="47"/>
  <c r="M230" i="47" s="1"/>
  <c r="M219" i="46"/>
  <c r="M221" i="45"/>
  <c r="M221" i="46"/>
  <c r="M210" i="45"/>
  <c r="M219" i="45"/>
  <c r="M212" i="45"/>
  <c r="C230" i="44"/>
  <c r="M230" i="44" s="1"/>
  <c r="M210" i="44"/>
  <c r="C212" i="44"/>
  <c r="M212" i="44" s="1"/>
  <c r="M212" i="43"/>
  <c r="M210" i="43"/>
  <c r="M228" i="43"/>
  <c r="C230" i="43"/>
  <c r="M230" i="43" s="1"/>
  <c r="C212" i="40"/>
  <c r="M212" i="40" s="1"/>
  <c r="M230" i="40"/>
  <c r="M228" i="40"/>
  <c r="M219" i="39"/>
  <c r="C221" i="39"/>
  <c r="M221" i="39" s="1"/>
  <c r="N53" i="17"/>
  <c r="N52" i="17"/>
  <c r="N51" i="17"/>
  <c r="N50" i="17"/>
  <c r="J114" i="17"/>
  <c r="G114" i="17"/>
  <c r="F114" i="17"/>
  <c r="E114" i="17"/>
  <c r="C114" i="17"/>
  <c r="D155" i="17"/>
  <c r="M155" i="17" s="1"/>
  <c r="D152" i="17"/>
  <c r="M152" i="17" s="1"/>
  <c r="F12" i="17" l="1"/>
  <c r="N46" i="17" l="1"/>
  <c r="N44" i="17"/>
  <c r="N42" i="17"/>
  <c r="N40" i="17"/>
  <c r="N34" i="17"/>
  <c r="N32" i="17"/>
  <c r="N30" i="17"/>
  <c r="N28" i="17"/>
  <c r="N26" i="17"/>
  <c r="N57" i="17"/>
  <c r="J105" i="17"/>
  <c r="J104" i="17"/>
  <c r="I105" i="17"/>
  <c r="I104" i="17"/>
  <c r="F104" i="17"/>
  <c r="D90" i="17" l="1"/>
  <c r="P12" i="38"/>
  <c r="P17" i="38" s="1"/>
  <c r="Q12" i="38"/>
  <c r="P13" i="38"/>
  <c r="P18" i="38" s="1"/>
  <c r="Q13" i="38"/>
  <c r="P14" i="38"/>
  <c r="P19" i="38" s="1"/>
  <c r="Q14" i="38"/>
  <c r="P15" i="38"/>
  <c r="P20" i="38" s="1"/>
  <c r="Q15" i="38"/>
  <c r="Q16" i="38"/>
  <c r="Q17" i="38"/>
  <c r="Q18" i="38"/>
  <c r="Q19" i="38"/>
  <c r="Q20" i="38"/>
  <c r="Q21" i="38"/>
  <c r="P22" i="38"/>
  <c r="Q22" i="38"/>
  <c r="P23" i="38"/>
  <c r="Q23" i="38"/>
  <c r="P24" i="38"/>
  <c r="Q24" i="38"/>
  <c r="P25" i="38"/>
  <c r="Q25" i="38"/>
  <c r="P26" i="38"/>
  <c r="Q26" i="38"/>
  <c r="P27" i="38"/>
  <c r="Q27" i="38"/>
  <c r="P28" i="38"/>
  <c r="Q28" i="38"/>
  <c r="P29" i="38"/>
  <c r="Q29" i="38"/>
  <c r="P30" i="38"/>
  <c r="Q30" i="38"/>
  <c r="K11" i="38" l="1"/>
  <c r="B11" i="38"/>
  <c r="J11" i="38"/>
  <c r="L31" i="38"/>
  <c r="M31" i="38"/>
  <c r="C137" i="17" l="1"/>
  <c r="E11" i="38"/>
  <c r="J174" i="17"/>
  <c r="K174" i="17"/>
  <c r="L174" i="17"/>
  <c r="I174" i="17"/>
  <c r="J175" i="17"/>
  <c r="K175" i="17"/>
  <c r="L175" i="17"/>
  <c r="I175" i="17"/>
  <c r="J176" i="17"/>
  <c r="K176" i="17"/>
  <c r="L176" i="17"/>
  <c r="I176" i="17"/>
  <c r="J177" i="17"/>
  <c r="K177" i="17"/>
  <c r="L177" i="17"/>
  <c r="I177" i="17"/>
  <c r="J178" i="17"/>
  <c r="K178" i="17"/>
  <c r="L178" i="17"/>
  <c r="I178" i="17"/>
  <c r="J179" i="17"/>
  <c r="K179" i="17"/>
  <c r="L179" i="17"/>
  <c r="I179" i="17"/>
  <c r="J180" i="17"/>
  <c r="K180" i="17"/>
  <c r="L180" i="17"/>
  <c r="I180" i="17"/>
  <c r="J181" i="17"/>
  <c r="K181" i="17"/>
  <c r="L181" i="17"/>
  <c r="I181" i="17"/>
  <c r="J171" i="17"/>
  <c r="K171" i="17"/>
  <c r="L171" i="17"/>
  <c r="J172" i="17"/>
  <c r="K172" i="17"/>
  <c r="L172" i="17"/>
  <c r="J173" i="17"/>
  <c r="K173" i="17"/>
  <c r="L173" i="17"/>
  <c r="I171" i="17"/>
  <c r="I172" i="17"/>
  <c r="I173" i="17"/>
  <c r="L170" i="17"/>
  <c r="K170" i="17"/>
  <c r="J170" i="17"/>
  <c r="I170" i="17"/>
  <c r="N49" i="17" l="1"/>
  <c r="N48" i="17"/>
  <c r="I124" i="17" l="1"/>
  <c r="F124" i="17"/>
  <c r="R162" i="17" l="1"/>
  <c r="F201" i="17" l="1"/>
  <c r="J201" i="17"/>
  <c r="D200" i="17"/>
  <c r="H200" i="17"/>
  <c r="L200" i="17"/>
  <c r="K201" i="17"/>
  <c r="E200" i="17"/>
  <c r="I200" i="17"/>
  <c r="C200" i="17"/>
  <c r="G201" i="17"/>
  <c r="D201" i="17"/>
  <c r="H201" i="17"/>
  <c r="L201" i="17"/>
  <c r="F200" i="17"/>
  <c r="J200" i="17"/>
  <c r="E201" i="17"/>
  <c r="I201" i="17"/>
  <c r="C201" i="17"/>
  <c r="G200" i="17"/>
  <c r="K200" i="17"/>
  <c r="G192" i="17"/>
  <c r="K192" i="17"/>
  <c r="E191" i="17"/>
  <c r="I191" i="17"/>
  <c r="C191" i="17"/>
  <c r="H191" i="17"/>
  <c r="D192" i="17"/>
  <c r="H192" i="17"/>
  <c r="L192" i="17"/>
  <c r="F191" i="17"/>
  <c r="J191" i="17"/>
  <c r="F192" i="17"/>
  <c r="D191" i="17"/>
  <c r="E192" i="17"/>
  <c r="I192" i="17"/>
  <c r="C192" i="17"/>
  <c r="G191" i="17"/>
  <c r="K191" i="17"/>
  <c r="J192" i="17"/>
  <c r="L191" i="17"/>
  <c r="D156" i="17" l="1"/>
  <c r="Q162" i="17"/>
  <c r="D153" i="17"/>
  <c r="Q161" i="17"/>
  <c r="M153" i="17" l="1"/>
  <c r="Q164" i="17" s="1"/>
  <c r="M156" i="17"/>
  <c r="Q165" i="17" s="1"/>
  <c r="J118" i="17"/>
  <c r="F120" i="17" s="1"/>
  <c r="C118" i="17"/>
  <c r="E120" i="17"/>
  <c r="E116" i="17"/>
  <c r="F116" i="17"/>
  <c r="D116" i="17"/>
  <c r="H124" i="17"/>
  <c r="D124" i="17"/>
  <c r="G124" i="17"/>
  <c r="C148" i="17"/>
  <c r="C147" i="17"/>
  <c r="E148" i="17"/>
  <c r="E147" i="17"/>
  <c r="C143" i="17"/>
  <c r="C142" i="17"/>
  <c r="E143" i="17"/>
  <c r="E142" i="17"/>
  <c r="G138" i="17"/>
  <c r="G137" i="17"/>
  <c r="F138" i="17"/>
  <c r="F137" i="17"/>
  <c r="C138" i="17"/>
  <c r="E138" i="17"/>
  <c r="E137" i="17"/>
  <c r="C133" i="17"/>
  <c r="E133" i="17"/>
  <c r="E129" i="17"/>
  <c r="E128" i="17"/>
  <c r="D129" i="17"/>
  <c r="D128" i="17"/>
  <c r="E110" i="17"/>
  <c r="E109" i="17"/>
  <c r="C110" i="17"/>
  <c r="C109" i="17"/>
  <c r="C105" i="17"/>
  <c r="C104" i="17"/>
  <c r="H105" i="17"/>
  <c r="H104" i="17"/>
  <c r="G105" i="17"/>
  <c r="G104" i="17"/>
  <c r="F105" i="17"/>
  <c r="M137" i="17" l="1"/>
  <c r="M138" i="17"/>
  <c r="F143" i="17"/>
  <c r="M143" i="17" s="1"/>
  <c r="F142" i="17"/>
  <c r="M142" i="17" s="1"/>
  <c r="H177" i="17"/>
  <c r="H180" i="17"/>
  <c r="H179" i="17"/>
  <c r="H178" i="17"/>
  <c r="H176" i="17"/>
  <c r="H175" i="17"/>
  <c r="H181" i="17"/>
  <c r="H174" i="17"/>
  <c r="K124" i="17"/>
  <c r="J124" i="17"/>
  <c r="D120" i="17"/>
  <c r="M147" i="17"/>
  <c r="K104" i="17"/>
  <c r="K105" i="17"/>
  <c r="M148" i="17"/>
  <c r="C116" i="17"/>
  <c r="M114" i="17" s="1"/>
  <c r="H171" i="17"/>
  <c r="H170" i="17"/>
  <c r="H173" i="17"/>
  <c r="H172" i="17"/>
  <c r="M109" i="17"/>
  <c r="M128" i="17"/>
  <c r="C120" i="17"/>
  <c r="M110" i="17"/>
  <c r="M133" i="17"/>
  <c r="M129" i="17"/>
  <c r="E105" i="17"/>
  <c r="E104" i="17"/>
  <c r="C100" i="17"/>
  <c r="E100" i="17"/>
  <c r="E96" i="17"/>
  <c r="E95" i="17"/>
  <c r="D96" i="17"/>
  <c r="D95" i="17"/>
  <c r="D91" i="17"/>
  <c r="M91" i="17" s="1"/>
  <c r="M90" i="17"/>
  <c r="M124" i="17" l="1"/>
  <c r="M95" i="17"/>
  <c r="F160" i="17" s="1"/>
  <c r="M96" i="17"/>
  <c r="F164" i="17" s="1"/>
  <c r="J160" i="17"/>
  <c r="J162" i="17"/>
  <c r="J161" i="17"/>
  <c r="M117" i="17"/>
  <c r="M104" i="17"/>
  <c r="M105" i="17"/>
  <c r="C175" i="17"/>
  <c r="D175" i="17"/>
  <c r="B175" i="17"/>
  <c r="C181" i="17"/>
  <c r="B181" i="17"/>
  <c r="D181" i="17"/>
  <c r="D173" i="17"/>
  <c r="C173" i="17"/>
  <c r="B173" i="17"/>
  <c r="D180" i="17"/>
  <c r="C180" i="17"/>
  <c r="B180" i="17"/>
  <c r="C179" i="17"/>
  <c r="B179" i="17"/>
  <c r="D179" i="17"/>
  <c r="B172" i="17"/>
  <c r="C172" i="17"/>
  <c r="D172" i="17"/>
  <c r="C177" i="17"/>
  <c r="B177" i="17"/>
  <c r="D177" i="17"/>
  <c r="D174" i="17"/>
  <c r="C174" i="17"/>
  <c r="B174" i="17"/>
  <c r="C170" i="17"/>
  <c r="D170" i="17"/>
  <c r="B170" i="17"/>
  <c r="D176" i="17"/>
  <c r="C176" i="17"/>
  <c r="B176" i="17"/>
  <c r="D178" i="17"/>
  <c r="B178" i="17"/>
  <c r="C178" i="17"/>
  <c r="C171" i="17"/>
  <c r="D171" i="17"/>
  <c r="B171" i="17"/>
  <c r="L165" i="17"/>
  <c r="L164" i="17"/>
  <c r="L163" i="17"/>
  <c r="M162" i="17"/>
  <c r="M161" i="17"/>
  <c r="M160" i="17"/>
  <c r="L162" i="17"/>
  <c r="L161" i="17"/>
  <c r="L160" i="17"/>
  <c r="F162" i="17"/>
  <c r="F165" i="17"/>
  <c r="P160" i="17"/>
  <c r="N162" i="17"/>
  <c r="N160" i="17"/>
  <c r="N161" i="17"/>
  <c r="P163" i="17"/>
  <c r="O162" i="17"/>
  <c r="O160" i="17"/>
  <c r="O161" i="17"/>
  <c r="E160" i="17"/>
  <c r="E161" i="17"/>
  <c r="E162" i="17"/>
  <c r="E165" i="17"/>
  <c r="E164" i="17"/>
  <c r="E163" i="17"/>
  <c r="N165" i="17"/>
  <c r="N164" i="17"/>
  <c r="N163" i="17"/>
  <c r="O165" i="17"/>
  <c r="O164" i="17"/>
  <c r="O163" i="17"/>
  <c r="K160" i="17"/>
  <c r="I164" i="17"/>
  <c r="I165" i="17"/>
  <c r="I163" i="17"/>
  <c r="I160" i="17"/>
  <c r="I162" i="17"/>
  <c r="I161" i="17"/>
  <c r="M100" i="17"/>
  <c r="I8" i="35"/>
  <c r="I9" i="35"/>
  <c r="I10" i="35"/>
  <c r="I11" i="35"/>
  <c r="I12" i="35"/>
  <c r="I7" i="35"/>
  <c r="D85" i="17"/>
  <c r="D86" i="17"/>
  <c r="F161" i="17" l="1"/>
  <c r="B165" i="17"/>
  <c r="B165" i="54"/>
  <c r="B165" i="53"/>
  <c r="B165" i="50"/>
  <c r="B165" i="48"/>
  <c r="B165" i="46"/>
  <c r="B165" i="43"/>
  <c r="B165" i="42"/>
  <c r="B165" i="52"/>
  <c r="B165" i="51"/>
  <c r="B165" i="57"/>
  <c r="B165" i="55"/>
  <c r="B165" i="49"/>
  <c r="B165" i="47"/>
  <c r="B165" i="40"/>
  <c r="B165" i="45"/>
  <c r="B165" i="44"/>
  <c r="B165" i="56"/>
  <c r="B165" i="41"/>
  <c r="B165" i="39"/>
  <c r="B164" i="17"/>
  <c r="B164" i="55"/>
  <c r="B164" i="54"/>
  <c r="B164" i="47"/>
  <c r="B164" i="44"/>
  <c r="B164" i="40"/>
  <c r="B164" i="56"/>
  <c r="B164" i="51"/>
  <c r="B164" i="57"/>
  <c r="B164" i="53"/>
  <c r="B164" i="52"/>
  <c r="B164" i="48"/>
  <c r="B164" i="42"/>
  <c r="B164" i="41"/>
  <c r="B164" i="50"/>
  <c r="B164" i="49"/>
  <c r="B164" i="46"/>
  <c r="B164" i="45"/>
  <c r="B164" i="43"/>
  <c r="B164" i="39"/>
  <c r="B163" i="17"/>
  <c r="B163" i="47"/>
  <c r="B163" i="45"/>
  <c r="B163" i="43"/>
  <c r="B163" i="57"/>
  <c r="B163" i="52"/>
  <c r="B163" i="51"/>
  <c r="B163" i="46"/>
  <c r="B163" i="53"/>
  <c r="B163" i="50"/>
  <c r="B163" i="41"/>
  <c r="B163" i="40"/>
  <c r="B163" i="39"/>
  <c r="B163" i="56"/>
  <c r="B163" i="48"/>
  <c r="B163" i="55"/>
  <c r="B163" i="54"/>
  <c r="B163" i="49"/>
  <c r="B163" i="44"/>
  <c r="B163" i="42"/>
  <c r="B162" i="17"/>
  <c r="B162" i="54"/>
  <c r="B162" i="50"/>
  <c r="B162" i="49"/>
  <c r="B162" i="47"/>
  <c r="B162" i="45"/>
  <c r="B162" i="44"/>
  <c r="B162" i="41"/>
  <c r="B162" i="40"/>
  <c r="B162" i="55"/>
  <c r="B162" i="39"/>
  <c r="B162" i="46"/>
  <c r="B162" i="43"/>
  <c r="B162" i="48"/>
  <c r="B162" i="42"/>
  <c r="B162" i="57"/>
  <c r="B162" i="56"/>
  <c r="B162" i="51"/>
  <c r="B162" i="53"/>
  <c r="B162" i="52"/>
  <c r="B161" i="17"/>
  <c r="B161" i="56"/>
  <c r="B161" i="55"/>
  <c r="B161" i="52"/>
  <c r="B161" i="45"/>
  <c r="B161" i="41"/>
  <c r="B161" i="54"/>
  <c r="B161" i="46"/>
  <c r="B161" i="44"/>
  <c r="B161" i="51"/>
  <c r="B161" i="49"/>
  <c r="B161" i="43"/>
  <c r="B161" i="40"/>
  <c r="B161" i="39"/>
  <c r="B161" i="50"/>
  <c r="B161" i="42"/>
  <c r="B161" i="57"/>
  <c r="B161" i="48"/>
  <c r="B161" i="47"/>
  <c r="B161" i="53"/>
  <c r="B160" i="17"/>
  <c r="B160" i="49"/>
  <c r="B160" i="47"/>
  <c r="B160" i="55"/>
  <c r="B160" i="54"/>
  <c r="B160" i="52"/>
  <c r="B160" i="50"/>
  <c r="B160" i="40"/>
  <c r="B160" i="48"/>
  <c r="B160" i="46"/>
  <c r="B160" i="44"/>
  <c r="B160" i="41"/>
  <c r="B160" i="57"/>
  <c r="B160" i="53"/>
  <c r="B160" i="45"/>
  <c r="B160" i="43"/>
  <c r="B160" i="42"/>
  <c r="B160" i="56"/>
  <c r="B160" i="51"/>
  <c r="B160" i="39"/>
  <c r="M86" i="17"/>
  <c r="D165" i="17" s="1"/>
  <c r="M85" i="17"/>
  <c r="D162" i="17" s="1"/>
  <c r="F163" i="17"/>
  <c r="N172" i="17"/>
  <c r="B209" i="17" s="1"/>
  <c r="N170" i="17"/>
  <c r="B207" i="17" s="1"/>
  <c r="N171" i="17"/>
  <c r="B208" i="17" s="1"/>
  <c r="N180" i="17"/>
  <c r="N175" i="17"/>
  <c r="B217" i="17" s="1"/>
  <c r="N174" i="17"/>
  <c r="B216" i="17" s="1"/>
  <c r="N178" i="17"/>
  <c r="B225" i="17" s="1"/>
  <c r="N179" i="17"/>
  <c r="N176" i="17"/>
  <c r="B218" i="17" s="1"/>
  <c r="J163" i="17"/>
  <c r="J164" i="17"/>
  <c r="J165" i="17"/>
  <c r="G160" i="17"/>
  <c r="G162" i="17"/>
  <c r="G161" i="17"/>
  <c r="H165" i="17"/>
  <c r="H164" i="17"/>
  <c r="H163" i="17"/>
  <c r="H160" i="17"/>
  <c r="H161" i="17"/>
  <c r="H162" i="17"/>
  <c r="H77" i="17"/>
  <c r="H74" i="17"/>
  <c r="F13" i="17"/>
  <c r="N13" i="17" s="1"/>
  <c r="I78" i="17"/>
  <c r="I75" i="17"/>
  <c r="G74" i="17"/>
  <c r="G75" i="17"/>
  <c r="G76" i="17"/>
  <c r="G77" i="17"/>
  <c r="G78" i="17"/>
  <c r="G73" i="17"/>
  <c r="B74" i="17"/>
  <c r="B75" i="17"/>
  <c r="B76" i="17"/>
  <c r="B77" i="17"/>
  <c r="B78" i="17"/>
  <c r="B73" i="17"/>
  <c r="D160" i="17" l="1"/>
  <c r="D161" i="17"/>
  <c r="D164" i="17"/>
  <c r="D163" i="17"/>
  <c r="D225" i="17"/>
  <c r="J225" i="17"/>
  <c r="K225" i="17"/>
  <c r="L225" i="17"/>
  <c r="E225" i="17"/>
  <c r="H225" i="17"/>
  <c r="C225" i="17"/>
  <c r="F225" i="17"/>
  <c r="I225" i="17"/>
  <c r="G225" i="17"/>
  <c r="O180" i="17"/>
  <c r="B227" i="17"/>
  <c r="O179" i="17"/>
  <c r="B226" i="17"/>
  <c r="N177" i="17"/>
  <c r="B219" i="17" s="1"/>
  <c r="R164" i="17"/>
  <c r="N173" i="17"/>
  <c r="B210" i="17" s="1"/>
  <c r="N181" i="17"/>
  <c r="O178" i="17"/>
  <c r="J78" i="17"/>
  <c r="C165" i="17" s="1"/>
  <c r="J77" i="17"/>
  <c r="C164" i="17" s="1"/>
  <c r="J74" i="17"/>
  <c r="C161" i="17" s="1"/>
  <c r="R161" i="17" s="1"/>
  <c r="J76" i="17"/>
  <c r="C163" i="17" s="1"/>
  <c r="R163" i="17" s="1"/>
  <c r="J73" i="17"/>
  <c r="C160" i="17" s="1"/>
  <c r="R160" i="17" s="1"/>
  <c r="J75" i="17"/>
  <c r="C162" i="17" s="1"/>
  <c r="N59" i="17"/>
  <c r="N60" i="17"/>
  <c r="N58" i="17"/>
  <c r="N45" i="17"/>
  <c r="N43" i="17"/>
  <c r="N41" i="17"/>
  <c r="N39" i="17"/>
  <c r="N37" i="17"/>
  <c r="N33" i="17"/>
  <c r="N31" i="17"/>
  <c r="N29" i="17"/>
  <c r="N27" i="17"/>
  <c r="N25" i="17"/>
  <c r="N24" i="17"/>
  <c r="N22" i="17"/>
  <c r="N16" i="17"/>
  <c r="N20" i="17"/>
  <c r="N18" i="17"/>
  <c r="D226" i="17" l="1"/>
  <c r="J226" i="17"/>
  <c r="G226" i="17"/>
  <c r="L226" i="17"/>
  <c r="I226" i="17"/>
  <c r="F226" i="17"/>
  <c r="H226" i="17"/>
  <c r="K226" i="17"/>
  <c r="C226" i="17"/>
  <c r="E226" i="17"/>
  <c r="F227" i="17"/>
  <c r="I227" i="17"/>
  <c r="E227" i="17"/>
  <c r="H227" i="17"/>
  <c r="K227" i="17"/>
  <c r="L227" i="17"/>
  <c r="J227" i="17"/>
  <c r="G227" i="17"/>
  <c r="C227" i="17"/>
  <c r="D227" i="17"/>
  <c r="D220" i="17"/>
  <c r="L220" i="17"/>
  <c r="E220" i="17"/>
  <c r="C220" i="17"/>
  <c r="J220" i="17"/>
  <c r="F220" i="17"/>
  <c r="G220" i="17"/>
  <c r="K220" i="17"/>
  <c r="H220" i="17"/>
  <c r="I220" i="17"/>
  <c r="F211" i="17"/>
  <c r="H211" i="17"/>
  <c r="E211" i="17"/>
  <c r="G211" i="17"/>
  <c r="L211" i="17"/>
  <c r="D211" i="17"/>
  <c r="K211" i="17"/>
  <c r="C211" i="17"/>
  <c r="J211" i="17"/>
  <c r="I211" i="17"/>
  <c r="J219" i="17"/>
  <c r="H218" i="17"/>
  <c r="F217" i="17"/>
  <c r="D216" i="17"/>
  <c r="L216" i="17"/>
  <c r="F218" i="17"/>
  <c r="G218" i="17"/>
  <c r="K219" i="17"/>
  <c r="I218" i="17"/>
  <c r="G217" i="17"/>
  <c r="E216" i="17"/>
  <c r="C216" i="17"/>
  <c r="H219" i="17"/>
  <c r="E217" i="17"/>
  <c r="D219" i="17"/>
  <c r="L219" i="17"/>
  <c r="J218" i="17"/>
  <c r="H217" i="17"/>
  <c r="F216" i="17"/>
  <c r="J216" i="17"/>
  <c r="E219" i="17"/>
  <c r="C219" i="17"/>
  <c r="K218" i="17"/>
  <c r="I217" i="17"/>
  <c r="G216" i="17"/>
  <c r="K216" i="17"/>
  <c r="F219" i="17"/>
  <c r="D218" i="17"/>
  <c r="L218" i="17"/>
  <c r="J217" i="17"/>
  <c r="H216" i="17"/>
  <c r="D217" i="17"/>
  <c r="I219" i="17"/>
  <c r="G219" i="17"/>
  <c r="E218" i="17"/>
  <c r="C218" i="17"/>
  <c r="K217" i="17"/>
  <c r="I216" i="17"/>
  <c r="L217" i="17"/>
  <c r="C217" i="17"/>
  <c r="G209" i="17"/>
  <c r="E208" i="17"/>
  <c r="C208" i="17"/>
  <c r="K207" i="17"/>
  <c r="L208" i="17"/>
  <c r="H209" i="17"/>
  <c r="F208" i="17"/>
  <c r="D207" i="17"/>
  <c r="L207" i="17"/>
  <c r="C209" i="17"/>
  <c r="I209" i="17"/>
  <c r="G208" i="17"/>
  <c r="E207" i="17"/>
  <c r="C207" i="17"/>
  <c r="H207" i="17"/>
  <c r="I207" i="17"/>
  <c r="J207" i="17"/>
  <c r="J209" i="17"/>
  <c r="H208" i="17"/>
  <c r="F207" i="17"/>
  <c r="C210" i="17"/>
  <c r="K209" i="17"/>
  <c r="I208" i="17"/>
  <c r="G207" i="17"/>
  <c r="E209" i="17"/>
  <c r="D208" i="17"/>
  <c r="D209" i="17"/>
  <c r="L209" i="17"/>
  <c r="J208" i="17"/>
  <c r="K208" i="17"/>
  <c r="F209" i="17"/>
  <c r="O181" i="17"/>
  <c r="B228" i="17"/>
  <c r="I210" i="17"/>
  <c r="J210" i="17"/>
  <c r="K210" i="17"/>
  <c r="L210" i="17"/>
  <c r="D210" i="17"/>
  <c r="E210" i="17"/>
  <c r="H210" i="17"/>
  <c r="F210" i="17"/>
  <c r="G210" i="17"/>
  <c r="M229" i="17"/>
  <c r="H190" i="17"/>
  <c r="H189" i="17"/>
  <c r="D189" i="17"/>
  <c r="L189" i="17"/>
  <c r="I189" i="17"/>
  <c r="F190" i="17"/>
  <c r="K190" i="17"/>
  <c r="G189" i="17"/>
  <c r="F189" i="17"/>
  <c r="I190" i="17"/>
  <c r="G190" i="17"/>
  <c r="C190" i="17"/>
  <c r="J190" i="17"/>
  <c r="J189" i="17"/>
  <c r="E190" i="17"/>
  <c r="O175" i="17"/>
  <c r="O174" i="17"/>
  <c r="C189" i="17"/>
  <c r="D190" i="17"/>
  <c r="L190" i="17"/>
  <c r="E189" i="17"/>
  <c r="K189" i="17"/>
  <c r="O176" i="17"/>
  <c r="I198" i="17"/>
  <c r="C198" i="17"/>
  <c r="J198" i="17"/>
  <c r="D198" i="17"/>
  <c r="C199" i="17"/>
  <c r="F198" i="17"/>
  <c r="J199" i="17"/>
  <c r="I199" i="17"/>
  <c r="K199" i="17"/>
  <c r="L199" i="17"/>
  <c r="F199" i="17"/>
  <c r="E199" i="17"/>
  <c r="G199" i="17"/>
  <c r="H198" i="17"/>
  <c r="H199" i="17"/>
  <c r="L198" i="17"/>
  <c r="E198" i="17"/>
  <c r="D199" i="17"/>
  <c r="G198" i="17"/>
  <c r="K198" i="17"/>
  <c r="O177" i="17"/>
  <c r="F197" i="17"/>
  <c r="J197" i="17"/>
  <c r="D196" i="17"/>
  <c r="H196" i="17"/>
  <c r="L196" i="17"/>
  <c r="G197" i="17"/>
  <c r="I196" i="17"/>
  <c r="D197" i="17"/>
  <c r="H197" i="17"/>
  <c r="L197" i="17"/>
  <c r="F196" i="17"/>
  <c r="J196" i="17"/>
  <c r="I11" i="38"/>
  <c r="O11" i="38" s="1"/>
  <c r="I197" i="17"/>
  <c r="G196" i="17"/>
  <c r="E196" i="17"/>
  <c r="C196" i="17"/>
  <c r="E197" i="17"/>
  <c r="C197" i="17"/>
  <c r="K196" i="17"/>
  <c r="K197" i="17"/>
  <c r="G188" i="17"/>
  <c r="K188" i="17"/>
  <c r="E187" i="17"/>
  <c r="I187" i="17"/>
  <c r="C187" i="17"/>
  <c r="G187" i="17"/>
  <c r="H11" i="38"/>
  <c r="N11" i="38" s="1"/>
  <c r="J188" i="17"/>
  <c r="L187" i="17"/>
  <c r="D188" i="17"/>
  <c r="H188" i="17"/>
  <c r="L188" i="17"/>
  <c r="F187" i="17"/>
  <c r="J187" i="17"/>
  <c r="K187" i="17"/>
  <c r="F188" i="17"/>
  <c r="H187" i="17"/>
  <c r="E188" i="17"/>
  <c r="I188" i="17"/>
  <c r="C188" i="17"/>
  <c r="D187" i="17"/>
  <c r="O170" i="17"/>
  <c r="O172" i="17"/>
  <c r="O173" i="17"/>
  <c r="O171" i="17"/>
  <c r="N12" i="17"/>
  <c r="C228" i="17" l="1"/>
  <c r="C230" i="17" s="1"/>
  <c r="K228" i="17"/>
  <c r="K230" i="17" s="1"/>
  <c r="I228" i="17"/>
  <c r="I230" i="17" s="1"/>
  <c r="F228" i="17"/>
  <c r="F230" i="17" s="1"/>
  <c r="J228" i="17"/>
  <c r="J230" i="17" s="1"/>
  <c r="E228" i="17"/>
  <c r="E230" i="17" s="1"/>
  <c r="L228" i="17"/>
  <c r="L230" i="17" s="1"/>
  <c r="H228" i="17"/>
  <c r="H230" i="17" s="1"/>
  <c r="D228" i="17"/>
  <c r="D230" i="17" s="1"/>
  <c r="G228" i="17"/>
  <c r="G230" i="17" s="1"/>
  <c r="G221" i="17"/>
  <c r="D212" i="17"/>
  <c r="J212" i="17"/>
  <c r="I212" i="17"/>
  <c r="L221" i="17"/>
  <c r="K221" i="17"/>
  <c r="M210" i="17"/>
  <c r="M208" i="17"/>
  <c r="E212" i="17"/>
  <c r="I221" i="17"/>
  <c r="M220" i="17"/>
  <c r="F221" i="17"/>
  <c r="F212" i="17"/>
  <c r="M226" i="17"/>
  <c r="M209" i="17"/>
  <c r="M218" i="17"/>
  <c r="M227" i="17"/>
  <c r="E221" i="17"/>
  <c r="L212" i="17"/>
  <c r="G212" i="17"/>
  <c r="J221" i="17"/>
  <c r="H221" i="17"/>
  <c r="D221" i="17"/>
  <c r="M211" i="17"/>
  <c r="H212" i="17"/>
  <c r="K212" i="17"/>
  <c r="M225" i="17"/>
  <c r="M219" i="17"/>
  <c r="M217" i="17"/>
  <c r="C212" i="17"/>
  <c r="M207" i="17"/>
  <c r="C221" i="17"/>
  <c r="M216" i="17"/>
  <c r="Q11" i="38"/>
  <c r="Q31" i="38" s="1"/>
  <c r="I31" i="38"/>
  <c r="P11" i="38"/>
  <c r="H31" i="38"/>
  <c r="P21" i="38" l="1"/>
  <c r="M228" i="17"/>
  <c r="M230" i="17"/>
  <c r="M221" i="17"/>
  <c r="M212" i="17"/>
  <c r="P31" i="38" l="1"/>
</calcChain>
</file>

<file path=xl/comments1.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0.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1.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2.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3.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4.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5.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6.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7.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8.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19.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2.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20.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21.xml><?xml version="1.0" encoding="utf-8"?>
<comments xmlns="http://schemas.openxmlformats.org/spreadsheetml/2006/main">
  <authors>
    <author>Pete Jenior</author>
  </authors>
  <commentList>
    <comment ref="G6" authorId="0" shapeId="0">
      <text>
        <r>
          <rPr>
            <sz val="9"/>
            <color indexed="81"/>
            <rFont val="Tahoma"/>
            <family val="2"/>
          </rPr>
          <t>Leave blank to use default values</t>
        </r>
      </text>
    </comment>
    <comment ref="F17" authorId="0" shapeId="0">
      <text>
        <r>
          <rPr>
            <sz val="9"/>
            <color indexed="81"/>
            <rFont val="Tahoma"/>
            <family val="2"/>
          </rPr>
          <t>Leave blank to use default values</t>
        </r>
      </text>
    </comment>
    <comment ref="F22" authorId="0" shapeId="0">
      <text>
        <r>
          <rPr>
            <sz val="9"/>
            <color indexed="81"/>
            <rFont val="Tahoma"/>
            <family val="2"/>
          </rPr>
          <t>Leave blank to use default values</t>
        </r>
      </text>
    </comment>
    <comment ref="F27" authorId="0" shapeId="0">
      <text>
        <r>
          <rPr>
            <sz val="9"/>
            <color indexed="81"/>
            <rFont val="Tahoma"/>
            <family val="2"/>
          </rPr>
          <t>Leave blank to use default values</t>
        </r>
      </text>
    </comment>
    <comment ref="N35" authorId="0" shapeId="0">
      <text>
        <r>
          <rPr>
            <sz val="9"/>
            <color indexed="81"/>
            <rFont val="Tahoma"/>
            <family val="2"/>
          </rPr>
          <t>Leave blank to use default values</t>
        </r>
      </text>
    </comment>
    <comment ref="N44" authorId="0" shapeId="0">
      <text>
        <r>
          <rPr>
            <sz val="9"/>
            <color indexed="81"/>
            <rFont val="Tahoma"/>
            <family val="2"/>
          </rPr>
          <t>Leave blank to use default values</t>
        </r>
      </text>
    </comment>
  </commentList>
</comments>
</file>

<file path=xl/comments22.xml><?xml version="1.0" encoding="utf-8"?>
<comments xmlns="http://schemas.openxmlformats.org/spreadsheetml/2006/main">
  <authors>
    <author>Pete Jenior</author>
  </authors>
  <commentList>
    <comment ref="H8" authorId="0" shapeId="0">
      <text>
        <r>
          <rPr>
            <sz val="8"/>
            <color indexed="81"/>
            <rFont val="Tahoma"/>
            <family val="2"/>
          </rPr>
          <t>Crashes per year, as computed on other worksheets</t>
        </r>
      </text>
    </comment>
    <comment ref="L8" authorId="0" shapeId="0">
      <text>
        <r>
          <rPr>
            <sz val="8"/>
            <color indexed="81"/>
            <rFont val="Tahoma"/>
            <family val="2"/>
          </rPr>
          <t>Enter the number of crashes observed during all years of crash data used, not the number of crashes per year.</t>
        </r>
      </text>
    </comment>
    <comment ref="P8" authorId="0" shapeId="0">
      <text>
        <r>
          <rPr>
            <sz val="8"/>
            <color indexed="81"/>
            <rFont val="Tahoma"/>
            <family val="2"/>
          </rPr>
          <t>Crashes per year</t>
        </r>
      </text>
    </comment>
  </commentList>
</comments>
</file>

<file path=xl/comments3.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4.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5.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6.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7.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8.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comments9.xml><?xml version="1.0" encoding="utf-8"?>
<comments xmlns="http://schemas.openxmlformats.org/spreadsheetml/2006/main">
  <authors>
    <author>Pete Jenior</author>
    <author>M-Pratt</author>
  </authors>
  <commentList>
    <comment ref="N9" authorId="0" shapeId="0">
      <text>
        <r>
          <rPr>
            <sz val="8"/>
            <color indexed="81"/>
            <rFont val="Tahoma"/>
            <family val="2"/>
          </rPr>
          <t>If "N/A" is displayed in this column, users may omit the input immediately to the left.
If "out of range" is displayed, the value entered immediately to the left is outside the range of values observed in NCHRP Project 17-89 or illogial in relation to other user inputs.</t>
        </r>
      </text>
    </comment>
    <comment ref="G14" authorId="0" shapeId="0">
      <text>
        <r>
          <rPr>
            <sz val="8"/>
            <color indexed="81"/>
            <rFont val="Tahoma"/>
            <family val="2"/>
          </rPr>
          <t>Number of through lanes on segment, including managed lanes but not including auxilary lanes or PTSU lanes</t>
        </r>
      </text>
    </comment>
    <comment ref="G16" authorId="1" shapeId="0">
      <text>
        <r>
          <rPr>
            <sz val="8"/>
            <color indexed="81"/>
            <rFont val="Tahoma"/>
            <family val="2"/>
          </rPr>
          <t>Measure to the inside edge of the traveled way associated with the curved roadbed. "Travelled way" refers to the portion of the road permanently used for travel (general purpose lanes, managed lanes, etc.) but does not include shoulders used for part-time travel.
If the curve has spiral transitions, then enter the radius of the central circular portion of the curve.</t>
        </r>
      </text>
    </comment>
    <comment ref="G18" authorId="1" shapeId="0">
      <text>
        <r>
          <rPr>
            <sz val="8"/>
            <color indexed="81"/>
            <rFont val="Tahoma"/>
            <family val="2"/>
          </rPr>
          <t>The average through lane width, including paint-seperated managed lanes but not including auxilary lanes or PTSU lanes
If lane width varies slightly along the segment, then estimate a length-weighted average.</t>
        </r>
      </text>
    </comment>
    <comment ref="G19"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outside shoulder.  Do not include the portion of the shoulder used as a PTSU lane.
If shoulder width varies slightly along the segment, then estimate a length-weighted average.</t>
        </r>
      </text>
    </comment>
    <comment ref="G20"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Do not include the portion of the shoulder used as a PTSU lane. 
If shoulder width varies slightly along the segment, then estimate a length-weighted average.</t>
        </r>
      </text>
    </comment>
    <comment ref="G21" authorId="1" shapeId="0">
      <text>
        <r>
          <rPr>
            <sz val="8"/>
            <color indexed="81"/>
            <rFont val="Tahoma"/>
            <family val="2"/>
          </rPr>
          <t xml:space="preserve">The width of the </t>
        </r>
        <r>
          <rPr>
            <b/>
            <sz val="8"/>
            <color indexed="81"/>
            <rFont val="Tahoma"/>
            <family val="2"/>
          </rPr>
          <t>paved</t>
        </r>
        <r>
          <rPr>
            <sz val="8"/>
            <color indexed="81"/>
            <rFont val="Tahoma"/>
            <family val="2"/>
          </rPr>
          <t xml:space="preserve"> inside shoulder on the roadbed serving the opposite direction of travel (i.e. the direction </t>
        </r>
        <r>
          <rPr>
            <b/>
            <sz val="8"/>
            <color indexed="81"/>
            <rFont val="Tahoma"/>
            <family val="2"/>
          </rPr>
          <t>not</t>
        </r>
        <r>
          <rPr>
            <sz val="8"/>
            <color indexed="81"/>
            <rFont val="Tahoma"/>
            <family val="2"/>
          </rPr>
          <t xml:space="preserve"> being studied).  Do not include the portion of the shoulder used as a PTSU lane.
If shoulder width varies slightly along the segment, then estimate a length-weighted average.</t>
        </r>
      </text>
    </comment>
    <comment ref="G22" authorId="1" shapeId="0">
      <text>
        <r>
          <rPr>
            <sz val="8"/>
            <color indexed="81"/>
            <rFont val="Tahoma"/>
            <family val="2"/>
          </rPr>
          <t xml:space="preserve">Median width is measured between the edges of the traveled way for the two roadways in the opposite direction of travel, including the width of the inside shoulders, if they are present. The portion of the inside shoulder used for a a PTSU lane, if present, is not included in this measurement. "Travelled way" refers to the portion of the road permanently used for travel (general purpose lanes, managed lanes, etc.) but does not include PTSU lanes.
If median width varies slightly along the segment, then estimate a length-weighted average.
If median width exceeds 90 ft, then enter '90'.
If barrier-separated managed lanes are provided, then they are considered to be part of the median (i.e., the median width is measured between the near edges of the traveled way for the general purpose lanes). </t>
        </r>
      </text>
    </comment>
    <comment ref="G23" authorId="0" shapeId="0">
      <text>
        <r>
          <rPr>
            <sz val="8"/>
            <color indexed="81"/>
            <rFont val="Tahoma"/>
            <family val="2"/>
          </rPr>
          <t>The length of rumble strips cannot exceed the length of the segment.</t>
        </r>
      </text>
    </comment>
    <comment ref="G24" authorId="0" shapeId="0">
      <text>
        <r>
          <rPr>
            <sz val="8"/>
            <color indexed="81"/>
            <rFont val="Tahoma"/>
            <family val="2"/>
          </rPr>
          <t>The length of rumble strips cannot exceed the length of the segment.</t>
        </r>
      </text>
    </comment>
    <comment ref="G2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6"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28"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2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0"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2"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median barrier are present, manually sum lengths and compute the weighted average distance from edge of travelled way to barrier face.</t>
        </r>
      </text>
    </comment>
    <comment ref="G34" authorId="1" shapeId="0">
      <text>
        <r>
          <rPr>
            <sz val="8"/>
            <color indexed="81"/>
            <rFont val="Tahoma"/>
            <family val="2"/>
          </rPr>
          <t>Offset distance to barrier face from near edge of the nearest though lane. "Through lanes" include general purpose lanes and managed lanes but not include PTSU lanes or auxilary lanes (if in a weaving section). If this distance varies slightly along the length of the barrier, then enter the average offset value. If the distance varies greatly, analyze the barrier as multiple pieces.
If a site has a continuous barrier with short pieces of discontinuous barrier in front of the continuous barrier, analyze portions of the continuous barrier without short pieces in front of it as a single barrier piece and analyze short pieces in front of the continuous barrier as seperate pieces.
This cell can be left blank if it is not needed to describe a piece of barrier.</t>
        </r>
      </text>
    </comment>
    <comment ref="G36" authorId="1" shapeId="0">
      <text>
        <r>
          <rPr>
            <sz val="8"/>
            <color indexed="81"/>
            <rFont val="Tahoma"/>
            <family val="2"/>
          </rPr>
          <t xml:space="preserve">Measured from the edge of traveled way to typical limits of vertical obstruction (e.g., non-traversable slope, fence line, utility poles) along the roadway.   If this width varies slightly along the segment, then enter the estimated length-weighted average clear zone width (excluding the portion of the segment with barrier).
Do </t>
        </r>
        <r>
          <rPr>
            <u/>
            <sz val="8"/>
            <color indexed="81"/>
            <rFont val="Tahoma"/>
            <family val="2"/>
          </rPr>
          <t>not</t>
        </r>
        <r>
          <rPr>
            <sz val="8"/>
            <color indexed="81"/>
            <rFont val="Tahoma"/>
            <family val="2"/>
          </rPr>
          <t xml:space="preserve"> measure to (or consider) roadside barrier when determining the clear zone width to enter here.  Barrier location and influence is addressed in other Ajustment Factors
If roadside barrier is present for the full length of the segment, then enter '30' ft.
If the clear zone width exceeds 30 ft, then enter '30'.</t>
        </r>
      </text>
    </comment>
    <comment ref="G37"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38"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39"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0"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1"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2"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3"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4"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5" authorId="1" shapeId="0">
      <text>
        <r>
          <rPr>
            <sz val="8"/>
            <color indexed="81"/>
            <rFont val="Tahoma"/>
            <family val="2"/>
          </rPr>
          <t>Length is measured along shoulder.  The sum of the length of all median barrier pieces cannot exceed the length of the segment.
This cell can be left blank if it is not needed to describe a piece of barrier. If more than 5 pieces of roadside barrier are present, manually sum lengths and compute the weighted average distance from edge of travelled way to barrier face.</t>
        </r>
      </text>
    </comment>
    <comment ref="G46" authorId="1" shapeId="0">
      <text>
        <r>
          <rPr>
            <sz val="8"/>
            <color indexed="81"/>
            <rFont val="Tahoma"/>
            <family val="2"/>
          </rPr>
          <t xml:space="preserve">Offset distance to barrier face from near edge of nearest through lane. If this distance varies along the length of the barrier, then enter the average offset value. "Through lanes" include general purpose lanes and managed lanes but not include PTSU lanes or auxilary lanes (if in a weaving section).
This cell can be left blank if it is not needed to describe a piece of barrier. </t>
        </r>
      </text>
    </comment>
    <comment ref="G48" authorId="1" shapeId="0">
      <text>
        <r>
          <rPr>
            <sz val="8"/>
            <color indexed="81"/>
            <rFont val="Tahoma"/>
            <family val="2"/>
          </rPr>
          <t xml:space="preserve">Ramp entrance length is measured along the edge of the freeway traveled way from the gore point to the taper point.  </t>
        </r>
        <r>
          <rPr>
            <b/>
            <sz val="8"/>
            <color indexed="81"/>
            <rFont val="Tahoma"/>
            <family val="2"/>
          </rPr>
          <t>It is equal to or greater than the length of freeway segment (L_fs). In other words, a ramp entrance may be divided into multiple sites for the purpose of analysis with this tool but the length value entered in this row represents the entire ramp entrance length.</t>
        </r>
        <r>
          <rPr>
            <sz val="8"/>
            <color indexed="81"/>
            <rFont val="Tahoma"/>
            <family val="2"/>
          </rPr>
          <t xml:space="preserve"> Ramp entrances greater than 0.30 miles should be analyzed as basic freeway segments with an additional lane.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ends.  The "other" edge marking is on the other side of the ramp from the one used to define the gore point.  </t>
        </r>
      </text>
    </comment>
    <comment ref="G49" authorId="1" shapeId="0">
      <text>
        <r>
          <rPr>
            <sz val="8"/>
            <color indexed="81"/>
            <rFont val="Tahoma"/>
            <family val="2"/>
          </rPr>
          <t xml:space="preserve">Ramp exit length is measured along the edge of the freeway traveled way from the taper point to the gore point.  </t>
        </r>
        <r>
          <rPr>
            <b/>
            <sz val="8"/>
            <color indexed="81"/>
            <rFont val="Tahoma"/>
            <family val="2"/>
          </rPr>
          <t>It is equal to or greater than the length of freeway segment (L_fs). In other words, a ramp exit may be divided into multiple sites for the purpose of analysis with this tool but the length value entered in this row represents the entire ramp exit length. Ramp exits greater than 0.30 miles should be analyzed as basic freeway segments with an additional lane.</t>
        </r>
        <r>
          <rPr>
            <sz val="8"/>
            <color indexed="81"/>
            <rFont val="Tahoma"/>
            <family val="2"/>
          </rPr>
          <t xml:space="preserve">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The taper point is located where the "other" ramp edge marking intersects the freeway edge marking.  It marks the point where the ramp taper begins.  The "other" edge marking is on the other side of the ramp from the one used to define the gore point.  </t>
        </r>
      </text>
    </comment>
    <comment ref="G50"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   </t>
        </r>
        <r>
          <rPr>
            <sz val="8"/>
            <color indexed="81"/>
            <rFont val="Tahoma"/>
            <family val="2"/>
          </rPr>
          <t xml:space="preserve">
</t>
        </r>
        <r>
          <rPr>
            <sz val="8"/>
            <color indexed="81"/>
            <rFont val="Courier New"/>
            <family val="3"/>
          </rPr>
          <t xml:space="preserve">                    &lt;-----Segment Length (L)----&gt;
 /-- entrance ramp |begin milepost   end milepost|
  &lt;-----Xb,ent----&gt;                             </t>
        </r>
      </text>
    </comment>
    <comment ref="G51" authorId="1" shapeId="0">
      <text>
        <r>
          <rPr>
            <sz val="8"/>
            <color indexed="81"/>
            <rFont val="Tahoma"/>
            <family val="2"/>
          </rPr>
          <t xml:space="preserve">Measure from the segment boundary to the ramp gore point, along the freeway's solid white pavement edge marking that intersects the gore point. The gore point is located where the pair of solid white pavement edge markings that separate the ramp from the freeway main lanes are 2.0 ft apart. If the markings do not extend to a point where they are 2.0 ft apart, then the gore point is found by extrapolating both markings until the extrapolated portion is 2.0 ft apart.
</t>
        </r>
        <r>
          <rPr>
            <b/>
            <sz val="8"/>
            <color indexed="81"/>
            <rFont val="Tahoma"/>
            <family val="2"/>
          </rPr>
          <t xml:space="preserve">Enter '999' if subject ramp does not exist, or if it is more than 0.5 mi from the segment (i.e., X &gt; 0.5).  </t>
        </r>
        <r>
          <rPr>
            <sz val="8"/>
            <color indexed="81"/>
            <rFont val="Tahoma"/>
            <family val="2"/>
          </rPr>
          <t xml:space="preserve">
</t>
        </r>
        <r>
          <rPr>
            <sz val="8"/>
            <color indexed="81"/>
            <rFont val="Courier New"/>
            <family val="3"/>
          </rPr>
          <t xml:space="preserve">
       ----Direction of travel----&gt;</t>
        </r>
        <r>
          <rPr>
            <sz val="8"/>
            <color indexed="81"/>
            <rFont val="Tahoma"/>
            <family val="2"/>
          </rPr>
          <t xml:space="preserve">
</t>
        </r>
        <r>
          <rPr>
            <sz val="8"/>
            <color indexed="81"/>
            <rFont val="Courier New"/>
            <family val="3"/>
          </rPr>
          <t xml:space="preserve">      &lt;-----Segment Length (L)----&gt;
     |begin milepost   end milepost|     exit ramp --\
                                    &lt;----Xe,ext-----&gt;</t>
        </r>
      </text>
    </comment>
    <comment ref="G52" authorId="0" shapeId="0">
      <text>
        <r>
          <rPr>
            <sz val="8"/>
            <color indexed="81"/>
            <rFont val="Tahoma"/>
            <family val="2"/>
          </rPr>
          <t>Enter if the distance from begin milepost to upstream entrance ramp gore is 0.5 miles or less. May be left blank otherwise.</t>
        </r>
      </text>
    </comment>
    <comment ref="G53" authorId="0" shapeId="0">
      <text>
        <r>
          <rPr>
            <sz val="8"/>
            <color indexed="81"/>
            <rFont val="Tahoma"/>
            <family val="2"/>
          </rPr>
          <t>Enter if the distance from end milepost to upstream exit ramp gore is 0.5 miles or less. May be left blank otherwise.</t>
        </r>
      </text>
    </comment>
    <comment ref="G55" authorId="0" shapeId="0">
      <text>
        <r>
          <rPr>
            <sz val="8"/>
            <color indexed="81"/>
            <rFont val="Tahoma"/>
            <family val="2"/>
          </rPr>
          <t xml:space="preserve">Select "yes" if the site contains PTSU, including tapered transitions. Select "no" if the site does not contain PTSU. "No" should be selected if the site contains a transition zone.
A site must have PTSU (potentially including tapered transitions) throughout or must have no PTSU (potentially including transition zones) throughout. 
</t>
        </r>
      </text>
    </comment>
    <comment ref="G56" authorId="0" shapeId="0">
      <text>
        <r>
          <rPr>
            <sz val="8"/>
            <color indexed="81"/>
            <rFont val="Tahoma"/>
            <family val="2"/>
          </rPr>
          <t>"Outside" refers to right-side PTSU
"Inside" refers to left-side PTSU</t>
        </r>
      </text>
    </comment>
    <comment ref="G57" authorId="0" shapeId="0">
      <text>
        <r>
          <rPr>
            <sz val="8"/>
            <color indexed="81"/>
            <rFont val="Tahoma"/>
            <family val="2"/>
          </rPr>
          <t xml:space="preserve">The total length of PTSU transition zones within a site. Transition zones are  found a) upstream of PTSU, b) downstream of PTSU, or c) between PTSU. See figure to right.
</t>
        </r>
        <r>
          <rPr>
            <b/>
            <sz val="8"/>
            <color indexed="81"/>
            <rFont val="Tahoma"/>
            <family val="2"/>
          </rPr>
          <t>If a PTSU transition zone is not present, enter 0.</t>
        </r>
        <r>
          <rPr>
            <sz val="8"/>
            <color indexed="81"/>
            <rFont val="Tahoma"/>
            <family val="2"/>
          </rPr>
          <t xml:space="preserve">
Transition zones "between" PTSU are generally within an interchange where PTSU was dropped onto the exit ramp and restarted from the entrance ramp, but can be any gap in a PTSU facility.
Transition zones have a maximum length of 0.152 miles
Tapers upstream and downstream of PTSU, if present, are not part of the transition zone.</t>
        </r>
      </text>
    </comment>
    <comment ref="G58" authorId="0" shapeId="0">
      <text>
        <r>
          <rPr>
            <sz val="8"/>
            <color indexed="81"/>
            <rFont val="Tahoma"/>
            <family val="2"/>
          </rPr>
          <t xml:space="preserve">Measured as the length of roadway adjacent to each turnout present in the segment. If the turnout extends beyond one or both of the segment boundaries, then only that portion of the turnout that lies within the segment is measured.
Turnouts are wide paved areas beside a shoulder used for PTSU that serve as refuge areas for disabled vehicles. </t>
        </r>
      </text>
    </comment>
    <comment ref="G59" authorId="0" shapeId="0">
      <text>
        <r>
          <rPr>
            <sz val="8"/>
            <color indexed="81"/>
            <rFont val="Tahoma"/>
            <family val="2"/>
          </rPr>
          <t>The proportion of time during an average day that PTSU operates (i.e. is open to traffic). Computed as:
(Hours of the year PTSU is open) / (24 * 365)</t>
        </r>
      </text>
    </comment>
    <comment ref="A60" authorId="0" shapeId="0">
      <text>
        <r>
          <rPr>
            <sz val="8"/>
            <color indexed="81"/>
            <rFont val="Tahoma"/>
            <family val="2"/>
          </rPr>
          <t xml:space="preserve">The width of the portion of the shoulder used for travel. If two edge lines are present, this is the distance between the two edge lines. If only one edge line is present, this is the distance from the edge line to the edge of pavement or barrier face.
</t>
        </r>
        <r>
          <rPr>
            <b/>
            <sz val="8"/>
            <color indexed="81"/>
            <rFont val="Tahoma"/>
            <family val="2"/>
          </rPr>
          <t>The PTSU lane may be located on the inside or outside shoulder.</t>
        </r>
        <r>
          <rPr>
            <sz val="8"/>
            <color indexed="81"/>
            <rFont val="Tahoma"/>
            <family val="2"/>
          </rPr>
          <t xml:space="preserve">
If the segment is a taper section into or out of PTSU, use the average width. If the segment has a PTSU typical section throughout but the width of shoulder used for travel varies slightly along the segment, then estimate a length-weighted average.</t>
        </r>
      </text>
    </comment>
    <comment ref="A61" authorId="0" shapeId="0">
      <text>
        <r>
          <rPr>
            <sz val="8"/>
            <color indexed="81"/>
            <rFont val="Tahoma"/>
            <family val="2"/>
          </rPr>
          <t xml:space="preserve">The width of the portion of the </t>
        </r>
        <r>
          <rPr>
            <b/>
            <sz val="8"/>
            <color indexed="81"/>
            <rFont val="Tahoma"/>
            <family val="2"/>
          </rPr>
          <t>inside</t>
        </r>
        <r>
          <rPr>
            <sz val="8"/>
            <color indexed="81"/>
            <rFont val="Tahoma"/>
            <family val="2"/>
          </rPr>
          <t xml:space="preserve"> (left) shoulder used for travel on the roadbed serving the opposite direction of travel (i.e. the direction not being studied). If two edge lines are present, this is the distance between the two edge lines. If only one edge line is present, this is the distance from the edge line to the edge of pavement or barrier face.
if the</t>
        </r>
        <r>
          <rPr>
            <b/>
            <sz val="8"/>
            <color indexed="81"/>
            <rFont val="Tahoma"/>
            <family val="2"/>
          </rPr>
          <t xml:space="preserve"> outside</t>
        </r>
        <r>
          <rPr>
            <sz val="8"/>
            <color indexed="81"/>
            <rFont val="Tahoma"/>
            <family val="2"/>
          </rPr>
          <t xml:space="preserve"> (right) shoulder is used for travel on the roadbed serving the opposite direction of travel, enter 0.
If the segment is a taper section into or out of PTSU, use the average width. If the segment has a PTSU typical section throughout but the width of shoulder used for travel varies slightly along the segment, then estimate a length-weighted average.</t>
        </r>
      </text>
    </comment>
  </commentList>
</comments>
</file>

<file path=xl/sharedStrings.xml><?xml version="1.0" encoding="utf-8"?>
<sst xmlns="http://schemas.openxmlformats.org/spreadsheetml/2006/main" count="9606" uniqueCount="424">
  <si>
    <t>General Information</t>
  </si>
  <si>
    <t>Analyst</t>
  </si>
  <si>
    <t>Agency or Company</t>
  </si>
  <si>
    <t>Date Performed</t>
  </si>
  <si>
    <t>Input Data</t>
  </si>
  <si>
    <t>Location Information</t>
  </si>
  <si>
    <t>Jurisdiction</t>
  </si>
  <si>
    <t>Analysis Year</t>
  </si>
  <si>
    <t>Base Conditions</t>
  </si>
  <si>
    <t>--</t>
  </si>
  <si>
    <t>Site Conditions</t>
  </si>
  <si>
    <t>Overdispersion Parameter, k</t>
  </si>
  <si>
    <t>Total</t>
  </si>
  <si>
    <t>Lane Width</t>
  </si>
  <si>
    <t>Yes</t>
  </si>
  <si>
    <t>No</t>
  </si>
  <si>
    <t>SPF Coefficients</t>
  </si>
  <si>
    <t>a</t>
  </si>
  <si>
    <t>b</t>
  </si>
  <si>
    <t>Other</t>
  </si>
  <si>
    <t>PDO</t>
  </si>
  <si>
    <t>Worksheet Name</t>
  </si>
  <si>
    <t>Contents</t>
  </si>
  <si>
    <t>Overview</t>
  </si>
  <si>
    <t>Instructions</t>
  </si>
  <si>
    <t>Current worksheet displaying overview, summary</t>
  </si>
  <si>
    <t>of spreadsheet worksheets, and description of</t>
  </si>
  <si>
    <t>color coding included in the worksheets.</t>
  </si>
  <si>
    <t>Data in this worksheet has been used to</t>
  </si>
  <si>
    <t>worksheet should be retained so that the</t>
  </si>
  <si>
    <t>Color Coding in the Worksheets</t>
  </si>
  <si>
    <t>identify locations where input data is required.  In some cases,</t>
  </si>
  <si>
    <t>the shaded cells require the user to input specific numbers. In</t>
  </si>
  <si>
    <t>other cases the input is restricted to a select set of options</t>
  </si>
  <si>
    <t>included in pull-down lists. The respective color coding is as</t>
  </si>
  <si>
    <t>follows:</t>
  </si>
  <si>
    <t>Color Used</t>
  </si>
  <si>
    <t>Type of Information Required from User</t>
  </si>
  <si>
    <t>Required input information as identified</t>
  </si>
  <si>
    <t xml:space="preserve">Input data required from the user but </t>
  </si>
  <si>
    <t>restricted to options provided in pull-down</t>
  </si>
  <si>
    <t>boxes.</t>
  </si>
  <si>
    <t>Optional input information that can be used</t>
  </si>
  <si>
    <t>to supplement the analysis if this information</t>
  </si>
  <si>
    <t>is available.  This optional input information</t>
  </si>
  <si>
    <t>The worksheets include three specific color options to help users</t>
  </si>
  <si>
    <t>FI</t>
  </si>
  <si>
    <t>Segment 1</t>
  </si>
  <si>
    <t>Site Type</t>
  </si>
  <si>
    <t>(veh/day)</t>
  </si>
  <si>
    <r>
      <t>AADT</t>
    </r>
    <r>
      <rPr>
        <vertAlign val="subscript"/>
        <sz val="10"/>
        <rFont val="Arial"/>
        <family val="2"/>
      </rPr>
      <t>MAX</t>
    </r>
    <r>
      <rPr>
        <sz val="10"/>
        <rFont val="Arial"/>
        <family val="2"/>
      </rPr>
      <t xml:space="preserve"> =</t>
    </r>
  </si>
  <si>
    <t>Spreadsheet developed by:</t>
  </si>
  <si>
    <t>Freeway</t>
  </si>
  <si>
    <t>Location Description</t>
  </si>
  <si>
    <t>Direction</t>
  </si>
  <si>
    <t>Number of Lanes</t>
  </si>
  <si>
    <t>Horizontal Alignment</t>
  </si>
  <si>
    <t>Cross Section Data</t>
  </si>
  <si>
    <t>Curve radius (ft)</t>
  </si>
  <si>
    <t>Length of rumble strips on inside shoulder (mi)</t>
  </si>
  <si>
    <t>Length of rumble strips on outside shoulder (mi)</t>
  </si>
  <si>
    <t>Length of median barrier, barrier piece 1</t>
  </si>
  <si>
    <t>Length of median barrier, barrier piece 2</t>
  </si>
  <si>
    <t>Length of median barrier, barrier piece 3</t>
  </si>
  <si>
    <t>Length of median barrier, barrier piece 4</t>
  </si>
  <si>
    <t>Length of median barrier, barrier piece 5</t>
  </si>
  <si>
    <t xml:space="preserve">   Distance from edge of travelled way to barrier face, barrier piece 1</t>
  </si>
  <si>
    <t xml:space="preserve">   Distance from edge of travelled way to barrier face, barrier piece 2</t>
  </si>
  <si>
    <t xml:space="preserve">   Distance from edge of travelled way to barrier face, barrier piece 3</t>
  </si>
  <si>
    <t xml:space="preserve">   Distance from edge of travelled way to barrier face, barrier piece 4</t>
  </si>
  <si>
    <t xml:space="preserve">   Distance from edge of travelled way to barrier face, barrier piece 5</t>
  </si>
  <si>
    <t>N/A</t>
  </si>
  <si>
    <t>Roadside Data</t>
  </si>
  <si>
    <t>Length of roadside barrier, barrier piece 1</t>
  </si>
  <si>
    <t>Length of roadside barrier, barrier piece 2</t>
  </si>
  <si>
    <t>Length of roadside barrier, barrier piece 3</t>
  </si>
  <si>
    <t>Length of roadside barrier, barrier piece 4</t>
  </si>
  <si>
    <t>Length of roadside barrier, barrier piece 5</t>
  </si>
  <si>
    <t>Ramp Access Data</t>
  </si>
  <si>
    <t>Part-time Shoulder Use (PTSU) Data</t>
  </si>
  <si>
    <t>Local Calibration</t>
  </si>
  <si>
    <t>FOREWORD</t>
  </si>
  <si>
    <t>ACKNOWLEDGMENT OF SPONSORSHIP</t>
  </si>
  <si>
    <t xml:space="preserve">This work was sponsored by the American Association of State Highway and Transportation Officials (AASHTO), in cooperation with the Federal Highway Administration, and was conducted in the National Cooperative Highway Research Program (NCHRP), which is administered by the Transportation Research Board of the National Academies.  </t>
  </si>
  <si>
    <t>DISCLAIMER</t>
  </si>
  <si>
    <r>
      <t>Outside shoulder width (W</t>
    </r>
    <r>
      <rPr>
        <vertAlign val="subscript"/>
        <sz val="10"/>
        <rFont val="Arial"/>
        <family val="2"/>
      </rPr>
      <t>s</t>
    </r>
    <r>
      <rPr>
        <sz val="10"/>
        <rFont val="Arial"/>
        <family val="2"/>
      </rPr>
      <t>), ft:</t>
    </r>
  </si>
  <si>
    <t>-</t>
  </si>
  <si>
    <t>Input Checks</t>
  </si>
  <si>
    <r>
      <t>Length of ramp exit (L</t>
    </r>
    <r>
      <rPr>
        <vertAlign val="subscript"/>
        <sz val="10"/>
        <rFont val="Arial"/>
        <family val="2"/>
      </rPr>
      <t>ex</t>
    </r>
    <r>
      <rPr>
        <sz val="10"/>
        <rFont val="Arial"/>
        <family val="2"/>
      </rPr>
      <t>), mi:</t>
    </r>
  </si>
  <si>
    <r>
      <t>Length of ramp entrance (L</t>
    </r>
    <r>
      <rPr>
        <vertAlign val="subscript"/>
        <sz val="10"/>
        <rFont val="Arial"/>
        <family val="2"/>
      </rPr>
      <t>en</t>
    </r>
    <r>
      <rPr>
        <sz val="10"/>
        <rFont val="Arial"/>
        <family val="2"/>
      </rPr>
      <t>), mi:</t>
    </r>
  </si>
  <si>
    <r>
      <t>Length of PTSU transition zones in site (L</t>
    </r>
    <r>
      <rPr>
        <vertAlign val="subscript"/>
        <sz val="10"/>
        <rFont val="Arial"/>
        <family val="2"/>
      </rPr>
      <t>transition,site</t>
    </r>
    <r>
      <rPr>
        <sz val="10"/>
        <rFont val="Arial"/>
        <family val="2"/>
      </rPr>
      <t>), mi:</t>
    </r>
  </si>
  <si>
    <r>
      <t>Proportion of time during the average day that PTSU operates (P</t>
    </r>
    <r>
      <rPr>
        <vertAlign val="subscript"/>
        <sz val="10"/>
        <rFont val="Arial"/>
        <family val="2"/>
      </rPr>
      <t>t,ptsu</t>
    </r>
    <r>
      <rPr>
        <sz val="10"/>
        <rFont val="Arial"/>
        <family val="2"/>
      </rPr>
      <t>):</t>
    </r>
  </si>
  <si>
    <t>General Information and Input Data</t>
  </si>
  <si>
    <t>Basic Freeway Segment (FS)</t>
  </si>
  <si>
    <t>Entrance Speed-Change Lane (EN)</t>
  </si>
  <si>
    <t>Exit Speed-Change Lane (EX)</t>
  </si>
  <si>
    <t>Safety Performance Functions (SPFs)</t>
  </si>
  <si>
    <t>SPF</t>
  </si>
  <si>
    <t>FS FI</t>
  </si>
  <si>
    <t>EN FI</t>
  </si>
  <si>
    <t>EX FI</t>
  </si>
  <si>
    <t>FS PDO</t>
  </si>
  <si>
    <t>EN PDO</t>
  </si>
  <si>
    <t>EX PDO</t>
  </si>
  <si>
    <t>Length</t>
  </si>
  <si>
    <t>n</t>
  </si>
  <si>
    <r>
      <t>AADT</t>
    </r>
    <r>
      <rPr>
        <b/>
        <vertAlign val="subscript"/>
        <sz val="10"/>
        <rFont val="Arial"/>
        <family val="2"/>
      </rPr>
      <t>fs</t>
    </r>
  </si>
  <si>
    <r>
      <t>AADT</t>
    </r>
    <r>
      <rPr>
        <b/>
        <vertAlign val="subscript"/>
        <sz val="10"/>
        <rFont val="Arial"/>
        <family val="2"/>
      </rPr>
      <t>en</t>
    </r>
  </si>
  <si>
    <r>
      <t>N</t>
    </r>
    <r>
      <rPr>
        <b/>
        <vertAlign val="subscript"/>
        <sz val="10"/>
        <rFont val="Arial"/>
        <family val="2"/>
      </rPr>
      <t>spf</t>
    </r>
  </si>
  <si>
    <r>
      <t>Directional freeway AADT (AADT</t>
    </r>
    <r>
      <rPr>
        <vertAlign val="subscript"/>
        <sz val="10"/>
        <rFont val="Arial"/>
        <family val="2"/>
      </rPr>
      <t>fs</t>
    </r>
    <r>
      <rPr>
        <sz val="10"/>
        <rFont val="Arial"/>
        <family val="2"/>
      </rPr>
      <t>), veh/day</t>
    </r>
  </si>
  <si>
    <r>
      <t>Entrance ramp AADT (AADT</t>
    </r>
    <r>
      <rPr>
        <vertAlign val="subscript"/>
        <sz val="10"/>
        <rFont val="Arial"/>
        <family val="2"/>
      </rPr>
      <t>en</t>
    </r>
    <r>
      <rPr>
        <sz val="10"/>
        <rFont val="Arial"/>
        <family val="2"/>
      </rPr>
      <t>), veh/day:</t>
    </r>
  </si>
  <si>
    <t>Adjustment Factors (AFs)</t>
  </si>
  <si>
    <t>Applicability</t>
  </si>
  <si>
    <t>All Site Types FI</t>
  </si>
  <si>
    <t>All Site Types PDO</t>
  </si>
  <si>
    <t>R</t>
  </si>
  <si>
    <t>Horizontal Curvature</t>
  </si>
  <si>
    <t>Inside Shoulder Width</t>
  </si>
  <si>
    <t xml:space="preserve">Inside Rumble Strips </t>
  </si>
  <si>
    <t>Median Width</t>
  </si>
  <si>
    <t>Median Barrier</t>
  </si>
  <si>
    <t>Lane Changes</t>
  </si>
  <si>
    <t>Outside Shoulder Width</t>
  </si>
  <si>
    <t>Outside Rumble Strips</t>
  </si>
  <si>
    <t>Outside Barrier</t>
  </si>
  <si>
    <t>Turnouts</t>
  </si>
  <si>
    <t>See LocalValues Worksheet</t>
  </si>
  <si>
    <t>Calibration Factors, Severity Distribution Functions, and Crash Type Distribution Functions</t>
  </si>
  <si>
    <t>Crash Prediction Model</t>
  </si>
  <si>
    <t>C</t>
  </si>
  <si>
    <r>
      <t>AF</t>
    </r>
    <r>
      <rPr>
        <b/>
        <vertAlign val="subscript"/>
        <sz val="10"/>
        <rFont val="Arial"/>
        <family val="2"/>
      </rPr>
      <t>hc</t>
    </r>
  </si>
  <si>
    <r>
      <t>N</t>
    </r>
    <r>
      <rPr>
        <b/>
        <vertAlign val="subscript"/>
        <sz val="10"/>
        <rFont val="Arial"/>
        <family val="2"/>
      </rPr>
      <t>p</t>
    </r>
  </si>
  <si>
    <t>Severity Distribution of Fatal+Injury Crashes</t>
  </si>
  <si>
    <t>Local Calibration Factors</t>
  </si>
  <si>
    <t>Basic Freeway Segment (FS), Fatal and Injury</t>
  </si>
  <si>
    <t>Entrance Speed-Change Lane (EN), Fatal and Injury</t>
  </si>
  <si>
    <t>Exit Speed-Change Lane (EX), Fatal and Injury</t>
  </si>
  <si>
    <t>Basic Freeway Segment (FS), PDO</t>
  </si>
  <si>
    <t>Entrance Speed-Change Lane (EN), PDO</t>
  </si>
  <si>
    <t>Exit Speed-Change Lane (EX), PDO</t>
  </si>
  <si>
    <t>Default</t>
  </si>
  <si>
    <t>Local Value</t>
  </si>
  <si>
    <t xml:space="preserve">Use </t>
  </si>
  <si>
    <t>Severity Distribution Functions</t>
  </si>
  <si>
    <r>
      <t>W</t>
    </r>
    <r>
      <rPr>
        <b/>
        <vertAlign val="subscript"/>
        <sz val="10"/>
        <rFont val="Arial"/>
        <family val="2"/>
      </rPr>
      <t>l</t>
    </r>
  </si>
  <si>
    <r>
      <t>P</t>
    </r>
    <r>
      <rPr>
        <b/>
        <vertAlign val="subscript"/>
        <sz val="10"/>
        <rFont val="Arial"/>
        <family val="2"/>
      </rPr>
      <t>ir</t>
    </r>
  </si>
  <si>
    <r>
      <t>P</t>
    </r>
    <r>
      <rPr>
        <b/>
        <vertAlign val="subscript"/>
        <sz val="10"/>
        <rFont val="Arial"/>
        <family val="2"/>
      </rPr>
      <t>ib</t>
    </r>
  </si>
  <si>
    <r>
      <t>W</t>
    </r>
    <r>
      <rPr>
        <b/>
        <vertAlign val="subscript"/>
        <sz val="10"/>
        <rFont val="Arial"/>
        <family val="2"/>
      </rPr>
      <t>m</t>
    </r>
  </si>
  <si>
    <r>
      <t>W</t>
    </r>
    <r>
      <rPr>
        <b/>
        <vertAlign val="subscript"/>
        <sz val="10"/>
        <rFont val="Arial"/>
        <family val="2"/>
      </rPr>
      <t>is,o</t>
    </r>
  </si>
  <si>
    <r>
      <t>W</t>
    </r>
    <r>
      <rPr>
        <b/>
        <vertAlign val="subscript"/>
        <sz val="10"/>
        <rFont val="Arial"/>
        <family val="2"/>
      </rPr>
      <t>is,s</t>
    </r>
  </si>
  <si>
    <r>
      <t>W</t>
    </r>
    <r>
      <rPr>
        <b/>
        <vertAlign val="subscript"/>
        <sz val="10"/>
        <rFont val="Arial"/>
        <family val="2"/>
      </rPr>
      <t>um</t>
    </r>
  </si>
  <si>
    <r>
      <t>W</t>
    </r>
    <r>
      <rPr>
        <b/>
        <vertAlign val="subscript"/>
        <sz val="10"/>
        <rFont val="Arial"/>
        <family val="2"/>
      </rPr>
      <t>icb</t>
    </r>
  </si>
  <si>
    <r>
      <t>W</t>
    </r>
    <r>
      <rPr>
        <b/>
        <vertAlign val="subscript"/>
        <sz val="10"/>
        <rFont val="Arial"/>
        <family val="2"/>
      </rPr>
      <t>s</t>
    </r>
  </si>
  <si>
    <r>
      <t>P</t>
    </r>
    <r>
      <rPr>
        <b/>
        <vertAlign val="subscript"/>
        <sz val="10"/>
        <rFont val="Arial"/>
        <family val="2"/>
      </rPr>
      <t>or</t>
    </r>
  </si>
  <si>
    <r>
      <t>P</t>
    </r>
    <r>
      <rPr>
        <b/>
        <vertAlign val="subscript"/>
        <sz val="10"/>
        <rFont val="Arial"/>
        <family val="2"/>
      </rPr>
      <t>ob</t>
    </r>
  </si>
  <si>
    <r>
      <t>W</t>
    </r>
    <r>
      <rPr>
        <b/>
        <vertAlign val="subscript"/>
        <sz val="10"/>
        <rFont val="Arial"/>
        <family val="2"/>
      </rPr>
      <t>hc</t>
    </r>
  </si>
  <si>
    <r>
      <t>W</t>
    </r>
    <r>
      <rPr>
        <b/>
        <vertAlign val="subscript"/>
        <sz val="10"/>
        <rFont val="Arial"/>
        <family val="2"/>
      </rPr>
      <t>ocb</t>
    </r>
  </si>
  <si>
    <r>
      <t>P</t>
    </r>
    <r>
      <rPr>
        <b/>
        <vertAlign val="subscript"/>
        <sz val="10"/>
        <rFont val="Arial"/>
        <family val="2"/>
      </rPr>
      <t>turnout</t>
    </r>
  </si>
  <si>
    <t>L</t>
  </si>
  <si>
    <r>
      <t>X</t>
    </r>
    <r>
      <rPr>
        <b/>
        <vertAlign val="subscript"/>
        <sz val="10"/>
        <rFont val="Arial"/>
        <family val="2"/>
      </rPr>
      <t>b</t>
    </r>
  </si>
  <si>
    <r>
      <t>AADT</t>
    </r>
    <r>
      <rPr>
        <b/>
        <vertAlign val="subscript"/>
        <sz val="10"/>
        <rFont val="Arial"/>
        <family val="2"/>
      </rPr>
      <t>b</t>
    </r>
  </si>
  <si>
    <r>
      <t>X</t>
    </r>
    <r>
      <rPr>
        <b/>
        <vertAlign val="subscript"/>
        <sz val="10"/>
        <rFont val="Arial"/>
        <family val="2"/>
      </rPr>
      <t>e</t>
    </r>
  </si>
  <si>
    <r>
      <t>AADT</t>
    </r>
    <r>
      <rPr>
        <b/>
        <vertAlign val="subscript"/>
        <sz val="10"/>
        <rFont val="Arial"/>
        <family val="2"/>
      </rPr>
      <t>e</t>
    </r>
  </si>
  <si>
    <r>
      <t>P</t>
    </r>
    <r>
      <rPr>
        <b/>
        <vertAlign val="subscript"/>
        <sz val="10"/>
        <rFont val="Arial"/>
        <family val="2"/>
      </rPr>
      <t>t</t>
    </r>
  </si>
  <si>
    <r>
      <t>f</t>
    </r>
    <r>
      <rPr>
        <b/>
        <vertAlign val="subscript"/>
        <sz val="10"/>
        <rFont val="Arial"/>
        <family val="2"/>
      </rPr>
      <t>w,closed</t>
    </r>
  </si>
  <si>
    <r>
      <t>f</t>
    </r>
    <r>
      <rPr>
        <b/>
        <vertAlign val="subscript"/>
        <sz val="10"/>
        <rFont val="Arial"/>
        <family val="2"/>
      </rPr>
      <t>w,open</t>
    </r>
  </si>
  <si>
    <r>
      <t>f</t>
    </r>
    <r>
      <rPr>
        <b/>
        <vertAlign val="subscript"/>
        <sz val="10"/>
        <rFont val="Arial"/>
        <family val="2"/>
      </rPr>
      <t>ptsu,open</t>
    </r>
  </si>
  <si>
    <r>
      <t>P</t>
    </r>
    <r>
      <rPr>
        <b/>
        <vertAlign val="subscript"/>
        <sz val="10"/>
        <rFont val="Arial"/>
        <family val="2"/>
      </rPr>
      <t>transition</t>
    </r>
  </si>
  <si>
    <r>
      <t>f</t>
    </r>
    <r>
      <rPr>
        <b/>
        <vertAlign val="subscript"/>
        <sz val="10"/>
        <rFont val="Arial"/>
        <family val="2"/>
      </rPr>
      <t>near,open</t>
    </r>
  </si>
  <si>
    <r>
      <t>L</t>
    </r>
    <r>
      <rPr>
        <b/>
        <vertAlign val="subscript"/>
        <sz val="10"/>
        <rFont val="Arial"/>
        <family val="2"/>
      </rPr>
      <t>en</t>
    </r>
  </si>
  <si>
    <r>
      <t>L</t>
    </r>
    <r>
      <rPr>
        <b/>
        <vertAlign val="subscript"/>
        <sz val="10"/>
        <rFont val="Arial"/>
        <family val="2"/>
      </rPr>
      <t>ex</t>
    </r>
  </si>
  <si>
    <t>PTSU Operation</t>
  </si>
  <si>
    <t>Multiple-Vehicle Crash Type</t>
  </si>
  <si>
    <t>Head On</t>
  </si>
  <si>
    <t>Right Angle</t>
  </si>
  <si>
    <t>Rear End</t>
  </si>
  <si>
    <t>Sideswipe Same Dir.</t>
  </si>
  <si>
    <t>Animal</t>
  </si>
  <si>
    <t>Fixed Object</t>
  </si>
  <si>
    <t>Other Object</t>
  </si>
  <si>
    <t>Parked Vehicle</t>
  </si>
  <si>
    <t>Single-Vehicle Crash Type</t>
  </si>
  <si>
    <t>BFS</t>
  </si>
  <si>
    <t>ENSCL</t>
  </si>
  <si>
    <t>EXSCL</t>
  </si>
  <si>
    <t>Crash Type Distributions, FI</t>
  </si>
  <si>
    <t>Crash Type Distributions, PDO</t>
  </si>
  <si>
    <r>
      <t>P</t>
    </r>
    <r>
      <rPr>
        <vertAlign val="subscript"/>
        <sz val="10"/>
        <rFont val="Arial"/>
        <family val="2"/>
      </rPr>
      <t>fs,K</t>
    </r>
  </si>
  <si>
    <r>
      <t>P</t>
    </r>
    <r>
      <rPr>
        <vertAlign val="subscript"/>
        <sz val="10"/>
        <rFont val="Arial"/>
        <family val="2"/>
      </rPr>
      <t>fs,A</t>
    </r>
  </si>
  <si>
    <r>
      <t>P</t>
    </r>
    <r>
      <rPr>
        <vertAlign val="subscript"/>
        <sz val="10"/>
        <rFont val="Arial"/>
        <family val="2"/>
      </rPr>
      <t>fs,B</t>
    </r>
  </si>
  <si>
    <r>
      <t>P</t>
    </r>
    <r>
      <rPr>
        <vertAlign val="subscript"/>
        <sz val="10"/>
        <rFont val="Arial"/>
        <family val="2"/>
      </rPr>
      <t>fs,C</t>
    </r>
  </si>
  <si>
    <r>
      <t>P</t>
    </r>
    <r>
      <rPr>
        <vertAlign val="subscript"/>
        <sz val="10"/>
        <rFont val="Arial"/>
        <family val="2"/>
      </rPr>
      <t>en,K</t>
    </r>
  </si>
  <si>
    <r>
      <t>P</t>
    </r>
    <r>
      <rPr>
        <vertAlign val="subscript"/>
        <sz val="10"/>
        <rFont val="Arial"/>
        <family val="2"/>
      </rPr>
      <t>en,A</t>
    </r>
  </si>
  <si>
    <r>
      <t>P</t>
    </r>
    <r>
      <rPr>
        <vertAlign val="subscript"/>
        <sz val="10"/>
        <rFont val="Arial"/>
        <family val="2"/>
      </rPr>
      <t>en,B</t>
    </r>
  </si>
  <si>
    <r>
      <t>P</t>
    </r>
    <r>
      <rPr>
        <vertAlign val="subscript"/>
        <sz val="10"/>
        <rFont val="Arial"/>
        <family val="2"/>
      </rPr>
      <t>en,C</t>
    </r>
  </si>
  <si>
    <r>
      <t>P</t>
    </r>
    <r>
      <rPr>
        <vertAlign val="subscript"/>
        <sz val="10"/>
        <rFont val="Arial"/>
        <family val="2"/>
      </rPr>
      <t>ex,K</t>
    </r>
  </si>
  <si>
    <r>
      <t>P</t>
    </r>
    <r>
      <rPr>
        <vertAlign val="subscript"/>
        <sz val="10"/>
        <rFont val="Arial"/>
        <family val="2"/>
      </rPr>
      <t>ex,A</t>
    </r>
  </si>
  <si>
    <r>
      <t>P</t>
    </r>
    <r>
      <rPr>
        <vertAlign val="subscript"/>
        <sz val="10"/>
        <rFont val="Arial"/>
        <family val="2"/>
      </rPr>
      <t>ex,B</t>
    </r>
  </si>
  <si>
    <r>
      <t>P</t>
    </r>
    <r>
      <rPr>
        <vertAlign val="subscript"/>
        <sz val="10"/>
        <rFont val="Arial"/>
        <family val="2"/>
      </rPr>
      <t>ex,C</t>
    </r>
  </si>
  <si>
    <t>FS K</t>
  </si>
  <si>
    <t>FS A</t>
  </si>
  <si>
    <t>FS B</t>
  </si>
  <si>
    <t>FS C</t>
  </si>
  <si>
    <t>EN K</t>
  </si>
  <si>
    <t>EN A</t>
  </si>
  <si>
    <t>EN B</t>
  </si>
  <si>
    <t>EN C</t>
  </si>
  <si>
    <t>EX K</t>
  </si>
  <si>
    <t>EX A</t>
  </si>
  <si>
    <t>EX B</t>
  </si>
  <si>
    <t>EX C</t>
  </si>
  <si>
    <r>
      <t>Distance from begin milepost to upstream entrance ramp gore (X</t>
    </r>
    <r>
      <rPr>
        <vertAlign val="subscript"/>
        <sz val="10"/>
        <rFont val="Arial"/>
        <family val="2"/>
      </rPr>
      <t>b,ent</t>
    </r>
    <r>
      <rPr>
        <sz val="10"/>
        <rFont val="Arial"/>
        <family val="2"/>
      </rPr>
      <t>), mi</t>
    </r>
  </si>
  <si>
    <r>
      <t>Distance from end milepost to downstream exit ramp gore (X</t>
    </r>
    <r>
      <rPr>
        <vertAlign val="subscript"/>
        <sz val="10"/>
        <rFont val="Arial"/>
        <family val="2"/>
      </rPr>
      <t>e,ext</t>
    </r>
    <r>
      <rPr>
        <sz val="10"/>
        <rFont val="Arial"/>
        <family val="2"/>
      </rPr>
      <t>), mi</t>
    </r>
  </si>
  <si>
    <r>
      <t>Upstream entrance ramp volume (AADT</t>
    </r>
    <r>
      <rPr>
        <vertAlign val="subscript"/>
        <sz val="10"/>
        <rFont val="Arial"/>
        <family val="2"/>
      </rPr>
      <t>b,ent</t>
    </r>
    <r>
      <rPr>
        <sz val="10"/>
        <rFont val="Arial"/>
        <family val="2"/>
      </rPr>
      <t>), veh/day</t>
    </r>
  </si>
  <si>
    <r>
      <t>Downstream exit ramp volume (AADT</t>
    </r>
    <r>
      <rPr>
        <vertAlign val="subscript"/>
        <sz val="10"/>
        <rFont val="Arial"/>
        <family val="2"/>
      </rPr>
      <t>e,ext</t>
    </r>
    <r>
      <rPr>
        <sz val="10"/>
        <rFont val="Arial"/>
        <family val="2"/>
      </rPr>
      <t>), veh/day</t>
    </r>
  </si>
  <si>
    <t>NCHRP Project 17-89 Freeway Analysis Tool</t>
  </si>
  <si>
    <t>This spreadsheet tool was developed through NCHRP Project 17-89 Safety Performance of Part-time Shoulder Use on Freeways. The spreadsheet implements the crash prediction models for freeways with or without part-time shoulder use (PTSU) that were developed in Project 17-89. The "Instructions" worksheet provides useful information about this spreadsheet and should be read prior to first use.</t>
  </si>
  <si>
    <t>This spreadsheet is intended for use with the document identified below. The analyst is encouraged to read this document, particularly the appendix containing draft text for a future edition of the Highway Safety Manual, so that he or she will have an understanding of how best to determine input values and interpret output.</t>
  </si>
  <si>
    <t xml:space="preserve">This spreadsheet tool is offered as is, without warranty or promise of support of any kind either expressed or implied. Under no circumstance will the National Academy of Sciences or the Transportation Research Board (TRB) be liable for any loss or damage caused by the installation or use of this product. The National Academy of Sciences, TRB, and the TRB National Cooperative Highway Research Program (NCHRP) make no representation or warranty of any kind, expressed or implied, in fact or in law, including without limitations the warranty of merchantability or the warranty of fitness for a particular purpose, and shall not in any case be liable for any consequential or special damages. </t>
  </si>
  <si>
    <t>This spreadsheet tool is subject to change without notice and does not represent a commitment on the part of the National Academy of Sciences, the TRB Committee on Highway Safety Performance, TRB, or the NCHRP to notify any person of such revisions.</t>
  </si>
  <si>
    <t>This spreadsheet has been developed to implement the crash prediction</t>
  </si>
  <si>
    <t>This spreadsheet can analyze up to 20 sites. If a project has more than 20</t>
  </si>
  <si>
    <t xml:space="preserve">sites, use of multiple versions of this file is recommended. If a project has </t>
  </si>
  <si>
    <t>less than 20 sites, do not delete worksheets. The Summary worksheet has</t>
  </si>
  <si>
    <t>a feature to suppress the display of results from unused worksheets.</t>
  </si>
  <si>
    <t>in the NCHRP Project 17-89 final report.</t>
  </si>
  <si>
    <t>The contents of this spreadsheet include the following:</t>
  </si>
  <si>
    <t>Welcome</t>
  </si>
  <si>
    <t>Foreward, acknowledgement of sponsorship, and</t>
  </si>
  <si>
    <t>disclaimer.</t>
  </si>
  <si>
    <t>is reserved for locally-derived calibration factors</t>
  </si>
  <si>
    <t>and crash information. If it is entered,</t>
  </si>
  <si>
    <t>default values incorporated into the spreadsheet</t>
  </si>
  <si>
    <t>Analysis for a single site: basic freeway segment,</t>
  </si>
  <si>
    <t>are overwritten with local values</t>
  </si>
  <si>
    <t xml:space="preserve">entrance speed-change lane, or exit speed-change </t>
  </si>
  <si>
    <t>lane. Contains inputs and associated calculations.</t>
  </si>
  <si>
    <t>Cell Protection in the Worksheets</t>
  </si>
  <si>
    <t>Segment 2 though</t>
  </si>
  <si>
    <t>These 19 worksheets are duplicates of the Segment 1</t>
  </si>
  <si>
    <t>Cells not intended for data input are protected. If users wish to</t>
  </si>
  <si>
    <t>Segment 20</t>
  </si>
  <si>
    <t>worksheet and enable analysis of additional sites.</t>
  </si>
  <si>
    <t xml:space="preserve">modify them, they should press the "unprotect sheet" button </t>
  </si>
  <si>
    <t>on Excel's "Review" ribbon and enter the password "ptsu".</t>
  </si>
  <si>
    <t>LocalValues</t>
  </si>
  <si>
    <t>Inputs to override default calibration factors, severity</t>
  </si>
  <si>
    <t>Cells should only be unprotected if users with to modify</t>
  </si>
  <si>
    <t>distribution functions, and crash type distribution</t>
  </si>
  <si>
    <t>calculations in the crash prediction models. This is not</t>
  </si>
  <si>
    <t>functions. Inputs are applied to all 20 of the segment</t>
  </si>
  <si>
    <t>recommended unless users have developed their own crash</t>
  </si>
  <si>
    <t>worksheets.</t>
  </si>
  <si>
    <t>prediction models.</t>
  </si>
  <si>
    <t>Summary</t>
  </si>
  <si>
    <t>Displays crash predictions computed on</t>
  </si>
  <si>
    <t>Input Guidance</t>
  </si>
  <si>
    <t>each of the 20 Segment worksheets. Also</t>
  </si>
  <si>
    <t xml:space="preserve">has inputs for historical crash data and </t>
  </si>
  <si>
    <t xml:space="preserve">The user is referred to the NCHRP Project 17-89 Final Report, </t>
  </si>
  <si>
    <t>computes expected crash frequency using</t>
  </si>
  <si>
    <t>particularly the appendix containing draft text for a future edition</t>
  </si>
  <si>
    <t>the EB Method</t>
  </si>
  <si>
    <t>of the Highway Safety Manual, for full definitions of variable inputs</t>
  </si>
  <si>
    <t>to the crash prediction models. Microsoft Excel "notes" in column</t>
  </si>
  <si>
    <t>Menus</t>
  </si>
  <si>
    <t>define the pull-down options on other</t>
  </si>
  <si>
    <t>worksheets.  There is no need for a user</t>
  </si>
  <si>
    <t>to work within this worksheet, but the</t>
  </si>
  <si>
    <t>other worksheets can continue to function</t>
  </si>
  <si>
    <t>message if a user's input is valid and other messages, typically</t>
  </si>
  <si>
    <t>"out of range", if a users input is invalid. Inputs are invalid if</t>
  </si>
  <si>
    <t xml:space="preserve">they are 1) outside the range of values observed in the NCHRP </t>
  </si>
  <si>
    <t>Pete Jenior, PE, PTOE</t>
  </si>
  <si>
    <t>Project 17-89 dataset or 2) illogical in relation to other inputs.</t>
  </si>
  <si>
    <t>Kittelson &amp; Associates, Inc.</t>
  </si>
  <si>
    <t>For example, the length of longitudinal feature within the segment</t>
  </si>
  <si>
    <t>Baltimore, MD</t>
  </si>
  <si>
    <t>Email:  pjenior@kittelson.com</t>
  </si>
  <si>
    <t>Phone:  410-347-9610</t>
  </si>
  <si>
    <t>Spreadsheet developed from:</t>
  </si>
  <si>
    <t>NCHRP Project 17-38 Urban</t>
  </si>
  <si>
    <t>and Suburban Arterial</t>
  </si>
  <si>
    <t>Spreadsheet</t>
  </si>
  <si>
    <t>Outside Clearance</t>
  </si>
  <si>
    <t>Yes/No</t>
  </si>
  <si>
    <r>
      <t>Length of turnouts within segment (L</t>
    </r>
    <r>
      <rPr>
        <vertAlign val="subscript"/>
        <sz val="10"/>
        <rFont val="Arial"/>
        <family val="2"/>
      </rPr>
      <t>turnout,seg</t>
    </r>
    <r>
      <rPr>
        <sz val="10"/>
        <rFont val="Arial"/>
        <family val="2"/>
      </rPr>
      <t>), mi:</t>
    </r>
  </si>
  <si>
    <r>
      <t>Median width (W</t>
    </r>
    <r>
      <rPr>
        <vertAlign val="subscript"/>
        <sz val="10"/>
        <rFont val="Arial"/>
        <family val="2"/>
      </rPr>
      <t>m</t>
    </r>
    <r>
      <rPr>
        <sz val="10"/>
        <rFont val="Arial"/>
        <family val="2"/>
      </rPr>
      <t>), ft:</t>
    </r>
  </si>
  <si>
    <r>
      <t>Clear zone width (W</t>
    </r>
    <r>
      <rPr>
        <vertAlign val="subscript"/>
        <sz val="10"/>
        <rFont val="Arial"/>
        <family val="2"/>
      </rPr>
      <t>hc</t>
    </r>
    <r>
      <rPr>
        <sz val="10"/>
        <rFont val="Arial"/>
        <family val="2"/>
      </rPr>
      <t>), ft:</t>
    </r>
  </si>
  <si>
    <r>
      <t>Length of freeway segment, L</t>
    </r>
    <r>
      <rPr>
        <vertAlign val="subscript"/>
        <sz val="10"/>
        <rFont val="Arial"/>
        <family val="2"/>
      </rPr>
      <t>fs</t>
    </r>
    <r>
      <rPr>
        <sz val="10"/>
        <rFont val="Arial"/>
        <family val="2"/>
      </rPr>
      <t xml:space="preserve"> (mi)</t>
    </r>
  </si>
  <si>
    <r>
      <t xml:space="preserve">Site type </t>
    </r>
    <r>
      <rPr>
        <sz val="8"/>
        <rFont val="Arial"/>
        <family val="2"/>
      </rPr>
      <t>(Basic Segment, Ramp Entrance Speed-Change Lane, Ramp Exit Speed-Change Lane)</t>
    </r>
  </si>
  <si>
    <t>Number of lanes, n</t>
  </si>
  <si>
    <r>
      <t>AF</t>
    </r>
    <r>
      <rPr>
        <b/>
        <vertAlign val="subscript"/>
        <sz val="10"/>
        <rFont val="Arial"/>
        <family val="2"/>
      </rPr>
      <t>lw</t>
    </r>
  </si>
  <si>
    <r>
      <t>AF</t>
    </r>
    <r>
      <rPr>
        <b/>
        <vertAlign val="subscript"/>
        <sz val="10"/>
        <rFont val="Arial"/>
        <family val="2"/>
      </rPr>
      <t>isw</t>
    </r>
  </si>
  <si>
    <r>
      <t>AF</t>
    </r>
    <r>
      <rPr>
        <b/>
        <vertAlign val="subscript"/>
        <sz val="10"/>
        <rFont val="Arial"/>
        <family val="2"/>
      </rPr>
      <t>irs</t>
    </r>
  </si>
  <si>
    <r>
      <t>AF</t>
    </r>
    <r>
      <rPr>
        <b/>
        <vertAlign val="subscript"/>
        <sz val="10"/>
        <rFont val="Arial"/>
        <family val="2"/>
      </rPr>
      <t>mw</t>
    </r>
  </si>
  <si>
    <r>
      <t>AF</t>
    </r>
    <r>
      <rPr>
        <b/>
        <vertAlign val="subscript"/>
        <sz val="10"/>
        <rFont val="Arial"/>
        <family val="2"/>
      </rPr>
      <t>mb</t>
    </r>
  </si>
  <si>
    <r>
      <t>AF</t>
    </r>
    <r>
      <rPr>
        <b/>
        <vertAlign val="subscript"/>
        <sz val="10"/>
        <rFont val="Arial"/>
        <family val="2"/>
      </rPr>
      <t>ptsu</t>
    </r>
  </si>
  <si>
    <r>
      <t>AF</t>
    </r>
    <r>
      <rPr>
        <b/>
        <vertAlign val="subscript"/>
        <sz val="10"/>
        <rFont val="Arial"/>
        <family val="2"/>
      </rPr>
      <t>osw</t>
    </r>
  </si>
  <si>
    <r>
      <t>AF</t>
    </r>
    <r>
      <rPr>
        <b/>
        <vertAlign val="subscript"/>
        <sz val="10"/>
        <rFont val="Arial"/>
        <family val="2"/>
      </rPr>
      <t>ors</t>
    </r>
  </si>
  <si>
    <r>
      <t>AF</t>
    </r>
    <r>
      <rPr>
        <b/>
        <vertAlign val="subscript"/>
        <sz val="10"/>
        <rFont val="Arial"/>
        <family val="2"/>
      </rPr>
      <t>oc</t>
    </r>
  </si>
  <si>
    <r>
      <t>AF</t>
    </r>
    <r>
      <rPr>
        <b/>
        <vertAlign val="subscript"/>
        <sz val="10"/>
        <rFont val="Arial"/>
        <family val="2"/>
      </rPr>
      <t>ob</t>
    </r>
  </si>
  <si>
    <r>
      <t>AF</t>
    </r>
    <r>
      <rPr>
        <b/>
        <vertAlign val="subscript"/>
        <sz val="10"/>
        <rFont val="Arial"/>
        <family val="2"/>
      </rPr>
      <t>turnout</t>
    </r>
  </si>
  <si>
    <r>
      <t>AF</t>
    </r>
    <r>
      <rPr>
        <b/>
        <vertAlign val="subscript"/>
        <sz val="10"/>
        <rFont val="Arial"/>
        <family val="2"/>
      </rPr>
      <t>len,en</t>
    </r>
  </si>
  <si>
    <r>
      <t>AF</t>
    </r>
    <r>
      <rPr>
        <b/>
        <vertAlign val="subscript"/>
        <sz val="10"/>
        <rFont val="Arial"/>
        <family val="2"/>
      </rPr>
      <t>len,ex</t>
    </r>
  </si>
  <si>
    <r>
      <t>AF</t>
    </r>
    <r>
      <rPr>
        <b/>
        <vertAlign val="subscript"/>
        <sz val="10"/>
        <rFont val="Arial"/>
        <family val="2"/>
      </rPr>
      <t>lc</t>
    </r>
  </si>
  <si>
    <r>
      <t>AF</t>
    </r>
    <r>
      <rPr>
        <b/>
        <vertAlign val="subscript"/>
        <sz val="10"/>
        <rFont val="Arial"/>
        <family val="2"/>
      </rPr>
      <t>len,en/ex</t>
    </r>
  </si>
  <si>
    <r>
      <t>N</t>
    </r>
    <r>
      <rPr>
        <b/>
        <vertAlign val="subscript"/>
        <sz val="10"/>
        <rFont val="Arial"/>
        <family val="2"/>
      </rPr>
      <t>SDF</t>
    </r>
  </si>
  <si>
    <t>Freeway Segments - Probability of severity K,A,B and C</t>
  </si>
  <si>
    <t>Entrance Speed-Change Lanes - Probability of severity K,A,B and C</t>
  </si>
  <si>
    <t>Exit Speed-Change Lanes - Probability of severity K,A,B and C</t>
  </si>
  <si>
    <t>Summary and EB Analysis</t>
  </si>
  <si>
    <t>Site 1</t>
  </si>
  <si>
    <t>Site 2</t>
  </si>
  <si>
    <t>Site 3</t>
  </si>
  <si>
    <t>Site 4</t>
  </si>
  <si>
    <t>Site 5</t>
  </si>
  <si>
    <t>Site 6</t>
  </si>
  <si>
    <t>Site 7</t>
  </si>
  <si>
    <t>Site 8</t>
  </si>
  <si>
    <t>Site 9</t>
  </si>
  <si>
    <t>Site 10</t>
  </si>
  <si>
    <t>Site 11</t>
  </si>
  <si>
    <t>Site 12</t>
  </si>
  <si>
    <t>Site 13</t>
  </si>
  <si>
    <t>Site 14</t>
  </si>
  <si>
    <t>Site 15</t>
  </si>
  <si>
    <t>Site 16</t>
  </si>
  <si>
    <t>Site 17</t>
  </si>
  <si>
    <t>Site 18</t>
  </si>
  <si>
    <t>Site 19</t>
  </si>
  <si>
    <t>Site 20</t>
  </si>
  <si>
    <t>Type</t>
  </si>
  <si>
    <t>Description</t>
  </si>
  <si>
    <t>Analyze?</t>
  </si>
  <si>
    <t>Predicted Average Crash Frequency</t>
  </si>
  <si>
    <t>Crash Type Distributions, FI - Local Value</t>
  </si>
  <si>
    <t>Crash Type Distributions, PDO - Local Value</t>
  </si>
  <si>
    <t>Summary of Sites and Predicted Crashes</t>
  </si>
  <si>
    <t>Perform Emperical Bayes (EB) analysis?</t>
  </si>
  <si>
    <t>Years of crash data used?</t>
  </si>
  <si>
    <t xml:space="preserve">Project Totals: </t>
  </si>
  <si>
    <t>Key results. Not an input.</t>
  </si>
  <si>
    <t>Transition Zones</t>
  </si>
  <si>
    <t>Calibration Factor, C</t>
  </si>
  <si>
    <r>
      <t>S</t>
    </r>
    <r>
      <rPr>
        <b/>
        <vertAlign val="subscript"/>
        <sz val="10"/>
        <rFont val="Arial"/>
        <family val="2"/>
      </rPr>
      <t>ast,K</t>
    </r>
  </si>
  <si>
    <r>
      <t>S</t>
    </r>
    <r>
      <rPr>
        <b/>
        <vertAlign val="subscript"/>
        <sz val="10"/>
        <rFont val="Arial"/>
        <family val="2"/>
      </rPr>
      <t>fs,A</t>
    </r>
  </si>
  <si>
    <r>
      <t>S</t>
    </r>
    <r>
      <rPr>
        <b/>
        <vertAlign val="subscript"/>
        <sz val="10"/>
        <rFont val="Arial"/>
        <family val="2"/>
      </rPr>
      <t>fs,B</t>
    </r>
  </si>
  <si>
    <r>
      <t>S</t>
    </r>
    <r>
      <rPr>
        <b/>
        <vertAlign val="subscript"/>
        <sz val="10"/>
        <rFont val="Arial"/>
        <family val="2"/>
      </rPr>
      <t>b,ast,K</t>
    </r>
  </si>
  <si>
    <r>
      <t>S</t>
    </r>
    <r>
      <rPr>
        <b/>
        <vertAlign val="subscript"/>
        <sz val="10"/>
        <rFont val="Arial"/>
        <family val="2"/>
      </rPr>
      <t>b,fs,A</t>
    </r>
  </si>
  <si>
    <r>
      <t>S</t>
    </r>
    <r>
      <rPr>
        <b/>
        <vertAlign val="subscript"/>
        <sz val="10"/>
        <rFont val="Arial"/>
        <family val="2"/>
      </rPr>
      <t>b,fs,B</t>
    </r>
  </si>
  <si>
    <r>
      <t>f</t>
    </r>
    <r>
      <rPr>
        <b/>
        <vertAlign val="subscript"/>
        <sz val="10"/>
        <rFont val="Arial"/>
        <family val="2"/>
      </rPr>
      <t>bar,ast,KAB</t>
    </r>
  </si>
  <si>
    <r>
      <t>f</t>
    </r>
    <r>
      <rPr>
        <b/>
        <vertAlign val="subscript"/>
        <sz val="10"/>
        <rFont val="Arial"/>
        <family val="2"/>
      </rPr>
      <t>phv,ast,KAB</t>
    </r>
  </si>
  <si>
    <r>
      <t>f</t>
    </r>
    <r>
      <rPr>
        <b/>
        <vertAlign val="subscript"/>
        <sz val="10"/>
        <rFont val="Arial"/>
        <family val="2"/>
      </rPr>
      <t>ptsu,ast,K</t>
    </r>
  </si>
  <si>
    <r>
      <t>f</t>
    </r>
    <r>
      <rPr>
        <b/>
        <vertAlign val="subscript"/>
        <sz val="10"/>
        <rFont val="Arial"/>
        <family val="2"/>
      </rPr>
      <t>ptsu,ast,A</t>
    </r>
  </si>
  <si>
    <r>
      <t>f</t>
    </r>
    <r>
      <rPr>
        <b/>
        <vertAlign val="subscript"/>
        <sz val="10"/>
        <rFont val="Arial"/>
        <family val="2"/>
      </rPr>
      <t>ptsu,ast,B</t>
    </r>
  </si>
  <si>
    <r>
      <t>P</t>
    </r>
    <r>
      <rPr>
        <b/>
        <vertAlign val="subscript"/>
        <sz val="10"/>
        <rFont val="Arial"/>
        <family val="2"/>
      </rPr>
      <t>hv</t>
    </r>
  </si>
  <si>
    <r>
      <t>P</t>
    </r>
    <r>
      <rPr>
        <b/>
        <vertAlign val="subscript"/>
        <sz val="10"/>
        <rFont val="Arial"/>
        <family val="2"/>
      </rPr>
      <t>fs,K,A,B,C</t>
    </r>
  </si>
  <si>
    <t>G of the segment worksheets and other locations provide guidance</t>
  </si>
  <si>
    <t>Observed and Expected Crashes</t>
  </si>
  <si>
    <t>Weighted Adjustment, w</t>
  </si>
  <si>
    <t>Expected Average Crash Frequency</t>
  </si>
  <si>
    <t>Observed Crashes, All Years</t>
  </si>
  <si>
    <r>
      <t xml:space="preserve">Inside shoulder width, </t>
    </r>
    <r>
      <rPr>
        <b/>
        <sz val="10"/>
        <rFont val="Arial"/>
        <family val="2"/>
      </rPr>
      <t>subject</t>
    </r>
    <r>
      <rPr>
        <sz val="10"/>
        <rFont val="Arial"/>
        <family val="2"/>
      </rPr>
      <t xml:space="preserve"> direction of travel (W</t>
    </r>
    <r>
      <rPr>
        <vertAlign val="subscript"/>
        <sz val="10"/>
        <rFont val="Arial"/>
        <family val="2"/>
      </rPr>
      <t>is,s</t>
    </r>
    <r>
      <rPr>
        <sz val="10"/>
        <rFont val="Arial"/>
        <family val="2"/>
      </rPr>
      <t>), ft:</t>
    </r>
  </si>
  <si>
    <r>
      <t xml:space="preserve">Inside shoulder width, </t>
    </r>
    <r>
      <rPr>
        <b/>
        <sz val="10"/>
        <rFont val="Arial"/>
        <family val="2"/>
      </rPr>
      <t>opposite</t>
    </r>
    <r>
      <rPr>
        <sz val="10"/>
        <rFont val="Arial"/>
        <family val="2"/>
      </rPr>
      <t xml:space="preserve"> direction of travel  (W</t>
    </r>
    <r>
      <rPr>
        <vertAlign val="subscript"/>
        <sz val="10"/>
        <rFont val="Arial"/>
        <family val="2"/>
      </rPr>
      <t>is,o</t>
    </r>
    <r>
      <rPr>
        <sz val="10"/>
        <rFont val="Arial"/>
        <family val="2"/>
      </rPr>
      <t>), ft:</t>
    </r>
  </si>
  <si>
    <r>
      <t>W</t>
    </r>
    <r>
      <rPr>
        <b/>
        <vertAlign val="subscript"/>
        <sz val="10"/>
        <rFont val="Arial"/>
        <family val="2"/>
      </rPr>
      <t>ptsu,s</t>
    </r>
  </si>
  <si>
    <r>
      <t>W</t>
    </r>
    <r>
      <rPr>
        <b/>
        <vertAlign val="subscript"/>
        <sz val="10"/>
        <rFont val="Arial"/>
        <family val="2"/>
      </rPr>
      <t>ptsu,o</t>
    </r>
  </si>
  <si>
    <r>
      <t>I</t>
    </r>
    <r>
      <rPr>
        <b/>
        <vertAlign val="subscript"/>
        <sz val="10"/>
        <rFont val="Arial"/>
        <family val="2"/>
      </rPr>
      <t>ptsuLane</t>
    </r>
  </si>
  <si>
    <t>Freeway Segment FI</t>
  </si>
  <si>
    <t>Term 1</t>
  </si>
  <si>
    <t>Term2</t>
  </si>
  <si>
    <t>Freeway Segment PDO</t>
  </si>
  <si>
    <t>EN SCL FI</t>
  </si>
  <si>
    <t>EX SCL FI</t>
  </si>
  <si>
    <t>EN SCL PDO</t>
  </si>
  <si>
    <t>EX SCL PDO</t>
  </si>
  <si>
    <t>models for freeways with or without part-time shoulder use operation</t>
  </si>
  <si>
    <t>developed in NCHRP Project 17-89. The appearance mimics the NCHRP</t>
  </si>
  <si>
    <t>Project 17-38 spreadsheets developed to implement models from the first</t>
  </si>
  <si>
    <t>edition of the Highway Safety Manual.</t>
  </si>
  <si>
    <t>on inputs. The "Base Conditions" column provides the values at</t>
  </si>
  <si>
    <t>which AFs will equal 1.00. They should not be interpreted as</t>
  </si>
  <si>
    <t xml:space="preserve">each input variable. The "Input Checks" column displays an "OK" </t>
  </si>
  <si>
    <t>default values and users should collect and enter actual values of</t>
  </si>
  <si>
    <r>
      <t xml:space="preserve">cannot exceed the length of the segment. </t>
    </r>
    <r>
      <rPr>
        <b/>
        <sz val="10"/>
        <rFont val="Arial"/>
        <family val="2"/>
      </rPr>
      <t>Input checks assess</t>
    </r>
  </si>
  <si>
    <t>the most common potential invalid inputs. They do not</t>
  </si>
  <si>
    <t>values.</t>
  </si>
  <si>
    <t>assess every conceivable combination of variable input</t>
  </si>
  <si>
    <r>
      <t>Through lane width (W</t>
    </r>
    <r>
      <rPr>
        <vertAlign val="subscript"/>
        <sz val="10"/>
        <rFont val="Arial"/>
        <family val="2"/>
      </rPr>
      <t>l</t>
    </r>
    <r>
      <rPr>
        <sz val="10"/>
        <rFont val="Arial"/>
        <family val="2"/>
      </rPr>
      <t>), ft:</t>
    </r>
  </si>
  <si>
    <t>Part-time Shoulder Use Operation</t>
  </si>
  <si>
    <t>PTSU operation present?</t>
  </si>
  <si>
    <t>&gt;0.5</t>
  </si>
  <si>
    <r>
      <t xml:space="preserve">Width of shoulder (inside or outside) allocated to PTSU lane in </t>
    </r>
    <r>
      <rPr>
        <b/>
        <sz val="9"/>
        <rFont val="Arial"/>
        <family val="2"/>
      </rPr>
      <t>subject</t>
    </r>
    <r>
      <rPr>
        <sz val="9"/>
        <rFont val="Arial"/>
        <family val="2"/>
      </rPr>
      <t xml:space="preserve"> direction of travel (W</t>
    </r>
    <r>
      <rPr>
        <vertAlign val="subscript"/>
        <sz val="9"/>
        <rFont val="Arial"/>
        <family val="2"/>
      </rPr>
      <t>ptsu,s</t>
    </r>
    <r>
      <rPr>
        <sz val="9"/>
        <rFont val="Arial"/>
        <family val="2"/>
      </rPr>
      <t>), ft:</t>
    </r>
  </si>
  <si>
    <r>
      <t xml:space="preserve">Width of inside shoulder allocated to PTSU lane in </t>
    </r>
    <r>
      <rPr>
        <b/>
        <sz val="9"/>
        <rFont val="Arial"/>
        <family val="2"/>
      </rPr>
      <t>opposite</t>
    </r>
    <r>
      <rPr>
        <sz val="9"/>
        <rFont val="Arial"/>
        <family val="2"/>
      </rPr>
      <t xml:space="preserve"> direction of travel (W</t>
    </r>
    <r>
      <rPr>
        <vertAlign val="subscript"/>
        <sz val="9"/>
        <rFont val="Arial"/>
        <family val="2"/>
      </rPr>
      <t>ptsu,o</t>
    </r>
    <r>
      <rPr>
        <sz val="9"/>
        <rFont val="Arial"/>
        <family val="2"/>
      </rPr>
      <t>), ft:</t>
    </r>
  </si>
  <si>
    <t>d</t>
  </si>
  <si>
    <r>
      <rPr>
        <b/>
        <sz val="10"/>
        <rFont val="Arial"/>
        <family val="2"/>
      </rPr>
      <t>a</t>
    </r>
    <r>
      <rPr>
        <b/>
        <vertAlign val="subscript"/>
        <sz val="10"/>
        <rFont val="Arial"/>
        <family val="2"/>
      </rPr>
      <t>x</t>
    </r>
  </si>
  <si>
    <r>
      <rPr>
        <b/>
        <sz val="10"/>
        <rFont val="Arial"/>
        <family val="2"/>
      </rPr>
      <t>a</t>
    </r>
    <r>
      <rPr>
        <b/>
        <vertAlign val="subscript"/>
        <sz val="10"/>
        <rFont val="Arial"/>
        <family val="2"/>
      </rPr>
      <t>v</t>
    </r>
  </si>
  <si>
    <t>Ramp Entrance Length/Ramp Exit Length</t>
  </si>
  <si>
    <t xml:space="preserve">   Distance from edge of nearest through lane to barrier face, barrier piece 1</t>
  </si>
  <si>
    <t xml:space="preserve">   Distance from edge of nearest through lane to barrier face, barrier piece 2</t>
  </si>
  <si>
    <t xml:space="preserve">   Distance from edge of nearest through lane to barrier face, barrier piece 3</t>
  </si>
  <si>
    <t xml:space="preserve">   Distance from edge of nearest through lane to barrier face, barrier piece 4</t>
  </si>
  <si>
    <t xml:space="preserve">   Distance from edge of nearest through lane to barrier face, barrier piece 5</t>
  </si>
  <si>
    <t>PTSU Side</t>
  </si>
  <si>
    <t>Shoulder used for PTSU?</t>
  </si>
  <si>
    <t>Outside</t>
  </si>
  <si>
    <t>Inside</t>
  </si>
  <si>
    <t>Severity</t>
  </si>
  <si>
    <t>K</t>
  </si>
  <si>
    <t>A</t>
  </si>
  <si>
    <t>B</t>
  </si>
  <si>
    <r>
      <t>Severity
P</t>
    </r>
    <r>
      <rPr>
        <b/>
        <vertAlign val="subscript"/>
        <sz val="10"/>
        <rFont val="Arial"/>
        <family val="2"/>
      </rPr>
      <t>(j)</t>
    </r>
  </si>
  <si>
    <t>Predicted Crash Frequency by Crash Type and Severity (crashes/year) - Basic Freeway Segment (FS)</t>
  </si>
  <si>
    <t>Predicted Crash Frequency by Crash Type and Severity (crashes/year) - Entrance Speed-Change Lane (EN)</t>
  </si>
  <si>
    <t>Predicted Crash Frequency by Crash Type and Severity (crashes/year) - Exit Speed-Change Lane (EX)</t>
  </si>
  <si>
    <t>PMJ</t>
  </si>
  <si>
    <t>Hourly Traffic Volume Data</t>
  </si>
  <si>
    <t>Hourly Volume</t>
  </si>
  <si>
    <t>No - Use Default Value</t>
  </si>
  <si>
    <t>Yes - Enter Below</t>
  </si>
  <si>
    <t>Is the percent of AADT volume that occurs in high volume hours available?</t>
  </si>
  <si>
    <t>Percent of AADT volume that occurs in high-volume hours</t>
  </si>
  <si>
    <t>Final - June 2021</t>
  </si>
  <si>
    <t>Jenior, P., J. Bonneson, L. Zhao, W. Kittelson, E. Donnell, and V. Gayah.  Safety Performance of Part-Time Shoulder Use on Freeways. Final Report. NCHRP Project 17-89. National Cooperative Highway Research Program, Washington,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</si>
</sst>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000"/>
  </numFmts>
  <fonts count="21" x14ac:knownFonts="1">
    <font>
      <sz val="10"/>
      <name val="Arial"/>
    </font>
    <font>
      <sz val="10"/>
      <name val="Arial"/>
      <family val="2"/>
    </font>
    <font>
      <sz val="8"/>
      <name val="Arial"/>
      <family val="2"/>
    </font>
    <font>
      <b/>
      <sz val="10"/>
      <name val="Arial"/>
      <family val="2"/>
    </font>
    <font>
      <i/>
      <sz val="10"/>
      <name val="Arial"/>
      <family val="2"/>
    </font>
    <font>
      <sz val="10"/>
      <name val="Arial"/>
      <family val="2"/>
    </font>
    <font>
      <b/>
      <vertAlign val="subscript"/>
      <sz val="10"/>
      <name val="Arial"/>
      <family val="2"/>
    </font>
    <font>
      <vertAlign val="subscript"/>
      <sz val="10"/>
      <name val="Arial"/>
      <family val="2"/>
    </font>
    <font>
      <b/>
      <i/>
      <sz val="10"/>
      <name val="Arial"/>
      <family val="2"/>
    </font>
    <font>
      <b/>
      <u/>
      <sz val="10"/>
      <name val="Arial"/>
      <family val="2"/>
    </font>
    <font>
      <u/>
      <sz val="10"/>
      <name val="Arial"/>
      <family val="2"/>
    </font>
    <font>
      <sz val="22"/>
      <name val="Arial"/>
      <family val="2"/>
    </font>
    <font>
      <sz val="8"/>
      <color indexed="81"/>
      <name val="Tahoma"/>
      <family val="2"/>
    </font>
    <font>
      <b/>
      <sz val="8"/>
      <color indexed="81"/>
      <name val="Tahoma"/>
      <family val="2"/>
    </font>
    <font>
      <u/>
      <sz val="8"/>
      <color indexed="81"/>
      <name val="Tahoma"/>
      <family val="2"/>
    </font>
    <font>
      <sz val="8"/>
      <color indexed="81"/>
      <name val="Courier New"/>
      <family val="3"/>
    </font>
    <font>
      <sz val="10"/>
      <color rgb="FFFF0000"/>
      <name val="Arial"/>
      <family val="2"/>
    </font>
    <font>
      <sz val="9"/>
      <color indexed="81"/>
      <name val="Tahoma"/>
      <family val="2"/>
    </font>
    <font>
      <sz val="9"/>
      <name val="Arial"/>
      <family val="2"/>
    </font>
    <font>
      <b/>
      <sz val="9"/>
      <name val="Arial"/>
      <family val="2"/>
    </font>
    <font>
      <vertAlign val="subscript"/>
      <sz val="9"/>
      <name val="Arial"/>
      <family val="2"/>
    </font>
  </fonts>
  <fills count="9">
    <fill>
      <patternFill patternType="none"/>
    </fill>
    <fill>
      <patternFill patternType="gray125"/>
    </fill>
    <fill>
      <patternFill patternType="solid">
        <fgColor rgb="FFF0E442"/>
        <bgColor indexed="64"/>
      </patternFill>
    </fill>
    <fill>
      <patternFill patternType="solid">
        <fgColor rgb="FF56B4E9"/>
        <bgColor indexed="64"/>
      </patternFill>
    </fill>
    <fill>
      <patternFill patternType="solid">
        <fgColor rgb="FFE69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ck">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top style="medium">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s>
  <cellStyleXfs count="2">
    <xf numFmtId="0" fontId="0" fillId="0" borderId="0"/>
    <xf numFmtId="0" fontId="1" fillId="0" borderId="0"/>
  </cellStyleXfs>
  <cellXfs count="428">
    <xf numFmtId="0" fontId="0" fillId="0" borderId="0" xfId="0"/>
    <xf numFmtId="0" fontId="5" fillId="0" borderId="0" xfId="0" applyFont="1"/>
    <xf numFmtId="49" fontId="5" fillId="0" borderId="0" xfId="0" applyNumberFormat="1" applyFont="1"/>
    <xf numFmtId="0" fontId="3" fillId="0" borderId="0" xfId="0" applyFont="1"/>
    <xf numFmtId="0" fontId="0" fillId="0" borderId="0" xfId="0" applyFill="1" applyBorder="1"/>
    <xf numFmtId="0" fontId="0" fillId="0" borderId="0" xfId="0" applyBorder="1" applyAlignment="1"/>
    <xf numFmtId="0" fontId="0" fillId="0" borderId="3" xfId="0" applyBorder="1" applyAlignment="1"/>
    <xf numFmtId="0" fontId="0" fillId="0" borderId="4" xfId="0" applyBorder="1" applyAlignment="1"/>
    <xf numFmtId="0" fontId="0" fillId="0" borderId="0" xfId="0" applyBorder="1"/>
    <xf numFmtId="0" fontId="0" fillId="0" borderId="5" xfId="0" applyBorder="1" applyAlignment="1"/>
    <xf numFmtId="0" fontId="0" fillId="0" borderId="0" xfId="0" applyBorder="1" applyAlignment="1">
      <alignment horizontal="center"/>
    </xf>
    <xf numFmtId="0" fontId="0" fillId="0" borderId="0" xfId="0" applyFill="1" applyBorder="1" applyAlignment="1">
      <alignment horizontal="center"/>
    </xf>
    <xf numFmtId="0" fontId="1" fillId="0" borderId="0" xfId="0" applyFont="1"/>
    <xf numFmtId="2" fontId="0" fillId="0" borderId="0" xfId="0" applyNumberFormat="1" applyFill="1" applyBorder="1" applyAlignment="1">
      <alignment horizontal="center"/>
    </xf>
    <xf numFmtId="0" fontId="0" fillId="0" borderId="0" xfId="0" applyFill="1" applyBorder="1" applyAlignment="1"/>
    <xf numFmtId="0" fontId="5" fillId="0" borderId="0" xfId="0" applyFont="1" applyFill="1" applyBorder="1" applyAlignment="1">
      <alignment horizontal="center"/>
    </xf>
    <xf numFmtId="0" fontId="0" fillId="0" borderId="0" xfId="0"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xf numFmtId="0" fontId="0" fillId="0" borderId="0" xfId="0" applyFill="1" applyBorder="1" applyAlignment="1">
      <alignment vertical="center"/>
    </xf>
    <xf numFmtId="0" fontId="2" fillId="0" borderId="0" xfId="0" applyFont="1" applyFill="1" applyBorder="1" applyAlignment="1">
      <alignment vertical="center"/>
    </xf>
    <xf numFmtId="3" fontId="0" fillId="0" borderId="1" xfId="0" applyNumberFormat="1" applyFill="1" applyBorder="1" applyAlignment="1">
      <alignment horizontal="center"/>
    </xf>
    <xf numFmtId="0" fontId="9" fillId="0" borderId="0" xfId="0" applyFont="1"/>
    <xf numFmtId="0" fontId="3" fillId="0" borderId="7" xfId="0" applyFont="1" applyBorder="1"/>
    <xf numFmtId="0" fontId="0" fillId="0" borderId="11" xfId="0" applyBorder="1"/>
    <xf numFmtId="0" fontId="3" fillId="0" borderId="0" xfId="0" applyFont="1" applyBorder="1" applyAlignment="1">
      <alignment horizontal="center"/>
    </xf>
    <xf numFmtId="0" fontId="0" fillId="0" borderId="0" xfId="0" applyBorder="1" applyAlignment="1">
      <alignment horizontal="center" vertical="center"/>
    </xf>
    <xf numFmtId="0" fontId="0" fillId="0" borderId="0" xfId="0" applyFill="1"/>
    <xf numFmtId="0" fontId="0" fillId="0" borderId="0" xfId="0" applyFill="1" applyAlignment="1"/>
    <xf numFmtId="0" fontId="1" fillId="0" borderId="2" xfId="0" quotePrefix="1" applyFont="1" applyFill="1" applyBorder="1" applyAlignment="1">
      <alignment horizontal="center"/>
    </xf>
    <xf numFmtId="0" fontId="0" fillId="2" borderId="6" xfId="0" applyFill="1" applyBorder="1"/>
    <xf numFmtId="0" fontId="0" fillId="2" borderId="12" xfId="0" applyFill="1" applyBorder="1"/>
    <xf numFmtId="0" fontId="0" fillId="3" borderId="6" xfId="0" applyFill="1" applyBorder="1"/>
    <xf numFmtId="0" fontId="0" fillId="3" borderId="12" xfId="0" applyFill="1" applyBorder="1"/>
    <xf numFmtId="0" fontId="0" fillId="4" borderId="6" xfId="0" applyFill="1" applyBorder="1"/>
    <xf numFmtId="0" fontId="0" fillId="4" borderId="12" xfId="0" applyFill="1" applyBorder="1"/>
    <xf numFmtId="0" fontId="1" fillId="5" borderId="14" xfId="0" applyFont="1" applyFill="1" applyBorder="1" applyAlignment="1">
      <alignment horizontal="right"/>
    </xf>
    <xf numFmtId="0" fontId="1" fillId="5" borderId="15" xfId="0" applyFont="1" applyFill="1" applyBorder="1" applyAlignment="1">
      <alignment horizontal="left"/>
    </xf>
    <xf numFmtId="3" fontId="0" fillId="5" borderId="16" xfId="0" applyNumberFormat="1" applyFill="1" applyBorder="1" applyAlignment="1">
      <alignment horizontal="center"/>
    </xf>
    <xf numFmtId="0" fontId="10" fillId="0" borderId="0" xfId="0" applyFont="1"/>
    <xf numFmtId="0" fontId="0" fillId="0" borderId="7" xfId="0" applyBorder="1" applyAlignment="1"/>
    <xf numFmtId="0" fontId="0" fillId="0" borderId="19" xfId="0" applyBorder="1" applyAlignment="1"/>
    <xf numFmtId="0" fontId="0" fillId="0" borderId="0" xfId="0" applyAlignment="1"/>
    <xf numFmtId="0" fontId="1" fillId="0" borderId="10" xfId="0" applyFont="1" applyBorder="1"/>
    <xf numFmtId="0" fontId="1" fillId="0" borderId="9" xfId="0" applyFont="1" applyBorder="1" applyAlignment="1"/>
    <xf numFmtId="0" fontId="1" fillId="0" borderId="10" xfId="0" applyFont="1" applyBorder="1" applyAlignment="1"/>
    <xf numFmtId="0" fontId="1" fillId="0" borderId="0" xfId="0" applyFont="1" applyBorder="1" applyAlignment="1"/>
    <xf numFmtId="0" fontId="0" fillId="0" borderId="1" xfId="0" applyBorder="1" applyAlignment="1">
      <alignment horizontal="center"/>
    </xf>
    <xf numFmtId="0" fontId="1" fillId="0" borderId="1" xfId="0" applyFont="1" applyBorder="1" applyAlignment="1">
      <alignment horizontal="center"/>
    </xf>
    <xf numFmtId="0" fontId="1" fillId="0" borderId="1" xfId="0" quotePrefix="1" applyFont="1" applyBorder="1" applyAlignment="1">
      <alignment horizontal="center"/>
    </xf>
    <xf numFmtId="0" fontId="3" fillId="0" borderId="1" xfId="0" applyFont="1" applyBorder="1" applyAlignment="1">
      <alignment horizontal="center"/>
    </xf>
    <xf numFmtId="0" fontId="0" fillId="0" borderId="1" xfId="0" applyBorder="1"/>
    <xf numFmtId="0" fontId="1" fillId="0" borderId="0" xfId="1"/>
    <xf numFmtId="0" fontId="1" fillId="0" borderId="25" xfId="1" applyBorder="1"/>
    <xf numFmtId="0" fontId="1" fillId="0" borderId="11" xfId="1" applyBorder="1"/>
    <xf numFmtId="0" fontId="1" fillId="0" borderId="26" xfId="1" applyBorder="1"/>
    <xf numFmtId="0" fontId="1" fillId="0" borderId="27" xfId="1" applyBorder="1"/>
    <xf numFmtId="0" fontId="1" fillId="0" borderId="28" xfId="1" applyBorder="1"/>
    <xf numFmtId="0" fontId="1" fillId="0" borderId="29" xfId="1" applyBorder="1"/>
    <xf numFmtId="0" fontId="1" fillId="0" borderId="30" xfId="1" applyBorder="1"/>
    <xf numFmtId="0" fontId="1" fillId="0" borderId="31" xfId="1" applyBorder="1"/>
    <xf numFmtId="0" fontId="3" fillId="0" borderId="0" xfId="1" applyFont="1"/>
    <xf numFmtId="0" fontId="0" fillId="0" borderId="10" xfId="0" applyBorder="1"/>
    <xf numFmtId="0" fontId="0" fillId="0" borderId="0" xfId="0" applyAlignment="1">
      <alignment horizontal="left"/>
    </xf>
    <xf numFmtId="3" fontId="0" fillId="0" borderId="1" xfId="0" applyNumberFormat="1" applyBorder="1" applyAlignment="1">
      <alignment horizontal="center"/>
    </xf>
    <xf numFmtId="0" fontId="3" fillId="0" borderId="0" xfId="0" applyFont="1" applyAlignment="1">
      <alignment horizontal="left"/>
    </xf>
    <xf numFmtId="0" fontId="3" fillId="0" borderId="0" xfId="0" applyFont="1" applyFill="1"/>
    <xf numFmtId="0" fontId="3" fillId="0" borderId="1" xfId="0" applyFont="1" applyBorder="1"/>
    <xf numFmtId="0" fontId="16" fillId="0" borderId="0" xfId="0" applyFont="1" applyAlignment="1">
      <alignment horizontal="left"/>
    </xf>
    <xf numFmtId="2" fontId="1" fillId="0" borderId="1" xfId="0" applyNumberFormat="1"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0" fillId="0" borderId="1" xfId="0" applyBorder="1"/>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Fill="1" applyBorder="1" applyAlignment="1">
      <alignment horizontal="center"/>
    </xf>
    <xf numFmtId="0" fontId="0" fillId="0" borderId="1" xfId="0" applyFill="1" applyBorder="1" applyAlignment="1">
      <alignment horizontal="center"/>
    </xf>
    <xf numFmtId="0" fontId="0" fillId="0" borderId="3" xfId="0" applyBorder="1"/>
    <xf numFmtId="0" fontId="3" fillId="0" borderId="19" xfId="0" applyFont="1" applyFill="1" applyBorder="1" applyAlignment="1">
      <alignment horizontal="center"/>
    </xf>
    <xf numFmtId="0" fontId="0" fillId="0" borderId="19" xfId="0" applyFill="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0" fillId="0" borderId="1" xfId="0" applyFill="1" applyBorder="1" applyAlignment="1">
      <alignment horizontal="center"/>
    </xf>
    <xf numFmtId="0" fontId="16" fillId="0" borderId="0" xfId="0" applyFont="1"/>
    <xf numFmtId="0" fontId="1" fillId="0" borderId="0" xfId="0" applyFont="1" applyAlignment="1">
      <alignment horizontal="left"/>
    </xf>
    <xf numFmtId="0" fontId="0" fillId="0" borderId="0" xfId="0" applyBorder="1" applyAlignment="1"/>
    <xf numFmtId="0" fontId="3" fillId="0" borderId="1" xfId="0" applyFont="1" applyBorder="1" applyAlignment="1">
      <alignment horizontal="center"/>
    </xf>
    <xf numFmtId="0" fontId="1" fillId="0" borderId="10" xfId="0" applyFont="1" applyBorder="1"/>
    <xf numFmtId="0" fontId="1" fillId="0" borderId="1" xfId="0" applyFont="1" applyBorder="1" applyAlignment="1">
      <alignment horizontal="center"/>
    </xf>
    <xf numFmtId="0" fontId="3" fillId="0" borderId="1" xfId="0" applyFont="1" applyFill="1" applyBorder="1" applyAlignment="1">
      <alignment horizontal="center"/>
    </xf>
    <xf numFmtId="0" fontId="1" fillId="0" borderId="0" xfId="1" applyAlignment="1">
      <alignment vertical="top" wrapText="1"/>
    </xf>
    <xf numFmtId="0" fontId="1" fillId="0" borderId="34" xfId="0" applyFont="1" applyBorder="1"/>
    <xf numFmtId="2" fontId="1" fillId="0" borderId="34" xfId="0" applyNumberFormat="1" applyFont="1" applyBorder="1" applyAlignment="1">
      <alignment horizontal="center"/>
    </xf>
    <xf numFmtId="3" fontId="1" fillId="0" borderId="1" xfId="0" applyNumberFormat="1" applyFont="1" applyFill="1" applyBorder="1" applyAlignment="1">
      <alignment horizontal="center"/>
    </xf>
    <xf numFmtId="3" fontId="1" fillId="0" borderId="1" xfId="0" applyNumberFormat="1" applyFont="1" applyBorder="1" applyAlignment="1">
      <alignment horizontal="center"/>
    </xf>
    <xf numFmtId="0" fontId="3" fillId="0" borderId="9" xfId="0" applyFont="1" applyFill="1" applyBorder="1" applyAlignment="1">
      <alignment horizontal="center"/>
    </xf>
    <xf numFmtId="0" fontId="1" fillId="0" borderId="10" xfId="0" applyFont="1" applyBorder="1"/>
    <xf numFmtId="0" fontId="0" fillId="0" borderId="1"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2" fontId="0" fillId="0" borderId="1" xfId="0" applyNumberFormat="1" applyBorder="1" applyAlignment="1">
      <alignment horizontal="center"/>
    </xf>
    <xf numFmtId="0" fontId="1" fillId="0" borderId="10" xfId="0" applyFont="1" applyBorder="1"/>
    <xf numFmtId="0" fontId="1" fillId="0" borderId="1" xfId="0" applyFont="1" applyBorder="1"/>
    <xf numFmtId="0" fontId="1" fillId="0" borderId="10" xfId="0" applyFont="1" applyBorder="1" applyAlignment="1"/>
    <xf numFmtId="0" fontId="0" fillId="0" borderId="24" xfId="0" applyFill="1" applyBorder="1" applyAlignment="1">
      <alignment horizontal="left"/>
    </xf>
    <xf numFmtId="0" fontId="1" fillId="0" borderId="17" xfId="0" applyFont="1" applyBorder="1" applyAlignment="1">
      <alignment horizontal="left"/>
    </xf>
    <xf numFmtId="0" fontId="0" fillId="6" borderId="9" xfId="0" applyFill="1" applyBorder="1" applyAlignment="1">
      <alignment horizontal="center"/>
    </xf>
    <xf numFmtId="0" fontId="0" fillId="6" borderId="23" xfId="0"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2" xfId="0" applyFont="1" applyBorder="1" applyAlignment="1"/>
    <xf numFmtId="166" fontId="0" fillId="0" borderId="1" xfId="0" applyNumberFormat="1" applyBorder="1" applyAlignment="1">
      <alignment horizontal="center" vertical="center"/>
    </xf>
    <xf numFmtId="0" fontId="3" fillId="0" borderId="35" xfId="0" applyFont="1" applyBorder="1"/>
    <xf numFmtId="0" fontId="3" fillId="0" borderId="36" xfId="0" applyFont="1" applyBorder="1" applyAlignment="1">
      <alignment horizont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0" fillId="0" borderId="22" xfId="0" applyBorder="1"/>
    <xf numFmtId="166" fontId="1" fillId="0" borderId="1" xfId="0" applyNumberFormat="1" applyFont="1" applyBorder="1" applyAlignment="1">
      <alignment horizontal="center" vertical="center"/>
    </xf>
    <xf numFmtId="166" fontId="0" fillId="0" borderId="1" xfId="0" applyNumberFormat="1" applyBorder="1" applyAlignment="1">
      <alignment horizontal="center"/>
    </xf>
    <xf numFmtId="166" fontId="0" fillId="0" borderId="34" xfId="0" applyNumberFormat="1" applyBorder="1" applyAlignment="1">
      <alignment horizontal="center" vertical="center"/>
    </xf>
    <xf numFmtId="166" fontId="1" fillId="0" borderId="34" xfId="0" applyNumberFormat="1" applyFont="1" applyBorder="1" applyAlignment="1">
      <alignment horizontal="center" vertical="center"/>
    </xf>
    <xf numFmtId="2" fontId="0" fillId="0" borderId="34" xfId="0" applyNumberFormat="1" applyBorder="1" applyAlignment="1">
      <alignment horizontal="center"/>
    </xf>
    <xf numFmtId="0" fontId="0" fillId="8" borderId="6" xfId="0" applyFill="1" applyBorder="1"/>
    <xf numFmtId="0" fontId="0" fillId="8" borderId="12" xfId="0" applyFill="1" applyBorder="1"/>
    <xf numFmtId="164" fontId="3" fillId="8" borderId="2" xfId="0" applyNumberFormat="1" applyFont="1" applyFill="1" applyBorder="1" applyAlignment="1">
      <alignment horizontal="center" vertical="center"/>
    </xf>
    <xf numFmtId="166" fontId="0" fillId="8" borderId="2" xfId="0" applyNumberFormat="1" applyFill="1" applyBorder="1" applyAlignment="1">
      <alignment horizontal="center" vertical="center"/>
    </xf>
    <xf numFmtId="166" fontId="0" fillId="8" borderId="21" xfId="0" applyNumberFormat="1" applyFill="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xf>
    <xf numFmtId="0" fontId="1" fillId="0" borderId="9" xfId="0" applyFont="1" applyBorder="1" applyAlignment="1">
      <alignment horizontal="left"/>
    </xf>
    <xf numFmtId="0" fontId="0" fillId="0" borderId="0" xfId="0"/>
    <xf numFmtId="2" fontId="0" fillId="0" borderId="1" xfId="0" applyNumberFormat="1" applyBorder="1" applyAlignment="1">
      <alignment horizontal="center"/>
    </xf>
    <xf numFmtId="0" fontId="1" fillId="0" borderId="1" xfId="0" applyFont="1" applyBorder="1" applyAlignment="1">
      <alignment horizontal="center"/>
    </xf>
    <xf numFmtId="0" fontId="0" fillId="0" borderId="0" xfId="0"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xf numFmtId="0" fontId="1" fillId="0" borderId="1" xfId="0" applyFont="1" applyBorder="1"/>
    <xf numFmtId="0" fontId="3" fillId="0" borderId="2" xfId="0" applyFont="1" applyBorder="1" applyAlignment="1">
      <alignment horizontal="center"/>
    </xf>
    <xf numFmtId="0" fontId="3" fillId="0" borderId="1" xfId="0" applyFont="1" applyFill="1" applyBorder="1" applyAlignment="1">
      <alignment horizontal="center"/>
    </xf>
    <xf numFmtId="0" fontId="0" fillId="0" borderId="2" xfId="0" applyFill="1" applyBorder="1" applyAlignment="1">
      <alignment horizontal="center"/>
    </xf>
    <xf numFmtId="0" fontId="0" fillId="0" borderId="1" xfId="0" applyFill="1" applyBorder="1" applyAlignment="1">
      <alignment horizontal="center"/>
    </xf>
    <xf numFmtId="0" fontId="3" fillId="0" borderId="0" xfId="0" applyFont="1" applyFill="1" applyBorder="1" applyAlignment="1">
      <alignment horizontal="center"/>
    </xf>
    <xf numFmtId="0" fontId="0" fillId="0" borderId="0" xfId="0"/>
    <xf numFmtId="0" fontId="3" fillId="0" borderId="1" xfId="0" applyFont="1" applyBorder="1" applyAlignment="1">
      <alignment horizontal="center"/>
    </xf>
    <xf numFmtId="0" fontId="1" fillId="0" borderId="0" xfId="0" applyFont="1" applyBorder="1" applyAlignment="1">
      <alignment horizontal="left" vertical="center"/>
    </xf>
    <xf numFmtId="2" fontId="0" fillId="8" borderId="1" xfId="0" applyNumberFormat="1" applyFill="1" applyBorder="1" applyAlignment="1">
      <alignment horizontal="center" vertical="center"/>
    </xf>
    <xf numFmtId="2" fontId="0" fillId="8" borderId="2" xfId="0" applyNumberFormat="1" applyFill="1" applyBorder="1" applyAlignment="1">
      <alignment horizontal="center" vertical="center"/>
    </xf>
    <xf numFmtId="0" fontId="0" fillId="0" borderId="39" xfId="0" applyBorder="1"/>
    <xf numFmtId="0" fontId="3" fillId="0" borderId="40" xfId="0" applyFont="1" applyBorder="1" applyAlignment="1">
      <alignment horizontal="center"/>
    </xf>
    <xf numFmtId="166" fontId="1" fillId="0" borderId="40" xfId="0" applyNumberFormat="1" applyFont="1" applyBorder="1" applyAlignment="1">
      <alignment horizontal="center" vertical="center"/>
    </xf>
    <xf numFmtId="0" fontId="0" fillId="0" borderId="9" xfId="0" applyBorder="1"/>
    <xf numFmtId="1" fontId="3" fillId="0" borderId="1" xfId="0" applyNumberFormat="1" applyFont="1" applyBorder="1" applyAlignment="1">
      <alignment horizontal="center" vertical="center"/>
    </xf>
    <xf numFmtId="2" fontId="3" fillId="8" borderId="1" xfId="0" applyNumberFormat="1" applyFont="1" applyFill="1" applyBorder="1" applyAlignment="1">
      <alignment horizontal="center" vertical="center"/>
    </xf>
    <xf numFmtId="2" fontId="3" fillId="8" borderId="2" xfId="0" applyNumberFormat="1" applyFont="1" applyFill="1" applyBorder="1" applyAlignment="1">
      <alignment horizontal="center" vertical="center"/>
    </xf>
    <xf numFmtId="166" fontId="1" fillId="0" borderId="1" xfId="0" quotePrefix="1" applyNumberFormat="1" applyFont="1" applyBorder="1" applyAlignment="1">
      <alignment horizontal="center" vertical="center"/>
    </xf>
    <xf numFmtId="166" fontId="0" fillId="0" borderId="1" xfId="0" applyNumberFormat="1" applyFill="1" applyBorder="1" applyAlignment="1">
      <alignment horizontal="center" vertical="center"/>
    </xf>
    <xf numFmtId="1" fontId="1" fillId="0" borderId="1" xfId="0" applyNumberFormat="1" applyFont="1" applyFill="1" applyBorder="1" applyAlignment="1">
      <alignment horizontal="center" vertical="center"/>
    </xf>
    <xf numFmtId="166" fontId="1" fillId="0" borderId="40" xfId="0" quotePrefix="1" applyNumberFormat="1" applyFont="1" applyBorder="1" applyAlignment="1">
      <alignment horizontal="center" vertical="center"/>
    </xf>
    <xf numFmtId="3" fontId="0" fillId="0" borderId="2" xfId="0" applyNumberFormat="1" applyFill="1" applyBorder="1" applyAlignment="1">
      <alignment horizontal="center"/>
    </xf>
    <xf numFmtId="0" fontId="1" fillId="0" borderId="2" xfId="0" applyFont="1" applyFill="1" applyBorder="1" applyAlignment="1">
      <alignment horizontal="center"/>
    </xf>
    <xf numFmtId="166" fontId="0" fillId="0" borderId="0" xfId="0" applyNumberFormat="1" applyFill="1"/>
    <xf numFmtId="0" fontId="0" fillId="0" borderId="1" xfId="0" applyBorder="1" applyAlignment="1">
      <alignment horizontal="center"/>
    </xf>
    <xf numFmtId="0" fontId="0" fillId="0" borderId="0" xfId="0"/>
    <xf numFmtId="0" fontId="3" fillId="0" borderId="0" xfId="0" applyFont="1" applyFill="1" applyBorder="1" applyAlignment="1">
      <alignment horizontal="center"/>
    </xf>
    <xf numFmtId="0" fontId="1" fillId="0" borderId="10" xfId="0" applyFont="1" applyBorder="1" applyAlignment="1"/>
    <xf numFmtId="0" fontId="3" fillId="0" borderId="1" xfId="0" applyFont="1" applyFill="1" applyBorder="1"/>
    <xf numFmtId="0" fontId="6" fillId="0" borderId="1" xfId="0" applyFont="1" applyBorder="1" applyAlignment="1">
      <alignment horizontal="center"/>
    </xf>
    <xf numFmtId="0" fontId="6" fillId="0" borderId="1" xfId="0" applyFont="1" applyFill="1" applyBorder="1" applyAlignment="1">
      <alignment horizontal="center"/>
    </xf>
    <xf numFmtId="1" fontId="1" fillId="0" borderId="1" xfId="0" applyNumberFormat="1" applyFont="1" applyFill="1" applyBorder="1" applyAlignment="1">
      <alignment horizontal="center"/>
    </xf>
    <xf numFmtId="0" fontId="3" fillId="0" borderId="12" xfId="0" applyFont="1" applyFill="1" applyBorder="1" applyAlignment="1">
      <alignment horizontal="center"/>
    </xf>
    <xf numFmtId="0" fontId="3" fillId="0" borderId="12" xfId="0" applyFont="1" applyFill="1" applyBorder="1"/>
    <xf numFmtId="0" fontId="3" fillId="0" borderId="5" xfId="0" applyFont="1" applyBorder="1" applyAlignment="1">
      <alignment horizontal="center" vertical="center"/>
    </xf>
    <xf numFmtId="0" fontId="1"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vertical="center"/>
    </xf>
    <xf numFmtId="164" fontId="0" fillId="0" borderId="1" xfId="0" applyNumberFormat="1" applyBorder="1"/>
    <xf numFmtId="164" fontId="1" fillId="0" borderId="1" xfId="0" quotePrefix="1" applyNumberFormat="1" applyFont="1" applyBorder="1"/>
    <xf numFmtId="164" fontId="0" fillId="0" borderId="1" xfId="0" applyNumberFormat="1" applyFill="1" applyBorder="1"/>
    <xf numFmtId="0" fontId="0" fillId="0" borderId="2" xfId="0" quotePrefix="1" applyBorder="1" applyAlignment="1">
      <alignment horizontal="center"/>
    </xf>
    <xf numFmtId="0" fontId="0" fillId="0" borderId="0" xfId="0"/>
    <xf numFmtId="0" fontId="0" fillId="0" borderId="0" xfId="0" applyAlignment="1">
      <alignment horizontal="center"/>
    </xf>
    <xf numFmtId="164" fontId="1" fillId="0" borderId="1" xfId="0" applyNumberFormat="1" applyFont="1" applyBorder="1" applyAlignment="1">
      <alignment horizontal="center"/>
    </xf>
    <xf numFmtId="0" fontId="3" fillId="0" borderId="12" xfId="0" applyFont="1" applyBorder="1" applyAlignment="1">
      <alignment horizontal="center" vertical="center"/>
    </xf>
    <xf numFmtId="0" fontId="3" fillId="0" borderId="8" xfId="0" applyFont="1" applyFill="1" applyBorder="1" applyAlignment="1">
      <alignment horizontal="center" vertical="center"/>
    </xf>
    <xf numFmtId="0" fontId="3" fillId="0" borderId="22" xfId="0" applyFont="1" applyBorder="1" applyAlignment="1">
      <alignment horizontal="center" vertical="center"/>
    </xf>
    <xf numFmtId="164" fontId="3" fillId="8" borderId="21" xfId="0" applyNumberFormat="1" applyFont="1" applyFill="1" applyBorder="1" applyAlignment="1">
      <alignment horizontal="center" vertical="center"/>
    </xf>
    <xf numFmtId="164" fontId="3" fillId="8" borderId="34" xfId="0" applyNumberFormat="1" applyFont="1" applyFill="1" applyBorder="1" applyAlignment="1">
      <alignment horizontal="center" vertical="center"/>
    </xf>
    <xf numFmtId="166" fontId="0" fillId="0" borderId="1" xfId="0" applyNumberFormat="1" applyFill="1" applyBorder="1" applyAlignment="1">
      <alignment horizontal="center"/>
    </xf>
    <xf numFmtId="166" fontId="0" fillId="0" borderId="2" xfId="0" applyNumberFormat="1" applyBorder="1" applyAlignment="1">
      <alignment horizontal="center" vertical="center"/>
    </xf>
    <xf numFmtId="0" fontId="0" fillId="3" borderId="1" xfId="0" applyFill="1" applyBorder="1" applyAlignment="1" applyProtection="1">
      <alignment horizontal="center"/>
      <protection locked="0"/>
    </xf>
    <xf numFmtId="0" fontId="0" fillId="7" borderId="1" xfId="0"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16" fillId="0" borderId="0" xfId="0" applyFont="1" applyFill="1" applyBorder="1" applyAlignment="1"/>
    <xf numFmtId="3" fontId="16" fillId="0" borderId="0" xfId="0" applyNumberFormat="1" applyFont="1" applyFill="1" applyBorder="1" applyAlignment="1"/>
    <xf numFmtId="0" fontId="16" fillId="0" borderId="0" xfId="0" applyFont="1" applyFill="1" applyBorder="1" applyAlignment="1">
      <alignment horizontal="center"/>
    </xf>
    <xf numFmtId="0" fontId="16" fillId="0" borderId="0" xfId="0" applyFont="1" applyFill="1" applyBorder="1"/>
    <xf numFmtId="2" fontId="0" fillId="0" borderId="0" xfId="0" applyNumberFormat="1" applyAlignment="1">
      <alignment horizontal="center"/>
    </xf>
    <xf numFmtId="0" fontId="16" fillId="0" borderId="0" xfId="0" applyFont="1" applyFill="1" applyBorder="1" applyAlignment="1">
      <alignment horizontal="left"/>
    </xf>
    <xf numFmtId="0" fontId="0" fillId="0" borderId="12" xfId="0" applyFill="1" applyBorder="1"/>
    <xf numFmtId="0" fontId="0" fillId="0" borderId="1" xfId="0" applyFill="1" applyBorder="1"/>
    <xf numFmtId="164" fontId="1" fillId="0" borderId="1" xfId="0" applyNumberFormat="1" applyFont="1" applyFill="1" applyBorder="1" applyAlignment="1">
      <alignment horizontal="center" vertical="center"/>
    </xf>
    <xf numFmtId="164" fontId="1" fillId="0" borderId="1" xfId="0" applyNumberFormat="1" applyFont="1" applyBorder="1" applyAlignment="1">
      <alignment horizontal="center" vertical="center"/>
    </xf>
    <xf numFmtId="164" fontId="1" fillId="0" borderId="34" xfId="0" applyNumberFormat="1" applyFont="1" applyBorder="1" applyAlignment="1">
      <alignment horizontal="center"/>
    </xf>
    <xf numFmtId="164" fontId="1" fillId="0" borderId="34" xfId="0" applyNumberFormat="1" applyFont="1" applyBorder="1" applyAlignment="1">
      <alignment horizontal="center" vertical="center"/>
    </xf>
    <xf numFmtId="164" fontId="0" fillId="8" borderId="2" xfId="0" applyNumberFormat="1" applyFill="1" applyBorder="1" applyAlignment="1">
      <alignment horizontal="center" vertical="center"/>
    </xf>
    <xf numFmtId="0" fontId="3" fillId="0" borderId="36"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 fillId="0" borderId="1" xfId="0" quotePrefix="1" applyFont="1" applyBorder="1" applyAlignment="1">
      <alignment horizontal="center"/>
    </xf>
    <xf numFmtId="0" fontId="3" fillId="0" borderId="1" xfId="0" applyFont="1" applyBorder="1" applyAlignment="1">
      <alignment horizontal="center"/>
    </xf>
    <xf numFmtId="0" fontId="0" fillId="0" borderId="0" xfId="0"/>
    <xf numFmtId="0" fontId="0" fillId="0" borderId="0" xfId="0" applyAlignment="1">
      <alignment horizontal="center"/>
    </xf>
    <xf numFmtId="0" fontId="1" fillId="0" borderId="9" xfId="0" applyFont="1" applyBorder="1" applyAlignment="1"/>
    <xf numFmtId="0" fontId="0" fillId="0" borderId="2" xfId="0" quotePrefix="1" applyBorder="1" applyAlignment="1">
      <alignment horizontal="center"/>
    </xf>
    <xf numFmtId="0" fontId="3" fillId="0" borderId="9" xfId="0" applyFont="1" applyFill="1" applyBorder="1" applyAlignment="1">
      <alignment horizontal="center"/>
    </xf>
    <xf numFmtId="0" fontId="0" fillId="0" borderId="0" xfId="0" applyBorder="1" applyAlignment="1"/>
    <xf numFmtId="0" fontId="0" fillId="0" borderId="3" xfId="0" applyBorder="1" applyAlignment="1"/>
    <xf numFmtId="0" fontId="0" fillId="0" borderId="4" xfId="0" applyBorder="1" applyAlignment="1"/>
    <xf numFmtId="0" fontId="0" fillId="0" borderId="10" xfId="0" applyBorder="1"/>
    <xf numFmtId="0" fontId="3" fillId="0" borderId="0" xfId="0" applyFont="1" applyFill="1" applyBorder="1" applyAlignment="1">
      <alignment horizontal="center"/>
    </xf>
    <xf numFmtId="0" fontId="0" fillId="0" borderId="0" xfId="0" applyFill="1" applyBorder="1" applyAlignment="1"/>
    <xf numFmtId="0" fontId="0" fillId="0" borderId="0" xfId="0" applyAlignment="1"/>
    <xf numFmtId="0" fontId="0" fillId="0" borderId="19" xfId="0" applyBorder="1" applyAlignment="1"/>
    <xf numFmtId="0" fontId="0" fillId="0" borderId="7" xfId="0" applyBorder="1" applyAlignment="1"/>
    <xf numFmtId="0" fontId="3" fillId="0" borderId="5" xfId="0" applyFont="1" applyBorder="1" applyAlignment="1">
      <alignment horizontal="center" vertical="center"/>
    </xf>
    <xf numFmtId="0" fontId="1" fillId="0" borderId="10" xfId="0" applyFont="1" applyBorder="1" applyAlignment="1">
      <alignment horizontal="center" vertical="center"/>
    </xf>
    <xf numFmtId="2" fontId="0" fillId="0" borderId="1" xfId="0" applyNumberFormat="1" applyBorder="1" applyAlignment="1">
      <alignment horizontal="center"/>
    </xf>
    <xf numFmtId="0" fontId="3" fillId="0" borderId="36" xfId="0"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2" fontId="0" fillId="0" borderId="0" xfId="0" applyNumberFormat="1" applyFill="1" applyBorder="1" applyAlignment="1">
      <alignment horizontal="center"/>
    </xf>
    <xf numFmtId="0" fontId="0" fillId="0" borderId="2" xfId="0" applyBorder="1" applyAlignment="1">
      <alignment horizontal="center" vertical="center"/>
    </xf>
    <xf numFmtId="0" fontId="0" fillId="0" borderId="1" xfId="0" applyBorder="1" applyAlignment="1">
      <alignment horizontal="center" vertical="center"/>
    </xf>
    <xf numFmtId="164" fontId="1" fillId="0" borderId="1" xfId="0" applyNumberFormat="1" applyFont="1" applyBorder="1" applyAlignment="1">
      <alignment horizontal="center"/>
    </xf>
    <xf numFmtId="0" fontId="3" fillId="0" borderId="2" xfId="0" applyFont="1" applyBorder="1" applyAlignment="1">
      <alignment horizontal="center" vertical="center" wrapText="1"/>
    </xf>
    <xf numFmtId="0" fontId="1" fillId="0" borderId="10" xfId="0" applyFont="1" applyBorder="1"/>
    <xf numFmtId="0" fontId="1" fillId="0" borderId="1" xfId="0" applyFont="1" applyBorder="1"/>
    <xf numFmtId="0" fontId="1" fillId="0" borderId="10" xfId="0" applyFont="1" applyBorder="1" applyAlignment="1"/>
    <xf numFmtId="0" fontId="0" fillId="0" borderId="1" xfId="0" applyBorder="1"/>
    <xf numFmtId="2" fontId="3" fillId="8" borderId="1" xfId="0" applyNumberFormat="1" applyFont="1" applyFill="1" applyBorder="1" applyAlignment="1">
      <alignment horizontal="center"/>
    </xf>
    <xf numFmtId="2" fontId="0" fillId="0" borderId="2" xfId="0" applyNumberFormat="1" applyBorder="1" applyAlignment="1">
      <alignment horizontal="center" vertical="center"/>
    </xf>
    <xf numFmtId="2" fontId="1" fillId="0" borderId="2" xfId="0" applyNumberFormat="1" applyFont="1" applyBorder="1" applyAlignment="1">
      <alignment horizontal="center" vertical="center"/>
    </xf>
    <xf numFmtId="166" fontId="0" fillId="0" borderId="40" xfId="0" applyNumberFormat="1" applyBorder="1" applyAlignment="1">
      <alignment horizontal="center" vertical="center"/>
    </xf>
    <xf numFmtId="0" fontId="1" fillId="0" borderId="0" xfId="1" applyAlignment="1">
      <alignment vertical="top" wrapText="1"/>
    </xf>
    <xf numFmtId="0" fontId="11" fillId="0" borderId="0" xfId="1" applyFont="1" applyAlignment="1">
      <alignment horizontal="center"/>
    </xf>
    <xf numFmtId="0" fontId="1" fillId="0" borderId="0" xfId="1" applyAlignment="1">
      <alignment horizontal="left" vertical="top" wrapText="1"/>
    </xf>
    <xf numFmtId="0" fontId="1" fillId="0" borderId="0" xfId="1" applyFill="1" applyAlignment="1">
      <alignment horizontal="left" vertical="top" wrapText="1"/>
    </xf>
    <xf numFmtId="0" fontId="3" fillId="0" borderId="36" xfId="0" applyFont="1" applyBorder="1" applyAlignment="1">
      <alignment horizontal="left" vertical="center" wrapText="1"/>
    </xf>
    <xf numFmtId="0" fontId="3" fillId="0" borderId="1" xfId="0" applyFont="1" applyBorder="1" applyAlignment="1">
      <alignment horizontal="left" vertical="center" wrapText="1"/>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left" vertical="center"/>
    </xf>
    <xf numFmtId="0" fontId="3" fillId="0" borderId="10" xfId="0" applyFont="1" applyBorder="1" applyAlignment="1">
      <alignment horizontal="left" vertical="center"/>
    </xf>
    <xf numFmtId="0" fontId="3" fillId="0" borderId="32" xfId="0" applyFont="1" applyBorder="1" applyAlignment="1">
      <alignment horizontal="center"/>
    </xf>
    <xf numFmtId="0" fontId="3" fillId="0" borderId="1" xfId="0" applyFont="1" applyBorder="1" applyAlignment="1">
      <alignment horizontal="left"/>
    </xf>
    <xf numFmtId="0" fontId="1" fillId="2" borderId="19"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5" fillId="2" borderId="8"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9" xfId="0" applyFill="1" applyBorder="1" applyAlignment="1" applyProtection="1">
      <protection locked="0"/>
    </xf>
    <xf numFmtId="0" fontId="1" fillId="2" borderId="2" xfId="0" applyFont="1" applyFill="1" applyBorder="1" applyAlignment="1" applyProtection="1">
      <alignment horizontal="center"/>
      <protection locked="0"/>
    </xf>
    <xf numFmtId="166" fontId="0" fillId="2" borderId="2" xfId="0" applyNumberFormat="1" applyFill="1" applyBorder="1" applyAlignment="1" applyProtection="1">
      <alignment horizontal="center"/>
      <protection locked="0"/>
    </xf>
    <xf numFmtId="166" fontId="0" fillId="2" borderId="9" xfId="0" applyNumberFormat="1" applyFill="1" applyBorder="1" applyAlignment="1" applyProtection="1">
      <protection locked="0"/>
    </xf>
    <xf numFmtId="0" fontId="8" fillId="6" borderId="9" xfId="0" applyFont="1" applyFill="1" applyBorder="1" applyAlignment="1">
      <alignment horizontal="left"/>
    </xf>
    <xf numFmtId="0" fontId="0" fillId="3" borderId="2"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1" fillId="0" borderId="2" xfId="0" quotePrefix="1" applyFont="1" applyBorder="1" applyAlignment="1">
      <alignment horizontal="center"/>
    </xf>
    <xf numFmtId="0" fontId="1" fillId="0" borderId="10" xfId="0" quotePrefix="1" applyFont="1" applyBorder="1" applyAlignment="1">
      <alignment horizontal="center"/>
    </xf>
    <xf numFmtId="0" fontId="1" fillId="0" borderId="9" xfId="0" applyFont="1" applyBorder="1" applyAlignment="1">
      <alignment horizontal="left"/>
    </xf>
    <xf numFmtId="0" fontId="1" fillId="0" borderId="7" xfId="0" applyFont="1" applyBorder="1" applyAlignment="1">
      <alignment horizontal="left"/>
    </xf>
    <xf numFmtId="0" fontId="0" fillId="2" borderId="9" xfId="0" applyFill="1" applyBorder="1" applyAlignment="1" applyProtection="1">
      <alignment horizontal="center"/>
      <protection locked="0"/>
    </xf>
    <xf numFmtId="0" fontId="0" fillId="0" borderId="10" xfId="0" applyBorder="1" applyAlignment="1"/>
    <xf numFmtId="164" fontId="0" fillId="0" borderId="6"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12" xfId="0" applyNumberFormat="1" applyBorder="1" applyAlignment="1">
      <alignment horizontal="center" vertical="center"/>
    </xf>
    <xf numFmtId="0" fontId="0" fillId="0" borderId="6" xfId="0" applyFill="1" applyBorder="1" applyAlignment="1">
      <alignment horizontal="center" vertical="center"/>
    </xf>
    <xf numFmtId="0" fontId="0" fillId="0" borderId="18" xfId="0" applyFill="1" applyBorder="1" applyAlignment="1">
      <alignment horizontal="center" vertical="center"/>
    </xf>
    <xf numFmtId="0" fontId="0" fillId="0" borderId="12" xfId="0" applyFill="1" applyBorder="1" applyAlignment="1">
      <alignment horizontal="center" vertical="center"/>
    </xf>
    <xf numFmtId="0" fontId="8" fillId="6" borderId="33" xfId="0" applyFont="1" applyFill="1" applyBorder="1" applyAlignment="1">
      <alignment horizontal="center" vertical="center"/>
    </xf>
    <xf numFmtId="0" fontId="1" fillId="0" borderId="1" xfId="0" applyFont="1" applyFill="1" applyBorder="1" applyAlignment="1">
      <alignment horizontal="left"/>
    </xf>
    <xf numFmtId="0" fontId="0" fillId="0" borderId="1" xfId="0" applyFill="1" applyBorder="1" applyAlignment="1">
      <alignment horizontal="left"/>
    </xf>
    <xf numFmtId="0" fontId="8" fillId="6" borderId="9" xfId="0" applyFont="1" applyFill="1" applyBorder="1" applyAlignment="1">
      <alignment horizontal="center" vertical="center"/>
    </xf>
    <xf numFmtId="0" fontId="8" fillId="6" borderId="20" xfId="0" applyFont="1" applyFill="1" applyBorder="1" applyAlignment="1">
      <alignment horizontal="center" vertical="center"/>
    </xf>
    <xf numFmtId="0" fontId="0" fillId="0" borderId="1" xfId="0" applyBorder="1" applyAlignment="1">
      <alignment horizontal="left"/>
    </xf>
    <xf numFmtId="0" fontId="1" fillId="0" borderId="1" xfId="0" applyFont="1" applyBorder="1" applyAlignment="1">
      <alignment horizontal="left"/>
    </xf>
    <xf numFmtId="0" fontId="3" fillId="0" borderId="12" xfId="0" applyFont="1" applyFill="1" applyBorder="1" applyAlignment="1">
      <alignment horizontal="left"/>
    </xf>
    <xf numFmtId="164" fontId="0" fillId="0" borderId="1" xfId="0" applyNumberForma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3" fillId="0" borderId="1" xfId="0" applyFont="1" applyFill="1" applyBorder="1" applyAlignment="1">
      <alignment horizontal="left"/>
    </xf>
    <xf numFmtId="0" fontId="1" fillId="0" borderId="20" xfId="0" applyFont="1"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1" fillId="0" borderId="20"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 fillId="0" borderId="7" xfId="0" applyFont="1" applyFill="1" applyBorder="1" applyAlignment="1">
      <alignment horizontal="left" vertical="center"/>
    </xf>
    <xf numFmtId="0" fontId="1" fillId="0" borderId="5" xfId="0" applyFont="1" applyFill="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1" fillId="0" borderId="9" xfId="0" applyFont="1" applyFill="1" applyBorder="1" applyAlignment="1">
      <alignment horizontal="left"/>
    </xf>
    <xf numFmtId="0" fontId="0" fillId="0" borderId="2" xfId="0" quotePrefix="1" applyBorder="1" applyAlignment="1">
      <alignment horizontal="center"/>
    </xf>
    <xf numFmtId="0" fontId="1" fillId="0" borderId="9" xfId="0" applyFont="1" applyBorder="1" applyAlignment="1"/>
    <xf numFmtId="0" fontId="0" fillId="0" borderId="9" xfId="0" applyBorder="1" applyAlignment="1"/>
    <xf numFmtId="3" fontId="0" fillId="2" borderId="2" xfId="0" applyNumberFormat="1" applyFill="1" applyBorder="1" applyAlignment="1" applyProtection="1">
      <alignment horizontal="center"/>
      <protection locked="0"/>
    </xf>
    <xf numFmtId="3" fontId="0" fillId="2" borderId="9" xfId="0" applyNumberFormat="1" applyFill="1" applyBorder="1" applyAlignment="1" applyProtection="1">
      <alignment horizontal="center"/>
      <protection locked="0"/>
    </xf>
    <xf numFmtId="0" fontId="0" fillId="0" borderId="9" xfId="0" quotePrefix="1" applyBorder="1" applyAlignment="1">
      <alignment horizontal="center"/>
    </xf>
    <xf numFmtId="0" fontId="1" fillId="0" borderId="2" xfId="0" applyFont="1" applyBorder="1" applyAlignment="1">
      <alignment horizontal="center"/>
    </xf>
    <xf numFmtId="0" fontId="0" fillId="0" borderId="10" xfId="0" applyBorder="1" applyAlignment="1">
      <alignment horizontal="center"/>
    </xf>
    <xf numFmtId="0" fontId="0" fillId="0" borderId="19" xfId="0" applyBorder="1" applyAlignment="1"/>
    <xf numFmtId="0" fontId="0" fillId="0" borderId="0" xfId="0" applyAlignment="1"/>
    <xf numFmtId="0" fontId="0" fillId="0" borderId="3" xfId="0" applyBorder="1" applyAlignment="1"/>
    <xf numFmtId="0" fontId="0" fillId="0" borderId="7" xfId="0" applyBorder="1" applyAlignment="1"/>
    <xf numFmtId="165" fontId="0" fillId="2" borderId="8" xfId="0" applyNumberFormat="1" applyFill="1" applyBorder="1" applyAlignment="1" applyProtection="1">
      <alignment horizontal="center"/>
      <protection locked="0"/>
    </xf>
    <xf numFmtId="0" fontId="0" fillId="2" borderId="7" xfId="0" applyFill="1" applyBorder="1" applyAlignment="1" applyProtection="1">
      <protection locked="0"/>
    </xf>
    <xf numFmtId="0" fontId="0" fillId="2" borderId="5" xfId="0" applyFill="1" applyBorder="1" applyAlignment="1" applyProtection="1">
      <protection locked="0"/>
    </xf>
    <xf numFmtId="0" fontId="0" fillId="0" borderId="9" xfId="0" applyBorder="1"/>
    <xf numFmtId="0" fontId="0" fillId="0" borderId="10" xfId="0" applyBorder="1"/>
    <xf numFmtId="0" fontId="0" fillId="0" borderId="13" xfId="0" quotePrefix="1" applyBorder="1" applyAlignment="1">
      <alignment horizontal="center" vertical="center"/>
    </xf>
    <xf numFmtId="0" fontId="0" fillId="0" borderId="4" xfId="0" applyBorder="1" applyAlignment="1">
      <alignment vertical="center"/>
    </xf>
    <xf numFmtId="0" fontId="3" fillId="0" borderId="9" xfId="0" applyFont="1" applyFill="1" applyBorder="1" applyAlignment="1">
      <alignment horizontal="center"/>
    </xf>
    <xf numFmtId="0" fontId="0" fillId="0" borderId="9" xfId="0" applyFill="1" applyBorder="1" applyAlignment="1"/>
    <xf numFmtId="0" fontId="0" fillId="0" borderId="10" xfId="0" applyFill="1" applyBorder="1" applyAlignment="1"/>
    <xf numFmtId="0" fontId="3" fillId="0" borderId="2" xfId="0" applyFont="1" applyFill="1" applyBorder="1" applyAlignment="1">
      <alignment horizontal="center"/>
    </xf>
    <xf numFmtId="0" fontId="0" fillId="0" borderId="0" xfId="0" applyBorder="1" applyAlignment="1"/>
    <xf numFmtId="3" fontId="0" fillId="2" borderId="9" xfId="0" applyNumberFormat="1" applyFill="1" applyBorder="1" applyAlignment="1" applyProtection="1">
      <protection locked="0"/>
    </xf>
    <xf numFmtId="0" fontId="3"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xf numFmtId="0" fontId="3" fillId="0" borderId="0" xfId="0" applyFont="1" applyFill="1" applyBorder="1" applyAlignment="1">
      <alignment horizontal="center"/>
    </xf>
    <xf numFmtId="0" fontId="0" fillId="0" borderId="0" xfId="0" applyFill="1" applyBorder="1" applyAlignment="1"/>
    <xf numFmtId="0" fontId="0" fillId="0" borderId="3" xfId="0" applyFill="1" applyBorder="1" applyAlignment="1"/>
    <xf numFmtId="0" fontId="3" fillId="0" borderId="8" xfId="0" applyFont="1" applyFill="1" applyBorder="1" applyAlignment="1">
      <alignment horizontal="center"/>
    </xf>
    <xf numFmtId="0" fontId="0" fillId="0" borderId="7" xfId="0" applyFill="1" applyBorder="1" applyAlignment="1">
      <alignment horizontal="center"/>
    </xf>
    <xf numFmtId="0" fontId="0" fillId="2" borderId="0" xfId="0" applyFill="1" applyBorder="1" applyAlignment="1" applyProtection="1">
      <protection locked="0"/>
    </xf>
    <xf numFmtId="0" fontId="0" fillId="2" borderId="3" xfId="0" applyFill="1" applyBorder="1" applyAlignment="1" applyProtection="1">
      <protection locked="0"/>
    </xf>
    <xf numFmtId="0" fontId="1" fillId="0" borderId="19" xfId="0" applyFont="1" applyBorder="1" applyAlignment="1"/>
    <xf numFmtId="0" fontId="0" fillId="0" borderId="20" xfId="0" applyBorder="1" applyAlignment="1"/>
    <xf numFmtId="0" fontId="1" fillId="2" borderId="13" xfId="0" applyFont="1" applyFill="1" applyBorder="1" applyAlignment="1" applyProtection="1">
      <alignment horizontal="center"/>
      <protection locked="0"/>
    </xf>
    <xf numFmtId="0" fontId="0" fillId="2" borderId="20" xfId="0" applyFill="1" applyBorder="1" applyAlignment="1" applyProtection="1">
      <protection locked="0"/>
    </xf>
    <xf numFmtId="0" fontId="0" fillId="2" borderId="4" xfId="0" applyFill="1" applyBorder="1" applyAlignment="1" applyProtection="1">
      <protection locked="0"/>
    </xf>
    <xf numFmtId="0" fontId="0" fillId="0" borderId="13" xfId="0" applyBorder="1" applyAlignment="1"/>
    <xf numFmtId="0" fontId="0" fillId="0" borderId="4" xfId="0" applyBorder="1" applyAlignment="1"/>
    <xf numFmtId="0" fontId="1" fillId="2" borderId="20" xfId="0" applyFon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5" fillId="0" borderId="2" xfId="0" applyFont="1" applyBorder="1" applyAlignment="1">
      <alignment horizontal="center"/>
    </xf>
    <xf numFmtId="0" fontId="0" fillId="3" borderId="13" xfId="0" applyFill="1" applyBorder="1" applyAlignment="1" applyProtection="1">
      <alignment horizontal="center" vertical="center"/>
      <protection locked="0"/>
    </xf>
    <xf numFmtId="0" fontId="0" fillId="3" borderId="20" xfId="0" applyFill="1" applyBorder="1" applyAlignment="1" applyProtection="1">
      <alignment vertical="center"/>
      <protection locked="0"/>
    </xf>
    <xf numFmtId="0" fontId="1" fillId="0" borderId="2" xfId="0" applyFont="1" applyBorder="1" applyAlignment="1">
      <alignment horizontal="left"/>
    </xf>
    <xf numFmtId="0" fontId="0" fillId="0" borderId="10" xfId="0" applyBorder="1" applyAlignment="1">
      <alignment horizontal="left"/>
    </xf>
    <xf numFmtId="0" fontId="1" fillId="0" borderId="1" xfId="0" quotePrefix="1" applyFont="1" applyBorder="1" applyAlignment="1">
      <alignment horizontal="center"/>
    </xf>
    <xf numFmtId="0" fontId="0" fillId="3" borderId="10" xfId="0" applyFill="1" applyBorder="1" applyAlignment="1" applyProtection="1">
      <alignment horizontal="center"/>
      <protection locked="0"/>
    </xf>
    <xf numFmtId="0" fontId="18" fillId="0" borderId="9" xfId="0" applyFont="1" applyBorder="1" applyAlignment="1">
      <alignment horizontal="left"/>
    </xf>
    <xf numFmtId="0" fontId="18" fillId="0" borderId="10" xfId="0" applyFont="1" applyBorder="1" applyAlignment="1">
      <alignment horizontal="left"/>
    </xf>
    <xf numFmtId="0" fontId="0" fillId="2" borderId="1" xfId="0" applyFill="1" applyBorder="1" applyAlignment="1" applyProtection="1">
      <alignment horizontal="center"/>
      <protection locked="0"/>
    </xf>
    <xf numFmtId="0" fontId="0" fillId="3" borderId="0" xfId="0" applyFill="1" applyAlignment="1" applyProtection="1">
      <alignment horizontal="center"/>
      <protection locked="0"/>
    </xf>
    <xf numFmtId="0" fontId="0" fillId="0" borderId="0" xfId="0"/>
    <xf numFmtId="0" fontId="0" fillId="0" borderId="23" xfId="0" applyBorder="1" applyAlignment="1"/>
    <xf numFmtId="0" fontId="0" fillId="0" borderId="22" xfId="0" applyBorder="1" applyAlignment="1"/>
    <xf numFmtId="2" fontId="4" fillId="0" borderId="21" xfId="0" applyNumberFormat="1" applyFont="1" applyBorder="1" applyAlignment="1">
      <alignment horizontal="center"/>
    </xf>
    <xf numFmtId="2" fontId="4" fillId="0" borderId="23" xfId="0" applyNumberFormat="1" applyFont="1" applyBorder="1" applyAlignment="1">
      <alignment horizontal="center"/>
    </xf>
    <xf numFmtId="0" fontId="0" fillId="0" borderId="0" xfId="0" applyAlignment="1">
      <alignment horizontal="center"/>
    </xf>
    <xf numFmtId="0" fontId="0" fillId="0" borderId="32" xfId="0" applyBorder="1" applyAlignment="1">
      <alignment horizontal="center" vertical="center"/>
    </xf>
    <xf numFmtId="0" fontId="0" fillId="0" borderId="32" xfId="0" applyBorder="1" applyAlignment="1"/>
    <xf numFmtId="0" fontId="1" fillId="0" borderId="5"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7" borderId="23"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0" borderId="9" xfId="0" applyFont="1" applyBorder="1" applyAlignment="1">
      <alignment horizontal="center" vertical="center"/>
    </xf>
    <xf numFmtId="0" fontId="0" fillId="7" borderId="9" xfId="0" applyFill="1" applyBorder="1" applyAlignment="1" applyProtection="1">
      <alignment horizontal="center" vertical="center"/>
      <protection locked="0"/>
    </xf>
    <xf numFmtId="0" fontId="1" fillId="7" borderId="9" xfId="0" applyFont="1" applyFill="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22" xfId="0" applyFont="1" applyBorder="1" applyAlignment="1">
      <alignment horizontal="center" vertical="center"/>
    </xf>
    <xf numFmtId="2" fontId="0" fillId="0" borderId="1" xfId="0" applyNumberFormat="1" applyBorder="1" applyAlignment="1">
      <alignment horizontal="center"/>
    </xf>
    <xf numFmtId="2" fontId="0" fillId="0" borderId="2" xfId="0" applyNumberFormat="1" applyBorder="1" applyAlignment="1">
      <alignment horizontal="center"/>
    </xf>
    <xf numFmtId="0" fontId="1" fillId="0" borderId="10" xfId="0" applyFont="1" applyBorder="1" applyAlignment="1">
      <alignment horizontal="left"/>
    </xf>
    <xf numFmtId="0" fontId="1" fillId="0" borderId="22" xfId="0" applyFont="1" applyBorder="1" applyAlignment="1">
      <alignment horizontal="left"/>
    </xf>
    <xf numFmtId="0" fontId="1" fillId="0" borderId="34" xfId="0" applyFont="1" applyBorder="1" applyAlignment="1">
      <alignment horizontal="left"/>
    </xf>
    <xf numFmtId="0" fontId="0" fillId="7" borderId="1" xfId="0" applyFill="1" applyBorder="1" applyAlignment="1" applyProtection="1">
      <alignment horizontal="center"/>
      <protection locked="0"/>
    </xf>
    <xf numFmtId="0" fontId="0" fillId="7" borderId="34" xfId="0" applyFill="1" applyBorder="1" applyAlignment="1" applyProtection="1">
      <alignment horizontal="center"/>
      <protection locked="0"/>
    </xf>
    <xf numFmtId="2" fontId="0" fillId="0" borderId="34" xfId="0" applyNumberFormat="1" applyBorder="1" applyAlignment="1">
      <alignment horizontal="center"/>
    </xf>
    <xf numFmtId="2" fontId="0" fillId="0" borderId="21" xfId="0" applyNumberForma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10" xfId="0" applyFont="1" applyBorder="1" applyAlignment="1">
      <alignment horizontal="left"/>
    </xf>
    <xf numFmtId="0" fontId="1" fillId="0" borderId="1" xfId="0" applyFont="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2" xfId="0" applyFont="1" applyBorder="1" applyAlignment="1">
      <alignment horizont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38" xfId="0" applyFont="1" applyBorder="1" applyAlignment="1">
      <alignment horizontal="center"/>
    </xf>
  </cellXfs>
  <cellStyles count="2">
    <cellStyle name="Normal" xfId="0" builtinId="0"/>
    <cellStyle name="Normal 2" xfId="1"/>
  </cellStyles>
  <dxfs count="58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C00000"/>
      </font>
    </dxf>
    <dxf>
      <font>
        <b/>
        <i val="0"/>
        <color rgb="FFC00000"/>
      </font>
    </dxf>
    <dxf>
      <font>
        <b/>
        <i val="0"/>
        <color rgb="FFC00000"/>
      </font>
    </dxf>
  </dxfs>
  <tableStyles count="0" defaultTableStyle="TableStyleMedium9" defaultPivotStyle="PivotStyleLight16"/>
  <colors>
    <mruColors>
      <color rgb="FF56B4E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12" name="Picture 2">
          <a:extLst>
            <a:ext uri="{FF2B5EF4-FFF2-40B4-BE49-F238E27FC236}">
              <a16:creationId xmlns:a16="http://schemas.microsoft.com/office/drawing/2014/main" id="{3F6AE387-4B60-4FA6-A59D-A6D7644C77C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9890761" y="9590355"/>
          <a:ext cx="6423660" cy="39778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6D1BB483-CE70-4B00-9F65-6753F6738BF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EC6E4D38-8AA0-4825-A541-5D647B01AA3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2A70C6B5-1A19-4D05-B48B-4979FF781FC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53F83941-26E0-4130-9D45-8972467FFAE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8A347563-2FC8-443B-805A-FDBCCF39510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5F9A94F7-ABCA-44AE-9609-403E0AA90AC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F4B19C7E-BE17-476F-BDE4-7CF1F96383C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57FFD6A0-7931-4085-B4D7-3029C98A25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BD1C4462-11F8-4295-BF40-99048FAAB4E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E08F6D19-32F4-440E-A418-E1D9785FEF3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C594CE73-4509-4FC5-B36D-68E3EC890F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40F5E334-1760-41AE-9D67-55934081894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E18E827D-D380-461C-9437-8F08544C44C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F4DF7D96-B270-431B-8420-9321B65E0B8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80E2C88B-3B38-4919-964C-A7E127C48A4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C020E950-E59C-495E-BEB3-80E4A71DFF4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346A538E-FF48-49AA-B91C-366D75AF93B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08A2AC9C-0FCC-45C0-8CD0-1D8FF92660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7621</xdr:colOff>
      <xdr:row>54</xdr:row>
      <xdr:rowOff>34875</xdr:rowOff>
    </xdr:from>
    <xdr:to>
      <xdr:col>21</xdr:col>
      <xdr:colOff>525781</xdr:colOff>
      <xdr:row>76</xdr:row>
      <xdr:rowOff>88387</xdr:rowOff>
    </xdr:to>
    <xdr:pic>
      <xdr:nvPicPr>
        <xdr:cNvPr id="2" name="Picture 2">
          <a:extLst>
            <a:ext uri="{FF2B5EF4-FFF2-40B4-BE49-F238E27FC236}">
              <a16:creationId xmlns:a16="http://schemas.microsoft.com/office/drawing/2014/main" id="{410359ED-1EEC-432D-9BB4-856D8F026C5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70" t="39925" r="10197" b="20831"/>
        <a:stretch/>
      </xdr:blipFill>
      <xdr:spPr>
        <a:xfrm>
          <a:off x="10333440" y="9817230"/>
          <a:ext cx="6453133" cy="3944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ittelsonassociates.sharepoint.com/sites/NCHRPProject17-89Internal/Shared%20Documents/General/HSM%20prediction%20one-direction%20freeways%20(PT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Segment1"/>
      <sheetName val="LocalValues"/>
      <sheetName val="Segment2"/>
      <sheetName val="Segment Tables"/>
      <sheetName val="Urban Site Total"/>
      <sheetName val="Urban Project Total"/>
      <sheetName val="Menus"/>
      <sheetName val="Construction - do not dele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6">
          <cell r="L16" t="str">
            <v>Yes</v>
          </cell>
        </row>
        <row r="17">
          <cell r="L17" t="str">
            <v>No</v>
          </cell>
        </row>
        <row r="55">
          <cell r="D55" t="str">
            <v>2U</v>
          </cell>
          <cell r="F55" t="str">
            <v>Not Present</v>
          </cell>
          <cell r="H55" t="str">
            <v>Not Present</v>
          </cell>
          <cell r="J55" t="str">
            <v>None</v>
          </cell>
          <cell r="L55">
            <v>2</v>
          </cell>
          <cell r="N55" t="str">
            <v>Posted Speed 30 mph or Lower</v>
          </cell>
        </row>
        <row r="56">
          <cell r="D56" t="str">
            <v>3T</v>
          </cell>
          <cell r="F56">
            <v>10</v>
          </cell>
          <cell r="H56" t="str">
            <v>Present</v>
          </cell>
          <cell r="J56" t="str">
            <v>Parallel (Residential)</v>
          </cell>
          <cell r="L56">
            <v>5</v>
          </cell>
          <cell r="N56" t="str">
            <v>Posted Speed Greater than 30 mph</v>
          </cell>
        </row>
        <row r="57">
          <cell r="D57" t="str">
            <v>4U</v>
          </cell>
          <cell r="F57">
            <v>15</v>
          </cell>
          <cell r="J57" t="str">
            <v>Parallel (Comm/Ind)</v>
          </cell>
          <cell r="L57">
            <v>10</v>
          </cell>
        </row>
        <row r="58">
          <cell r="D58" t="str">
            <v>4D</v>
          </cell>
          <cell r="F58">
            <v>20</v>
          </cell>
          <cell r="J58" t="str">
            <v>Angle (Residential)</v>
          </cell>
          <cell r="L58">
            <v>15</v>
          </cell>
        </row>
        <row r="59">
          <cell r="D59" t="str">
            <v>5T</v>
          </cell>
          <cell r="F59">
            <v>30</v>
          </cell>
          <cell r="J59" t="str">
            <v>Angle (Comm/Ind)</v>
          </cell>
          <cell r="L59">
            <v>20</v>
          </cell>
        </row>
        <row r="60">
          <cell r="F60">
            <v>40</v>
          </cell>
          <cell r="L60">
            <v>25</v>
          </cell>
        </row>
        <row r="61">
          <cell r="F61">
            <v>50</v>
          </cell>
          <cell r="L61" t="str">
            <v>≥ 30</v>
          </cell>
        </row>
        <row r="62">
          <cell r="F62">
            <v>60</v>
          </cell>
        </row>
        <row r="63">
          <cell r="F63">
            <v>70</v>
          </cell>
        </row>
        <row r="64">
          <cell r="F64">
            <v>80</v>
          </cell>
        </row>
        <row r="65">
          <cell r="F65">
            <v>90</v>
          </cell>
        </row>
        <row r="66">
          <cell r="F66">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showGridLines="0" tabSelected="1" workbookViewId="0">
      <selection activeCell="C3" sqref="C3:L3"/>
    </sheetView>
  </sheetViews>
  <sheetFormatPr defaultColWidth="8.85546875" defaultRowHeight="12.75" x14ac:dyDescent="0.2"/>
  <cols>
    <col min="1" max="1" width="3.42578125" style="52" customWidth="1"/>
    <col min="2" max="16384" width="8.85546875" style="52"/>
  </cols>
  <sheetData>
    <row r="1" spans="2:13" ht="13.5" thickBot="1" x14ac:dyDescent="0.25"/>
    <row r="2" spans="2:13" ht="13.5" thickTop="1" x14ac:dyDescent="0.2">
      <c r="B2" s="53"/>
      <c r="C2" s="54"/>
      <c r="D2" s="54"/>
      <c r="E2" s="54"/>
      <c r="F2" s="54"/>
      <c r="G2" s="54"/>
      <c r="H2" s="54"/>
      <c r="I2" s="54"/>
      <c r="J2" s="54"/>
      <c r="K2" s="54"/>
      <c r="L2" s="54"/>
      <c r="M2" s="55"/>
    </row>
    <row r="3" spans="2:13" ht="27" x14ac:dyDescent="0.35">
      <c r="B3" s="56"/>
      <c r="C3" s="249" t="s">
        <v>215</v>
      </c>
      <c r="D3" s="249"/>
      <c r="E3" s="249"/>
      <c r="F3" s="249"/>
      <c r="G3" s="249"/>
      <c r="H3" s="249"/>
      <c r="I3" s="249"/>
      <c r="J3" s="249"/>
      <c r="K3" s="249"/>
      <c r="L3" s="249"/>
      <c r="M3" s="57"/>
    </row>
    <row r="4" spans="2:13" ht="13.5" thickBot="1" x14ac:dyDescent="0.25">
      <c r="B4" s="58"/>
      <c r="C4" s="59"/>
      <c r="D4" s="59"/>
      <c r="E4" s="59"/>
      <c r="F4" s="59"/>
      <c r="G4" s="59"/>
      <c r="H4" s="59"/>
      <c r="I4" s="59"/>
      <c r="J4" s="59"/>
      <c r="K4" s="59"/>
      <c r="L4" s="59"/>
      <c r="M4" s="60"/>
    </row>
    <row r="5" spans="2:13" ht="12.75" customHeight="1" thickTop="1" x14ac:dyDescent="0.2"/>
    <row r="6" spans="2:13" ht="12.75" customHeight="1" x14ac:dyDescent="0.2">
      <c r="G6" s="52" t="s">
        <v>422</v>
      </c>
    </row>
    <row r="7" spans="2:13" ht="12.75" customHeight="1" x14ac:dyDescent="0.2">
      <c r="B7" s="61" t="s">
        <v>81</v>
      </c>
    </row>
    <row r="8" spans="2:13" ht="12.75" customHeight="1" x14ac:dyDescent="0.2">
      <c r="B8" s="250" t="s">
        <v>216</v>
      </c>
      <c r="C8" s="250"/>
      <c r="D8" s="250"/>
      <c r="E8" s="250"/>
      <c r="F8" s="250"/>
      <c r="G8" s="250"/>
      <c r="H8" s="250"/>
      <c r="I8" s="250"/>
      <c r="J8" s="250"/>
      <c r="K8" s="250"/>
      <c r="L8" s="250"/>
      <c r="M8" s="250"/>
    </row>
    <row r="9" spans="2:13" ht="12.75" customHeight="1" x14ac:dyDescent="0.2">
      <c r="B9" s="250"/>
      <c r="C9" s="250"/>
      <c r="D9" s="250"/>
      <c r="E9" s="250"/>
      <c r="F9" s="250"/>
      <c r="G9" s="250"/>
      <c r="H9" s="250"/>
      <c r="I9" s="250"/>
      <c r="J9" s="250"/>
      <c r="K9" s="250"/>
      <c r="L9" s="250"/>
      <c r="M9" s="250"/>
    </row>
    <row r="10" spans="2:13" ht="12.75" customHeight="1" x14ac:dyDescent="0.2">
      <c r="B10" s="250"/>
      <c r="C10" s="250"/>
      <c r="D10" s="250"/>
      <c r="E10" s="250"/>
      <c r="F10" s="250"/>
      <c r="G10" s="250"/>
      <c r="H10" s="250"/>
      <c r="I10" s="250"/>
      <c r="J10" s="250"/>
      <c r="K10" s="250"/>
      <c r="L10" s="250"/>
      <c r="M10" s="250"/>
    </row>
    <row r="11" spans="2:13" ht="12.75" customHeight="1" x14ac:dyDescent="0.2">
      <c r="B11" s="250"/>
      <c r="C11" s="250"/>
      <c r="D11" s="250"/>
      <c r="E11" s="250"/>
      <c r="F11" s="250"/>
      <c r="G11" s="250"/>
      <c r="H11" s="250"/>
      <c r="I11" s="250"/>
      <c r="J11" s="250"/>
      <c r="K11" s="250"/>
      <c r="L11" s="250"/>
      <c r="M11" s="250"/>
    </row>
    <row r="12" spans="2:13" ht="12.75" customHeight="1" x14ac:dyDescent="0.2">
      <c r="B12" s="250"/>
      <c r="C12" s="250"/>
      <c r="D12" s="250"/>
      <c r="E12" s="250"/>
      <c r="F12" s="250"/>
      <c r="G12" s="250"/>
      <c r="H12" s="250"/>
      <c r="I12" s="250"/>
      <c r="J12" s="250"/>
      <c r="K12" s="250"/>
      <c r="L12" s="250"/>
      <c r="M12" s="250"/>
    </row>
    <row r="13" spans="2:13" ht="12.75" customHeight="1" x14ac:dyDescent="0.2">
      <c r="B13" s="250" t="s">
        <v>217</v>
      </c>
      <c r="C13" s="250"/>
      <c r="D13" s="250"/>
      <c r="E13" s="250"/>
      <c r="F13" s="250"/>
      <c r="G13" s="250"/>
      <c r="H13" s="250"/>
      <c r="I13" s="250"/>
      <c r="J13" s="250"/>
      <c r="K13" s="250"/>
      <c r="L13" s="250"/>
      <c r="M13" s="250"/>
    </row>
    <row r="14" spans="2:13" ht="12.75" customHeight="1" x14ac:dyDescent="0.2">
      <c r="B14" s="250"/>
      <c r="C14" s="250"/>
      <c r="D14" s="250"/>
      <c r="E14" s="250"/>
      <c r="F14" s="250"/>
      <c r="G14" s="250"/>
      <c r="H14" s="250"/>
      <c r="I14" s="250"/>
      <c r="J14" s="250"/>
      <c r="K14" s="250"/>
      <c r="L14" s="250"/>
      <c r="M14" s="250"/>
    </row>
    <row r="15" spans="2:13" ht="12.75" customHeight="1" x14ac:dyDescent="0.2">
      <c r="B15" s="250"/>
      <c r="C15" s="250"/>
      <c r="D15" s="250"/>
      <c r="E15" s="250"/>
      <c r="F15" s="250"/>
      <c r="G15" s="250"/>
      <c r="H15" s="250"/>
      <c r="I15" s="250"/>
      <c r="J15" s="250"/>
      <c r="K15" s="250"/>
      <c r="L15" s="250"/>
      <c r="M15" s="250"/>
    </row>
    <row r="16" spans="2:13" ht="12.75" customHeight="1" x14ac:dyDescent="0.2">
      <c r="B16" s="250"/>
      <c r="C16" s="250"/>
      <c r="D16" s="250"/>
      <c r="E16" s="250"/>
      <c r="F16" s="250"/>
      <c r="G16" s="250"/>
      <c r="H16" s="250"/>
      <c r="I16" s="250"/>
      <c r="J16" s="250"/>
      <c r="K16" s="250"/>
      <c r="L16" s="250"/>
      <c r="M16" s="250"/>
    </row>
    <row r="17" spans="2:13" ht="12.75" customHeight="1" x14ac:dyDescent="0.2">
      <c r="B17" s="251" t="s">
        <v>423</v>
      </c>
      <c r="C17" s="251"/>
      <c r="D17" s="251"/>
      <c r="E17" s="251"/>
      <c r="F17" s="251"/>
      <c r="G17" s="251"/>
      <c r="H17" s="251"/>
      <c r="I17" s="251"/>
      <c r="J17" s="251"/>
      <c r="K17" s="251"/>
      <c r="L17" s="251"/>
      <c r="M17" s="251"/>
    </row>
    <row r="18" spans="2:13" ht="12.75" customHeight="1" x14ac:dyDescent="0.2">
      <c r="B18" s="251"/>
      <c r="C18" s="251"/>
      <c r="D18" s="251"/>
      <c r="E18" s="251"/>
      <c r="F18" s="251"/>
      <c r="G18" s="251"/>
      <c r="H18" s="251"/>
      <c r="I18" s="251"/>
      <c r="J18" s="251"/>
      <c r="K18" s="251"/>
      <c r="L18" s="251"/>
      <c r="M18" s="251"/>
    </row>
    <row r="19" spans="2:13" ht="12.75" customHeight="1" x14ac:dyDescent="0.2"/>
    <row r="20" spans="2:13" ht="12.75" customHeight="1" x14ac:dyDescent="0.2">
      <c r="B20" s="61" t="s">
        <v>82</v>
      </c>
    </row>
    <row r="21" spans="2:13" ht="12.75" customHeight="1" x14ac:dyDescent="0.2">
      <c r="B21" s="248" t="s">
        <v>83</v>
      </c>
      <c r="C21" s="248"/>
      <c r="D21" s="248"/>
      <c r="E21" s="248"/>
      <c r="F21" s="248"/>
      <c r="G21" s="248"/>
      <c r="H21" s="248"/>
      <c r="I21" s="248"/>
      <c r="J21" s="248"/>
      <c r="K21" s="248"/>
      <c r="L21" s="248"/>
      <c r="M21" s="248"/>
    </row>
    <row r="22" spans="2:13" ht="12.75" customHeight="1" x14ac:dyDescent="0.2">
      <c r="B22" s="248"/>
      <c r="C22" s="248"/>
      <c r="D22" s="248"/>
      <c r="E22" s="248"/>
      <c r="F22" s="248"/>
      <c r="G22" s="248"/>
      <c r="H22" s="248"/>
      <c r="I22" s="248"/>
      <c r="J22" s="248"/>
      <c r="K22" s="248"/>
      <c r="L22" s="248"/>
      <c r="M22" s="248"/>
    </row>
    <row r="23" spans="2:13" ht="12.75" customHeight="1" x14ac:dyDescent="0.2">
      <c r="B23" s="248"/>
      <c r="C23" s="248"/>
      <c r="D23" s="248"/>
      <c r="E23" s="248"/>
      <c r="F23" s="248"/>
      <c r="G23" s="248"/>
      <c r="H23" s="248"/>
      <c r="I23" s="248"/>
      <c r="J23" s="248"/>
      <c r="K23" s="248"/>
      <c r="L23" s="248"/>
      <c r="M23" s="248"/>
    </row>
    <row r="24" spans="2:13" ht="12.75" customHeight="1" x14ac:dyDescent="0.2">
      <c r="B24" s="90"/>
      <c r="C24" s="90"/>
      <c r="D24" s="90"/>
      <c r="E24" s="90"/>
      <c r="F24" s="90"/>
      <c r="G24" s="90"/>
      <c r="H24" s="90"/>
      <c r="I24" s="90"/>
      <c r="J24" s="90"/>
      <c r="K24" s="90"/>
      <c r="L24" s="90"/>
      <c r="M24" s="90"/>
    </row>
    <row r="25" spans="2:13" ht="12.75" customHeight="1" x14ac:dyDescent="0.2">
      <c r="B25" s="61" t="s">
        <v>84</v>
      </c>
    </row>
    <row r="26" spans="2:13" ht="12.75" customHeight="1" x14ac:dyDescent="0.2">
      <c r="B26" s="248" t="s">
        <v>218</v>
      </c>
      <c r="C26" s="248"/>
      <c r="D26" s="248"/>
      <c r="E26" s="248"/>
      <c r="F26" s="248"/>
      <c r="G26" s="248"/>
      <c r="H26" s="248"/>
      <c r="I26" s="248"/>
      <c r="J26" s="248"/>
      <c r="K26" s="248"/>
      <c r="L26" s="248"/>
      <c r="M26" s="248"/>
    </row>
    <row r="27" spans="2:13" ht="12.75" customHeight="1" x14ac:dyDescent="0.2">
      <c r="B27" s="248"/>
      <c r="C27" s="248"/>
      <c r="D27" s="248"/>
      <c r="E27" s="248"/>
      <c r="F27" s="248"/>
      <c r="G27" s="248"/>
      <c r="H27" s="248"/>
      <c r="I27" s="248"/>
      <c r="J27" s="248"/>
      <c r="K27" s="248"/>
      <c r="L27" s="248"/>
      <c r="M27" s="248"/>
    </row>
    <row r="28" spans="2:13" ht="12.75" customHeight="1" x14ac:dyDescent="0.2">
      <c r="B28" s="248"/>
      <c r="C28" s="248"/>
      <c r="D28" s="248"/>
      <c r="E28" s="248"/>
      <c r="F28" s="248"/>
      <c r="G28" s="248"/>
      <c r="H28" s="248"/>
      <c r="I28" s="248"/>
      <c r="J28" s="248"/>
      <c r="K28" s="248"/>
      <c r="L28" s="248"/>
      <c r="M28" s="248"/>
    </row>
    <row r="29" spans="2:13" ht="12.75" customHeight="1" x14ac:dyDescent="0.2">
      <c r="B29" s="248"/>
      <c r="C29" s="248"/>
      <c r="D29" s="248"/>
      <c r="E29" s="248"/>
      <c r="F29" s="248"/>
      <c r="G29" s="248"/>
      <c r="H29" s="248"/>
      <c r="I29" s="248"/>
      <c r="J29" s="248"/>
      <c r="K29" s="248"/>
      <c r="L29" s="248"/>
      <c r="M29" s="248"/>
    </row>
    <row r="30" spans="2:13" ht="12.75" customHeight="1" x14ac:dyDescent="0.2">
      <c r="B30" s="248"/>
      <c r="C30" s="248"/>
      <c r="D30" s="248"/>
      <c r="E30" s="248"/>
      <c r="F30" s="248"/>
      <c r="G30" s="248"/>
      <c r="H30" s="248"/>
      <c r="I30" s="248"/>
      <c r="J30" s="248"/>
      <c r="K30" s="248"/>
      <c r="L30" s="248"/>
      <c r="M30" s="248"/>
    </row>
    <row r="31" spans="2:13" ht="12.75" customHeight="1" x14ac:dyDescent="0.2">
      <c r="B31" s="248"/>
      <c r="C31" s="248"/>
      <c r="D31" s="248"/>
      <c r="E31" s="248"/>
      <c r="F31" s="248"/>
      <c r="G31" s="248"/>
      <c r="H31" s="248"/>
      <c r="I31" s="248"/>
      <c r="J31" s="248"/>
      <c r="K31" s="248"/>
      <c r="L31" s="248"/>
      <c r="M31" s="248"/>
    </row>
    <row r="32" spans="2:13" ht="12.75" customHeight="1" x14ac:dyDescent="0.2">
      <c r="B32" s="248"/>
      <c r="C32" s="248"/>
      <c r="D32" s="248"/>
      <c r="E32" s="248"/>
      <c r="F32" s="248"/>
      <c r="G32" s="248"/>
      <c r="H32" s="248"/>
      <c r="I32" s="248"/>
      <c r="J32" s="248"/>
      <c r="K32" s="248"/>
      <c r="L32" s="248"/>
      <c r="M32" s="248"/>
    </row>
    <row r="33" spans="2:13" ht="12.75" customHeight="1" x14ac:dyDescent="0.2">
      <c r="B33" s="248" t="s">
        <v>219</v>
      </c>
      <c r="C33" s="248"/>
      <c r="D33" s="248"/>
      <c r="E33" s="248"/>
      <c r="F33" s="248"/>
      <c r="G33" s="248"/>
      <c r="H33" s="248"/>
      <c r="I33" s="248"/>
      <c r="J33" s="248"/>
      <c r="K33" s="248"/>
      <c r="L33" s="248"/>
      <c r="M33" s="248"/>
    </row>
    <row r="34" spans="2:13" ht="12.75" customHeight="1" x14ac:dyDescent="0.2">
      <c r="B34" s="248"/>
      <c r="C34" s="248"/>
      <c r="D34" s="248"/>
      <c r="E34" s="248"/>
      <c r="F34" s="248"/>
      <c r="G34" s="248"/>
      <c r="H34" s="248"/>
      <c r="I34" s="248"/>
      <c r="J34" s="248"/>
      <c r="K34" s="248"/>
      <c r="L34" s="248"/>
      <c r="M34" s="248"/>
    </row>
    <row r="35" spans="2:13" ht="12.75" customHeight="1" x14ac:dyDescent="0.2">
      <c r="B35" s="248"/>
      <c r="C35" s="248"/>
      <c r="D35" s="248"/>
      <c r="E35" s="248"/>
      <c r="F35" s="248"/>
      <c r="G35" s="248"/>
      <c r="H35" s="248"/>
      <c r="I35" s="248"/>
      <c r="J35" s="248"/>
      <c r="K35" s="248"/>
      <c r="L35" s="248"/>
      <c r="M35" s="248"/>
    </row>
    <row r="36" spans="2:13" ht="12.75" customHeight="1" x14ac:dyDescent="0.2"/>
    <row r="37" spans="2:13" ht="12.75" customHeight="1" x14ac:dyDescent="0.2"/>
    <row r="38" spans="2:13" ht="12.75" customHeight="1" x14ac:dyDescent="0.2"/>
    <row r="39" spans="2:13" ht="12.75" customHeight="1" x14ac:dyDescent="0.2"/>
    <row r="40" spans="2:13" ht="12.75" customHeight="1" x14ac:dyDescent="0.2"/>
  </sheetData>
  <sheetProtection algorithmName="SHA-512" hashValue="jDnAhCF4GDFi2Y8M0SBkblM+3mUkHLShoWNwzdcVIlv4ZejRatWPum6f1Xs7uZUPM86KV990cr4LM+0XStsMCA==" saltValue="r+Eu9bj3PUe/9CrAc+YKSw==" spinCount="100000" sheet="1"/>
  <mergeCells count="7">
    <mergeCell ref="B33:M35"/>
    <mergeCell ref="C3:L3"/>
    <mergeCell ref="B8:M12"/>
    <mergeCell ref="B13:M16"/>
    <mergeCell ref="B17:M18"/>
    <mergeCell ref="B21:M23"/>
    <mergeCell ref="B26:M32"/>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376" priority="29" stopIfTrue="1" operator="greaterThan">
      <formula>$F$12</formula>
    </cfRule>
  </conditionalFormatting>
  <conditionalFormatting sqref="J52">
    <cfRule type="cellIs" dxfId="375" priority="28" stopIfTrue="1" operator="greaterThan">
      <formula>$F$12</formula>
    </cfRule>
  </conditionalFormatting>
  <conditionalFormatting sqref="J53">
    <cfRule type="cellIs" dxfId="374" priority="27" stopIfTrue="1" operator="greaterThan">
      <formula>$F$12</formula>
    </cfRule>
  </conditionalFormatting>
  <conditionalFormatting sqref="A26:M26">
    <cfRule type="expression" dxfId="373" priority="25">
      <formula>$N$26="N/A"</formula>
    </cfRule>
  </conditionalFormatting>
  <conditionalFormatting sqref="A28:M28">
    <cfRule type="expression" dxfId="372" priority="26">
      <formula>$N$28="N/A"</formula>
    </cfRule>
  </conditionalFormatting>
  <conditionalFormatting sqref="A30:M30">
    <cfRule type="expression" dxfId="371" priority="24">
      <formula>$N$30="N/A"</formula>
    </cfRule>
  </conditionalFormatting>
  <conditionalFormatting sqref="A32:M32">
    <cfRule type="expression" dxfId="370" priority="23">
      <formula>$N$32="N/A"</formula>
    </cfRule>
  </conditionalFormatting>
  <conditionalFormatting sqref="A34:M34">
    <cfRule type="expression" dxfId="369" priority="22">
      <formula>$N$34="N/A"</formula>
    </cfRule>
  </conditionalFormatting>
  <conditionalFormatting sqref="A40:M40">
    <cfRule type="expression" dxfId="368" priority="21">
      <formula>$N$40="N/A"</formula>
    </cfRule>
  </conditionalFormatting>
  <conditionalFormatting sqref="A42:M42">
    <cfRule type="expression" dxfId="367" priority="20">
      <formula>$N$42="N/A"</formula>
    </cfRule>
  </conditionalFormatting>
  <conditionalFormatting sqref="A44:M44">
    <cfRule type="expression" dxfId="366" priority="19">
      <formula>$N$44="N/A"</formula>
    </cfRule>
  </conditionalFormatting>
  <conditionalFormatting sqref="A46:M46">
    <cfRule type="expression" dxfId="365" priority="18">
      <formula>$N$46="N/A"</formula>
    </cfRule>
  </conditionalFormatting>
  <conditionalFormatting sqref="A49:M49">
    <cfRule type="expression" dxfId="364" priority="17">
      <formula>$N$49="N/A"</formula>
    </cfRule>
  </conditionalFormatting>
  <conditionalFormatting sqref="A50:M50">
    <cfRule type="expression" dxfId="363" priority="16">
      <formula>$N$50="N/A"</formula>
    </cfRule>
  </conditionalFormatting>
  <conditionalFormatting sqref="A51:M51">
    <cfRule type="expression" dxfId="362" priority="15">
      <formula>$N$51="N/A"</formula>
    </cfRule>
  </conditionalFormatting>
  <conditionalFormatting sqref="A52:M52">
    <cfRule type="expression" dxfId="361" priority="14">
      <formula>$N$52="N/A"</formula>
    </cfRule>
  </conditionalFormatting>
  <conditionalFormatting sqref="A53:M53">
    <cfRule type="expression" dxfId="360" priority="13">
      <formula>$N$53="N/A"</formula>
    </cfRule>
  </conditionalFormatting>
  <conditionalFormatting sqref="A56:M56">
    <cfRule type="expression" dxfId="359" priority="12">
      <formula>$N$56="N/A"</formula>
    </cfRule>
  </conditionalFormatting>
  <conditionalFormatting sqref="A57:M57">
    <cfRule type="expression" dxfId="358" priority="11">
      <formula>$N$57="N/A"</formula>
    </cfRule>
  </conditionalFormatting>
  <conditionalFormatting sqref="A58:M58">
    <cfRule type="expression" dxfId="357" priority="10">
      <formula>$N$58="N/A"</formula>
    </cfRule>
  </conditionalFormatting>
  <conditionalFormatting sqref="A59:M59">
    <cfRule type="expression" dxfId="356" priority="9">
      <formula>$N$59="N/A"</formula>
    </cfRule>
  </conditionalFormatting>
  <conditionalFormatting sqref="A60:M60">
    <cfRule type="expression" dxfId="355" priority="8">
      <formula>$N$60="N/A"</formula>
    </cfRule>
  </conditionalFormatting>
  <conditionalFormatting sqref="A13:M13">
    <cfRule type="expression" dxfId="354" priority="7">
      <formula>$N$13="N/A"</formula>
    </cfRule>
  </conditionalFormatting>
  <conditionalFormatting sqref="A38:M38">
    <cfRule type="expression" dxfId="353" priority="6">
      <formula>$N$38="N/A"</formula>
    </cfRule>
  </conditionalFormatting>
  <conditionalFormatting sqref="A48:M48">
    <cfRule type="expression" dxfId="352" priority="5">
      <formula>$N$48="N/A"</formula>
    </cfRule>
  </conditionalFormatting>
  <conditionalFormatting sqref="A64:M64">
    <cfRule type="expression" dxfId="351" priority="4">
      <formula>$N$64="N/A"</formula>
    </cfRule>
  </conditionalFormatting>
  <conditionalFormatting sqref="A19:M19">
    <cfRule type="expression" dxfId="350" priority="3">
      <formula>$N$19="N/A"</formula>
    </cfRule>
  </conditionalFormatting>
  <conditionalFormatting sqref="A23:M23">
    <cfRule type="expression" dxfId="349" priority="2">
      <formula>$N$23="N/A"</formula>
    </cfRule>
  </conditionalFormatting>
  <conditionalFormatting sqref="A36:M36">
    <cfRule type="expression" dxfId="348"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347" priority="29" stopIfTrue="1" operator="greaterThan">
      <formula>$F$12</formula>
    </cfRule>
  </conditionalFormatting>
  <conditionalFormatting sqref="J52">
    <cfRule type="cellIs" dxfId="346" priority="28" stopIfTrue="1" operator="greaterThan">
      <formula>$F$12</formula>
    </cfRule>
  </conditionalFormatting>
  <conditionalFormatting sqref="J53">
    <cfRule type="cellIs" dxfId="345" priority="27" stopIfTrue="1" operator="greaterThan">
      <formula>$F$12</formula>
    </cfRule>
  </conditionalFormatting>
  <conditionalFormatting sqref="A26:M26">
    <cfRule type="expression" dxfId="344" priority="25">
      <formula>$N$26="N/A"</formula>
    </cfRule>
  </conditionalFormatting>
  <conditionalFormatting sqref="A28:M28">
    <cfRule type="expression" dxfId="343" priority="26">
      <formula>$N$28="N/A"</formula>
    </cfRule>
  </conditionalFormatting>
  <conditionalFormatting sqref="A30:M30">
    <cfRule type="expression" dxfId="342" priority="24">
      <formula>$N$30="N/A"</formula>
    </cfRule>
  </conditionalFormatting>
  <conditionalFormatting sqref="A32:M32">
    <cfRule type="expression" dxfId="341" priority="23">
      <formula>$N$32="N/A"</formula>
    </cfRule>
  </conditionalFormatting>
  <conditionalFormatting sqref="A34:M34">
    <cfRule type="expression" dxfId="340" priority="22">
      <formula>$N$34="N/A"</formula>
    </cfRule>
  </conditionalFormatting>
  <conditionalFormatting sqref="A40:M40">
    <cfRule type="expression" dxfId="339" priority="21">
      <formula>$N$40="N/A"</formula>
    </cfRule>
  </conditionalFormatting>
  <conditionalFormatting sqref="A42:M42">
    <cfRule type="expression" dxfId="338" priority="20">
      <formula>$N$42="N/A"</formula>
    </cfRule>
  </conditionalFormatting>
  <conditionalFormatting sqref="A44:M44">
    <cfRule type="expression" dxfId="337" priority="19">
      <formula>$N$44="N/A"</formula>
    </cfRule>
  </conditionalFormatting>
  <conditionalFormatting sqref="A46:M46">
    <cfRule type="expression" dxfId="336" priority="18">
      <formula>$N$46="N/A"</formula>
    </cfRule>
  </conditionalFormatting>
  <conditionalFormatting sqref="A49:M49">
    <cfRule type="expression" dxfId="335" priority="17">
      <formula>$N$49="N/A"</formula>
    </cfRule>
  </conditionalFormatting>
  <conditionalFormatting sqref="A50:M50">
    <cfRule type="expression" dxfId="334" priority="16">
      <formula>$N$50="N/A"</formula>
    </cfRule>
  </conditionalFormatting>
  <conditionalFormatting sqref="A51:M51">
    <cfRule type="expression" dxfId="333" priority="15">
      <formula>$N$51="N/A"</formula>
    </cfRule>
  </conditionalFormatting>
  <conditionalFormatting sqref="A52:M52">
    <cfRule type="expression" dxfId="332" priority="14">
      <formula>$N$52="N/A"</formula>
    </cfRule>
  </conditionalFormatting>
  <conditionalFormatting sqref="A53:M53">
    <cfRule type="expression" dxfId="331" priority="13">
      <formula>$N$53="N/A"</formula>
    </cfRule>
  </conditionalFormatting>
  <conditionalFormatting sqref="A56:M56">
    <cfRule type="expression" dxfId="330" priority="12">
      <formula>$N$56="N/A"</formula>
    </cfRule>
  </conditionalFormatting>
  <conditionalFormatting sqref="A57:M57">
    <cfRule type="expression" dxfId="329" priority="11">
      <formula>$N$57="N/A"</formula>
    </cfRule>
  </conditionalFormatting>
  <conditionalFormatting sqref="A58:M58">
    <cfRule type="expression" dxfId="328" priority="10">
      <formula>$N$58="N/A"</formula>
    </cfRule>
  </conditionalFormatting>
  <conditionalFormatting sqref="A59:M59">
    <cfRule type="expression" dxfId="327" priority="9">
      <formula>$N$59="N/A"</formula>
    </cfRule>
  </conditionalFormatting>
  <conditionalFormatting sqref="A60:M60">
    <cfRule type="expression" dxfId="326" priority="8">
      <formula>$N$60="N/A"</formula>
    </cfRule>
  </conditionalFormatting>
  <conditionalFormatting sqref="A13:M13">
    <cfRule type="expression" dxfId="325" priority="7">
      <formula>$N$13="N/A"</formula>
    </cfRule>
  </conditionalFormatting>
  <conditionalFormatting sqref="A38:M38">
    <cfRule type="expression" dxfId="324" priority="6">
      <formula>$N$38="N/A"</formula>
    </cfRule>
  </conditionalFormatting>
  <conditionalFormatting sqref="A48:M48">
    <cfRule type="expression" dxfId="323" priority="5">
      <formula>$N$48="N/A"</formula>
    </cfRule>
  </conditionalFormatting>
  <conditionalFormatting sqref="A64:M64">
    <cfRule type="expression" dxfId="322" priority="4">
      <formula>$N$64="N/A"</formula>
    </cfRule>
  </conditionalFormatting>
  <conditionalFormatting sqref="A19:M19">
    <cfRule type="expression" dxfId="321" priority="3">
      <formula>$N$19="N/A"</formula>
    </cfRule>
  </conditionalFormatting>
  <conditionalFormatting sqref="A23:M23">
    <cfRule type="expression" dxfId="320" priority="2">
      <formula>$N$23="N/A"</formula>
    </cfRule>
  </conditionalFormatting>
  <conditionalFormatting sqref="A36:M36">
    <cfRule type="expression" dxfId="319"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318" priority="29" stopIfTrue="1" operator="greaterThan">
      <formula>$F$12</formula>
    </cfRule>
  </conditionalFormatting>
  <conditionalFormatting sqref="J52">
    <cfRule type="cellIs" dxfId="317" priority="28" stopIfTrue="1" operator="greaterThan">
      <formula>$F$12</formula>
    </cfRule>
  </conditionalFormatting>
  <conditionalFormatting sqref="J53">
    <cfRule type="cellIs" dxfId="316" priority="27" stopIfTrue="1" operator="greaterThan">
      <formula>$F$12</formula>
    </cfRule>
  </conditionalFormatting>
  <conditionalFormatting sqref="A26:M26">
    <cfRule type="expression" dxfId="315" priority="25">
      <formula>$N$26="N/A"</formula>
    </cfRule>
  </conditionalFormatting>
  <conditionalFormatting sqref="A28:M28">
    <cfRule type="expression" dxfId="314" priority="26">
      <formula>$N$28="N/A"</formula>
    </cfRule>
  </conditionalFormatting>
  <conditionalFormatting sqref="A30:M30">
    <cfRule type="expression" dxfId="313" priority="24">
      <formula>$N$30="N/A"</formula>
    </cfRule>
  </conditionalFormatting>
  <conditionalFormatting sqref="A32:M32">
    <cfRule type="expression" dxfId="312" priority="23">
      <formula>$N$32="N/A"</formula>
    </cfRule>
  </conditionalFormatting>
  <conditionalFormatting sqref="A34:M34">
    <cfRule type="expression" dxfId="311" priority="22">
      <formula>$N$34="N/A"</formula>
    </cfRule>
  </conditionalFormatting>
  <conditionalFormatting sqref="A40:M40">
    <cfRule type="expression" dxfId="310" priority="21">
      <formula>$N$40="N/A"</formula>
    </cfRule>
  </conditionalFormatting>
  <conditionalFormatting sqref="A42:M42">
    <cfRule type="expression" dxfId="309" priority="20">
      <formula>$N$42="N/A"</formula>
    </cfRule>
  </conditionalFormatting>
  <conditionalFormatting sqref="A44:M44">
    <cfRule type="expression" dxfId="308" priority="19">
      <formula>$N$44="N/A"</formula>
    </cfRule>
  </conditionalFormatting>
  <conditionalFormatting sqref="A46:M46">
    <cfRule type="expression" dxfId="307" priority="18">
      <formula>$N$46="N/A"</formula>
    </cfRule>
  </conditionalFormatting>
  <conditionalFormatting sqref="A49:M49">
    <cfRule type="expression" dxfId="306" priority="17">
      <formula>$N$49="N/A"</formula>
    </cfRule>
  </conditionalFormatting>
  <conditionalFormatting sqref="A50:M50">
    <cfRule type="expression" dxfId="305" priority="16">
      <formula>$N$50="N/A"</formula>
    </cfRule>
  </conditionalFormatting>
  <conditionalFormatting sqref="A51:M51">
    <cfRule type="expression" dxfId="304" priority="15">
      <formula>$N$51="N/A"</formula>
    </cfRule>
  </conditionalFormatting>
  <conditionalFormatting sqref="A52:M52">
    <cfRule type="expression" dxfId="303" priority="14">
      <formula>$N$52="N/A"</formula>
    </cfRule>
  </conditionalFormatting>
  <conditionalFormatting sqref="A53:M53">
    <cfRule type="expression" dxfId="302" priority="13">
      <formula>$N$53="N/A"</formula>
    </cfRule>
  </conditionalFormatting>
  <conditionalFormatting sqref="A56:M56">
    <cfRule type="expression" dxfId="301" priority="12">
      <formula>$N$56="N/A"</formula>
    </cfRule>
  </conditionalFormatting>
  <conditionalFormatting sqref="A57:M57">
    <cfRule type="expression" dxfId="300" priority="11">
      <formula>$N$57="N/A"</formula>
    </cfRule>
  </conditionalFormatting>
  <conditionalFormatting sqref="A58:M58">
    <cfRule type="expression" dxfId="299" priority="10">
      <formula>$N$58="N/A"</formula>
    </cfRule>
  </conditionalFormatting>
  <conditionalFormatting sqref="A59:M59">
    <cfRule type="expression" dxfId="298" priority="9">
      <formula>$N$59="N/A"</formula>
    </cfRule>
  </conditionalFormatting>
  <conditionalFormatting sqref="A60:M60">
    <cfRule type="expression" dxfId="297" priority="8">
      <formula>$N$60="N/A"</formula>
    </cfRule>
  </conditionalFormatting>
  <conditionalFormatting sqref="A13:M13">
    <cfRule type="expression" dxfId="296" priority="7">
      <formula>$N$13="N/A"</formula>
    </cfRule>
  </conditionalFormatting>
  <conditionalFormatting sqref="A38:M38">
    <cfRule type="expression" dxfId="295" priority="6">
      <formula>$N$38="N/A"</formula>
    </cfRule>
  </conditionalFormatting>
  <conditionalFormatting sqref="A48:M48">
    <cfRule type="expression" dxfId="294" priority="5">
      <formula>$N$48="N/A"</formula>
    </cfRule>
  </conditionalFormatting>
  <conditionalFormatting sqref="A64:M64">
    <cfRule type="expression" dxfId="293" priority="4">
      <formula>$N$64="N/A"</formula>
    </cfRule>
  </conditionalFormatting>
  <conditionalFormatting sqref="A19:M19">
    <cfRule type="expression" dxfId="292" priority="3">
      <formula>$N$19="N/A"</formula>
    </cfRule>
  </conditionalFormatting>
  <conditionalFormatting sqref="A23:M23">
    <cfRule type="expression" dxfId="291" priority="2">
      <formula>$N$23="N/A"</formula>
    </cfRule>
  </conditionalFormatting>
  <conditionalFormatting sqref="A36:M36">
    <cfRule type="expression" dxfId="290"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289" priority="29" stopIfTrue="1" operator="greaterThan">
      <formula>$F$12</formula>
    </cfRule>
  </conditionalFormatting>
  <conditionalFormatting sqref="J52">
    <cfRule type="cellIs" dxfId="288" priority="28" stopIfTrue="1" operator="greaterThan">
      <formula>$F$12</formula>
    </cfRule>
  </conditionalFormatting>
  <conditionalFormatting sqref="J53">
    <cfRule type="cellIs" dxfId="287" priority="27" stopIfTrue="1" operator="greaterThan">
      <formula>$F$12</formula>
    </cfRule>
  </conditionalFormatting>
  <conditionalFormatting sqref="A26:M26">
    <cfRule type="expression" dxfId="286" priority="25">
      <formula>$N$26="N/A"</formula>
    </cfRule>
  </conditionalFormatting>
  <conditionalFormatting sqref="A28:M28">
    <cfRule type="expression" dxfId="285" priority="26">
      <formula>$N$28="N/A"</formula>
    </cfRule>
  </conditionalFormatting>
  <conditionalFormatting sqref="A30:M30">
    <cfRule type="expression" dxfId="284" priority="24">
      <formula>$N$30="N/A"</formula>
    </cfRule>
  </conditionalFormatting>
  <conditionalFormatting sqref="A32:M32">
    <cfRule type="expression" dxfId="283" priority="23">
      <formula>$N$32="N/A"</formula>
    </cfRule>
  </conditionalFormatting>
  <conditionalFormatting sqref="A34:M34">
    <cfRule type="expression" dxfId="282" priority="22">
      <formula>$N$34="N/A"</formula>
    </cfRule>
  </conditionalFormatting>
  <conditionalFormatting sqref="A40:M40">
    <cfRule type="expression" dxfId="281" priority="21">
      <formula>$N$40="N/A"</formula>
    </cfRule>
  </conditionalFormatting>
  <conditionalFormatting sqref="A42:M42">
    <cfRule type="expression" dxfId="280" priority="20">
      <formula>$N$42="N/A"</formula>
    </cfRule>
  </conditionalFormatting>
  <conditionalFormatting sqref="A44:M44">
    <cfRule type="expression" dxfId="279" priority="19">
      <formula>$N$44="N/A"</formula>
    </cfRule>
  </conditionalFormatting>
  <conditionalFormatting sqref="A46:M46">
    <cfRule type="expression" dxfId="278" priority="18">
      <formula>$N$46="N/A"</formula>
    </cfRule>
  </conditionalFormatting>
  <conditionalFormatting sqref="A49:M49">
    <cfRule type="expression" dxfId="277" priority="17">
      <formula>$N$49="N/A"</formula>
    </cfRule>
  </conditionalFormatting>
  <conditionalFormatting sqref="A50:M50">
    <cfRule type="expression" dxfId="276" priority="16">
      <formula>$N$50="N/A"</formula>
    </cfRule>
  </conditionalFormatting>
  <conditionalFormatting sqref="A51:M51">
    <cfRule type="expression" dxfId="275" priority="15">
      <formula>$N$51="N/A"</formula>
    </cfRule>
  </conditionalFormatting>
  <conditionalFormatting sqref="A52:M52">
    <cfRule type="expression" dxfId="274" priority="14">
      <formula>$N$52="N/A"</formula>
    </cfRule>
  </conditionalFormatting>
  <conditionalFormatting sqref="A53:M53">
    <cfRule type="expression" dxfId="273" priority="13">
      <formula>$N$53="N/A"</formula>
    </cfRule>
  </conditionalFormatting>
  <conditionalFormatting sqref="A56:M56">
    <cfRule type="expression" dxfId="272" priority="12">
      <formula>$N$56="N/A"</formula>
    </cfRule>
  </conditionalFormatting>
  <conditionalFormatting sqref="A57:M57">
    <cfRule type="expression" dxfId="271" priority="11">
      <formula>$N$57="N/A"</formula>
    </cfRule>
  </conditionalFormatting>
  <conditionalFormatting sqref="A58:M58">
    <cfRule type="expression" dxfId="270" priority="10">
      <formula>$N$58="N/A"</formula>
    </cfRule>
  </conditionalFormatting>
  <conditionalFormatting sqref="A59:M59">
    <cfRule type="expression" dxfId="269" priority="9">
      <formula>$N$59="N/A"</formula>
    </cfRule>
  </conditionalFormatting>
  <conditionalFormatting sqref="A60:M60">
    <cfRule type="expression" dxfId="268" priority="8">
      <formula>$N$60="N/A"</formula>
    </cfRule>
  </conditionalFormatting>
  <conditionalFormatting sqref="A13:M13">
    <cfRule type="expression" dxfId="267" priority="7">
      <formula>$N$13="N/A"</formula>
    </cfRule>
  </conditionalFormatting>
  <conditionalFormatting sqref="A38:M38">
    <cfRule type="expression" dxfId="266" priority="6">
      <formula>$N$38="N/A"</formula>
    </cfRule>
  </conditionalFormatting>
  <conditionalFormatting sqref="A48:M48">
    <cfRule type="expression" dxfId="265" priority="5">
      <formula>$N$48="N/A"</formula>
    </cfRule>
  </conditionalFormatting>
  <conditionalFormatting sqref="A64:M64">
    <cfRule type="expression" dxfId="264" priority="4">
      <formula>$N$64="N/A"</formula>
    </cfRule>
  </conditionalFormatting>
  <conditionalFormatting sqref="A19:M19">
    <cfRule type="expression" dxfId="263" priority="3">
      <formula>$N$19="N/A"</formula>
    </cfRule>
  </conditionalFormatting>
  <conditionalFormatting sqref="A23:M23">
    <cfRule type="expression" dxfId="262" priority="2">
      <formula>$N$23="N/A"</formula>
    </cfRule>
  </conditionalFormatting>
  <conditionalFormatting sqref="A36:M36">
    <cfRule type="expression" dxfId="261"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260" priority="29" stopIfTrue="1" operator="greaterThan">
      <formula>$F$12</formula>
    </cfRule>
  </conditionalFormatting>
  <conditionalFormatting sqref="J52">
    <cfRule type="cellIs" dxfId="259" priority="28" stopIfTrue="1" operator="greaterThan">
      <formula>$F$12</formula>
    </cfRule>
  </conditionalFormatting>
  <conditionalFormatting sqref="J53">
    <cfRule type="cellIs" dxfId="258" priority="27" stopIfTrue="1" operator="greaterThan">
      <formula>$F$12</formula>
    </cfRule>
  </conditionalFormatting>
  <conditionalFormatting sqref="A26:M26">
    <cfRule type="expression" dxfId="257" priority="25">
      <formula>$N$26="N/A"</formula>
    </cfRule>
  </conditionalFormatting>
  <conditionalFormatting sqref="A28:M28">
    <cfRule type="expression" dxfId="256" priority="26">
      <formula>$N$28="N/A"</formula>
    </cfRule>
  </conditionalFormatting>
  <conditionalFormatting sqref="A30:M30">
    <cfRule type="expression" dxfId="255" priority="24">
      <formula>$N$30="N/A"</formula>
    </cfRule>
  </conditionalFormatting>
  <conditionalFormatting sqref="A32:M32">
    <cfRule type="expression" dxfId="254" priority="23">
      <formula>$N$32="N/A"</formula>
    </cfRule>
  </conditionalFormatting>
  <conditionalFormatting sqref="A34:M34">
    <cfRule type="expression" dxfId="253" priority="22">
      <formula>$N$34="N/A"</formula>
    </cfRule>
  </conditionalFormatting>
  <conditionalFormatting sqref="A40:M40">
    <cfRule type="expression" dxfId="252" priority="21">
      <formula>$N$40="N/A"</formula>
    </cfRule>
  </conditionalFormatting>
  <conditionalFormatting sqref="A42:M42">
    <cfRule type="expression" dxfId="251" priority="20">
      <formula>$N$42="N/A"</formula>
    </cfRule>
  </conditionalFormatting>
  <conditionalFormatting sqref="A44:M44">
    <cfRule type="expression" dxfId="250" priority="19">
      <formula>$N$44="N/A"</formula>
    </cfRule>
  </conditionalFormatting>
  <conditionalFormatting sqref="A46:M46">
    <cfRule type="expression" dxfId="249" priority="18">
      <formula>$N$46="N/A"</formula>
    </cfRule>
  </conditionalFormatting>
  <conditionalFormatting sqref="A49:M49">
    <cfRule type="expression" dxfId="248" priority="17">
      <formula>$N$49="N/A"</formula>
    </cfRule>
  </conditionalFormatting>
  <conditionalFormatting sqref="A50:M50">
    <cfRule type="expression" dxfId="247" priority="16">
      <formula>$N$50="N/A"</formula>
    </cfRule>
  </conditionalFormatting>
  <conditionalFormatting sqref="A51:M51">
    <cfRule type="expression" dxfId="246" priority="15">
      <formula>$N$51="N/A"</formula>
    </cfRule>
  </conditionalFormatting>
  <conditionalFormatting sqref="A52:M52">
    <cfRule type="expression" dxfId="245" priority="14">
      <formula>$N$52="N/A"</formula>
    </cfRule>
  </conditionalFormatting>
  <conditionalFormatting sqref="A53:M53">
    <cfRule type="expression" dxfId="244" priority="13">
      <formula>$N$53="N/A"</formula>
    </cfRule>
  </conditionalFormatting>
  <conditionalFormatting sqref="A56:M56">
    <cfRule type="expression" dxfId="243" priority="12">
      <formula>$N$56="N/A"</formula>
    </cfRule>
  </conditionalFormatting>
  <conditionalFormatting sqref="A57:M57">
    <cfRule type="expression" dxfId="242" priority="11">
      <formula>$N$57="N/A"</formula>
    </cfRule>
  </conditionalFormatting>
  <conditionalFormatting sqref="A58:M58">
    <cfRule type="expression" dxfId="241" priority="10">
      <formula>$N$58="N/A"</formula>
    </cfRule>
  </conditionalFormatting>
  <conditionalFormatting sqref="A59:M59">
    <cfRule type="expression" dxfId="240" priority="9">
      <formula>$N$59="N/A"</formula>
    </cfRule>
  </conditionalFormatting>
  <conditionalFormatting sqref="A60:M60">
    <cfRule type="expression" dxfId="239" priority="8">
      <formula>$N$60="N/A"</formula>
    </cfRule>
  </conditionalFormatting>
  <conditionalFormatting sqref="A13:M13">
    <cfRule type="expression" dxfId="238" priority="7">
      <formula>$N$13="N/A"</formula>
    </cfRule>
  </conditionalFormatting>
  <conditionalFormatting sqref="A38:M38">
    <cfRule type="expression" dxfId="237" priority="6">
      <formula>$N$38="N/A"</formula>
    </cfRule>
  </conditionalFormatting>
  <conditionalFormatting sqref="A48:M48">
    <cfRule type="expression" dxfId="236" priority="5">
      <formula>$N$48="N/A"</formula>
    </cfRule>
  </conditionalFormatting>
  <conditionalFormatting sqref="A64:M64">
    <cfRule type="expression" dxfId="235" priority="4">
      <formula>$N$64="N/A"</formula>
    </cfRule>
  </conditionalFormatting>
  <conditionalFormatting sqref="A19:M19">
    <cfRule type="expression" dxfId="234" priority="3">
      <formula>$N$19="N/A"</formula>
    </cfRule>
  </conditionalFormatting>
  <conditionalFormatting sqref="A23:M23">
    <cfRule type="expression" dxfId="233" priority="2">
      <formula>$N$23="N/A"</formula>
    </cfRule>
  </conditionalFormatting>
  <conditionalFormatting sqref="A36:M36">
    <cfRule type="expression" dxfId="232"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231" priority="29" stopIfTrue="1" operator="greaterThan">
      <formula>$F$12</formula>
    </cfRule>
  </conditionalFormatting>
  <conditionalFormatting sqref="J52">
    <cfRule type="cellIs" dxfId="230" priority="28" stopIfTrue="1" operator="greaterThan">
      <formula>$F$12</formula>
    </cfRule>
  </conditionalFormatting>
  <conditionalFormatting sqref="J53">
    <cfRule type="cellIs" dxfId="229" priority="27" stopIfTrue="1" operator="greaterThan">
      <formula>$F$12</formula>
    </cfRule>
  </conditionalFormatting>
  <conditionalFormatting sqref="A26:M26">
    <cfRule type="expression" dxfId="228" priority="25">
      <formula>$N$26="N/A"</formula>
    </cfRule>
  </conditionalFormatting>
  <conditionalFormatting sqref="A28:M28">
    <cfRule type="expression" dxfId="227" priority="26">
      <formula>$N$28="N/A"</formula>
    </cfRule>
  </conditionalFormatting>
  <conditionalFormatting sqref="A30:M30">
    <cfRule type="expression" dxfId="226" priority="24">
      <formula>$N$30="N/A"</formula>
    </cfRule>
  </conditionalFormatting>
  <conditionalFormatting sqref="A32:M32">
    <cfRule type="expression" dxfId="225" priority="23">
      <formula>$N$32="N/A"</formula>
    </cfRule>
  </conditionalFormatting>
  <conditionalFormatting sqref="A34:M34">
    <cfRule type="expression" dxfId="224" priority="22">
      <formula>$N$34="N/A"</formula>
    </cfRule>
  </conditionalFormatting>
  <conditionalFormatting sqref="A40:M40">
    <cfRule type="expression" dxfId="223" priority="21">
      <formula>$N$40="N/A"</formula>
    </cfRule>
  </conditionalFormatting>
  <conditionalFormatting sqref="A42:M42">
    <cfRule type="expression" dxfId="222" priority="20">
      <formula>$N$42="N/A"</formula>
    </cfRule>
  </conditionalFormatting>
  <conditionalFormatting sqref="A44:M44">
    <cfRule type="expression" dxfId="221" priority="19">
      <formula>$N$44="N/A"</formula>
    </cfRule>
  </conditionalFormatting>
  <conditionalFormatting sqref="A46:M46">
    <cfRule type="expression" dxfId="220" priority="18">
      <formula>$N$46="N/A"</formula>
    </cfRule>
  </conditionalFormatting>
  <conditionalFormatting sqref="A49:M49">
    <cfRule type="expression" dxfId="219" priority="17">
      <formula>$N$49="N/A"</formula>
    </cfRule>
  </conditionalFormatting>
  <conditionalFormatting sqref="A50:M50">
    <cfRule type="expression" dxfId="218" priority="16">
      <formula>$N$50="N/A"</formula>
    </cfRule>
  </conditionalFormatting>
  <conditionalFormatting sqref="A51:M51">
    <cfRule type="expression" dxfId="217" priority="15">
      <formula>$N$51="N/A"</formula>
    </cfRule>
  </conditionalFormatting>
  <conditionalFormatting sqref="A52:M52">
    <cfRule type="expression" dxfId="216" priority="14">
      <formula>$N$52="N/A"</formula>
    </cfRule>
  </conditionalFormatting>
  <conditionalFormatting sqref="A53:M53">
    <cfRule type="expression" dxfId="215" priority="13">
      <formula>$N$53="N/A"</formula>
    </cfRule>
  </conditionalFormatting>
  <conditionalFormatting sqref="A56:M56">
    <cfRule type="expression" dxfId="214" priority="12">
      <formula>$N$56="N/A"</formula>
    </cfRule>
  </conditionalFormatting>
  <conditionalFormatting sqref="A57:M57">
    <cfRule type="expression" dxfId="213" priority="11">
      <formula>$N$57="N/A"</formula>
    </cfRule>
  </conditionalFormatting>
  <conditionalFormatting sqref="A58:M58">
    <cfRule type="expression" dxfId="212" priority="10">
      <formula>$N$58="N/A"</formula>
    </cfRule>
  </conditionalFormatting>
  <conditionalFormatting sqref="A59:M59">
    <cfRule type="expression" dxfId="211" priority="9">
      <formula>$N$59="N/A"</formula>
    </cfRule>
  </conditionalFormatting>
  <conditionalFormatting sqref="A60:M60">
    <cfRule type="expression" dxfId="210" priority="8">
      <formula>$N$60="N/A"</formula>
    </cfRule>
  </conditionalFormatting>
  <conditionalFormatting sqref="A13:M13">
    <cfRule type="expression" dxfId="209" priority="7">
      <formula>$N$13="N/A"</formula>
    </cfRule>
  </conditionalFormatting>
  <conditionalFormatting sqref="A38:M38">
    <cfRule type="expression" dxfId="208" priority="6">
      <formula>$N$38="N/A"</formula>
    </cfRule>
  </conditionalFormatting>
  <conditionalFormatting sqref="A48:M48">
    <cfRule type="expression" dxfId="207" priority="5">
      <formula>$N$48="N/A"</formula>
    </cfRule>
  </conditionalFormatting>
  <conditionalFormatting sqref="A64:M64">
    <cfRule type="expression" dxfId="206" priority="4">
      <formula>$N$64="N/A"</formula>
    </cfRule>
  </conditionalFormatting>
  <conditionalFormatting sqref="A19:M19">
    <cfRule type="expression" dxfId="205" priority="3">
      <formula>$N$19="N/A"</formula>
    </cfRule>
  </conditionalFormatting>
  <conditionalFormatting sqref="A23:M23">
    <cfRule type="expression" dxfId="204" priority="2">
      <formula>$N$23="N/A"</formula>
    </cfRule>
  </conditionalFormatting>
  <conditionalFormatting sqref="A36:M36">
    <cfRule type="expression" dxfId="203"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202" priority="29" stopIfTrue="1" operator="greaterThan">
      <formula>$F$12</formula>
    </cfRule>
  </conditionalFormatting>
  <conditionalFormatting sqref="J52">
    <cfRule type="cellIs" dxfId="201" priority="28" stopIfTrue="1" operator="greaterThan">
      <formula>$F$12</formula>
    </cfRule>
  </conditionalFormatting>
  <conditionalFormatting sqref="J53">
    <cfRule type="cellIs" dxfId="200" priority="27" stopIfTrue="1" operator="greaterThan">
      <formula>$F$12</formula>
    </cfRule>
  </conditionalFormatting>
  <conditionalFormatting sqref="A26:M26">
    <cfRule type="expression" dxfId="199" priority="25">
      <formula>$N$26="N/A"</formula>
    </cfRule>
  </conditionalFormatting>
  <conditionalFormatting sqref="A28:M28">
    <cfRule type="expression" dxfId="198" priority="26">
      <formula>$N$28="N/A"</formula>
    </cfRule>
  </conditionalFormatting>
  <conditionalFormatting sqref="A30:M30">
    <cfRule type="expression" dxfId="197" priority="24">
      <formula>$N$30="N/A"</formula>
    </cfRule>
  </conditionalFormatting>
  <conditionalFormatting sqref="A32:M32">
    <cfRule type="expression" dxfId="196" priority="23">
      <formula>$N$32="N/A"</formula>
    </cfRule>
  </conditionalFormatting>
  <conditionalFormatting sqref="A34:M34">
    <cfRule type="expression" dxfId="195" priority="22">
      <formula>$N$34="N/A"</formula>
    </cfRule>
  </conditionalFormatting>
  <conditionalFormatting sqref="A40:M40">
    <cfRule type="expression" dxfId="194" priority="21">
      <formula>$N$40="N/A"</formula>
    </cfRule>
  </conditionalFormatting>
  <conditionalFormatting sqref="A42:M42">
    <cfRule type="expression" dxfId="193" priority="20">
      <formula>$N$42="N/A"</formula>
    </cfRule>
  </conditionalFormatting>
  <conditionalFormatting sqref="A44:M44">
    <cfRule type="expression" dxfId="192" priority="19">
      <formula>$N$44="N/A"</formula>
    </cfRule>
  </conditionalFormatting>
  <conditionalFormatting sqref="A46:M46">
    <cfRule type="expression" dxfId="191" priority="18">
      <formula>$N$46="N/A"</formula>
    </cfRule>
  </conditionalFormatting>
  <conditionalFormatting sqref="A49:M49">
    <cfRule type="expression" dxfId="190" priority="17">
      <formula>$N$49="N/A"</formula>
    </cfRule>
  </conditionalFormatting>
  <conditionalFormatting sqref="A50:M50">
    <cfRule type="expression" dxfId="189" priority="16">
      <formula>$N$50="N/A"</formula>
    </cfRule>
  </conditionalFormatting>
  <conditionalFormatting sqref="A51:M51">
    <cfRule type="expression" dxfId="188" priority="15">
      <formula>$N$51="N/A"</formula>
    </cfRule>
  </conditionalFormatting>
  <conditionalFormatting sqref="A52:M52">
    <cfRule type="expression" dxfId="187" priority="14">
      <formula>$N$52="N/A"</formula>
    </cfRule>
  </conditionalFormatting>
  <conditionalFormatting sqref="A53:M53">
    <cfRule type="expression" dxfId="186" priority="13">
      <formula>$N$53="N/A"</formula>
    </cfRule>
  </conditionalFormatting>
  <conditionalFormatting sqref="A56:M56">
    <cfRule type="expression" dxfId="185" priority="12">
      <formula>$N$56="N/A"</formula>
    </cfRule>
  </conditionalFormatting>
  <conditionalFormatting sqref="A57:M57">
    <cfRule type="expression" dxfId="184" priority="11">
      <formula>$N$57="N/A"</formula>
    </cfRule>
  </conditionalFormatting>
  <conditionalFormatting sqref="A58:M58">
    <cfRule type="expression" dxfId="183" priority="10">
      <formula>$N$58="N/A"</formula>
    </cfRule>
  </conditionalFormatting>
  <conditionalFormatting sqref="A59:M59">
    <cfRule type="expression" dxfId="182" priority="9">
      <formula>$N$59="N/A"</formula>
    </cfRule>
  </conditionalFormatting>
  <conditionalFormatting sqref="A60:M60">
    <cfRule type="expression" dxfId="181" priority="8">
      <formula>$N$60="N/A"</formula>
    </cfRule>
  </conditionalFormatting>
  <conditionalFormatting sqref="A13:M13">
    <cfRule type="expression" dxfId="180" priority="7">
      <formula>$N$13="N/A"</formula>
    </cfRule>
  </conditionalFormatting>
  <conditionalFormatting sqref="A38:M38">
    <cfRule type="expression" dxfId="179" priority="6">
      <formula>$N$38="N/A"</formula>
    </cfRule>
  </conditionalFormatting>
  <conditionalFormatting sqref="A48:M48">
    <cfRule type="expression" dxfId="178" priority="5">
      <formula>$N$48="N/A"</formula>
    </cfRule>
  </conditionalFormatting>
  <conditionalFormatting sqref="A64:M64">
    <cfRule type="expression" dxfId="177" priority="4">
      <formula>$N$64="N/A"</formula>
    </cfRule>
  </conditionalFormatting>
  <conditionalFormatting sqref="A19:M19">
    <cfRule type="expression" dxfId="176" priority="3">
      <formula>$N$19="N/A"</formula>
    </cfRule>
  </conditionalFormatting>
  <conditionalFormatting sqref="A23:M23">
    <cfRule type="expression" dxfId="175" priority="2">
      <formula>$N$23="N/A"</formula>
    </cfRule>
  </conditionalFormatting>
  <conditionalFormatting sqref="A36:M36">
    <cfRule type="expression" dxfId="174"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173" priority="29" stopIfTrue="1" operator="greaterThan">
      <formula>$F$12</formula>
    </cfRule>
  </conditionalFormatting>
  <conditionalFormatting sqref="J52">
    <cfRule type="cellIs" dxfId="172" priority="28" stopIfTrue="1" operator="greaterThan">
      <formula>$F$12</formula>
    </cfRule>
  </conditionalFormatting>
  <conditionalFormatting sqref="J53">
    <cfRule type="cellIs" dxfId="171" priority="27" stopIfTrue="1" operator="greaterThan">
      <formula>$F$12</formula>
    </cfRule>
  </conditionalFormatting>
  <conditionalFormatting sqref="A26:M26">
    <cfRule type="expression" dxfId="170" priority="25">
      <formula>$N$26="N/A"</formula>
    </cfRule>
  </conditionalFormatting>
  <conditionalFormatting sqref="A28:M28">
    <cfRule type="expression" dxfId="169" priority="26">
      <formula>$N$28="N/A"</formula>
    </cfRule>
  </conditionalFormatting>
  <conditionalFormatting sqref="A30:M30">
    <cfRule type="expression" dxfId="168" priority="24">
      <formula>$N$30="N/A"</formula>
    </cfRule>
  </conditionalFormatting>
  <conditionalFormatting sqref="A32:M32">
    <cfRule type="expression" dxfId="167" priority="23">
      <formula>$N$32="N/A"</formula>
    </cfRule>
  </conditionalFormatting>
  <conditionalFormatting sqref="A34:M34">
    <cfRule type="expression" dxfId="166" priority="22">
      <formula>$N$34="N/A"</formula>
    </cfRule>
  </conditionalFormatting>
  <conditionalFormatting sqref="A40:M40">
    <cfRule type="expression" dxfId="165" priority="21">
      <formula>$N$40="N/A"</formula>
    </cfRule>
  </conditionalFormatting>
  <conditionalFormatting sqref="A42:M42">
    <cfRule type="expression" dxfId="164" priority="20">
      <formula>$N$42="N/A"</formula>
    </cfRule>
  </conditionalFormatting>
  <conditionalFormatting sqref="A44:M44">
    <cfRule type="expression" dxfId="163" priority="19">
      <formula>$N$44="N/A"</formula>
    </cfRule>
  </conditionalFormatting>
  <conditionalFormatting sqref="A46:M46">
    <cfRule type="expression" dxfId="162" priority="18">
      <formula>$N$46="N/A"</formula>
    </cfRule>
  </conditionalFormatting>
  <conditionalFormatting sqref="A49:M49">
    <cfRule type="expression" dxfId="161" priority="17">
      <formula>$N$49="N/A"</formula>
    </cfRule>
  </conditionalFormatting>
  <conditionalFormatting sqref="A50:M50">
    <cfRule type="expression" dxfId="160" priority="16">
      <formula>$N$50="N/A"</formula>
    </cfRule>
  </conditionalFormatting>
  <conditionalFormatting sqref="A51:M51">
    <cfRule type="expression" dxfId="159" priority="15">
      <formula>$N$51="N/A"</formula>
    </cfRule>
  </conditionalFormatting>
  <conditionalFormatting sqref="A52:M52">
    <cfRule type="expression" dxfId="158" priority="14">
      <formula>$N$52="N/A"</formula>
    </cfRule>
  </conditionalFormatting>
  <conditionalFormatting sqref="A53:M53">
    <cfRule type="expression" dxfId="157" priority="13">
      <formula>$N$53="N/A"</formula>
    </cfRule>
  </conditionalFormatting>
  <conditionalFormatting sqref="A56:M56">
    <cfRule type="expression" dxfId="156" priority="12">
      <formula>$N$56="N/A"</formula>
    </cfRule>
  </conditionalFormatting>
  <conditionalFormatting sqref="A57:M57">
    <cfRule type="expression" dxfId="155" priority="11">
      <formula>$N$57="N/A"</formula>
    </cfRule>
  </conditionalFormatting>
  <conditionalFormatting sqref="A58:M58">
    <cfRule type="expression" dxfId="154" priority="10">
      <formula>$N$58="N/A"</formula>
    </cfRule>
  </conditionalFormatting>
  <conditionalFormatting sqref="A59:M59">
    <cfRule type="expression" dxfId="153" priority="9">
      <formula>$N$59="N/A"</formula>
    </cfRule>
  </conditionalFormatting>
  <conditionalFormatting sqref="A60:M60">
    <cfRule type="expression" dxfId="152" priority="8">
      <formula>$N$60="N/A"</formula>
    </cfRule>
  </conditionalFormatting>
  <conditionalFormatting sqref="A13:M13">
    <cfRule type="expression" dxfId="151" priority="7">
      <formula>$N$13="N/A"</formula>
    </cfRule>
  </conditionalFormatting>
  <conditionalFormatting sqref="A38:M38">
    <cfRule type="expression" dxfId="150" priority="6">
      <formula>$N$38="N/A"</formula>
    </cfRule>
  </conditionalFormatting>
  <conditionalFormatting sqref="A48:M48">
    <cfRule type="expression" dxfId="149" priority="5">
      <formula>$N$48="N/A"</formula>
    </cfRule>
  </conditionalFormatting>
  <conditionalFormatting sqref="A64:M64">
    <cfRule type="expression" dxfId="148" priority="4">
      <formula>$N$64="N/A"</formula>
    </cfRule>
  </conditionalFormatting>
  <conditionalFormatting sqref="A19:M19">
    <cfRule type="expression" dxfId="147" priority="3">
      <formula>$N$19="N/A"</formula>
    </cfRule>
  </conditionalFormatting>
  <conditionalFormatting sqref="A23:M23">
    <cfRule type="expression" dxfId="146" priority="2">
      <formula>$N$23="N/A"</formula>
    </cfRule>
  </conditionalFormatting>
  <conditionalFormatting sqref="A36:M36">
    <cfRule type="expression" dxfId="145"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144" priority="29" stopIfTrue="1" operator="greaterThan">
      <formula>$F$12</formula>
    </cfRule>
  </conditionalFormatting>
  <conditionalFormatting sqref="J52">
    <cfRule type="cellIs" dxfId="143" priority="28" stopIfTrue="1" operator="greaterThan">
      <formula>$F$12</formula>
    </cfRule>
  </conditionalFormatting>
  <conditionalFormatting sqref="J53">
    <cfRule type="cellIs" dxfId="142" priority="27" stopIfTrue="1" operator="greaterThan">
      <formula>$F$12</formula>
    </cfRule>
  </conditionalFormatting>
  <conditionalFormatting sqref="A26:M26">
    <cfRule type="expression" dxfId="141" priority="25">
      <formula>$N$26="N/A"</formula>
    </cfRule>
  </conditionalFormatting>
  <conditionalFormatting sqref="A28:M28">
    <cfRule type="expression" dxfId="140" priority="26">
      <formula>$N$28="N/A"</formula>
    </cfRule>
  </conditionalFormatting>
  <conditionalFormatting sqref="A30:M30">
    <cfRule type="expression" dxfId="139" priority="24">
      <formula>$N$30="N/A"</formula>
    </cfRule>
  </conditionalFormatting>
  <conditionalFormatting sqref="A32:M32">
    <cfRule type="expression" dxfId="138" priority="23">
      <formula>$N$32="N/A"</formula>
    </cfRule>
  </conditionalFormatting>
  <conditionalFormatting sqref="A34:M34">
    <cfRule type="expression" dxfId="137" priority="22">
      <formula>$N$34="N/A"</formula>
    </cfRule>
  </conditionalFormatting>
  <conditionalFormatting sqref="A40:M40">
    <cfRule type="expression" dxfId="136" priority="21">
      <formula>$N$40="N/A"</formula>
    </cfRule>
  </conditionalFormatting>
  <conditionalFormatting sqref="A42:M42">
    <cfRule type="expression" dxfId="135" priority="20">
      <formula>$N$42="N/A"</formula>
    </cfRule>
  </conditionalFormatting>
  <conditionalFormatting sqref="A44:M44">
    <cfRule type="expression" dxfId="134" priority="19">
      <formula>$N$44="N/A"</formula>
    </cfRule>
  </conditionalFormatting>
  <conditionalFormatting sqref="A46:M46">
    <cfRule type="expression" dxfId="133" priority="18">
      <formula>$N$46="N/A"</formula>
    </cfRule>
  </conditionalFormatting>
  <conditionalFormatting sqref="A49:M49">
    <cfRule type="expression" dxfId="132" priority="17">
      <formula>$N$49="N/A"</formula>
    </cfRule>
  </conditionalFormatting>
  <conditionalFormatting sqref="A50:M50">
    <cfRule type="expression" dxfId="131" priority="16">
      <formula>$N$50="N/A"</formula>
    </cfRule>
  </conditionalFormatting>
  <conditionalFormatting sqref="A51:M51">
    <cfRule type="expression" dxfId="130" priority="15">
      <formula>$N$51="N/A"</formula>
    </cfRule>
  </conditionalFormatting>
  <conditionalFormatting sqref="A52:M52">
    <cfRule type="expression" dxfId="129" priority="14">
      <formula>$N$52="N/A"</formula>
    </cfRule>
  </conditionalFormatting>
  <conditionalFormatting sqref="A53:M53">
    <cfRule type="expression" dxfId="128" priority="13">
      <formula>$N$53="N/A"</formula>
    </cfRule>
  </conditionalFormatting>
  <conditionalFormatting sqref="A56:M56">
    <cfRule type="expression" dxfId="127" priority="12">
      <formula>$N$56="N/A"</formula>
    </cfRule>
  </conditionalFormatting>
  <conditionalFormatting sqref="A57:M57">
    <cfRule type="expression" dxfId="126" priority="11">
      <formula>$N$57="N/A"</formula>
    </cfRule>
  </conditionalFormatting>
  <conditionalFormatting sqref="A58:M58">
    <cfRule type="expression" dxfId="125" priority="10">
      <formula>$N$58="N/A"</formula>
    </cfRule>
  </conditionalFormatting>
  <conditionalFormatting sqref="A59:M59">
    <cfRule type="expression" dxfId="124" priority="9">
      <formula>$N$59="N/A"</formula>
    </cfRule>
  </conditionalFormatting>
  <conditionalFormatting sqref="A60:M60">
    <cfRule type="expression" dxfId="123" priority="8">
      <formula>$N$60="N/A"</formula>
    </cfRule>
  </conditionalFormatting>
  <conditionalFormatting sqref="A13:M13">
    <cfRule type="expression" dxfId="122" priority="7">
      <formula>$N$13="N/A"</formula>
    </cfRule>
  </conditionalFormatting>
  <conditionalFormatting sqref="A38:M38">
    <cfRule type="expression" dxfId="121" priority="6">
      <formula>$N$38="N/A"</formula>
    </cfRule>
  </conditionalFormatting>
  <conditionalFormatting sqref="A48:M48">
    <cfRule type="expression" dxfId="120" priority="5">
      <formula>$N$48="N/A"</formula>
    </cfRule>
  </conditionalFormatting>
  <conditionalFormatting sqref="A64:M64">
    <cfRule type="expression" dxfId="119" priority="4">
      <formula>$N$64="N/A"</formula>
    </cfRule>
  </conditionalFormatting>
  <conditionalFormatting sqref="A19:M19">
    <cfRule type="expression" dxfId="118" priority="3">
      <formula>$N$19="N/A"</formula>
    </cfRule>
  </conditionalFormatting>
  <conditionalFormatting sqref="A23:M23">
    <cfRule type="expression" dxfId="117" priority="2">
      <formula>$N$23="N/A"</formula>
    </cfRule>
  </conditionalFormatting>
  <conditionalFormatting sqref="A36:M36">
    <cfRule type="expression" dxfId="116"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115" priority="29" stopIfTrue="1" operator="greaterThan">
      <formula>$F$12</formula>
    </cfRule>
  </conditionalFormatting>
  <conditionalFormatting sqref="J52">
    <cfRule type="cellIs" dxfId="114" priority="28" stopIfTrue="1" operator="greaterThan">
      <formula>$F$12</formula>
    </cfRule>
  </conditionalFormatting>
  <conditionalFormatting sqref="J53">
    <cfRule type="cellIs" dxfId="113" priority="27" stopIfTrue="1" operator="greaterThan">
      <formula>$F$12</formula>
    </cfRule>
  </conditionalFormatting>
  <conditionalFormatting sqref="A26:M26">
    <cfRule type="expression" dxfId="112" priority="25">
      <formula>$N$26="N/A"</formula>
    </cfRule>
  </conditionalFormatting>
  <conditionalFormatting sqref="A28:M28">
    <cfRule type="expression" dxfId="111" priority="26">
      <formula>$N$28="N/A"</formula>
    </cfRule>
  </conditionalFormatting>
  <conditionalFormatting sqref="A30:M30">
    <cfRule type="expression" dxfId="110" priority="24">
      <formula>$N$30="N/A"</formula>
    </cfRule>
  </conditionalFormatting>
  <conditionalFormatting sqref="A32:M32">
    <cfRule type="expression" dxfId="109" priority="23">
      <formula>$N$32="N/A"</formula>
    </cfRule>
  </conditionalFormatting>
  <conditionalFormatting sqref="A34:M34">
    <cfRule type="expression" dxfId="108" priority="22">
      <formula>$N$34="N/A"</formula>
    </cfRule>
  </conditionalFormatting>
  <conditionalFormatting sqref="A40:M40">
    <cfRule type="expression" dxfId="107" priority="21">
      <formula>$N$40="N/A"</formula>
    </cfRule>
  </conditionalFormatting>
  <conditionalFormatting sqref="A42:M42">
    <cfRule type="expression" dxfId="106" priority="20">
      <formula>$N$42="N/A"</formula>
    </cfRule>
  </conditionalFormatting>
  <conditionalFormatting sqref="A44:M44">
    <cfRule type="expression" dxfId="105" priority="19">
      <formula>$N$44="N/A"</formula>
    </cfRule>
  </conditionalFormatting>
  <conditionalFormatting sqref="A46:M46">
    <cfRule type="expression" dxfId="104" priority="18">
      <formula>$N$46="N/A"</formula>
    </cfRule>
  </conditionalFormatting>
  <conditionalFormatting sqref="A49:M49">
    <cfRule type="expression" dxfId="103" priority="17">
      <formula>$N$49="N/A"</formula>
    </cfRule>
  </conditionalFormatting>
  <conditionalFormatting sqref="A50:M50">
    <cfRule type="expression" dxfId="102" priority="16">
      <formula>$N$50="N/A"</formula>
    </cfRule>
  </conditionalFormatting>
  <conditionalFormatting sqref="A51:M51">
    <cfRule type="expression" dxfId="101" priority="15">
      <formula>$N$51="N/A"</formula>
    </cfRule>
  </conditionalFormatting>
  <conditionalFormatting sqref="A52:M52">
    <cfRule type="expression" dxfId="100" priority="14">
      <formula>$N$52="N/A"</formula>
    </cfRule>
  </conditionalFormatting>
  <conditionalFormatting sqref="A53:M53">
    <cfRule type="expression" dxfId="99" priority="13">
      <formula>$N$53="N/A"</formula>
    </cfRule>
  </conditionalFormatting>
  <conditionalFormatting sqref="A56:M56">
    <cfRule type="expression" dxfId="98" priority="12">
      <formula>$N$56="N/A"</formula>
    </cfRule>
  </conditionalFormatting>
  <conditionalFormatting sqref="A57:M57">
    <cfRule type="expression" dxfId="97" priority="11">
      <formula>$N$57="N/A"</formula>
    </cfRule>
  </conditionalFormatting>
  <conditionalFormatting sqref="A58:M58">
    <cfRule type="expression" dxfId="96" priority="10">
      <formula>$N$58="N/A"</formula>
    </cfRule>
  </conditionalFormatting>
  <conditionalFormatting sqref="A59:M59">
    <cfRule type="expression" dxfId="95" priority="9">
      <formula>$N$59="N/A"</formula>
    </cfRule>
  </conditionalFormatting>
  <conditionalFormatting sqref="A60:M60">
    <cfRule type="expression" dxfId="94" priority="8">
      <formula>$N$60="N/A"</formula>
    </cfRule>
  </conditionalFormatting>
  <conditionalFormatting sqref="A13:M13">
    <cfRule type="expression" dxfId="93" priority="7">
      <formula>$N$13="N/A"</formula>
    </cfRule>
  </conditionalFormatting>
  <conditionalFormatting sqref="A38:M38">
    <cfRule type="expression" dxfId="92" priority="6">
      <formula>$N$38="N/A"</formula>
    </cfRule>
  </conditionalFormatting>
  <conditionalFormatting sqref="A48:M48">
    <cfRule type="expression" dxfId="91" priority="5">
      <formula>$N$48="N/A"</formula>
    </cfRule>
  </conditionalFormatting>
  <conditionalFormatting sqref="A64:M64">
    <cfRule type="expression" dxfId="90" priority="4">
      <formula>$N$64="N/A"</formula>
    </cfRule>
  </conditionalFormatting>
  <conditionalFormatting sqref="A19:M19">
    <cfRule type="expression" dxfId="89" priority="3">
      <formula>$N$19="N/A"</formula>
    </cfRule>
  </conditionalFormatting>
  <conditionalFormatting sqref="A23:M23">
    <cfRule type="expression" dxfId="88" priority="2">
      <formula>$N$23="N/A"</formula>
    </cfRule>
  </conditionalFormatting>
  <conditionalFormatting sqref="A36:M36">
    <cfRule type="expression" dxfId="87"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5"/>
  <sheetViews>
    <sheetView zoomScaleNormal="100" workbookViewId="0">
      <selection activeCell="C3" sqref="C3:O3"/>
    </sheetView>
  </sheetViews>
  <sheetFormatPr defaultRowHeight="12.75" x14ac:dyDescent="0.2"/>
  <sheetData>
    <row r="1" spans="2:16" ht="13.5" thickBot="1" x14ac:dyDescent="0.25"/>
    <row r="2" spans="2:16" s="52" customFormat="1" ht="13.5" thickTop="1" x14ac:dyDescent="0.2">
      <c r="B2" s="53"/>
      <c r="C2" s="54"/>
      <c r="D2" s="54"/>
      <c r="E2" s="54"/>
      <c r="F2" s="54"/>
      <c r="G2" s="54"/>
      <c r="H2" s="54"/>
      <c r="I2" s="54"/>
      <c r="J2" s="54"/>
      <c r="K2" s="54"/>
      <c r="L2" s="54"/>
      <c r="M2" s="54"/>
      <c r="N2" s="54"/>
      <c r="O2" s="54"/>
      <c r="P2" s="55"/>
    </row>
    <row r="3" spans="2:16" s="52" customFormat="1" ht="27" x14ac:dyDescent="0.35">
      <c r="B3" s="56"/>
      <c r="C3" s="249" t="s">
        <v>215</v>
      </c>
      <c r="D3" s="249"/>
      <c r="E3" s="249"/>
      <c r="F3" s="249"/>
      <c r="G3" s="249"/>
      <c r="H3" s="249"/>
      <c r="I3" s="249"/>
      <c r="J3" s="249"/>
      <c r="K3" s="249"/>
      <c r="L3" s="249"/>
      <c r="M3" s="249"/>
      <c r="N3" s="249"/>
      <c r="O3" s="249"/>
      <c r="P3" s="57"/>
    </row>
    <row r="4" spans="2:16" s="52" customFormat="1" ht="13.5" thickBot="1" x14ac:dyDescent="0.25">
      <c r="B4" s="58"/>
      <c r="C4" s="59"/>
      <c r="D4" s="59"/>
      <c r="E4" s="59"/>
      <c r="F4" s="59"/>
      <c r="G4" s="59"/>
      <c r="H4" s="59"/>
      <c r="I4" s="59"/>
      <c r="J4" s="59"/>
      <c r="K4" s="59"/>
      <c r="L4" s="59"/>
      <c r="M4" s="59"/>
      <c r="N4" s="59"/>
      <c r="O4" s="59"/>
      <c r="P4" s="60"/>
    </row>
    <row r="5" spans="2:16" ht="13.5" thickTop="1" x14ac:dyDescent="0.2"/>
    <row r="7" spans="2:16" x14ac:dyDescent="0.2">
      <c r="B7" s="22" t="s">
        <v>23</v>
      </c>
      <c r="K7" s="22" t="s">
        <v>30</v>
      </c>
    </row>
    <row r="9" spans="2:16" x14ac:dyDescent="0.2">
      <c r="B9" s="12" t="s">
        <v>220</v>
      </c>
      <c r="K9" s="12" t="s">
        <v>45</v>
      </c>
    </row>
    <row r="10" spans="2:16" x14ac:dyDescent="0.2">
      <c r="B10" s="12" t="s">
        <v>376</v>
      </c>
      <c r="K10" s="12" t="s">
        <v>31</v>
      </c>
    </row>
    <row r="11" spans="2:16" x14ac:dyDescent="0.2">
      <c r="B11" s="12" t="s">
        <v>377</v>
      </c>
      <c r="K11" s="12" t="s">
        <v>32</v>
      </c>
    </row>
    <row r="12" spans="2:16" x14ac:dyDescent="0.2">
      <c r="B12" s="12" t="s">
        <v>378</v>
      </c>
      <c r="K12" s="12" t="s">
        <v>33</v>
      </c>
    </row>
    <row r="13" spans="2:16" x14ac:dyDescent="0.2">
      <c r="B13" s="12" t="s">
        <v>379</v>
      </c>
      <c r="K13" s="12" t="s">
        <v>34</v>
      </c>
    </row>
    <row r="14" spans="2:16" x14ac:dyDescent="0.2">
      <c r="K14" s="12" t="s">
        <v>35</v>
      </c>
    </row>
    <row r="15" spans="2:16" x14ac:dyDescent="0.2">
      <c r="B15" s="12" t="s">
        <v>221</v>
      </c>
    </row>
    <row r="16" spans="2:16" x14ac:dyDescent="0.2">
      <c r="B16" s="12" t="s">
        <v>222</v>
      </c>
      <c r="K16" s="22" t="s">
        <v>36</v>
      </c>
      <c r="M16" s="22" t="s">
        <v>37</v>
      </c>
    </row>
    <row r="17" spans="2:13" x14ac:dyDescent="0.2">
      <c r="B17" s="12" t="s">
        <v>223</v>
      </c>
    </row>
    <row r="18" spans="2:13" x14ac:dyDescent="0.2">
      <c r="B18" s="12" t="s">
        <v>224</v>
      </c>
      <c r="K18" s="30"/>
      <c r="M18" s="12" t="s">
        <v>38</v>
      </c>
    </row>
    <row r="19" spans="2:13" x14ac:dyDescent="0.2">
      <c r="B19" s="12"/>
      <c r="K19" s="31"/>
      <c r="M19" s="12" t="s">
        <v>225</v>
      </c>
    </row>
    <row r="20" spans="2:13" x14ac:dyDescent="0.2">
      <c r="B20" s="12" t="s">
        <v>226</v>
      </c>
    </row>
    <row r="21" spans="2:13" x14ac:dyDescent="0.2">
      <c r="K21" s="32"/>
      <c r="M21" s="12" t="s">
        <v>39</v>
      </c>
    </row>
    <row r="22" spans="2:13" x14ac:dyDescent="0.2">
      <c r="B22" s="22" t="s">
        <v>21</v>
      </c>
      <c r="E22" s="23" t="s">
        <v>22</v>
      </c>
      <c r="K22" s="33"/>
      <c r="M22" s="12" t="s">
        <v>40</v>
      </c>
    </row>
    <row r="23" spans="2:13" x14ac:dyDescent="0.2">
      <c r="M23" s="12" t="s">
        <v>41</v>
      </c>
    </row>
    <row r="24" spans="2:13" x14ac:dyDescent="0.2">
      <c r="B24" s="12" t="s">
        <v>227</v>
      </c>
      <c r="E24" s="12" t="s">
        <v>228</v>
      </c>
    </row>
    <row r="25" spans="2:13" x14ac:dyDescent="0.2">
      <c r="E25" s="12" t="s">
        <v>229</v>
      </c>
      <c r="K25" s="34"/>
      <c r="M25" s="12" t="s">
        <v>42</v>
      </c>
    </row>
    <row r="26" spans="2:13" x14ac:dyDescent="0.2">
      <c r="E26" s="12"/>
      <c r="K26" s="35"/>
      <c r="M26" s="12" t="s">
        <v>43</v>
      </c>
    </row>
    <row r="27" spans="2:13" x14ac:dyDescent="0.2">
      <c r="B27" s="12" t="s">
        <v>24</v>
      </c>
      <c r="E27" s="12" t="s">
        <v>25</v>
      </c>
      <c r="M27" s="12" t="s">
        <v>44</v>
      </c>
    </row>
    <row r="28" spans="2:13" x14ac:dyDescent="0.2">
      <c r="E28" s="12" t="s">
        <v>26</v>
      </c>
      <c r="M28" s="12" t="s">
        <v>230</v>
      </c>
    </row>
    <row r="29" spans="2:13" x14ac:dyDescent="0.2">
      <c r="E29" s="12" t="s">
        <v>27</v>
      </c>
      <c r="M29" s="12" t="s">
        <v>231</v>
      </c>
    </row>
    <row r="30" spans="2:13" x14ac:dyDescent="0.2">
      <c r="M30" s="12" t="s">
        <v>232</v>
      </c>
    </row>
    <row r="31" spans="2:13" x14ac:dyDescent="0.2">
      <c r="B31" s="12" t="s">
        <v>47</v>
      </c>
      <c r="E31" s="12" t="s">
        <v>233</v>
      </c>
      <c r="M31" s="12" t="s">
        <v>234</v>
      </c>
    </row>
    <row r="32" spans="2:13" x14ac:dyDescent="0.2">
      <c r="E32" s="12" t="s">
        <v>235</v>
      </c>
      <c r="M32" s="12"/>
    </row>
    <row r="33" spans="2:13" x14ac:dyDescent="0.2">
      <c r="E33" s="12" t="s">
        <v>236</v>
      </c>
      <c r="K33" s="123"/>
      <c r="M33" s="12" t="s">
        <v>342</v>
      </c>
    </row>
    <row r="34" spans="2:13" x14ac:dyDescent="0.2">
      <c r="E34" s="12"/>
      <c r="K34" s="124"/>
      <c r="M34" s="12"/>
    </row>
    <row r="35" spans="2:13" x14ac:dyDescent="0.2">
      <c r="B35" s="12" t="s">
        <v>238</v>
      </c>
      <c r="E35" s="12" t="s">
        <v>239</v>
      </c>
      <c r="M35" s="12"/>
    </row>
    <row r="36" spans="2:13" x14ac:dyDescent="0.2">
      <c r="B36" s="12" t="s">
        <v>241</v>
      </c>
      <c r="E36" s="12" t="s">
        <v>242</v>
      </c>
      <c r="M36" s="12"/>
    </row>
    <row r="37" spans="2:13" x14ac:dyDescent="0.2">
      <c r="K37" s="22" t="s">
        <v>237</v>
      </c>
    </row>
    <row r="38" spans="2:13" x14ac:dyDescent="0.2">
      <c r="B38" s="12" t="s">
        <v>245</v>
      </c>
      <c r="E38" s="12" t="s">
        <v>246</v>
      </c>
    </row>
    <row r="39" spans="2:13" x14ac:dyDescent="0.2">
      <c r="E39" s="12" t="s">
        <v>248</v>
      </c>
      <c r="K39" t="s">
        <v>240</v>
      </c>
    </row>
    <row r="40" spans="2:13" x14ac:dyDescent="0.2">
      <c r="E40" s="12" t="s">
        <v>250</v>
      </c>
      <c r="K40" t="s">
        <v>243</v>
      </c>
    </row>
    <row r="41" spans="2:13" x14ac:dyDescent="0.2">
      <c r="E41" s="12" t="s">
        <v>252</v>
      </c>
      <c r="K41" t="s">
        <v>244</v>
      </c>
    </row>
    <row r="42" spans="2:13" x14ac:dyDescent="0.2">
      <c r="K42" t="s">
        <v>247</v>
      </c>
    </row>
    <row r="43" spans="2:13" x14ac:dyDescent="0.2">
      <c r="B43" s="12" t="s">
        <v>254</v>
      </c>
      <c r="E43" s="12" t="s">
        <v>255</v>
      </c>
      <c r="K43" t="s">
        <v>249</v>
      </c>
    </row>
    <row r="44" spans="2:13" x14ac:dyDescent="0.2">
      <c r="E44" s="12" t="s">
        <v>257</v>
      </c>
      <c r="K44" t="s">
        <v>251</v>
      </c>
    </row>
    <row r="45" spans="2:13" x14ac:dyDescent="0.2">
      <c r="E45" s="12" t="s">
        <v>258</v>
      </c>
      <c r="K45" t="s">
        <v>253</v>
      </c>
    </row>
    <row r="46" spans="2:13" x14ac:dyDescent="0.2">
      <c r="E46" s="12" t="s">
        <v>260</v>
      </c>
    </row>
    <row r="47" spans="2:13" x14ac:dyDescent="0.2">
      <c r="E47" s="12" t="s">
        <v>262</v>
      </c>
      <c r="K47" s="22" t="s">
        <v>256</v>
      </c>
    </row>
    <row r="49" spans="2:18" x14ac:dyDescent="0.2">
      <c r="B49" s="12" t="s">
        <v>265</v>
      </c>
      <c r="E49" s="12" t="s">
        <v>28</v>
      </c>
      <c r="K49" s="12" t="s">
        <v>259</v>
      </c>
    </row>
    <row r="50" spans="2:18" x14ac:dyDescent="0.2">
      <c r="E50" s="12" t="s">
        <v>266</v>
      </c>
      <c r="K50" s="12" t="s">
        <v>261</v>
      </c>
    </row>
    <row r="51" spans="2:18" x14ac:dyDescent="0.2">
      <c r="E51" s="12" t="s">
        <v>267</v>
      </c>
      <c r="K51" s="12" t="s">
        <v>263</v>
      </c>
    </row>
    <row r="52" spans="2:18" x14ac:dyDescent="0.2">
      <c r="E52" s="12" t="s">
        <v>268</v>
      </c>
      <c r="K52" s="12" t="s">
        <v>264</v>
      </c>
    </row>
    <row r="53" spans="2:18" x14ac:dyDescent="0.2">
      <c r="E53" s="12" t="s">
        <v>29</v>
      </c>
      <c r="K53" s="12" t="s">
        <v>358</v>
      </c>
    </row>
    <row r="54" spans="2:18" x14ac:dyDescent="0.2">
      <c r="E54" s="12" t="s">
        <v>269</v>
      </c>
      <c r="K54" s="12" t="s">
        <v>380</v>
      </c>
    </row>
    <row r="55" spans="2:18" x14ac:dyDescent="0.2">
      <c r="K55" s="12" t="s">
        <v>381</v>
      </c>
    </row>
    <row r="56" spans="2:18" x14ac:dyDescent="0.2">
      <c r="B56" s="22" t="s">
        <v>51</v>
      </c>
      <c r="C56" s="39"/>
      <c r="K56" s="12" t="s">
        <v>383</v>
      </c>
    </row>
    <row r="57" spans="2:18" x14ac:dyDescent="0.2">
      <c r="C57" s="12" t="s">
        <v>273</v>
      </c>
      <c r="K57" s="12" t="s">
        <v>382</v>
      </c>
    </row>
    <row r="58" spans="2:18" x14ac:dyDescent="0.2">
      <c r="C58" s="12" t="s">
        <v>275</v>
      </c>
      <c r="K58" s="12" t="s">
        <v>270</v>
      </c>
      <c r="M58" s="39"/>
    </row>
    <row r="59" spans="2:18" x14ac:dyDescent="0.2">
      <c r="C59" s="12" t="s">
        <v>277</v>
      </c>
      <c r="K59" s="12" t="s">
        <v>271</v>
      </c>
    </row>
    <row r="60" spans="2:18" x14ac:dyDescent="0.2">
      <c r="E60" s="12"/>
      <c r="K60" s="12" t="s">
        <v>272</v>
      </c>
      <c r="R60" s="12"/>
    </row>
    <row r="61" spans="2:18" x14ac:dyDescent="0.2">
      <c r="C61" s="12" t="s">
        <v>278</v>
      </c>
      <c r="K61" s="12" t="s">
        <v>274</v>
      </c>
      <c r="R61" s="12"/>
    </row>
    <row r="62" spans="2:18" x14ac:dyDescent="0.2">
      <c r="C62" s="12" t="s">
        <v>279</v>
      </c>
      <c r="K62" s="12" t="s">
        <v>276</v>
      </c>
      <c r="R62" s="12"/>
    </row>
    <row r="63" spans="2:18" x14ac:dyDescent="0.2">
      <c r="K63" s="12" t="s">
        <v>384</v>
      </c>
      <c r="R63" s="12"/>
    </row>
    <row r="64" spans="2:18" x14ac:dyDescent="0.2">
      <c r="B64" s="22" t="s">
        <v>280</v>
      </c>
      <c r="K64" s="3" t="s">
        <v>385</v>
      </c>
      <c r="R64" s="12"/>
    </row>
    <row r="65" spans="3:18" x14ac:dyDescent="0.2">
      <c r="C65" s="12" t="s">
        <v>281</v>
      </c>
      <c r="K65" s="3" t="s">
        <v>387</v>
      </c>
      <c r="R65" s="12"/>
    </row>
    <row r="66" spans="3:18" x14ac:dyDescent="0.2">
      <c r="C66" s="12" t="s">
        <v>282</v>
      </c>
      <c r="K66" s="3" t="s">
        <v>386</v>
      </c>
    </row>
    <row r="67" spans="3:18" x14ac:dyDescent="0.2">
      <c r="C67" s="12" t="s">
        <v>283</v>
      </c>
    </row>
    <row r="74" spans="3:18" x14ac:dyDescent="0.2">
      <c r="E74" s="12"/>
    </row>
    <row r="75" spans="3:18" x14ac:dyDescent="0.2">
      <c r="E75" s="12"/>
    </row>
  </sheetData>
  <sheetProtection algorithmName="SHA-512" hashValue="uZ4sEhw2vSY9MN1EIq3XSlr21az0I2TBD9prrHYufT9rfDbxw8M9eHEt1pUGWIjmgBS92YtTt8rIdE1R2XzTAw==" saltValue="6ZmTM+4XNjSPTmn9UxnRXA==" spinCount="100000" sheet="1" objects="1" scenarios="1"/>
  <mergeCells count="1">
    <mergeCell ref="C3:O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86" priority="29" stopIfTrue="1" operator="greaterThan">
      <formula>$F$12</formula>
    </cfRule>
  </conditionalFormatting>
  <conditionalFormatting sqref="J52">
    <cfRule type="cellIs" dxfId="85" priority="28" stopIfTrue="1" operator="greaterThan">
      <formula>$F$12</formula>
    </cfRule>
  </conditionalFormatting>
  <conditionalFormatting sqref="J53">
    <cfRule type="cellIs" dxfId="84" priority="27" stopIfTrue="1" operator="greaterThan">
      <formula>$F$12</formula>
    </cfRule>
  </conditionalFormatting>
  <conditionalFormatting sqref="A26:M26">
    <cfRule type="expression" dxfId="83" priority="25">
      <formula>$N$26="N/A"</formula>
    </cfRule>
  </conditionalFormatting>
  <conditionalFormatting sqref="A28:M28">
    <cfRule type="expression" dxfId="82" priority="26">
      <formula>$N$28="N/A"</formula>
    </cfRule>
  </conditionalFormatting>
  <conditionalFormatting sqref="A30:M30">
    <cfRule type="expression" dxfId="81" priority="24">
      <formula>$N$30="N/A"</formula>
    </cfRule>
  </conditionalFormatting>
  <conditionalFormatting sqref="A32:M32">
    <cfRule type="expression" dxfId="80" priority="23">
      <formula>$N$32="N/A"</formula>
    </cfRule>
  </conditionalFormatting>
  <conditionalFormatting sqref="A34:M34">
    <cfRule type="expression" dxfId="79" priority="22">
      <formula>$N$34="N/A"</formula>
    </cfRule>
  </conditionalFormatting>
  <conditionalFormatting sqref="A40:M40">
    <cfRule type="expression" dxfId="78" priority="21">
      <formula>$N$40="N/A"</formula>
    </cfRule>
  </conditionalFormatting>
  <conditionalFormatting sqref="A42:M42">
    <cfRule type="expression" dxfId="77" priority="20">
      <formula>$N$42="N/A"</formula>
    </cfRule>
  </conditionalFormatting>
  <conditionalFormatting sqref="A44:M44">
    <cfRule type="expression" dxfId="76" priority="19">
      <formula>$N$44="N/A"</formula>
    </cfRule>
  </conditionalFormatting>
  <conditionalFormatting sqref="A46:M46">
    <cfRule type="expression" dxfId="75" priority="18">
      <formula>$N$46="N/A"</formula>
    </cfRule>
  </conditionalFormatting>
  <conditionalFormatting sqref="A49:M49">
    <cfRule type="expression" dxfId="74" priority="17">
      <formula>$N$49="N/A"</formula>
    </cfRule>
  </conditionalFormatting>
  <conditionalFormatting sqref="A50:M50">
    <cfRule type="expression" dxfId="73" priority="16">
      <formula>$N$50="N/A"</formula>
    </cfRule>
  </conditionalFormatting>
  <conditionalFormatting sqref="A51:M51">
    <cfRule type="expression" dxfId="72" priority="15">
      <formula>$N$51="N/A"</formula>
    </cfRule>
  </conditionalFormatting>
  <conditionalFormatting sqref="A52:M52">
    <cfRule type="expression" dxfId="71" priority="14">
      <formula>$N$52="N/A"</formula>
    </cfRule>
  </conditionalFormatting>
  <conditionalFormatting sqref="A53:M53">
    <cfRule type="expression" dxfId="70" priority="13">
      <formula>$N$53="N/A"</formula>
    </cfRule>
  </conditionalFormatting>
  <conditionalFormatting sqref="A56:M56">
    <cfRule type="expression" dxfId="69" priority="12">
      <formula>$N$56="N/A"</formula>
    </cfRule>
  </conditionalFormatting>
  <conditionalFormatting sqref="A57:M57">
    <cfRule type="expression" dxfId="68" priority="11">
      <formula>$N$57="N/A"</formula>
    </cfRule>
  </conditionalFormatting>
  <conditionalFormatting sqref="A58:M58">
    <cfRule type="expression" dxfId="67" priority="10">
      <formula>$N$58="N/A"</formula>
    </cfRule>
  </conditionalFormatting>
  <conditionalFormatting sqref="A59:M59">
    <cfRule type="expression" dxfId="66" priority="9">
      <formula>$N$59="N/A"</formula>
    </cfRule>
  </conditionalFormatting>
  <conditionalFormatting sqref="A60:M60">
    <cfRule type="expression" dxfId="65" priority="8">
      <formula>$N$60="N/A"</formula>
    </cfRule>
  </conditionalFormatting>
  <conditionalFormatting sqref="A13:M13">
    <cfRule type="expression" dxfId="64" priority="7">
      <formula>$N$13="N/A"</formula>
    </cfRule>
  </conditionalFormatting>
  <conditionalFormatting sqref="A38:M38">
    <cfRule type="expression" dxfId="63" priority="6">
      <formula>$N$38="N/A"</formula>
    </cfRule>
  </conditionalFormatting>
  <conditionalFormatting sqref="A48:M48">
    <cfRule type="expression" dxfId="62" priority="5">
      <formula>$N$48="N/A"</formula>
    </cfRule>
  </conditionalFormatting>
  <conditionalFormatting sqref="A64:M64">
    <cfRule type="expression" dxfId="61" priority="4">
      <formula>$N$64="N/A"</formula>
    </cfRule>
  </conditionalFormatting>
  <conditionalFormatting sqref="A19:M19">
    <cfRule type="expression" dxfId="60" priority="3">
      <formula>$N$19="N/A"</formula>
    </cfRule>
  </conditionalFormatting>
  <conditionalFormatting sqref="A23:M23">
    <cfRule type="expression" dxfId="59" priority="2">
      <formula>$N$23="N/A"</formula>
    </cfRule>
  </conditionalFormatting>
  <conditionalFormatting sqref="A36:M36">
    <cfRule type="expression" dxfId="58"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57" priority="29" stopIfTrue="1" operator="greaterThan">
      <formula>$F$12</formula>
    </cfRule>
  </conditionalFormatting>
  <conditionalFormatting sqref="J52">
    <cfRule type="cellIs" dxfId="56" priority="28" stopIfTrue="1" operator="greaterThan">
      <formula>$F$12</formula>
    </cfRule>
  </conditionalFormatting>
  <conditionalFormatting sqref="J53">
    <cfRule type="cellIs" dxfId="55" priority="27" stopIfTrue="1" operator="greaterThan">
      <formula>$F$12</formula>
    </cfRule>
  </conditionalFormatting>
  <conditionalFormatting sqref="A26:M26">
    <cfRule type="expression" dxfId="54" priority="25">
      <formula>$N$26="N/A"</formula>
    </cfRule>
  </conditionalFormatting>
  <conditionalFormatting sqref="A28:M28">
    <cfRule type="expression" dxfId="53" priority="26">
      <formula>$N$28="N/A"</formula>
    </cfRule>
  </conditionalFormatting>
  <conditionalFormatting sqref="A30:M30">
    <cfRule type="expression" dxfId="52" priority="24">
      <formula>$N$30="N/A"</formula>
    </cfRule>
  </conditionalFormatting>
  <conditionalFormatting sqref="A32:M32">
    <cfRule type="expression" dxfId="51" priority="23">
      <formula>$N$32="N/A"</formula>
    </cfRule>
  </conditionalFormatting>
  <conditionalFormatting sqref="A34:M34">
    <cfRule type="expression" dxfId="50" priority="22">
      <formula>$N$34="N/A"</formula>
    </cfRule>
  </conditionalFormatting>
  <conditionalFormatting sqref="A40:M40">
    <cfRule type="expression" dxfId="49" priority="21">
      <formula>$N$40="N/A"</formula>
    </cfRule>
  </conditionalFormatting>
  <conditionalFormatting sqref="A42:M42">
    <cfRule type="expression" dxfId="48" priority="20">
      <formula>$N$42="N/A"</formula>
    </cfRule>
  </conditionalFormatting>
  <conditionalFormatting sqref="A44:M44">
    <cfRule type="expression" dxfId="47" priority="19">
      <formula>$N$44="N/A"</formula>
    </cfRule>
  </conditionalFormatting>
  <conditionalFormatting sqref="A46:M46">
    <cfRule type="expression" dxfId="46" priority="18">
      <formula>$N$46="N/A"</formula>
    </cfRule>
  </conditionalFormatting>
  <conditionalFormatting sqref="A49:M49">
    <cfRule type="expression" dxfId="45" priority="17">
      <formula>$N$49="N/A"</formula>
    </cfRule>
  </conditionalFormatting>
  <conditionalFormatting sqref="A50:M50">
    <cfRule type="expression" dxfId="44" priority="16">
      <formula>$N$50="N/A"</formula>
    </cfRule>
  </conditionalFormatting>
  <conditionalFormatting sqref="A51:M51">
    <cfRule type="expression" dxfId="43" priority="15">
      <formula>$N$51="N/A"</formula>
    </cfRule>
  </conditionalFormatting>
  <conditionalFormatting sqref="A52:M52">
    <cfRule type="expression" dxfId="42" priority="14">
      <formula>$N$52="N/A"</formula>
    </cfRule>
  </conditionalFormatting>
  <conditionalFormatting sqref="A53:M53">
    <cfRule type="expression" dxfId="41" priority="13">
      <formula>$N$53="N/A"</formula>
    </cfRule>
  </conditionalFormatting>
  <conditionalFormatting sqref="A56:M56">
    <cfRule type="expression" dxfId="40" priority="12">
      <formula>$N$56="N/A"</formula>
    </cfRule>
  </conditionalFormatting>
  <conditionalFormatting sqref="A57:M57">
    <cfRule type="expression" dxfId="39" priority="11">
      <formula>$N$57="N/A"</formula>
    </cfRule>
  </conditionalFormatting>
  <conditionalFormatting sqref="A58:M58">
    <cfRule type="expression" dxfId="38" priority="10">
      <formula>$N$58="N/A"</formula>
    </cfRule>
  </conditionalFormatting>
  <conditionalFormatting sqref="A59:M59">
    <cfRule type="expression" dxfId="37" priority="9">
      <formula>$N$59="N/A"</formula>
    </cfRule>
  </conditionalFormatting>
  <conditionalFormatting sqref="A60:M60">
    <cfRule type="expression" dxfId="36" priority="8">
      <formula>$N$60="N/A"</formula>
    </cfRule>
  </conditionalFormatting>
  <conditionalFormatting sqref="A13:M13">
    <cfRule type="expression" dxfId="35" priority="7">
      <formula>$N$13="N/A"</formula>
    </cfRule>
  </conditionalFormatting>
  <conditionalFormatting sqref="A38:M38">
    <cfRule type="expression" dxfId="34" priority="6">
      <formula>$N$38="N/A"</formula>
    </cfRule>
  </conditionalFormatting>
  <conditionalFormatting sqref="A48:M48">
    <cfRule type="expression" dxfId="33" priority="5">
      <formula>$N$48="N/A"</formula>
    </cfRule>
  </conditionalFormatting>
  <conditionalFormatting sqref="A64:M64">
    <cfRule type="expression" dxfId="32" priority="4">
      <formula>$N$64="N/A"</formula>
    </cfRule>
  </conditionalFormatting>
  <conditionalFormatting sqref="A19:M19">
    <cfRule type="expression" dxfId="31" priority="3">
      <formula>$N$19="N/A"</formula>
    </cfRule>
  </conditionalFormatting>
  <conditionalFormatting sqref="A23:M23">
    <cfRule type="expression" dxfId="30" priority="2">
      <formula>$N$23="N/A"</formula>
    </cfRule>
  </conditionalFormatting>
  <conditionalFormatting sqref="A36:M36">
    <cfRule type="expression" dxfId="29"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28" priority="29" stopIfTrue="1" operator="greaterThan">
      <formula>$F$12</formula>
    </cfRule>
  </conditionalFormatting>
  <conditionalFormatting sqref="J52">
    <cfRule type="cellIs" dxfId="27" priority="28" stopIfTrue="1" operator="greaterThan">
      <formula>$F$12</formula>
    </cfRule>
  </conditionalFormatting>
  <conditionalFormatting sqref="J53">
    <cfRule type="cellIs" dxfId="26" priority="27" stopIfTrue="1" operator="greaterThan">
      <formula>$F$12</formula>
    </cfRule>
  </conditionalFormatting>
  <conditionalFormatting sqref="A26:M26">
    <cfRule type="expression" dxfId="25" priority="25">
      <formula>$N$26="N/A"</formula>
    </cfRule>
  </conditionalFormatting>
  <conditionalFormatting sqref="A28:M28">
    <cfRule type="expression" dxfId="24" priority="26">
      <formula>$N$28="N/A"</formula>
    </cfRule>
  </conditionalFormatting>
  <conditionalFormatting sqref="A30:M30">
    <cfRule type="expression" dxfId="23" priority="24">
      <formula>$N$30="N/A"</formula>
    </cfRule>
  </conditionalFormatting>
  <conditionalFormatting sqref="A32:M32">
    <cfRule type="expression" dxfId="22" priority="23">
      <formula>$N$32="N/A"</formula>
    </cfRule>
  </conditionalFormatting>
  <conditionalFormatting sqref="A34:M34">
    <cfRule type="expression" dxfId="21" priority="22">
      <formula>$N$34="N/A"</formula>
    </cfRule>
  </conditionalFormatting>
  <conditionalFormatting sqref="A40:M40">
    <cfRule type="expression" dxfId="20" priority="21">
      <formula>$N$40="N/A"</formula>
    </cfRule>
  </conditionalFormatting>
  <conditionalFormatting sqref="A42:M42">
    <cfRule type="expression" dxfId="19" priority="20">
      <formula>$N$42="N/A"</formula>
    </cfRule>
  </conditionalFormatting>
  <conditionalFormatting sqref="A44:M44">
    <cfRule type="expression" dxfId="18" priority="19">
      <formula>$N$44="N/A"</formula>
    </cfRule>
  </conditionalFormatting>
  <conditionalFormatting sqref="A46:M46">
    <cfRule type="expression" dxfId="17" priority="18">
      <formula>$N$46="N/A"</formula>
    </cfRule>
  </conditionalFormatting>
  <conditionalFormatting sqref="A49:M49">
    <cfRule type="expression" dxfId="16" priority="17">
      <formula>$N$49="N/A"</formula>
    </cfRule>
  </conditionalFormatting>
  <conditionalFormatting sqref="A50:M50">
    <cfRule type="expression" dxfId="15" priority="16">
      <formula>$N$50="N/A"</formula>
    </cfRule>
  </conditionalFormatting>
  <conditionalFormatting sqref="A51:M51">
    <cfRule type="expression" dxfId="14" priority="15">
      <formula>$N$51="N/A"</formula>
    </cfRule>
  </conditionalFormatting>
  <conditionalFormatting sqref="A52:M52">
    <cfRule type="expression" dxfId="13" priority="14">
      <formula>$N$52="N/A"</formula>
    </cfRule>
  </conditionalFormatting>
  <conditionalFormatting sqref="A53:M53">
    <cfRule type="expression" dxfId="12" priority="13">
      <formula>$N$53="N/A"</formula>
    </cfRule>
  </conditionalFormatting>
  <conditionalFormatting sqref="A56:M56">
    <cfRule type="expression" dxfId="11" priority="12">
      <formula>$N$56="N/A"</formula>
    </cfRule>
  </conditionalFormatting>
  <conditionalFormatting sqref="A57:M57">
    <cfRule type="expression" dxfId="10" priority="11">
      <formula>$N$57="N/A"</formula>
    </cfRule>
  </conditionalFormatting>
  <conditionalFormatting sqref="A58:M58">
    <cfRule type="expression" dxfId="9" priority="10">
      <formula>$N$58="N/A"</formula>
    </cfRule>
  </conditionalFormatting>
  <conditionalFormatting sqref="A59:M59">
    <cfRule type="expression" dxfId="8" priority="9">
      <formula>$N$59="N/A"</formula>
    </cfRule>
  </conditionalFormatting>
  <conditionalFormatting sqref="A60:M60">
    <cfRule type="expression" dxfId="7" priority="8">
      <formula>$N$60="N/A"</formula>
    </cfRule>
  </conditionalFormatting>
  <conditionalFormatting sqref="A13:M13">
    <cfRule type="expression" dxfId="6" priority="7">
      <formula>$N$13="N/A"</formula>
    </cfRule>
  </conditionalFormatting>
  <conditionalFormatting sqref="A38:M38">
    <cfRule type="expression" dxfId="5" priority="6">
      <formula>$N$38="N/A"</formula>
    </cfRule>
  </conditionalFormatting>
  <conditionalFormatting sqref="A48:M48">
    <cfRule type="expression" dxfId="4" priority="5">
      <formula>$N$48="N/A"</formula>
    </cfRule>
  </conditionalFormatting>
  <conditionalFormatting sqref="A64:M64">
    <cfRule type="expression" dxfId="3" priority="4">
      <formula>$N$64="N/A"</formula>
    </cfRule>
  </conditionalFormatting>
  <conditionalFormatting sqref="A19:M19">
    <cfRule type="expression" dxfId="2" priority="3">
      <formula>$N$19="N/A"</formula>
    </cfRule>
  </conditionalFormatting>
  <conditionalFormatting sqref="A23:M23">
    <cfRule type="expression" dxfId="1" priority="2">
      <formula>$N$23="N/A"</formula>
    </cfRule>
  </conditionalFormatting>
  <conditionalFormatting sqref="A36:M36">
    <cfRule type="expression" dxfId="0"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3"/>
  <sheetViews>
    <sheetView zoomScale="85" zoomScaleNormal="85" workbookViewId="0">
      <selection activeCell="G7" sqref="G7:H7"/>
    </sheetView>
  </sheetViews>
  <sheetFormatPr defaultRowHeight="12.75" x14ac:dyDescent="0.2"/>
  <cols>
    <col min="1" max="12" width="12.7109375" customWidth="1"/>
  </cols>
  <sheetData>
    <row r="1" spans="1:10" ht="13.5" thickBot="1" x14ac:dyDescent="0.25"/>
    <row r="2" spans="1:10" ht="14.25" thickTop="1" thickBot="1" x14ac:dyDescent="0.25">
      <c r="A2" s="264" t="s">
        <v>127</v>
      </c>
      <c r="B2" s="264"/>
      <c r="C2" s="264"/>
      <c r="D2" s="264"/>
      <c r="E2" s="264"/>
      <c r="F2" s="264"/>
      <c r="G2" s="264"/>
      <c r="H2" s="264"/>
      <c r="I2" s="264"/>
      <c r="J2" s="264"/>
    </row>
    <row r="3" spans="1:10" ht="13.5" thickTop="1" x14ac:dyDescent="0.2"/>
    <row r="4" spans="1:10" ht="13.5" thickBot="1" x14ac:dyDescent="0.25"/>
    <row r="5" spans="1:10" ht="13.5" thickTop="1" x14ac:dyDescent="0.2">
      <c r="A5" s="404" t="s">
        <v>133</v>
      </c>
      <c r="B5" s="405"/>
      <c r="C5" s="405"/>
      <c r="D5" s="405"/>
      <c r="E5" s="405"/>
      <c r="F5" s="405"/>
      <c r="G5" s="405"/>
      <c r="H5" s="405"/>
      <c r="I5" s="405"/>
      <c r="J5" s="406"/>
    </row>
    <row r="6" spans="1:10" x14ac:dyDescent="0.2">
      <c r="A6" s="407" t="s">
        <v>128</v>
      </c>
      <c r="B6" s="265"/>
      <c r="C6" s="265"/>
      <c r="D6" s="265"/>
      <c r="E6" s="265"/>
      <c r="F6" s="103" t="s">
        <v>140</v>
      </c>
      <c r="G6" s="408" t="s">
        <v>141</v>
      </c>
      <c r="H6" s="408"/>
      <c r="I6" s="408" t="s">
        <v>142</v>
      </c>
      <c r="J6" s="409"/>
    </row>
    <row r="7" spans="1:10" x14ac:dyDescent="0.2">
      <c r="A7" s="397" t="s">
        <v>134</v>
      </c>
      <c r="B7" s="296"/>
      <c r="C7" s="296"/>
      <c r="D7" s="296"/>
      <c r="E7" s="296"/>
      <c r="F7" s="101">
        <v>1</v>
      </c>
      <c r="G7" s="400"/>
      <c r="H7" s="400"/>
      <c r="I7" s="395">
        <f>IF(G7="",F7,G7)</f>
        <v>1</v>
      </c>
      <c r="J7" s="396"/>
    </row>
    <row r="8" spans="1:10" x14ac:dyDescent="0.2">
      <c r="A8" s="397" t="s">
        <v>135</v>
      </c>
      <c r="B8" s="296"/>
      <c r="C8" s="296"/>
      <c r="D8" s="296"/>
      <c r="E8" s="296"/>
      <c r="F8" s="101">
        <v>1</v>
      </c>
      <c r="G8" s="400"/>
      <c r="H8" s="400"/>
      <c r="I8" s="395">
        <f t="shared" ref="I8:I12" si="0">IF(G8="",F8,G8)</f>
        <v>1</v>
      </c>
      <c r="J8" s="396"/>
    </row>
    <row r="9" spans="1:10" x14ac:dyDescent="0.2">
      <c r="A9" s="397" t="s">
        <v>136</v>
      </c>
      <c r="B9" s="296"/>
      <c r="C9" s="296"/>
      <c r="D9" s="296"/>
      <c r="E9" s="296"/>
      <c r="F9" s="101">
        <v>1</v>
      </c>
      <c r="G9" s="400"/>
      <c r="H9" s="400"/>
      <c r="I9" s="395">
        <f t="shared" si="0"/>
        <v>1</v>
      </c>
      <c r="J9" s="396"/>
    </row>
    <row r="10" spans="1:10" x14ac:dyDescent="0.2">
      <c r="A10" s="397" t="s">
        <v>137</v>
      </c>
      <c r="B10" s="296"/>
      <c r="C10" s="296"/>
      <c r="D10" s="296"/>
      <c r="E10" s="296"/>
      <c r="F10" s="101">
        <v>1</v>
      </c>
      <c r="G10" s="400"/>
      <c r="H10" s="400"/>
      <c r="I10" s="395">
        <f t="shared" si="0"/>
        <v>1</v>
      </c>
      <c r="J10" s="396"/>
    </row>
    <row r="11" spans="1:10" x14ac:dyDescent="0.2">
      <c r="A11" s="397" t="s">
        <v>138</v>
      </c>
      <c r="B11" s="296"/>
      <c r="C11" s="296"/>
      <c r="D11" s="296"/>
      <c r="E11" s="296"/>
      <c r="F11" s="101">
        <v>1</v>
      </c>
      <c r="G11" s="400"/>
      <c r="H11" s="400"/>
      <c r="I11" s="395">
        <f t="shared" si="0"/>
        <v>1</v>
      </c>
      <c r="J11" s="396"/>
    </row>
    <row r="12" spans="1:10" ht="13.5" thickBot="1" x14ac:dyDescent="0.25">
      <c r="A12" s="398" t="s">
        <v>139</v>
      </c>
      <c r="B12" s="399"/>
      <c r="C12" s="399"/>
      <c r="D12" s="399"/>
      <c r="E12" s="399"/>
      <c r="F12" s="122">
        <v>1</v>
      </c>
      <c r="G12" s="401"/>
      <c r="H12" s="401"/>
      <c r="I12" s="402">
        <f t="shared" si="0"/>
        <v>1</v>
      </c>
      <c r="J12" s="403"/>
    </row>
    <row r="13" spans="1:10" ht="13.5" thickTop="1" x14ac:dyDescent="0.2"/>
    <row r="14" spans="1:10" ht="13.15" customHeight="1" x14ac:dyDescent="0.2"/>
    <row r="15" spans="1:10" ht="13.15" customHeight="1" thickBot="1" x14ac:dyDescent="0.25"/>
    <row r="16" spans="1:10" ht="13.15" customHeight="1" thickTop="1" thickBot="1" x14ac:dyDescent="0.25">
      <c r="A16" s="254" t="s">
        <v>143</v>
      </c>
      <c r="B16" s="254"/>
      <c r="C16" s="254"/>
      <c r="D16" s="254"/>
      <c r="E16" s="254"/>
      <c r="F16" s="254"/>
      <c r="G16" s="254"/>
    </row>
    <row r="17" spans="1:9" ht="13.15" customHeight="1" thickTop="1" x14ac:dyDescent="0.2">
      <c r="A17" s="386" t="s">
        <v>308</v>
      </c>
      <c r="B17" s="386"/>
      <c r="C17" s="386"/>
      <c r="D17" s="386"/>
      <c r="E17" s="387"/>
      <c r="F17" s="386" t="s">
        <v>141</v>
      </c>
      <c r="G17" s="386"/>
    </row>
    <row r="18" spans="1:9" ht="13.15" customHeight="1" x14ac:dyDescent="0.2">
      <c r="A18" s="388" t="s">
        <v>187</v>
      </c>
      <c r="B18" s="388"/>
      <c r="C18" s="388"/>
      <c r="D18" s="388"/>
      <c r="E18" s="389"/>
      <c r="F18" s="392"/>
      <c r="G18" s="392"/>
      <c r="H18" s="12"/>
      <c r="I18" s="12"/>
    </row>
    <row r="19" spans="1:9" ht="13.15" customHeight="1" x14ac:dyDescent="0.2">
      <c r="A19" s="388" t="s">
        <v>188</v>
      </c>
      <c r="B19" s="388"/>
      <c r="C19" s="388"/>
      <c r="D19" s="388"/>
      <c r="E19" s="389"/>
      <c r="F19" s="391"/>
      <c r="G19" s="391"/>
    </row>
    <row r="20" spans="1:9" ht="13.15" customHeight="1" x14ac:dyDescent="0.2">
      <c r="A20" s="388" t="s">
        <v>189</v>
      </c>
      <c r="B20" s="388"/>
      <c r="C20" s="388"/>
      <c r="D20" s="388"/>
      <c r="E20" s="389"/>
      <c r="F20" s="392"/>
      <c r="G20" s="392"/>
    </row>
    <row r="21" spans="1:9" ht="13.15" customHeight="1" x14ac:dyDescent="0.2">
      <c r="A21" s="388" t="s">
        <v>190</v>
      </c>
      <c r="B21" s="388"/>
      <c r="C21" s="388"/>
      <c r="D21" s="388"/>
      <c r="E21" s="389"/>
      <c r="F21" s="392"/>
      <c r="G21" s="392"/>
      <c r="H21" s="83"/>
    </row>
    <row r="22" spans="1:9" ht="13.15" customHeight="1" x14ac:dyDescent="0.2">
      <c r="A22" s="390" t="s">
        <v>309</v>
      </c>
      <c r="B22" s="390"/>
      <c r="C22" s="390"/>
      <c r="D22" s="390"/>
      <c r="E22" s="256"/>
      <c r="F22" s="386" t="s">
        <v>141</v>
      </c>
      <c r="G22" s="386"/>
    </row>
    <row r="23" spans="1:9" ht="13.15" customHeight="1" x14ac:dyDescent="0.2">
      <c r="A23" s="388" t="s">
        <v>191</v>
      </c>
      <c r="B23" s="388"/>
      <c r="C23" s="388"/>
      <c r="D23" s="388"/>
      <c r="E23" s="389"/>
      <c r="F23" s="392"/>
      <c r="G23" s="392"/>
    </row>
    <row r="24" spans="1:9" ht="13.15" customHeight="1" x14ac:dyDescent="0.2">
      <c r="A24" s="388" t="s">
        <v>192</v>
      </c>
      <c r="B24" s="388"/>
      <c r="C24" s="388"/>
      <c r="D24" s="388"/>
      <c r="E24" s="389"/>
      <c r="F24" s="391"/>
      <c r="G24" s="391"/>
    </row>
    <row r="25" spans="1:9" ht="13.15" customHeight="1" x14ac:dyDescent="0.2">
      <c r="A25" s="388" t="s">
        <v>193</v>
      </c>
      <c r="B25" s="388"/>
      <c r="C25" s="388"/>
      <c r="D25" s="388"/>
      <c r="E25" s="389"/>
      <c r="F25" s="392"/>
      <c r="G25" s="392"/>
    </row>
    <row r="26" spans="1:9" ht="13.15" customHeight="1" x14ac:dyDescent="0.2">
      <c r="A26" s="388" t="s">
        <v>194</v>
      </c>
      <c r="B26" s="388"/>
      <c r="C26" s="388"/>
      <c r="D26" s="388"/>
      <c r="E26" s="389"/>
      <c r="F26" s="392"/>
      <c r="G26" s="392"/>
      <c r="H26" s="83"/>
    </row>
    <row r="27" spans="1:9" ht="13.15" customHeight="1" x14ac:dyDescent="0.2">
      <c r="A27" s="390" t="s">
        <v>310</v>
      </c>
      <c r="B27" s="390"/>
      <c r="C27" s="390"/>
      <c r="D27" s="390"/>
      <c r="E27" s="256"/>
      <c r="F27" s="386" t="s">
        <v>141</v>
      </c>
      <c r="G27" s="386"/>
    </row>
    <row r="28" spans="1:9" ht="13.15" customHeight="1" x14ac:dyDescent="0.2">
      <c r="A28" s="388" t="s">
        <v>195</v>
      </c>
      <c r="B28" s="388"/>
      <c r="C28" s="388"/>
      <c r="D28" s="388"/>
      <c r="E28" s="389"/>
      <c r="F28" s="392"/>
      <c r="G28" s="392"/>
    </row>
    <row r="29" spans="1:9" ht="13.15" customHeight="1" x14ac:dyDescent="0.2">
      <c r="A29" s="388" t="s">
        <v>196</v>
      </c>
      <c r="B29" s="388"/>
      <c r="C29" s="388"/>
      <c r="D29" s="388"/>
      <c r="E29" s="389"/>
      <c r="F29" s="391"/>
      <c r="G29" s="391"/>
    </row>
    <row r="30" spans="1:9" ht="13.15" customHeight="1" x14ac:dyDescent="0.2">
      <c r="A30" s="388" t="s">
        <v>197</v>
      </c>
      <c r="B30" s="388"/>
      <c r="C30" s="388"/>
      <c r="D30" s="388"/>
      <c r="E30" s="389"/>
      <c r="F30" s="392"/>
      <c r="G30" s="392"/>
    </row>
    <row r="31" spans="1:9" ht="13.15" customHeight="1" thickBot="1" x14ac:dyDescent="0.25">
      <c r="A31" s="393" t="s">
        <v>198</v>
      </c>
      <c r="B31" s="393"/>
      <c r="C31" s="393"/>
      <c r="D31" s="393"/>
      <c r="E31" s="394"/>
      <c r="F31" s="385"/>
      <c r="G31" s="385"/>
      <c r="H31" s="83"/>
    </row>
    <row r="32" spans="1:9" ht="13.15" customHeight="1" thickTop="1" x14ac:dyDescent="0.2">
      <c r="A32" s="12"/>
      <c r="E32" s="12"/>
      <c r="F32" s="83"/>
      <c r="G32" s="83"/>
      <c r="H32" s="83"/>
    </row>
    <row r="33" spans="1:25" ht="13.15" customHeight="1" x14ac:dyDescent="0.2">
      <c r="A33" s="12"/>
      <c r="E33" s="12"/>
      <c r="F33" s="83"/>
      <c r="G33" s="83"/>
      <c r="H33" s="83"/>
    </row>
    <row r="34" spans="1:25" ht="13.15" customHeight="1" thickBot="1" x14ac:dyDescent="0.25"/>
    <row r="35" spans="1:25" ht="13.15" customHeight="1" thickTop="1" thickBot="1" x14ac:dyDescent="0.25">
      <c r="A35" s="264" t="s">
        <v>185</v>
      </c>
      <c r="B35" s="264"/>
      <c r="C35" s="264"/>
      <c r="D35" s="264"/>
      <c r="E35" s="264"/>
      <c r="F35" s="264"/>
      <c r="G35" s="264"/>
      <c r="H35" s="264"/>
      <c r="I35" s="264"/>
      <c r="J35" s="264"/>
      <c r="K35" s="264"/>
      <c r="L35" s="264"/>
      <c r="N35" s="264" t="s">
        <v>336</v>
      </c>
      <c r="O35" s="264"/>
      <c r="P35" s="264"/>
      <c r="Q35" s="264"/>
      <c r="R35" s="264"/>
      <c r="S35" s="264"/>
      <c r="T35" s="264"/>
      <c r="U35" s="264"/>
      <c r="V35" s="264"/>
      <c r="W35" s="264"/>
      <c r="X35" s="264"/>
      <c r="Y35" s="264"/>
    </row>
    <row r="36" spans="1:25" ht="13.15" customHeight="1" thickTop="1" x14ac:dyDescent="0.2">
      <c r="A36" s="379" t="s">
        <v>48</v>
      </c>
      <c r="B36" s="381" t="s">
        <v>171</v>
      </c>
      <c r="C36" s="383" t="s">
        <v>172</v>
      </c>
      <c r="D36" s="383"/>
      <c r="E36" s="383"/>
      <c r="F36" s="383"/>
      <c r="G36" s="383"/>
      <c r="H36" s="383" t="s">
        <v>181</v>
      </c>
      <c r="I36" s="383"/>
      <c r="J36" s="383"/>
      <c r="K36" s="383"/>
      <c r="L36" s="384"/>
      <c r="N36" s="379" t="s">
        <v>48</v>
      </c>
      <c r="O36" s="381" t="s">
        <v>171</v>
      </c>
      <c r="P36" s="383" t="s">
        <v>172</v>
      </c>
      <c r="Q36" s="383"/>
      <c r="R36" s="383"/>
      <c r="S36" s="383"/>
      <c r="T36" s="383"/>
      <c r="U36" s="383" t="s">
        <v>181</v>
      </c>
      <c r="V36" s="383"/>
      <c r="W36" s="383"/>
      <c r="X36" s="383"/>
      <c r="Y36" s="384"/>
    </row>
    <row r="37" spans="1:25" s="134" customFormat="1" ht="26.45" customHeight="1" x14ac:dyDescent="0.2">
      <c r="A37" s="380"/>
      <c r="B37" s="382"/>
      <c r="C37" s="135" t="s">
        <v>173</v>
      </c>
      <c r="D37" s="135" t="s">
        <v>174</v>
      </c>
      <c r="E37" s="135" t="s">
        <v>175</v>
      </c>
      <c r="F37" s="135" t="s">
        <v>176</v>
      </c>
      <c r="G37" s="135" t="s">
        <v>19</v>
      </c>
      <c r="H37" s="135" t="s">
        <v>177</v>
      </c>
      <c r="I37" s="135" t="s">
        <v>178</v>
      </c>
      <c r="J37" s="135" t="s">
        <v>179</v>
      </c>
      <c r="K37" s="135" t="s">
        <v>180</v>
      </c>
      <c r="L37" s="136" t="s">
        <v>19</v>
      </c>
      <c r="N37" s="380"/>
      <c r="O37" s="382"/>
      <c r="P37" s="135" t="s">
        <v>173</v>
      </c>
      <c r="Q37" s="135" t="s">
        <v>174</v>
      </c>
      <c r="R37" s="135" t="s">
        <v>175</v>
      </c>
      <c r="S37" s="135" t="s">
        <v>176</v>
      </c>
      <c r="T37" s="135" t="s">
        <v>19</v>
      </c>
      <c r="U37" s="135" t="s">
        <v>177</v>
      </c>
      <c r="V37" s="135" t="s">
        <v>178</v>
      </c>
      <c r="W37" s="135" t="s">
        <v>179</v>
      </c>
      <c r="X37" s="135" t="s">
        <v>180</v>
      </c>
      <c r="Y37" s="136" t="s">
        <v>19</v>
      </c>
    </row>
    <row r="38" spans="1:25" x14ac:dyDescent="0.2">
      <c r="A38" s="102" t="s">
        <v>182</v>
      </c>
      <c r="B38" s="103" t="s">
        <v>15</v>
      </c>
      <c r="C38" s="97">
        <v>2E-3</v>
      </c>
      <c r="D38" s="97">
        <v>3.3000000000000002E-2</v>
      </c>
      <c r="E38" s="97">
        <v>0.59899999999999998</v>
      </c>
      <c r="F38" s="97">
        <v>0.122</v>
      </c>
      <c r="G38" s="97">
        <v>2.1999999999999999E-2</v>
      </c>
      <c r="H38" s="97">
        <v>5.0000000000000001E-3</v>
      </c>
      <c r="I38" s="97">
        <v>0.154</v>
      </c>
      <c r="J38" s="97">
        <v>6.0000000000000001E-3</v>
      </c>
      <c r="K38" s="97">
        <v>0.01</v>
      </c>
      <c r="L38" s="98">
        <v>4.8000000000000001E-2</v>
      </c>
      <c r="N38" s="102" t="s">
        <v>182</v>
      </c>
      <c r="O38" s="103" t="s">
        <v>15</v>
      </c>
      <c r="P38" s="192"/>
      <c r="Q38" s="192"/>
      <c r="R38" s="192"/>
      <c r="S38" s="192"/>
      <c r="T38" s="192"/>
      <c r="U38" s="192"/>
      <c r="V38" s="192"/>
      <c r="W38" s="192"/>
      <c r="X38" s="192"/>
      <c r="Y38" s="193"/>
    </row>
    <row r="39" spans="1:25" x14ac:dyDescent="0.2">
      <c r="A39" s="62"/>
      <c r="B39" s="103" t="s">
        <v>14</v>
      </c>
      <c r="C39" s="97">
        <v>1E-3</v>
      </c>
      <c r="D39" s="97">
        <v>6.0999999999999999E-2</v>
      </c>
      <c r="E39" s="97">
        <v>0.71199999999999997</v>
      </c>
      <c r="F39" s="97">
        <v>0.08</v>
      </c>
      <c r="G39" s="97">
        <v>1.4E-2</v>
      </c>
      <c r="H39" s="97">
        <v>1E-3</v>
      </c>
      <c r="I39" s="97">
        <v>9.8000000000000004E-2</v>
      </c>
      <c r="J39" s="97">
        <v>7.0000000000000001E-3</v>
      </c>
      <c r="K39" s="97">
        <v>3.0000000000000001E-3</v>
      </c>
      <c r="L39" s="98">
        <v>2.3E-2</v>
      </c>
      <c r="N39" s="62"/>
      <c r="O39" s="103" t="s">
        <v>14</v>
      </c>
      <c r="P39" s="192"/>
      <c r="Q39" s="192"/>
      <c r="R39" s="192"/>
      <c r="S39" s="192"/>
      <c r="T39" s="192"/>
      <c r="U39" s="192"/>
      <c r="V39" s="192"/>
      <c r="W39" s="192"/>
      <c r="X39" s="192"/>
      <c r="Y39" s="193"/>
    </row>
    <row r="40" spans="1:25" x14ac:dyDescent="0.2">
      <c r="A40" s="102" t="s">
        <v>183</v>
      </c>
      <c r="B40" s="103" t="s">
        <v>15</v>
      </c>
      <c r="C40" s="97">
        <v>1.9E-2</v>
      </c>
      <c r="D40" s="97">
        <v>3.6999999999999998E-2</v>
      </c>
      <c r="E40" s="97">
        <v>0.60599999999999998</v>
      </c>
      <c r="F40" s="97">
        <v>9.4E-2</v>
      </c>
      <c r="G40" s="97">
        <v>1.9E-2</v>
      </c>
      <c r="H40" s="97">
        <v>0</v>
      </c>
      <c r="I40" s="97">
        <v>0.122</v>
      </c>
      <c r="J40" s="97">
        <v>1.4E-2</v>
      </c>
      <c r="K40" s="97">
        <v>1.9E-2</v>
      </c>
      <c r="L40" s="98">
        <v>7.0000000000000007E-2</v>
      </c>
      <c r="N40" s="102" t="s">
        <v>183</v>
      </c>
      <c r="O40" s="103" t="s">
        <v>15</v>
      </c>
      <c r="P40" s="192"/>
      <c r="Q40" s="192"/>
      <c r="R40" s="192"/>
      <c r="S40" s="192"/>
      <c r="T40" s="192"/>
      <c r="U40" s="192"/>
      <c r="V40" s="192"/>
      <c r="W40" s="192"/>
      <c r="X40" s="192"/>
      <c r="Y40" s="193"/>
    </row>
    <row r="41" spans="1:25" x14ac:dyDescent="0.2">
      <c r="A41" s="62"/>
      <c r="B41" s="103" t="s">
        <v>14</v>
      </c>
      <c r="C41" s="97">
        <v>0</v>
      </c>
      <c r="D41" s="97">
        <v>0.1</v>
      </c>
      <c r="E41" s="97">
        <v>0.61599999999999999</v>
      </c>
      <c r="F41" s="97">
        <v>9.7000000000000003E-2</v>
      </c>
      <c r="G41" s="97">
        <v>2.3E-2</v>
      </c>
      <c r="H41" s="97">
        <v>0</v>
      </c>
      <c r="I41" s="97">
        <v>0.11700000000000001</v>
      </c>
      <c r="J41" s="97">
        <v>8.0000000000000002E-3</v>
      </c>
      <c r="K41" s="97">
        <v>0</v>
      </c>
      <c r="L41" s="98">
        <v>3.9E-2</v>
      </c>
      <c r="N41" s="62"/>
      <c r="O41" s="103" t="s">
        <v>14</v>
      </c>
      <c r="P41" s="192"/>
      <c r="Q41" s="192"/>
      <c r="R41" s="192"/>
      <c r="S41" s="192"/>
      <c r="T41" s="192"/>
      <c r="U41" s="192"/>
      <c r="V41" s="192"/>
      <c r="W41" s="192"/>
      <c r="X41" s="192"/>
      <c r="Y41" s="193"/>
    </row>
    <row r="42" spans="1:25" x14ac:dyDescent="0.2">
      <c r="A42" s="102" t="s">
        <v>184</v>
      </c>
      <c r="B42" s="103" t="s">
        <v>15</v>
      </c>
      <c r="C42" s="97">
        <v>6.0000000000000001E-3</v>
      </c>
      <c r="D42" s="97">
        <v>0.02</v>
      </c>
      <c r="E42" s="97">
        <v>0.52600000000000002</v>
      </c>
      <c r="F42" s="97">
        <v>0.189</v>
      </c>
      <c r="G42" s="97">
        <v>1.2E-2</v>
      </c>
      <c r="H42" s="97">
        <v>0</v>
      </c>
      <c r="I42" s="97">
        <v>0.17499999999999999</v>
      </c>
      <c r="J42" s="97">
        <v>1.4E-2</v>
      </c>
      <c r="K42" s="97">
        <v>1.2E-2</v>
      </c>
      <c r="L42" s="98">
        <v>4.7E-2</v>
      </c>
      <c r="N42" s="102" t="s">
        <v>184</v>
      </c>
      <c r="O42" s="103" t="s">
        <v>15</v>
      </c>
      <c r="P42" s="192"/>
      <c r="Q42" s="192"/>
      <c r="R42" s="192"/>
      <c r="S42" s="192"/>
      <c r="T42" s="192"/>
      <c r="U42" s="192"/>
      <c r="V42" s="192"/>
      <c r="W42" s="192"/>
      <c r="X42" s="192"/>
      <c r="Y42" s="193"/>
    </row>
    <row r="43" spans="1:25" ht="13.5" thickBot="1" x14ac:dyDescent="0.25">
      <c r="A43" s="62"/>
      <c r="B43" s="103" t="s">
        <v>14</v>
      </c>
      <c r="C43" s="97">
        <v>0</v>
      </c>
      <c r="D43" s="97">
        <v>2.8000000000000001E-2</v>
      </c>
      <c r="E43" s="97">
        <v>0.80800000000000005</v>
      </c>
      <c r="F43" s="97">
        <v>0.1</v>
      </c>
      <c r="G43" s="97">
        <v>1.4E-2</v>
      </c>
      <c r="H43" s="97">
        <v>0</v>
      </c>
      <c r="I43" s="97">
        <v>0.05</v>
      </c>
      <c r="J43" s="97">
        <v>0</v>
      </c>
      <c r="K43" s="97">
        <v>0</v>
      </c>
      <c r="L43" s="98">
        <v>0</v>
      </c>
      <c r="N43" s="62"/>
      <c r="O43" s="103" t="s">
        <v>14</v>
      </c>
      <c r="P43" s="192"/>
      <c r="Q43" s="192"/>
      <c r="R43" s="192"/>
      <c r="S43" s="192"/>
      <c r="T43" s="192"/>
      <c r="U43" s="192"/>
      <c r="V43" s="192"/>
      <c r="W43" s="192"/>
      <c r="X43" s="192"/>
      <c r="Y43" s="193"/>
    </row>
    <row r="44" spans="1:25" ht="14.25" thickTop="1" thickBot="1" x14ac:dyDescent="0.25">
      <c r="A44" s="264" t="s">
        <v>186</v>
      </c>
      <c r="B44" s="264"/>
      <c r="C44" s="264"/>
      <c r="D44" s="264"/>
      <c r="E44" s="264"/>
      <c r="F44" s="264"/>
      <c r="G44" s="264"/>
      <c r="H44" s="264"/>
      <c r="I44" s="264"/>
      <c r="J44" s="264"/>
      <c r="K44" s="264"/>
      <c r="L44" s="264"/>
      <c r="N44" s="264" t="s">
        <v>337</v>
      </c>
      <c r="O44" s="264"/>
      <c r="P44" s="264"/>
      <c r="Q44" s="264"/>
      <c r="R44" s="264"/>
      <c r="S44" s="264"/>
      <c r="T44" s="264"/>
      <c r="U44" s="264"/>
      <c r="V44" s="264"/>
      <c r="W44" s="264"/>
      <c r="X44" s="264"/>
      <c r="Y44" s="264"/>
    </row>
    <row r="45" spans="1:25" ht="13.5" thickTop="1" x14ac:dyDescent="0.2">
      <c r="A45" s="379" t="s">
        <v>48</v>
      </c>
      <c r="B45" s="381" t="s">
        <v>171</v>
      </c>
      <c r="C45" s="383" t="s">
        <v>172</v>
      </c>
      <c r="D45" s="383"/>
      <c r="E45" s="383"/>
      <c r="F45" s="383"/>
      <c r="G45" s="383"/>
      <c r="H45" s="383" t="s">
        <v>181</v>
      </c>
      <c r="I45" s="383"/>
      <c r="J45" s="383"/>
      <c r="K45" s="383"/>
      <c r="L45" s="384"/>
      <c r="N45" s="379" t="s">
        <v>48</v>
      </c>
      <c r="O45" s="381" t="s">
        <v>171</v>
      </c>
      <c r="P45" s="383" t="s">
        <v>172</v>
      </c>
      <c r="Q45" s="383"/>
      <c r="R45" s="383"/>
      <c r="S45" s="383"/>
      <c r="T45" s="383"/>
      <c r="U45" s="383" t="s">
        <v>181</v>
      </c>
      <c r="V45" s="383"/>
      <c r="W45" s="383"/>
      <c r="X45" s="383"/>
      <c r="Y45" s="384"/>
    </row>
    <row r="46" spans="1:25" s="134" customFormat="1" ht="26.45" customHeight="1" x14ac:dyDescent="0.2">
      <c r="A46" s="380"/>
      <c r="B46" s="382"/>
      <c r="C46" s="135" t="s">
        <v>173</v>
      </c>
      <c r="D46" s="135" t="s">
        <v>174</v>
      </c>
      <c r="E46" s="135" t="s">
        <v>175</v>
      </c>
      <c r="F46" s="135" t="s">
        <v>176</v>
      </c>
      <c r="G46" s="135" t="s">
        <v>19</v>
      </c>
      <c r="H46" s="135" t="s">
        <v>177</v>
      </c>
      <c r="I46" s="135" t="s">
        <v>178</v>
      </c>
      <c r="J46" s="135" t="s">
        <v>179</v>
      </c>
      <c r="K46" s="135" t="s">
        <v>180</v>
      </c>
      <c r="L46" s="136" t="s">
        <v>19</v>
      </c>
      <c r="N46" s="380"/>
      <c r="O46" s="382"/>
      <c r="P46" s="135" t="s">
        <v>173</v>
      </c>
      <c r="Q46" s="135" t="s">
        <v>174</v>
      </c>
      <c r="R46" s="135" t="s">
        <v>175</v>
      </c>
      <c r="S46" s="135" t="s">
        <v>176</v>
      </c>
      <c r="T46" s="135" t="s">
        <v>19</v>
      </c>
      <c r="U46" s="135" t="s">
        <v>177</v>
      </c>
      <c r="V46" s="135" t="s">
        <v>178</v>
      </c>
      <c r="W46" s="135" t="s">
        <v>179</v>
      </c>
      <c r="X46" s="135" t="s">
        <v>180</v>
      </c>
      <c r="Y46" s="136" t="s">
        <v>19</v>
      </c>
    </row>
    <row r="47" spans="1:25" x14ac:dyDescent="0.2">
      <c r="A47" s="102" t="s">
        <v>182</v>
      </c>
      <c r="B47" s="103" t="s">
        <v>15</v>
      </c>
      <c r="C47" s="97">
        <v>2E-3</v>
      </c>
      <c r="D47" s="97">
        <v>2.7E-2</v>
      </c>
      <c r="E47" s="97">
        <v>0.53800000000000003</v>
      </c>
      <c r="F47" s="97">
        <v>0.19</v>
      </c>
      <c r="G47" s="97">
        <v>2.3E-2</v>
      </c>
      <c r="H47" s="97">
        <v>2.1999999999999999E-2</v>
      </c>
      <c r="I47" s="97">
        <v>0.156</v>
      </c>
      <c r="J47" s="97">
        <v>1.7000000000000001E-2</v>
      </c>
      <c r="K47" s="97">
        <v>6.0000000000000001E-3</v>
      </c>
      <c r="L47" s="98">
        <v>1.9E-2</v>
      </c>
      <c r="N47" s="102" t="s">
        <v>182</v>
      </c>
      <c r="O47" s="103" t="s">
        <v>15</v>
      </c>
      <c r="P47" s="192"/>
      <c r="Q47" s="192"/>
      <c r="R47" s="192"/>
      <c r="S47" s="192"/>
      <c r="T47" s="192"/>
      <c r="U47" s="192"/>
      <c r="V47" s="192"/>
      <c r="W47" s="192"/>
      <c r="X47" s="192"/>
      <c r="Y47" s="193"/>
    </row>
    <row r="48" spans="1:25" x14ac:dyDescent="0.2">
      <c r="A48" s="62"/>
      <c r="B48" s="103" t="s">
        <v>14</v>
      </c>
      <c r="C48" s="97">
        <v>1E-3</v>
      </c>
      <c r="D48" s="97">
        <v>5.2999999999999999E-2</v>
      </c>
      <c r="E48" s="97">
        <v>0.69899999999999995</v>
      </c>
      <c r="F48" s="97">
        <v>0.13900000000000001</v>
      </c>
      <c r="G48" s="97">
        <v>0.01</v>
      </c>
      <c r="H48" s="97">
        <v>4.0000000000000001E-3</v>
      </c>
      <c r="I48" s="97">
        <v>7.4999999999999997E-2</v>
      </c>
      <c r="J48" s="97">
        <v>7.0000000000000001E-3</v>
      </c>
      <c r="K48" s="97">
        <v>3.0000000000000001E-3</v>
      </c>
      <c r="L48" s="98">
        <v>8.9999999999999993E-3</v>
      </c>
      <c r="N48" s="62"/>
      <c r="O48" s="103" t="s">
        <v>14</v>
      </c>
      <c r="P48" s="192"/>
      <c r="Q48" s="192"/>
      <c r="R48" s="192"/>
      <c r="S48" s="192"/>
      <c r="T48" s="192"/>
      <c r="U48" s="192"/>
      <c r="V48" s="192"/>
      <c r="W48" s="192"/>
      <c r="X48" s="192"/>
      <c r="Y48" s="193"/>
    </row>
    <row r="49" spans="1:25" x14ac:dyDescent="0.2">
      <c r="A49" s="102" t="s">
        <v>183</v>
      </c>
      <c r="B49" s="103" t="s">
        <v>15</v>
      </c>
      <c r="C49" s="97">
        <v>3.0000000000000001E-3</v>
      </c>
      <c r="D49" s="97">
        <v>5.3999999999999999E-2</v>
      </c>
      <c r="E49" s="97">
        <v>0.46800000000000003</v>
      </c>
      <c r="F49" s="97">
        <v>0.20699999999999999</v>
      </c>
      <c r="G49" s="97">
        <v>2.4E-2</v>
      </c>
      <c r="H49" s="97">
        <v>0.02</v>
      </c>
      <c r="I49" s="97">
        <v>0.187</v>
      </c>
      <c r="J49" s="97">
        <v>1.4999999999999999E-2</v>
      </c>
      <c r="K49" s="97">
        <v>2E-3</v>
      </c>
      <c r="L49" s="98">
        <v>0.02</v>
      </c>
      <c r="N49" s="102" t="s">
        <v>183</v>
      </c>
      <c r="O49" s="103" t="s">
        <v>15</v>
      </c>
      <c r="P49" s="192"/>
      <c r="Q49" s="192"/>
      <c r="R49" s="192"/>
      <c r="S49" s="192"/>
      <c r="T49" s="192"/>
      <c r="U49" s="192"/>
      <c r="V49" s="192"/>
      <c r="W49" s="192"/>
      <c r="X49" s="192"/>
      <c r="Y49" s="193"/>
    </row>
    <row r="50" spans="1:25" x14ac:dyDescent="0.2">
      <c r="A50" s="62"/>
      <c r="B50" s="103" t="s">
        <v>14</v>
      </c>
      <c r="C50" s="97">
        <v>0</v>
      </c>
      <c r="D50" s="97">
        <v>7.6999999999999999E-2</v>
      </c>
      <c r="E50" s="97">
        <v>0.70799999999999996</v>
      </c>
      <c r="F50" s="97">
        <v>0.106</v>
      </c>
      <c r="G50" s="97">
        <v>4.0000000000000001E-3</v>
      </c>
      <c r="H50" s="97">
        <v>7.0000000000000001E-3</v>
      </c>
      <c r="I50" s="97">
        <v>8.8999999999999996E-2</v>
      </c>
      <c r="J50" s="97">
        <v>5.0000000000000001E-3</v>
      </c>
      <c r="K50" s="97">
        <v>4.0000000000000001E-3</v>
      </c>
      <c r="L50" s="98">
        <v>0</v>
      </c>
      <c r="N50" s="62"/>
      <c r="O50" s="103" t="s">
        <v>14</v>
      </c>
      <c r="P50" s="192"/>
      <c r="Q50" s="192"/>
      <c r="R50" s="192"/>
      <c r="S50" s="192"/>
      <c r="T50" s="192"/>
      <c r="U50" s="192"/>
      <c r="V50" s="192"/>
      <c r="W50" s="192"/>
      <c r="X50" s="192"/>
      <c r="Y50" s="193"/>
    </row>
    <row r="51" spans="1:25" x14ac:dyDescent="0.2">
      <c r="A51" s="102" t="s">
        <v>184</v>
      </c>
      <c r="B51" s="103" t="s">
        <v>15</v>
      </c>
      <c r="C51" s="97">
        <v>0</v>
      </c>
      <c r="D51" s="97">
        <v>0.03</v>
      </c>
      <c r="E51" s="97">
        <v>0.499</v>
      </c>
      <c r="F51" s="97">
        <v>0.214</v>
      </c>
      <c r="G51" s="97">
        <v>2.8000000000000001E-2</v>
      </c>
      <c r="H51" s="97">
        <v>2.7E-2</v>
      </c>
      <c r="I51" s="97">
        <v>0.15</v>
      </c>
      <c r="J51" s="97">
        <v>1.6E-2</v>
      </c>
      <c r="K51" s="97">
        <v>7.0000000000000001E-3</v>
      </c>
      <c r="L51" s="98">
        <v>2.9000000000000001E-2</v>
      </c>
      <c r="N51" s="102" t="s">
        <v>184</v>
      </c>
      <c r="O51" s="103" t="s">
        <v>15</v>
      </c>
      <c r="P51" s="192"/>
      <c r="Q51" s="192"/>
      <c r="R51" s="192"/>
      <c r="S51" s="192"/>
      <c r="T51" s="192"/>
      <c r="U51" s="192"/>
      <c r="V51" s="192"/>
      <c r="W51" s="192"/>
      <c r="X51" s="192"/>
      <c r="Y51" s="193"/>
    </row>
    <row r="52" spans="1:25" ht="13.5" thickBot="1" x14ac:dyDescent="0.25">
      <c r="A52" s="117"/>
      <c r="B52" s="91" t="s">
        <v>14</v>
      </c>
      <c r="C52" s="99">
        <v>3.0000000000000001E-3</v>
      </c>
      <c r="D52" s="99">
        <v>0.06</v>
      </c>
      <c r="E52" s="99">
        <v>0.71799999999999997</v>
      </c>
      <c r="F52" s="99">
        <v>0.11799999999999999</v>
      </c>
      <c r="G52" s="99">
        <v>0.01</v>
      </c>
      <c r="H52" s="99">
        <v>0.01</v>
      </c>
      <c r="I52" s="99">
        <v>7.5999999999999998E-2</v>
      </c>
      <c r="J52" s="99">
        <v>0</v>
      </c>
      <c r="K52" s="99">
        <v>0</v>
      </c>
      <c r="L52" s="100">
        <v>5.0000000000000001E-3</v>
      </c>
      <c r="N52" s="117"/>
      <c r="O52" s="91" t="s">
        <v>14</v>
      </c>
      <c r="P52" s="194"/>
      <c r="Q52" s="194"/>
      <c r="R52" s="194"/>
      <c r="S52" s="194"/>
      <c r="T52" s="194"/>
      <c r="U52" s="194"/>
      <c r="V52" s="194"/>
      <c r="W52" s="194"/>
      <c r="X52" s="194"/>
      <c r="Y52" s="195"/>
    </row>
    <row r="53" spans="1:25" ht="13.5" thickTop="1" x14ac:dyDescent="0.2"/>
  </sheetData>
  <sheetProtection algorithmName="SHA-512" hashValue="uD/+oyYpPI/luZEfBSdy1siLasa0R/FZlKWXtZutBT7iiCVV2mUz3RzFmI90GQGx0Jdwpm0kRRwHWYBvWx/4YQ==" saltValue="UB/9WpcpLqGVCR7vSMd6uQ==" spinCount="100000" sheet="1" objects="1" scenarios="1"/>
  <mergeCells count="74">
    <mergeCell ref="A45:A46"/>
    <mergeCell ref="B45:B46"/>
    <mergeCell ref="C45:G45"/>
    <mergeCell ref="H45:L45"/>
    <mergeCell ref="C36:G36"/>
    <mergeCell ref="H36:L36"/>
    <mergeCell ref="B36:B37"/>
    <mergeCell ref="A36:A37"/>
    <mergeCell ref="I10:J10"/>
    <mergeCell ref="I11:J11"/>
    <mergeCell ref="I12:J12"/>
    <mergeCell ref="A2:J2"/>
    <mergeCell ref="A44:L44"/>
    <mergeCell ref="A5:J5"/>
    <mergeCell ref="A6:E6"/>
    <mergeCell ref="A7:E7"/>
    <mergeCell ref="A8:E8"/>
    <mergeCell ref="A9:E9"/>
    <mergeCell ref="G6:H6"/>
    <mergeCell ref="I6:J6"/>
    <mergeCell ref="G7:H7"/>
    <mergeCell ref="G8:H8"/>
    <mergeCell ref="G9:H9"/>
    <mergeCell ref="I7:J7"/>
    <mergeCell ref="I8:J8"/>
    <mergeCell ref="I9:J9"/>
    <mergeCell ref="A35:L35"/>
    <mergeCell ref="A11:E11"/>
    <mergeCell ref="A12:E12"/>
    <mergeCell ref="G10:H10"/>
    <mergeCell ref="G11:H11"/>
    <mergeCell ref="G12:H12"/>
    <mergeCell ref="A10:E10"/>
    <mergeCell ref="F17:G17"/>
    <mergeCell ref="F18:G18"/>
    <mergeCell ref="F19:G19"/>
    <mergeCell ref="F20:G20"/>
    <mergeCell ref="F21:G21"/>
    <mergeCell ref="F22:G22"/>
    <mergeCell ref="F23:G23"/>
    <mergeCell ref="F24:G24"/>
    <mergeCell ref="F25:G25"/>
    <mergeCell ref="A31:E31"/>
    <mergeCell ref="F26:G26"/>
    <mergeCell ref="F27:G27"/>
    <mergeCell ref="F28:G28"/>
    <mergeCell ref="F29:G29"/>
    <mergeCell ref="F30:G30"/>
    <mergeCell ref="A25:E25"/>
    <mergeCell ref="A26:E26"/>
    <mergeCell ref="A28:E28"/>
    <mergeCell ref="A29:E29"/>
    <mergeCell ref="A30:E30"/>
    <mergeCell ref="A16:G16"/>
    <mergeCell ref="N35:Y35"/>
    <mergeCell ref="N36:N37"/>
    <mergeCell ref="O36:O37"/>
    <mergeCell ref="P36:T36"/>
    <mergeCell ref="U36:Y36"/>
    <mergeCell ref="F31:G31"/>
    <mergeCell ref="A17:E17"/>
    <mergeCell ref="A18:E18"/>
    <mergeCell ref="A19:E19"/>
    <mergeCell ref="A20:E20"/>
    <mergeCell ref="A21:E21"/>
    <mergeCell ref="A22:E22"/>
    <mergeCell ref="A27:E27"/>
    <mergeCell ref="A23:E23"/>
    <mergeCell ref="A24:E24"/>
    <mergeCell ref="N44:Y44"/>
    <mergeCell ref="N45:N46"/>
    <mergeCell ref="O45:O46"/>
    <mergeCell ref="P45:T45"/>
    <mergeCell ref="U45:Y45"/>
  </mergeCells>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1"/>
  <sheetViews>
    <sheetView zoomScaleNormal="100" workbookViewId="0">
      <selection activeCell="P5" sqref="P5:Q5"/>
    </sheetView>
  </sheetViews>
  <sheetFormatPr defaultRowHeight="12.75" x14ac:dyDescent="0.2"/>
  <cols>
    <col min="11" max="11" width="9.7109375" bestFit="1" customWidth="1"/>
    <col min="14" max="15" width="8.85546875" style="131"/>
  </cols>
  <sheetData>
    <row r="1" spans="1:17" ht="13.5" thickBot="1" x14ac:dyDescent="0.25"/>
    <row r="2" spans="1:17" ht="14.25" thickTop="1" thickBot="1" x14ac:dyDescent="0.25">
      <c r="A2" s="264" t="s">
        <v>311</v>
      </c>
      <c r="B2" s="264"/>
      <c r="C2" s="264"/>
      <c r="D2" s="264"/>
      <c r="E2" s="264"/>
      <c r="F2" s="264"/>
      <c r="G2" s="264"/>
      <c r="H2" s="264"/>
      <c r="I2" s="264"/>
      <c r="J2" s="264"/>
      <c r="K2" s="264"/>
      <c r="L2" s="264"/>
      <c r="M2" s="264"/>
      <c r="N2" s="264"/>
      <c r="O2" s="264"/>
      <c r="P2" s="264"/>
      <c r="Q2" s="264"/>
    </row>
    <row r="3" spans="1:17" ht="14.25" thickTop="1" thickBot="1" x14ac:dyDescent="0.25">
      <c r="A3" s="264" t="s">
        <v>338</v>
      </c>
      <c r="B3" s="264"/>
      <c r="C3" s="264"/>
      <c r="D3" s="264"/>
      <c r="E3" s="264"/>
      <c r="F3" s="264"/>
      <c r="G3" s="264"/>
      <c r="H3" s="264"/>
      <c r="I3" s="264"/>
      <c r="J3" s="427" t="s">
        <v>359</v>
      </c>
      <c r="K3" s="264"/>
      <c r="L3" s="264"/>
      <c r="M3" s="264"/>
      <c r="N3" s="264"/>
      <c r="O3" s="264"/>
      <c r="P3" s="264"/>
      <c r="Q3" s="264"/>
    </row>
    <row r="4" spans="1:17" ht="13.5" thickTop="1" x14ac:dyDescent="0.2">
      <c r="A4" s="25"/>
      <c r="B4" s="25"/>
      <c r="C4" s="25"/>
      <c r="D4" s="25"/>
      <c r="E4" s="25"/>
      <c r="F4" s="25"/>
      <c r="G4" s="25"/>
      <c r="H4" s="25"/>
      <c r="I4" s="25"/>
      <c r="J4" s="149"/>
      <c r="K4" s="8"/>
      <c r="L4" s="8"/>
      <c r="M4" s="8"/>
      <c r="N4" s="8"/>
      <c r="O4" s="8"/>
      <c r="P4" s="8"/>
      <c r="Q4" s="8"/>
    </row>
    <row r="5" spans="1:17" x14ac:dyDescent="0.2">
      <c r="A5" s="25"/>
      <c r="B5" s="25"/>
      <c r="C5" s="25"/>
      <c r="D5" s="25"/>
      <c r="E5" s="25"/>
      <c r="F5" s="25"/>
      <c r="G5" s="25"/>
      <c r="H5" s="25"/>
      <c r="I5" s="25"/>
      <c r="J5" s="149"/>
      <c r="K5" s="77"/>
      <c r="L5" s="130" t="s">
        <v>339</v>
      </c>
      <c r="M5" s="152"/>
      <c r="N5" s="152"/>
      <c r="O5" s="152"/>
      <c r="P5" s="277"/>
      <c r="Q5" s="277"/>
    </row>
    <row r="6" spans="1:17" x14ac:dyDescent="0.2">
      <c r="A6" s="25"/>
      <c r="B6" s="25"/>
      <c r="C6" s="25"/>
      <c r="D6" s="25"/>
      <c r="E6" s="25"/>
      <c r="F6" s="25"/>
      <c r="G6" s="25"/>
      <c r="H6" s="25"/>
      <c r="I6" s="25"/>
      <c r="J6" s="149"/>
      <c r="K6" s="77"/>
      <c r="L6" s="130" t="s">
        <v>340</v>
      </c>
      <c r="M6" s="152"/>
      <c r="N6" s="152"/>
      <c r="O6" s="152"/>
      <c r="P6" s="282"/>
      <c r="Q6" s="282"/>
    </row>
    <row r="7" spans="1:17" x14ac:dyDescent="0.2">
      <c r="A7" s="25"/>
      <c r="B7" s="25"/>
      <c r="C7" s="25"/>
      <c r="D7" s="25"/>
      <c r="E7" s="25"/>
      <c r="F7" s="25"/>
      <c r="G7" s="25"/>
      <c r="H7" s="25"/>
      <c r="I7" s="25"/>
      <c r="J7" s="149"/>
      <c r="K7" s="8"/>
      <c r="L7" s="8"/>
      <c r="M7" s="8"/>
      <c r="N7" s="8"/>
      <c r="O7" s="8"/>
      <c r="P7" s="8"/>
      <c r="Q7" s="8"/>
    </row>
    <row r="8" spans="1:17" x14ac:dyDescent="0.2">
      <c r="H8" s="416" t="s">
        <v>335</v>
      </c>
      <c r="I8" s="423"/>
      <c r="J8" s="415" t="s">
        <v>11</v>
      </c>
      <c r="K8" s="416"/>
      <c r="L8" s="416" t="s">
        <v>362</v>
      </c>
      <c r="M8" s="416"/>
      <c r="N8" s="425" t="s">
        <v>360</v>
      </c>
      <c r="O8" s="415"/>
      <c r="P8" s="419" t="s">
        <v>361</v>
      </c>
      <c r="Q8" s="420"/>
    </row>
    <row r="9" spans="1:17" x14ac:dyDescent="0.2">
      <c r="H9" s="418"/>
      <c r="I9" s="424"/>
      <c r="J9" s="417"/>
      <c r="K9" s="418"/>
      <c r="L9" s="418"/>
      <c r="M9" s="418"/>
      <c r="N9" s="426"/>
      <c r="O9" s="417"/>
      <c r="P9" s="421"/>
      <c r="Q9" s="422"/>
    </row>
    <row r="10" spans="1:17" x14ac:dyDescent="0.2">
      <c r="A10" s="62"/>
      <c r="B10" s="300" t="s">
        <v>332</v>
      </c>
      <c r="C10" s="300"/>
      <c r="D10" s="300"/>
      <c r="E10" s="300" t="s">
        <v>333</v>
      </c>
      <c r="F10" s="300"/>
      <c r="G10" s="67" t="s">
        <v>334</v>
      </c>
      <c r="H10" s="129" t="s">
        <v>46</v>
      </c>
      <c r="I10" s="139" t="s">
        <v>20</v>
      </c>
      <c r="J10" s="150" t="s">
        <v>46</v>
      </c>
      <c r="K10" s="129" t="s">
        <v>20</v>
      </c>
      <c r="L10" s="129" t="s">
        <v>46</v>
      </c>
      <c r="M10" s="129" t="s">
        <v>20</v>
      </c>
      <c r="N10" s="129" t="s">
        <v>46</v>
      </c>
      <c r="O10" s="129" t="s">
        <v>20</v>
      </c>
      <c r="P10" s="129" t="s">
        <v>46</v>
      </c>
      <c r="Q10" s="139" t="s">
        <v>20</v>
      </c>
    </row>
    <row r="11" spans="1:17" x14ac:dyDescent="0.2">
      <c r="A11" s="62" t="s">
        <v>312</v>
      </c>
      <c r="B11" s="411">
        <f>Segment1!J10</f>
        <v>0</v>
      </c>
      <c r="C11" s="411"/>
      <c r="D11" s="411"/>
      <c r="E11" s="410">
        <f>Segment1!K6</f>
        <v>0</v>
      </c>
      <c r="F11" s="410"/>
      <c r="G11" s="191" t="s">
        <v>14</v>
      </c>
      <c r="H11" s="231">
        <f>IF(G11="Yes", MAX(Segment1!R160:R162),"-")</f>
        <v>0</v>
      </c>
      <c r="I11" s="245">
        <f>IF(G11="Yes", MAX(Segment1!R163:R165),"-")</f>
        <v>0</v>
      </c>
      <c r="J11" s="151" t="e">
        <f>1/10.1/Segment1!J11</f>
        <v>#DIV/0!</v>
      </c>
      <c r="K11" s="118" t="e">
        <f>1/9.57/Segment1!J11</f>
        <v>#DIV/0!</v>
      </c>
      <c r="L11" s="192"/>
      <c r="M11" s="192"/>
      <c r="N11" s="157" t="str">
        <f>IFERROR(1/(1+(J11*$P$6*H11)),"-")</f>
        <v>-</v>
      </c>
      <c r="O11" s="157" t="str">
        <f>IFERROR(1/(1+(K11*$P$6*I11)),"-")</f>
        <v>-</v>
      </c>
      <c r="P11" s="147" t="str">
        <f>IF(AND(P$5="Yes",G11="Yes"),((N11*H11*P$6)+((1-N11)*L11))/P$6,"-")</f>
        <v>-</v>
      </c>
      <c r="Q11" s="148" t="str">
        <f>IF(AND(P$5="Yes",G11="Yes"),((O11*I11*P$6)+((1-O11)*M11))/P$6,"-")</f>
        <v>-</v>
      </c>
    </row>
    <row r="12" spans="1:17" x14ac:dyDescent="0.2">
      <c r="A12" s="62" t="s">
        <v>313</v>
      </c>
      <c r="B12" s="412">
        <f>Segment2!J10</f>
        <v>0</v>
      </c>
      <c r="C12" s="413"/>
      <c r="D12" s="414"/>
      <c r="E12" s="410">
        <f>Segment2!K6</f>
        <v>0</v>
      </c>
      <c r="F12" s="410"/>
      <c r="G12" s="191" t="s">
        <v>15</v>
      </c>
      <c r="H12" s="231" t="str">
        <f>IF(G12="Yes", MAX(Segment2!R160:R162),"-")</f>
        <v>-</v>
      </c>
      <c r="I12" s="245" t="str">
        <f>IF(G12="Yes", MAX(Segment2!R163:R165),"-")</f>
        <v>-</v>
      </c>
      <c r="J12" s="247" t="e">
        <f>1/10.1/Segment2!J11</f>
        <v>#DIV/0!</v>
      </c>
      <c r="K12" s="119" t="e">
        <f>1/9.57/Segment2!J11</f>
        <v>#DIV/0!</v>
      </c>
      <c r="L12" s="192"/>
      <c r="M12" s="192"/>
      <c r="N12" s="157" t="str">
        <f t="shared" ref="N12:N30" si="0">IFERROR(1/(1+(J12*$P$6*H12)),"-")</f>
        <v>-</v>
      </c>
      <c r="O12" s="157" t="str">
        <f t="shared" ref="O12:O30" si="1">IFERROR(1/(1+(K12*$P$6*I12)),"-")</f>
        <v>-</v>
      </c>
      <c r="P12" s="147" t="str">
        <f t="shared" ref="P12:P30" si="2">IF(AND(P$5="Yes",G12="Yes"),((N12*H12*P$6)+((1-N12)*L12))/P$6,"-")</f>
        <v>-</v>
      </c>
      <c r="Q12" s="148" t="str">
        <f t="shared" ref="Q12:Q30" si="3">IF(AND(P$5="Yes",G12="Yes"),((O12*I12*P$6)+((1-O12)*M12))/P$6,"-")</f>
        <v>-</v>
      </c>
    </row>
    <row r="13" spans="1:17" x14ac:dyDescent="0.2">
      <c r="A13" s="62" t="s">
        <v>314</v>
      </c>
      <c r="B13" s="412">
        <f>Segment3!J10</f>
        <v>0</v>
      </c>
      <c r="C13" s="413"/>
      <c r="D13" s="414"/>
      <c r="E13" s="410">
        <f>Segment3!K6</f>
        <v>0</v>
      </c>
      <c r="F13" s="410"/>
      <c r="G13" s="191" t="s">
        <v>15</v>
      </c>
      <c r="H13" s="231" t="str">
        <f>IF(G13="Yes", MAX(Segment3!R160:R162),"-")</f>
        <v>-</v>
      </c>
      <c r="I13" s="245" t="str">
        <f>IF(G13="Yes", MAX(Segment3!R163:R165),"-")</f>
        <v>-</v>
      </c>
      <c r="J13" s="247" t="e">
        <f>1/10.1/Segment3!J11</f>
        <v>#DIV/0!</v>
      </c>
      <c r="K13" s="119" t="e">
        <f>1/9.57/Segment3!J11</f>
        <v>#DIV/0!</v>
      </c>
      <c r="L13" s="192"/>
      <c r="M13" s="192"/>
      <c r="N13" s="157" t="str">
        <f t="shared" si="0"/>
        <v>-</v>
      </c>
      <c r="O13" s="157" t="str">
        <f t="shared" si="1"/>
        <v>-</v>
      </c>
      <c r="P13" s="147" t="str">
        <f t="shared" si="2"/>
        <v>-</v>
      </c>
      <c r="Q13" s="148" t="str">
        <f t="shared" si="3"/>
        <v>-</v>
      </c>
    </row>
    <row r="14" spans="1:17" x14ac:dyDescent="0.2">
      <c r="A14" s="62" t="s">
        <v>315</v>
      </c>
      <c r="B14" s="412">
        <f>Segment4!J10</f>
        <v>0</v>
      </c>
      <c r="C14" s="413"/>
      <c r="D14" s="414"/>
      <c r="E14" s="410">
        <f>Segment4!K6</f>
        <v>0</v>
      </c>
      <c r="F14" s="410"/>
      <c r="G14" s="191" t="s">
        <v>15</v>
      </c>
      <c r="H14" s="231" t="str">
        <f>IF(G14="Yes", MAX(Segment4!R160:R162),"-")</f>
        <v>-</v>
      </c>
      <c r="I14" s="245" t="str">
        <f>IF(G14="Yes", MAX(Segment4!R163:R165),"-")</f>
        <v>-</v>
      </c>
      <c r="J14" s="247" t="e">
        <f>1/10.1/Segment4!J11</f>
        <v>#DIV/0!</v>
      </c>
      <c r="K14" s="119" t="e">
        <f>1/9.57/Segment4!J11</f>
        <v>#DIV/0!</v>
      </c>
      <c r="L14" s="192"/>
      <c r="M14" s="192"/>
      <c r="N14" s="157" t="str">
        <f t="shared" si="0"/>
        <v>-</v>
      </c>
      <c r="O14" s="157" t="str">
        <f t="shared" si="1"/>
        <v>-</v>
      </c>
      <c r="P14" s="147" t="str">
        <f t="shared" si="2"/>
        <v>-</v>
      </c>
      <c r="Q14" s="148" t="str">
        <f t="shared" si="3"/>
        <v>-</v>
      </c>
    </row>
    <row r="15" spans="1:17" x14ac:dyDescent="0.2">
      <c r="A15" s="62" t="s">
        <v>316</v>
      </c>
      <c r="B15" s="411">
        <f>Segment5!J10</f>
        <v>0</v>
      </c>
      <c r="C15" s="411"/>
      <c r="D15" s="411"/>
      <c r="E15" s="410">
        <f>Segment5!K6</f>
        <v>0</v>
      </c>
      <c r="F15" s="410"/>
      <c r="G15" s="191" t="s">
        <v>15</v>
      </c>
      <c r="H15" s="231" t="str">
        <f>IF(G15="Yes", MAX(Segment5!R160:R162),"-")</f>
        <v>-</v>
      </c>
      <c r="I15" s="246" t="str">
        <f>IF(G15="Yes", MAX(Segment5!R163:R165),"-")</f>
        <v>-</v>
      </c>
      <c r="J15" s="247" t="e">
        <f>1/10.1/Segment5!J11</f>
        <v>#DIV/0!</v>
      </c>
      <c r="K15" s="119" t="e">
        <f>1/9.57/Segment5!J11</f>
        <v>#DIV/0!</v>
      </c>
      <c r="L15" s="192"/>
      <c r="M15" s="192"/>
      <c r="N15" s="157" t="str">
        <f t="shared" si="0"/>
        <v>-</v>
      </c>
      <c r="O15" s="157" t="str">
        <f t="shared" si="1"/>
        <v>-</v>
      </c>
      <c r="P15" s="147" t="str">
        <f t="shared" si="2"/>
        <v>-</v>
      </c>
      <c r="Q15" s="148" t="str">
        <f t="shared" si="3"/>
        <v>-</v>
      </c>
    </row>
    <row r="16" spans="1:17" x14ac:dyDescent="0.2">
      <c r="A16" s="62" t="s">
        <v>317</v>
      </c>
      <c r="B16" s="411">
        <f>Segment6!J10</f>
        <v>0</v>
      </c>
      <c r="C16" s="411"/>
      <c r="D16" s="411"/>
      <c r="E16" s="410">
        <f>Segment6!K6</f>
        <v>0</v>
      </c>
      <c r="F16" s="410"/>
      <c r="G16" s="191" t="s">
        <v>15</v>
      </c>
      <c r="H16" s="231" t="str">
        <f>IF(G16="Yes", MAX(Segment6!R160:R162),"-")</f>
        <v>-</v>
      </c>
      <c r="I16" s="245" t="str">
        <f>IF(G16="Yes", MAX(Segment6!R163:R165),"-")</f>
        <v>-</v>
      </c>
      <c r="J16" s="247" t="e">
        <f>1/10.1/Segment6!J11</f>
        <v>#DIV/0!</v>
      </c>
      <c r="K16" s="119" t="e">
        <f>1/9.57/Segment6!J11</f>
        <v>#DIV/0!</v>
      </c>
      <c r="L16" s="192"/>
      <c r="M16" s="192"/>
      <c r="N16" s="157" t="str">
        <f t="shared" si="0"/>
        <v>-</v>
      </c>
      <c r="O16" s="157" t="str">
        <f t="shared" si="1"/>
        <v>-</v>
      </c>
      <c r="P16" s="147" t="str">
        <f t="shared" si="2"/>
        <v>-</v>
      </c>
      <c r="Q16" s="148" t="str">
        <f t="shared" si="3"/>
        <v>-</v>
      </c>
    </row>
    <row r="17" spans="1:17" x14ac:dyDescent="0.2">
      <c r="A17" s="62" t="s">
        <v>318</v>
      </c>
      <c r="B17" s="411">
        <f>Segment7!J10</f>
        <v>0</v>
      </c>
      <c r="C17" s="411"/>
      <c r="D17" s="411"/>
      <c r="E17" s="410">
        <f>Segment7!K6</f>
        <v>0</v>
      </c>
      <c r="F17" s="410"/>
      <c r="G17" s="191" t="s">
        <v>15</v>
      </c>
      <c r="H17" s="231" t="str">
        <f>IF(G17="Yes", MAX(Segment7!R160:R162),"-")</f>
        <v>-</v>
      </c>
      <c r="I17" s="245" t="str">
        <f>IF(G17="Yes", MAX(Segment7!R163:R165),"-")</f>
        <v>-</v>
      </c>
      <c r="J17" s="247" t="e">
        <f>1/10.1/Segment7!J11</f>
        <v>#DIV/0!</v>
      </c>
      <c r="K17" s="119" t="e">
        <f>1/9.57/Segment7!J11</f>
        <v>#DIV/0!</v>
      </c>
      <c r="L17" s="192"/>
      <c r="M17" s="192"/>
      <c r="N17" s="157" t="str">
        <f t="shared" si="0"/>
        <v>-</v>
      </c>
      <c r="O17" s="157" t="str">
        <f t="shared" si="1"/>
        <v>-</v>
      </c>
      <c r="P17" s="147" t="str">
        <f t="shared" si="2"/>
        <v>-</v>
      </c>
      <c r="Q17" s="148" t="str">
        <f t="shared" si="3"/>
        <v>-</v>
      </c>
    </row>
    <row r="18" spans="1:17" x14ac:dyDescent="0.2">
      <c r="A18" s="62" t="s">
        <v>319</v>
      </c>
      <c r="B18" s="411">
        <f>Segment8!J10</f>
        <v>0</v>
      </c>
      <c r="C18" s="411"/>
      <c r="D18" s="411"/>
      <c r="E18" s="410">
        <f>Segment8!K6</f>
        <v>0</v>
      </c>
      <c r="F18" s="410"/>
      <c r="G18" s="191" t="s">
        <v>15</v>
      </c>
      <c r="H18" s="231" t="str">
        <f>IF(G18="Yes", MAX(Segment8!R160:R162),"-")</f>
        <v>-</v>
      </c>
      <c r="I18" s="245" t="str">
        <f>IF(G18="Yes", MAX(Segment8!R163:R165),"-")</f>
        <v>-</v>
      </c>
      <c r="J18" s="247" t="e">
        <f>1/10.1/Segment8!J11</f>
        <v>#DIV/0!</v>
      </c>
      <c r="K18" s="119" t="e">
        <f>1/9.57/Segment8!J11</f>
        <v>#DIV/0!</v>
      </c>
      <c r="L18" s="192"/>
      <c r="M18" s="192"/>
      <c r="N18" s="157" t="str">
        <f t="shared" si="0"/>
        <v>-</v>
      </c>
      <c r="O18" s="157" t="str">
        <f t="shared" si="1"/>
        <v>-</v>
      </c>
      <c r="P18" s="147" t="str">
        <f t="shared" si="2"/>
        <v>-</v>
      </c>
      <c r="Q18" s="148" t="str">
        <f t="shared" si="3"/>
        <v>-</v>
      </c>
    </row>
    <row r="19" spans="1:17" x14ac:dyDescent="0.2">
      <c r="A19" s="62" t="s">
        <v>320</v>
      </c>
      <c r="B19" s="411">
        <f>Segment9!J10</f>
        <v>0</v>
      </c>
      <c r="C19" s="411"/>
      <c r="D19" s="411"/>
      <c r="E19" s="408">
        <f>Segment9!K6</f>
        <v>0</v>
      </c>
      <c r="F19" s="410"/>
      <c r="G19" s="191" t="s">
        <v>15</v>
      </c>
      <c r="H19" s="231" t="str">
        <f>IF(G19="Yes", MAX(Segment9!R160:R162),"-")</f>
        <v>-</v>
      </c>
      <c r="I19" s="245" t="str">
        <f>IF(G19="Yes", MAX(Segment9!R163:R165),"-")</f>
        <v>-</v>
      </c>
      <c r="J19" s="247" t="e">
        <f>1/10.1/Segment9!J11</f>
        <v>#DIV/0!</v>
      </c>
      <c r="K19" s="119" t="e">
        <f>1/9.57/Segment9!J11</f>
        <v>#DIV/0!</v>
      </c>
      <c r="L19" s="192"/>
      <c r="M19" s="192"/>
      <c r="N19" s="157" t="str">
        <f t="shared" si="0"/>
        <v>-</v>
      </c>
      <c r="O19" s="157" t="str">
        <f t="shared" si="1"/>
        <v>-</v>
      </c>
      <c r="P19" s="147" t="str">
        <f t="shared" si="2"/>
        <v>-</v>
      </c>
      <c r="Q19" s="148" t="str">
        <f t="shared" si="3"/>
        <v>-</v>
      </c>
    </row>
    <row r="20" spans="1:17" x14ac:dyDescent="0.2">
      <c r="A20" s="62" t="s">
        <v>321</v>
      </c>
      <c r="B20" s="411">
        <f>Segment10!J10</f>
        <v>0</v>
      </c>
      <c r="C20" s="411"/>
      <c r="D20" s="411"/>
      <c r="E20" s="410">
        <f>Segment10!K6</f>
        <v>0</v>
      </c>
      <c r="F20" s="410"/>
      <c r="G20" s="191" t="s">
        <v>15</v>
      </c>
      <c r="H20" s="231" t="str">
        <f>IF(G20="Yes", MAX(Segment10!R160:R162),"-")</f>
        <v>-</v>
      </c>
      <c r="I20" s="245" t="str">
        <f>IF(G20="Yes", MAX(Segment10!R163:R165),"-")</f>
        <v>-</v>
      </c>
      <c r="J20" s="247" t="e">
        <f>1/10.1/Segment10!J11</f>
        <v>#DIV/0!</v>
      </c>
      <c r="K20" s="119" t="e">
        <f>1/9.57/Segment10!J11</f>
        <v>#DIV/0!</v>
      </c>
      <c r="L20" s="192"/>
      <c r="M20" s="192"/>
      <c r="N20" s="157" t="str">
        <f t="shared" si="0"/>
        <v>-</v>
      </c>
      <c r="O20" s="157" t="str">
        <f t="shared" si="1"/>
        <v>-</v>
      </c>
      <c r="P20" s="147" t="str">
        <f t="shared" si="2"/>
        <v>-</v>
      </c>
      <c r="Q20" s="148" t="str">
        <f t="shared" si="3"/>
        <v>-</v>
      </c>
    </row>
    <row r="21" spans="1:17" x14ac:dyDescent="0.2">
      <c r="A21" s="62" t="s">
        <v>322</v>
      </c>
      <c r="B21" s="411">
        <f>Segment11!J10</f>
        <v>0</v>
      </c>
      <c r="C21" s="411"/>
      <c r="D21" s="411"/>
      <c r="E21" s="410">
        <f>Segment11!K6</f>
        <v>0</v>
      </c>
      <c r="F21" s="410"/>
      <c r="G21" s="191" t="s">
        <v>15</v>
      </c>
      <c r="H21" s="231" t="str">
        <f>IF(G21="Yes", MAX(Segment11!R160:R162),"-")</f>
        <v>-</v>
      </c>
      <c r="I21" s="245" t="str">
        <f>IF(G21="Yes", MAX(Segment11!R163:R165),"-")</f>
        <v>-</v>
      </c>
      <c r="J21" s="247" t="e">
        <f>1/10.1/Segment11!J11</f>
        <v>#DIV/0!</v>
      </c>
      <c r="K21" s="119" t="e">
        <f>1/9.57/Segment11!J11</f>
        <v>#DIV/0!</v>
      </c>
      <c r="L21" s="192"/>
      <c r="M21" s="192"/>
      <c r="N21" s="157" t="str">
        <f t="shared" si="0"/>
        <v>-</v>
      </c>
      <c r="O21" s="157" t="str">
        <f t="shared" si="1"/>
        <v>-</v>
      </c>
      <c r="P21" s="147" t="str">
        <f t="shared" si="2"/>
        <v>-</v>
      </c>
      <c r="Q21" s="148" t="str">
        <f t="shared" si="3"/>
        <v>-</v>
      </c>
    </row>
    <row r="22" spans="1:17" x14ac:dyDescent="0.2">
      <c r="A22" s="62" t="s">
        <v>323</v>
      </c>
      <c r="B22" s="411">
        <f>Segment12!J10</f>
        <v>0</v>
      </c>
      <c r="C22" s="411"/>
      <c r="D22" s="411"/>
      <c r="E22" s="410">
        <f>Segment12!K6</f>
        <v>0</v>
      </c>
      <c r="F22" s="410"/>
      <c r="G22" s="191" t="s">
        <v>15</v>
      </c>
      <c r="H22" s="231" t="str">
        <f>IF(G22="Yes", MAX(Segment12!R160:R162),"-")</f>
        <v>-</v>
      </c>
      <c r="I22" s="245" t="str">
        <f>IF(G22="Yes", MAX(Segment12!R163:R165),"-")</f>
        <v>-</v>
      </c>
      <c r="J22" s="247" t="e">
        <f>1/10.1/Segment12!J11</f>
        <v>#DIV/0!</v>
      </c>
      <c r="K22" s="119" t="e">
        <f>1/9.57/Segment12!J11</f>
        <v>#DIV/0!</v>
      </c>
      <c r="L22" s="192"/>
      <c r="M22" s="192"/>
      <c r="N22" s="157" t="str">
        <f t="shared" si="0"/>
        <v>-</v>
      </c>
      <c r="O22" s="157" t="str">
        <f t="shared" si="1"/>
        <v>-</v>
      </c>
      <c r="P22" s="147" t="str">
        <f t="shared" si="2"/>
        <v>-</v>
      </c>
      <c r="Q22" s="148" t="str">
        <f t="shared" si="3"/>
        <v>-</v>
      </c>
    </row>
    <row r="23" spans="1:17" x14ac:dyDescent="0.2">
      <c r="A23" s="62" t="s">
        <v>324</v>
      </c>
      <c r="B23" s="411">
        <f>Segment13!J10</f>
        <v>0</v>
      </c>
      <c r="C23" s="411"/>
      <c r="D23" s="411"/>
      <c r="E23" s="410">
        <f>Segment13!K6</f>
        <v>0</v>
      </c>
      <c r="F23" s="410"/>
      <c r="G23" s="191" t="s">
        <v>15</v>
      </c>
      <c r="H23" s="231" t="str">
        <f>IF(G23="Yes", MAX(Segment13!R160:R162),"-")</f>
        <v>-</v>
      </c>
      <c r="I23" s="245" t="str">
        <f>IF(G23="Yes", MAX(Segment13!R163:R165),"-")</f>
        <v>-</v>
      </c>
      <c r="J23" s="247" t="e">
        <f>1/10.1/Segment13!J11</f>
        <v>#DIV/0!</v>
      </c>
      <c r="K23" s="119" t="e">
        <f>1/9.57/Segment13!J11</f>
        <v>#DIV/0!</v>
      </c>
      <c r="L23" s="192"/>
      <c r="M23" s="192"/>
      <c r="N23" s="157" t="str">
        <f t="shared" si="0"/>
        <v>-</v>
      </c>
      <c r="O23" s="157" t="str">
        <f t="shared" si="1"/>
        <v>-</v>
      </c>
      <c r="P23" s="147" t="str">
        <f t="shared" si="2"/>
        <v>-</v>
      </c>
      <c r="Q23" s="148" t="str">
        <f t="shared" si="3"/>
        <v>-</v>
      </c>
    </row>
    <row r="24" spans="1:17" x14ac:dyDescent="0.2">
      <c r="A24" s="62" t="s">
        <v>325</v>
      </c>
      <c r="B24" s="411">
        <f>Segment14!J10</f>
        <v>0</v>
      </c>
      <c r="C24" s="411"/>
      <c r="D24" s="411"/>
      <c r="E24" s="408">
        <f>Segment14!K6</f>
        <v>0</v>
      </c>
      <c r="F24" s="410"/>
      <c r="G24" s="191" t="s">
        <v>15</v>
      </c>
      <c r="H24" s="231" t="str">
        <f>IF(G24="Yes", MAX(Segment14!R160:R162),"-")</f>
        <v>-</v>
      </c>
      <c r="I24" s="245" t="str">
        <f>IF(G24="Yes", MAX(Segment14!R163:R165),"-")</f>
        <v>-</v>
      </c>
      <c r="J24" s="247" t="e">
        <f>1/10.1/Segment14!J11</f>
        <v>#DIV/0!</v>
      </c>
      <c r="K24" s="119" t="e">
        <f>1/9.57/Segment14!J11</f>
        <v>#DIV/0!</v>
      </c>
      <c r="L24" s="192"/>
      <c r="M24" s="192"/>
      <c r="N24" s="157" t="str">
        <f t="shared" si="0"/>
        <v>-</v>
      </c>
      <c r="O24" s="157" t="str">
        <f t="shared" si="1"/>
        <v>-</v>
      </c>
      <c r="P24" s="147" t="str">
        <f t="shared" si="2"/>
        <v>-</v>
      </c>
      <c r="Q24" s="148" t="str">
        <f t="shared" si="3"/>
        <v>-</v>
      </c>
    </row>
    <row r="25" spans="1:17" x14ac:dyDescent="0.2">
      <c r="A25" s="62" t="s">
        <v>326</v>
      </c>
      <c r="B25" s="411">
        <f>Segment15!J10</f>
        <v>0</v>
      </c>
      <c r="C25" s="411"/>
      <c r="D25" s="411"/>
      <c r="E25" s="410">
        <f>Segment15!K6</f>
        <v>0</v>
      </c>
      <c r="F25" s="410"/>
      <c r="G25" s="191" t="s">
        <v>15</v>
      </c>
      <c r="H25" s="231" t="str">
        <f>IF(G25="Yes", MAX(Segment15!R160:R162),"-")</f>
        <v>-</v>
      </c>
      <c r="I25" s="245" t="str">
        <f>IF(G25="Yes", MAX(Segment15!R163:R165),"-")</f>
        <v>-</v>
      </c>
      <c r="J25" s="247" t="e">
        <f>1/10.1/Segment15!J11</f>
        <v>#DIV/0!</v>
      </c>
      <c r="K25" s="119" t="e">
        <f>1/9.57/Segment15!J11</f>
        <v>#DIV/0!</v>
      </c>
      <c r="L25" s="192"/>
      <c r="M25" s="192"/>
      <c r="N25" s="157" t="str">
        <f t="shared" si="0"/>
        <v>-</v>
      </c>
      <c r="O25" s="157" t="str">
        <f t="shared" si="1"/>
        <v>-</v>
      </c>
      <c r="P25" s="147" t="str">
        <f t="shared" si="2"/>
        <v>-</v>
      </c>
      <c r="Q25" s="148" t="str">
        <f t="shared" si="3"/>
        <v>-</v>
      </c>
    </row>
    <row r="26" spans="1:17" x14ac:dyDescent="0.2">
      <c r="A26" s="62" t="s">
        <v>327</v>
      </c>
      <c r="B26" s="411">
        <f>Segment16!J10</f>
        <v>0</v>
      </c>
      <c r="C26" s="411"/>
      <c r="D26" s="411"/>
      <c r="E26" s="410">
        <f>Segment16!K6</f>
        <v>0</v>
      </c>
      <c r="F26" s="410"/>
      <c r="G26" s="191" t="s">
        <v>15</v>
      </c>
      <c r="H26" s="231" t="str">
        <f>IF(G26="Yes", MAX(Segment16!R160:R162),"-")</f>
        <v>-</v>
      </c>
      <c r="I26" s="245" t="str">
        <f>IF(G26="Yes", MAX(Segment16!R163:R165),"-")</f>
        <v>-</v>
      </c>
      <c r="J26" s="247" t="e">
        <f>1/10.1/Segment16!J11</f>
        <v>#DIV/0!</v>
      </c>
      <c r="K26" s="119" t="e">
        <f>1/9.57/Segment16!J11</f>
        <v>#DIV/0!</v>
      </c>
      <c r="L26" s="192"/>
      <c r="M26" s="192"/>
      <c r="N26" s="157" t="str">
        <f t="shared" si="0"/>
        <v>-</v>
      </c>
      <c r="O26" s="157" t="str">
        <f t="shared" si="1"/>
        <v>-</v>
      </c>
      <c r="P26" s="147" t="str">
        <f t="shared" si="2"/>
        <v>-</v>
      </c>
      <c r="Q26" s="148" t="str">
        <f t="shared" si="3"/>
        <v>-</v>
      </c>
    </row>
    <row r="27" spans="1:17" x14ac:dyDescent="0.2">
      <c r="A27" s="62" t="s">
        <v>328</v>
      </c>
      <c r="B27" s="411">
        <f>Segment17!J10</f>
        <v>0</v>
      </c>
      <c r="C27" s="411"/>
      <c r="D27" s="411"/>
      <c r="E27" s="410">
        <f>Segment17!K6</f>
        <v>0</v>
      </c>
      <c r="F27" s="410"/>
      <c r="G27" s="191" t="s">
        <v>15</v>
      </c>
      <c r="H27" s="231" t="str">
        <f>IF(G27="Yes", MAX(Segment17!R160:R162),"-")</f>
        <v>-</v>
      </c>
      <c r="I27" s="245" t="str">
        <f>IF(G27="Yes", MAX(Segment17!R163:R165),"-")</f>
        <v>-</v>
      </c>
      <c r="J27" s="247" t="e">
        <f>1/10.1/Segment17!J11</f>
        <v>#DIV/0!</v>
      </c>
      <c r="K27" s="119" t="e">
        <f>1/9.57/Segment17!J11</f>
        <v>#DIV/0!</v>
      </c>
      <c r="L27" s="192"/>
      <c r="M27" s="192"/>
      <c r="N27" s="157" t="str">
        <f t="shared" si="0"/>
        <v>-</v>
      </c>
      <c r="O27" s="157" t="str">
        <f t="shared" si="1"/>
        <v>-</v>
      </c>
      <c r="P27" s="147" t="str">
        <f t="shared" si="2"/>
        <v>-</v>
      </c>
      <c r="Q27" s="148" t="str">
        <f t="shared" si="3"/>
        <v>-</v>
      </c>
    </row>
    <row r="28" spans="1:17" x14ac:dyDescent="0.2">
      <c r="A28" s="62" t="s">
        <v>329</v>
      </c>
      <c r="B28" s="411">
        <f>Segment18!J10</f>
        <v>0</v>
      </c>
      <c r="C28" s="411"/>
      <c r="D28" s="411"/>
      <c r="E28" s="410">
        <f>Segment18!K6</f>
        <v>0</v>
      </c>
      <c r="F28" s="410"/>
      <c r="G28" s="191" t="s">
        <v>15</v>
      </c>
      <c r="H28" s="231" t="str">
        <f>IF(G28="Yes", MAX(Segment18!R160:R162),"-")</f>
        <v>-</v>
      </c>
      <c r="I28" s="245" t="str">
        <f>IF(G28="Yes", MAX(Segment18!R163:R165),"-")</f>
        <v>-</v>
      </c>
      <c r="J28" s="247" t="e">
        <f>1/10.1/Segment18!J11</f>
        <v>#DIV/0!</v>
      </c>
      <c r="K28" s="119" t="e">
        <f>1/9.57/Segment18!J11</f>
        <v>#DIV/0!</v>
      </c>
      <c r="L28" s="192"/>
      <c r="M28" s="192"/>
      <c r="N28" s="157" t="str">
        <f t="shared" si="0"/>
        <v>-</v>
      </c>
      <c r="O28" s="157" t="str">
        <f t="shared" si="1"/>
        <v>-</v>
      </c>
      <c r="P28" s="147" t="str">
        <f t="shared" si="2"/>
        <v>-</v>
      </c>
      <c r="Q28" s="148" t="str">
        <f t="shared" si="3"/>
        <v>-</v>
      </c>
    </row>
    <row r="29" spans="1:17" x14ac:dyDescent="0.2">
      <c r="A29" s="62" t="s">
        <v>330</v>
      </c>
      <c r="B29" s="411">
        <f>Segment19!J10</f>
        <v>0</v>
      </c>
      <c r="C29" s="411"/>
      <c r="D29" s="411"/>
      <c r="E29" s="410">
        <f>Segment19!K6</f>
        <v>0</v>
      </c>
      <c r="F29" s="410"/>
      <c r="G29" s="191" t="s">
        <v>15</v>
      </c>
      <c r="H29" s="231" t="str">
        <f>IF(G29="Yes", MAX(Segment19!R160:R162),"-")</f>
        <v>-</v>
      </c>
      <c r="I29" s="245" t="str">
        <f>IF(G29="Yes", MAX(Segment19!R163:R165),"-")</f>
        <v>-</v>
      </c>
      <c r="J29" s="247" t="e">
        <f>1/10.1/Segment19!J11</f>
        <v>#DIV/0!</v>
      </c>
      <c r="K29" s="119" t="e">
        <f>1/9.57/Segment19!J11</f>
        <v>#DIV/0!</v>
      </c>
      <c r="L29" s="192"/>
      <c r="M29" s="192"/>
      <c r="N29" s="157" t="str">
        <f t="shared" si="0"/>
        <v>-</v>
      </c>
      <c r="O29" s="157" t="str">
        <f t="shared" si="1"/>
        <v>-</v>
      </c>
      <c r="P29" s="147" t="str">
        <f t="shared" si="2"/>
        <v>-</v>
      </c>
      <c r="Q29" s="148" t="str">
        <f t="shared" si="3"/>
        <v>-</v>
      </c>
    </row>
    <row r="30" spans="1:17" x14ac:dyDescent="0.2">
      <c r="A30" s="62" t="s">
        <v>331</v>
      </c>
      <c r="B30" s="411">
        <f>Segment20!J10</f>
        <v>0</v>
      </c>
      <c r="C30" s="411"/>
      <c r="D30" s="411"/>
      <c r="E30" s="410">
        <f>Segment20!K6</f>
        <v>0</v>
      </c>
      <c r="F30" s="410"/>
      <c r="G30" s="191" t="s">
        <v>15</v>
      </c>
      <c r="H30" s="231" t="str">
        <f>IF(G30="Yes", MAX(Segment20!R160:R162),"-")</f>
        <v>-</v>
      </c>
      <c r="I30" s="245" t="str">
        <f>IF(G30="Yes", MAX(Segment20!R163:R165),"-")</f>
        <v>-</v>
      </c>
      <c r="J30" s="247" t="e">
        <f>1/10.1/Segment20!J11</f>
        <v>#DIV/0!</v>
      </c>
      <c r="K30" s="119" t="e">
        <f>1/9.57/Segment20!J11</f>
        <v>#DIV/0!</v>
      </c>
      <c r="L30" s="192"/>
      <c r="M30" s="192"/>
      <c r="N30" s="157" t="str">
        <f t="shared" si="0"/>
        <v>-</v>
      </c>
      <c r="O30" s="157" t="str">
        <f t="shared" si="1"/>
        <v>-</v>
      </c>
      <c r="P30" s="147" t="str">
        <f t="shared" si="2"/>
        <v>-</v>
      </c>
      <c r="Q30" s="148" t="str">
        <f t="shared" si="3"/>
        <v>-</v>
      </c>
    </row>
    <row r="31" spans="1:17" x14ac:dyDescent="0.2">
      <c r="F31" s="300" t="s">
        <v>341</v>
      </c>
      <c r="G31" s="300"/>
      <c r="H31" s="244">
        <f>SUM(H11:H30)</f>
        <v>0</v>
      </c>
      <c r="I31" s="155">
        <f>SUM(I11:I30)</f>
        <v>0</v>
      </c>
      <c r="J31" s="159" t="s">
        <v>86</v>
      </c>
      <c r="K31" s="156" t="s">
        <v>86</v>
      </c>
      <c r="L31" s="153">
        <f>SUM(L11:L30)</f>
        <v>0</v>
      </c>
      <c r="M31" s="153">
        <f>SUM(M11:M30)</f>
        <v>0</v>
      </c>
      <c r="N31" s="158" t="s">
        <v>86</v>
      </c>
      <c r="O31" s="158" t="s">
        <v>86</v>
      </c>
      <c r="P31" s="154" t="str">
        <f>IF(P5="Yes",SUM(P11:P30),"-")</f>
        <v>-</v>
      </c>
      <c r="Q31" s="155" t="str">
        <f>IF(P5="Yes",SUM(Q11:Q30),"-")</f>
        <v>-</v>
      </c>
    </row>
  </sheetData>
  <sheetProtection algorithmName="SHA-512" hashValue="CP/UQ8jxSCLcgaMV2cwzPsz9jdTNxWGnHsVq5xfGgtup9/9pX+hCA9A5PYyXM2uUoRv6QPQdMgbO89V8nnlxag==" saltValue="RnDmX/Rbz+KnFRFlWiZqZg==" spinCount="100000" sheet="1" objects="1" scenarios="1"/>
  <mergeCells count="53">
    <mergeCell ref="A3:I3"/>
    <mergeCell ref="A2:Q2"/>
    <mergeCell ref="J3:Q3"/>
    <mergeCell ref="P5:Q5"/>
    <mergeCell ref="P6:Q6"/>
    <mergeCell ref="J8:K9"/>
    <mergeCell ref="L8:M9"/>
    <mergeCell ref="P8:Q9"/>
    <mergeCell ref="B11:D11"/>
    <mergeCell ref="B10:D10"/>
    <mergeCell ref="E10:F10"/>
    <mergeCell ref="E11:F11"/>
    <mergeCell ref="H8:I9"/>
    <mergeCell ref="N8:O9"/>
    <mergeCell ref="B12:D12"/>
    <mergeCell ref="B13:D13"/>
    <mergeCell ref="B14:D14"/>
    <mergeCell ref="B15:D15"/>
    <mergeCell ref="B16:D16"/>
    <mergeCell ref="B27:D27"/>
    <mergeCell ref="B28:D28"/>
    <mergeCell ref="B29:D29"/>
    <mergeCell ref="B30:D30"/>
    <mergeCell ref="F31:G31"/>
    <mergeCell ref="E27:F27"/>
    <mergeCell ref="E28:F28"/>
    <mergeCell ref="E29:F29"/>
    <mergeCell ref="E30:F30"/>
    <mergeCell ref="B26:D26"/>
    <mergeCell ref="B17:D17"/>
    <mergeCell ref="B18:D18"/>
    <mergeCell ref="B19:D19"/>
    <mergeCell ref="B20:D20"/>
    <mergeCell ref="B21:D21"/>
    <mergeCell ref="B22:D22"/>
    <mergeCell ref="B23:D23"/>
    <mergeCell ref="B24:D24"/>
    <mergeCell ref="B25:D25"/>
    <mergeCell ref="E12:F12"/>
    <mergeCell ref="E24:F24"/>
    <mergeCell ref="E25:F25"/>
    <mergeCell ref="E26:F26"/>
    <mergeCell ref="E17:F17"/>
    <mergeCell ref="E18:F18"/>
    <mergeCell ref="E19:F19"/>
    <mergeCell ref="E20:F20"/>
    <mergeCell ref="E21:F21"/>
    <mergeCell ref="E13:F13"/>
    <mergeCell ref="E14:F14"/>
    <mergeCell ref="E15:F15"/>
    <mergeCell ref="E16:F16"/>
    <mergeCell ref="E22:F22"/>
    <mergeCell ref="E23:F23"/>
  </mergeCells>
  <dataValidations count="1">
    <dataValidation type="decimal" operator="greaterThan" allowBlank="1" showInputMessage="1" showErrorMessage="1" sqref="P6">
      <formula1>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Menus!$B$15:$B$16</xm:f>
          </x14:formula1>
          <xm:sqref>P5 G11:G30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5"/>
  <sheetViews>
    <sheetView workbookViewId="0"/>
  </sheetViews>
  <sheetFormatPr defaultRowHeight="12.75" x14ac:dyDescent="0.2"/>
  <sheetData>
    <row r="1" spans="2:2" x14ac:dyDescent="0.2">
      <c r="B1" s="3" t="s">
        <v>48</v>
      </c>
    </row>
    <row r="2" spans="2:2" x14ac:dyDescent="0.2">
      <c r="B2" s="12" t="s">
        <v>93</v>
      </c>
    </row>
    <row r="3" spans="2:2" x14ac:dyDescent="0.2">
      <c r="B3" s="12" t="s">
        <v>94</v>
      </c>
    </row>
    <row r="4" spans="2:2" x14ac:dyDescent="0.2">
      <c r="B4" s="12" t="s">
        <v>95</v>
      </c>
    </row>
    <row r="6" spans="2:2" x14ac:dyDescent="0.2">
      <c r="B6" s="3" t="s">
        <v>55</v>
      </c>
    </row>
    <row r="7" spans="2:2" x14ac:dyDescent="0.2">
      <c r="B7">
        <v>2</v>
      </c>
    </row>
    <row r="8" spans="2:2" x14ac:dyDescent="0.2">
      <c r="B8">
        <v>3</v>
      </c>
    </row>
    <row r="9" spans="2:2" x14ac:dyDescent="0.2">
      <c r="B9">
        <v>4</v>
      </c>
    </row>
    <row r="10" spans="2:2" x14ac:dyDescent="0.2">
      <c r="B10">
        <v>5</v>
      </c>
    </row>
    <row r="11" spans="2:2" x14ac:dyDescent="0.2">
      <c r="B11">
        <v>6</v>
      </c>
    </row>
    <row r="12" spans="2:2" x14ac:dyDescent="0.2">
      <c r="B12">
        <v>7</v>
      </c>
    </row>
    <row r="14" spans="2:2" x14ac:dyDescent="0.2">
      <c r="B14" s="3" t="s">
        <v>285</v>
      </c>
    </row>
    <row r="15" spans="2:2" x14ac:dyDescent="0.2">
      <c r="B15" s="12" t="s">
        <v>14</v>
      </c>
    </row>
    <row r="16" spans="2:2" x14ac:dyDescent="0.2">
      <c r="B16" s="12" t="s">
        <v>15</v>
      </c>
    </row>
    <row r="18" spans="2:2" x14ac:dyDescent="0.2">
      <c r="B18" s="3" t="s">
        <v>403</v>
      </c>
    </row>
    <row r="19" spans="2:2" x14ac:dyDescent="0.2">
      <c r="B19" s="12" t="s">
        <v>405</v>
      </c>
    </row>
    <row r="20" spans="2:2" x14ac:dyDescent="0.2">
      <c r="B20" s="12" t="s">
        <v>406</v>
      </c>
    </row>
    <row r="22" spans="2:2" x14ac:dyDescent="0.2">
      <c r="B22" s="3" t="s">
        <v>417</v>
      </c>
    </row>
    <row r="23" spans="2:2" x14ac:dyDescent="0.2">
      <c r="B23" s="12" t="s">
        <v>419</v>
      </c>
    </row>
    <row r="24" spans="2:2" x14ac:dyDescent="0.2">
      <c r="B24" s="12" t="s">
        <v>418</v>
      </c>
    </row>
    <row r="25" spans="2:2" x14ac:dyDescent="0.2">
      <c r="B25" s="12"/>
    </row>
  </sheetData>
  <sheetProtection algorithmName="SHA-512" hashValue="+U2vrtkr+gqX7KZqgXT4GxaMN93jkCaZ/c1oUKMlQK3ukzR3HcajLdn9vWxxKPywDkzS5em29fBEFJgeV1bVMA==" saltValue="oShBCU77CndkcEfApXu3h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Normal="100" workbookViewId="0">
      <selection activeCell="E4" sqref="E4:G4"/>
    </sheetView>
  </sheetViews>
  <sheetFormatPr defaultRowHeight="12.75" x14ac:dyDescent="0.2"/>
  <cols>
    <col min="1" max="6" width="11.28515625" customWidth="1"/>
    <col min="7" max="7" width="8.85546875" customWidth="1"/>
    <col min="8" max="9" width="8.7109375" customWidth="1"/>
    <col min="10" max="13" width="7.7109375" customWidth="1"/>
    <col min="14" max="14" width="14.140625" style="63" customWidth="1"/>
    <col min="15" max="15" width="10.7109375" customWidth="1"/>
    <col min="16" max="17" width="7.710937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2" max="32" width="11.28515625" customWidth="1"/>
    <col min="33" max="33" width="11" customWidth="1"/>
    <col min="34" max="34" width="12" customWidth="1"/>
    <col min="35" max="35" width="13.28515625" customWidth="1"/>
    <col min="36" max="36" width="10.28515625" customWidth="1"/>
    <col min="37" max="37" width="11.7109375" customWidth="1"/>
    <col min="38" max="38" width="10.7109375" customWidth="1"/>
    <col min="39" max="39" width="13.28515625" customWidth="1"/>
    <col min="40" max="40" width="10" customWidth="1"/>
    <col min="41" max="41" width="13.28515625" customWidth="1"/>
    <col min="46" max="46" width="12.140625" customWidth="1"/>
    <col min="47" max="47" width="12.7109375" customWidth="1"/>
    <col min="48" max="49" width="12.28515625" customWidth="1"/>
    <col min="52" max="52" width="10.140625" customWidth="1"/>
  </cols>
  <sheetData>
    <row r="1" spans="1:71" ht="13.5" thickBot="1" x14ac:dyDescent="0.25">
      <c r="AE1" s="1"/>
      <c r="AH1" s="11"/>
      <c r="AN1" s="2"/>
      <c r="AS1" s="5"/>
      <c r="AT1" s="5"/>
      <c r="AU1" s="5"/>
      <c r="AV1" s="5"/>
      <c r="AW1" s="5"/>
      <c r="AX1" s="5"/>
      <c r="AY1" s="14"/>
      <c r="AZ1" s="14"/>
      <c r="BA1" s="5"/>
      <c r="BB1" s="5"/>
      <c r="BC1" s="5"/>
      <c r="BD1" s="5"/>
      <c r="BE1" s="5"/>
      <c r="BF1" s="14"/>
      <c r="BG1" s="14"/>
      <c r="BH1" s="14"/>
      <c r="BI1" s="14"/>
      <c r="BJ1" s="14"/>
      <c r="BK1" s="14"/>
      <c r="BL1" s="14"/>
      <c r="BM1" s="14"/>
      <c r="BN1" s="14"/>
      <c r="BO1" s="14"/>
      <c r="BP1" s="14"/>
      <c r="BQ1" s="14"/>
      <c r="BR1" s="14"/>
      <c r="BS1" s="14"/>
    </row>
    <row r="2" spans="1:71" ht="14.25" thickTop="1" thickBot="1" x14ac:dyDescent="0.25">
      <c r="A2" s="341" t="s">
        <v>92</v>
      </c>
      <c r="B2" s="342"/>
      <c r="C2" s="342"/>
      <c r="D2" s="342"/>
      <c r="E2" s="343"/>
      <c r="F2" s="343"/>
      <c r="G2" s="343"/>
      <c r="H2" s="343"/>
      <c r="I2" s="343"/>
      <c r="J2" s="343"/>
      <c r="K2" s="343"/>
      <c r="L2" s="343"/>
      <c r="M2" s="343"/>
      <c r="N2" s="106"/>
      <c r="O2" s="46"/>
      <c r="P2" s="12"/>
      <c r="BD2" s="5"/>
      <c r="BE2" s="5"/>
      <c r="BF2" s="17"/>
      <c r="BG2" s="17"/>
      <c r="BH2" s="17"/>
      <c r="BI2" s="17"/>
      <c r="BJ2" s="14"/>
      <c r="BK2" s="14"/>
      <c r="BL2" s="14"/>
      <c r="BM2" s="14"/>
      <c r="BN2" s="17"/>
      <c r="BO2" s="17"/>
      <c r="BP2" s="17"/>
      <c r="BQ2" s="17"/>
      <c r="BR2" s="17"/>
      <c r="BS2" s="14"/>
    </row>
    <row r="3" spans="1:71" x14ac:dyDescent="0.2">
      <c r="A3" s="344" t="s">
        <v>0</v>
      </c>
      <c r="B3" s="345"/>
      <c r="C3" s="345"/>
      <c r="D3" s="345"/>
      <c r="E3" s="345"/>
      <c r="F3" s="345"/>
      <c r="G3" s="346"/>
      <c r="H3" s="347" t="s">
        <v>5</v>
      </c>
      <c r="I3" s="348"/>
      <c r="J3" s="348"/>
      <c r="K3" s="348"/>
      <c r="L3" s="348"/>
      <c r="M3" s="348"/>
      <c r="N3" s="105"/>
      <c r="O3" s="11"/>
      <c r="P3" s="12"/>
      <c r="BD3" s="5"/>
      <c r="BE3" s="5"/>
      <c r="BF3" s="17"/>
      <c r="BG3" s="17"/>
      <c r="BH3" s="17"/>
      <c r="BI3" s="17"/>
      <c r="BJ3" s="14"/>
      <c r="BK3" s="14"/>
      <c r="BL3" s="14"/>
      <c r="BM3" s="14"/>
      <c r="BN3" s="17"/>
      <c r="BO3" s="17"/>
      <c r="BP3" s="17"/>
      <c r="BQ3" s="17"/>
      <c r="BR3" s="17"/>
      <c r="BS3" s="14"/>
    </row>
    <row r="4" spans="1:71" x14ac:dyDescent="0.2">
      <c r="A4" s="352" t="s">
        <v>1</v>
      </c>
      <c r="B4" s="352"/>
      <c r="C4" s="352"/>
      <c r="D4" s="7"/>
      <c r="E4" s="353" t="s">
        <v>415</v>
      </c>
      <c r="F4" s="354"/>
      <c r="G4" s="355"/>
      <c r="H4" s="356" t="s">
        <v>52</v>
      </c>
      <c r="I4" s="352"/>
      <c r="J4" s="357"/>
      <c r="K4" s="353"/>
      <c r="L4" s="358"/>
      <c r="M4" s="358"/>
      <c r="N4" s="358"/>
      <c r="O4" s="14"/>
      <c r="BD4" s="5"/>
      <c r="BE4" s="5"/>
      <c r="BF4" s="17"/>
      <c r="BG4" s="17"/>
      <c r="BH4" s="17"/>
      <c r="BI4" s="17"/>
      <c r="BJ4" s="14"/>
      <c r="BK4" s="14"/>
      <c r="BL4" s="14"/>
      <c r="BM4" s="14"/>
      <c r="BN4" s="18"/>
      <c r="BO4" s="18"/>
      <c r="BP4" s="17"/>
      <c r="BQ4" s="17"/>
      <c r="BR4" s="17"/>
      <c r="BS4" s="14"/>
    </row>
    <row r="5" spans="1:71" x14ac:dyDescent="0.2">
      <c r="A5" s="339" t="s">
        <v>2</v>
      </c>
      <c r="B5" s="339"/>
      <c r="C5" s="339"/>
      <c r="D5" s="6"/>
      <c r="E5" s="266" t="s">
        <v>275</v>
      </c>
      <c r="F5" s="349"/>
      <c r="G5" s="350"/>
      <c r="H5" s="351" t="s">
        <v>54</v>
      </c>
      <c r="I5" s="325"/>
      <c r="J5" s="326"/>
      <c r="K5" s="266"/>
      <c r="L5" s="267"/>
      <c r="M5" s="267"/>
      <c r="N5" s="267"/>
      <c r="O5" s="28"/>
      <c r="S5"/>
      <c r="BD5" s="5"/>
      <c r="BE5" s="5"/>
      <c r="BF5" s="17"/>
      <c r="BG5" s="17"/>
      <c r="BH5" s="17"/>
      <c r="BI5" s="17"/>
      <c r="BJ5" s="17"/>
      <c r="BK5" s="17"/>
      <c r="BL5" s="14"/>
      <c r="BM5" s="14"/>
      <c r="BN5" s="18"/>
      <c r="BO5" s="18"/>
      <c r="BP5" s="17"/>
      <c r="BQ5" s="17"/>
      <c r="BR5" s="17"/>
      <c r="BS5" s="14"/>
    </row>
    <row r="6" spans="1:71" x14ac:dyDescent="0.2">
      <c r="A6" s="327" t="s">
        <v>3</v>
      </c>
      <c r="B6" s="327"/>
      <c r="C6" s="327"/>
      <c r="D6" s="9"/>
      <c r="E6" s="328">
        <f ca="1">TODAY()</f>
        <v>44503</v>
      </c>
      <c r="F6" s="329"/>
      <c r="G6" s="330"/>
      <c r="H6" s="324" t="s">
        <v>53</v>
      </c>
      <c r="I6" s="325"/>
      <c r="J6" s="326"/>
      <c r="K6" s="266"/>
      <c r="L6" s="267"/>
      <c r="M6" s="267"/>
      <c r="N6" s="267"/>
      <c r="O6" s="28"/>
      <c r="S6" s="13"/>
      <c r="BD6" s="5"/>
      <c r="BE6" s="5"/>
      <c r="BF6" s="13"/>
      <c r="BG6" s="13"/>
      <c r="BH6" s="13"/>
      <c r="BI6" s="13"/>
      <c r="BJ6" s="13"/>
      <c r="BK6" s="13"/>
      <c r="BL6" s="14"/>
      <c r="BM6" s="14"/>
      <c r="BN6" s="15"/>
      <c r="BO6" s="11"/>
      <c r="BP6" s="13"/>
      <c r="BQ6" s="13"/>
      <c r="BR6" s="13"/>
      <c r="BS6" s="14"/>
    </row>
    <row r="7" spans="1:71" x14ac:dyDescent="0.2">
      <c r="A7" s="339"/>
      <c r="B7" s="339"/>
      <c r="C7" s="339"/>
      <c r="D7" s="5"/>
      <c r="E7" s="339"/>
      <c r="F7" s="339"/>
      <c r="G7" s="326"/>
      <c r="H7" s="41" t="s">
        <v>6</v>
      </c>
      <c r="I7" s="42"/>
      <c r="J7" s="6"/>
      <c r="K7" s="266"/>
      <c r="L7" s="267"/>
      <c r="M7" s="267"/>
      <c r="N7" s="267"/>
      <c r="O7" s="14"/>
      <c r="S7"/>
      <c r="BD7" s="5"/>
      <c r="BE7" s="5"/>
      <c r="BF7" s="13"/>
      <c r="BG7" s="13"/>
      <c r="BH7" s="13"/>
      <c r="BI7" s="13"/>
      <c r="BJ7" s="13"/>
      <c r="BK7" s="13"/>
      <c r="BL7" s="14"/>
      <c r="BM7" s="14"/>
      <c r="BN7" s="11"/>
      <c r="BO7" s="11"/>
      <c r="BP7" s="13"/>
      <c r="BQ7" s="13"/>
      <c r="BR7" s="13"/>
      <c r="BS7" s="14"/>
    </row>
    <row r="8" spans="1:71" x14ac:dyDescent="0.2">
      <c r="A8" s="40"/>
      <c r="B8" s="40"/>
      <c r="C8" s="40"/>
      <c r="D8" s="40"/>
      <c r="E8" s="40"/>
      <c r="F8" s="40"/>
      <c r="G8" s="9"/>
      <c r="H8" s="41" t="s">
        <v>7</v>
      </c>
      <c r="I8" s="42"/>
      <c r="J8" s="6"/>
      <c r="K8" s="268"/>
      <c r="L8" s="269"/>
      <c r="M8" s="269"/>
      <c r="N8" s="269"/>
      <c r="O8" s="14"/>
      <c r="S8"/>
      <c r="BD8" s="5"/>
      <c r="BE8" s="5"/>
      <c r="BF8" s="13"/>
      <c r="BG8" s="13"/>
      <c r="BH8" s="13"/>
      <c r="BI8" s="13"/>
      <c r="BJ8" s="13"/>
      <c r="BK8" s="13"/>
      <c r="BL8" s="14"/>
      <c r="BM8" s="14"/>
      <c r="BN8" s="11"/>
      <c r="BO8" s="11"/>
      <c r="BP8" s="13"/>
      <c r="BQ8" s="13"/>
      <c r="BR8" s="13"/>
      <c r="BS8" s="14"/>
    </row>
    <row r="9" spans="1:71" x14ac:dyDescent="0.2">
      <c r="A9" s="335" t="s">
        <v>4</v>
      </c>
      <c r="B9" s="336"/>
      <c r="C9" s="336"/>
      <c r="D9" s="336"/>
      <c r="E9" s="336"/>
      <c r="F9" s="336"/>
      <c r="G9" s="337"/>
      <c r="H9" s="338" t="s">
        <v>8</v>
      </c>
      <c r="I9" s="337"/>
      <c r="J9" s="338" t="s">
        <v>10</v>
      </c>
      <c r="K9" s="336"/>
      <c r="L9" s="336"/>
      <c r="M9" s="336"/>
      <c r="N9" s="95" t="s">
        <v>87</v>
      </c>
      <c r="O9" s="196"/>
      <c r="P9" s="12"/>
      <c r="S9"/>
      <c r="BD9" s="5"/>
      <c r="BE9" s="5"/>
      <c r="BF9" s="13"/>
      <c r="BG9" s="13"/>
      <c r="BH9" s="13"/>
      <c r="BI9" s="13"/>
      <c r="BJ9" s="13"/>
      <c r="BK9" s="13"/>
      <c r="BL9" s="14"/>
      <c r="BM9" s="14"/>
      <c r="BN9" s="15"/>
      <c r="BO9" s="11"/>
      <c r="BP9" s="13"/>
      <c r="BQ9" s="13"/>
      <c r="BR9" s="13"/>
      <c r="BS9" s="14"/>
    </row>
    <row r="10" spans="1:71" s="181" customFormat="1" ht="18" customHeight="1" x14ac:dyDescent="0.2">
      <c r="A10" s="331" t="s">
        <v>290</v>
      </c>
      <c r="B10" s="331"/>
      <c r="C10" s="331"/>
      <c r="D10" s="331"/>
      <c r="E10" s="331"/>
      <c r="F10" s="331"/>
      <c r="G10" s="332"/>
      <c r="H10" s="333" t="s">
        <v>9</v>
      </c>
      <c r="I10" s="334"/>
      <c r="J10" s="361"/>
      <c r="K10" s="362"/>
      <c r="L10" s="362"/>
      <c r="M10" s="362"/>
      <c r="N10" s="180" t="s">
        <v>86</v>
      </c>
      <c r="O10" s="83"/>
      <c r="BF10" s="200"/>
      <c r="BG10" s="200"/>
      <c r="BH10" s="200"/>
      <c r="BI10" s="200"/>
      <c r="BJ10" s="200"/>
      <c r="BK10" s="200"/>
      <c r="BN10" s="182"/>
      <c r="BO10" s="182"/>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c r="BD11" s="5"/>
      <c r="BE11" s="5"/>
      <c r="BF11" s="14"/>
      <c r="BG11" s="14"/>
      <c r="BH11" s="14"/>
      <c r="BI11" s="14"/>
      <c r="BJ11" s="14"/>
      <c r="BK11" s="14"/>
      <c r="BL11" s="14"/>
      <c r="BM11" s="14"/>
      <c r="BN11" s="15"/>
      <c r="BO11" s="11"/>
      <c r="BP11" s="13"/>
      <c r="BQ11" s="13"/>
      <c r="BR11" s="13"/>
      <c r="BS11" s="14"/>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c r="BD12" s="5"/>
      <c r="BE12" s="5"/>
      <c r="BF12" s="14"/>
      <c r="BG12" s="14"/>
      <c r="BH12" s="14"/>
      <c r="BI12" s="14"/>
      <c r="BJ12" s="14"/>
      <c r="BK12" s="14"/>
      <c r="BL12" s="14"/>
      <c r="BM12" s="14"/>
      <c r="BN12" s="11"/>
      <c r="BO12" s="11"/>
      <c r="BP12" s="13"/>
      <c r="BQ12" s="13"/>
      <c r="BR12" s="13"/>
      <c r="BS12" s="14"/>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c r="BD13" s="5"/>
      <c r="BE13" s="5"/>
      <c r="BF13" s="14"/>
      <c r="BG13" s="14"/>
      <c r="BH13" s="14"/>
      <c r="BI13" s="14"/>
      <c r="BJ13" s="14"/>
      <c r="BK13" s="14"/>
      <c r="BL13" s="14"/>
      <c r="BM13" s="14"/>
      <c r="BN13" s="11"/>
      <c r="BO13" s="11"/>
      <c r="BP13" s="13"/>
      <c r="BQ13" s="13"/>
      <c r="BR13" s="13"/>
      <c r="BS13" s="14"/>
    </row>
    <row r="14" spans="1:71" x14ac:dyDescent="0.2">
      <c r="A14" s="281" t="s">
        <v>291</v>
      </c>
      <c r="B14" s="281"/>
      <c r="C14" s="281"/>
      <c r="D14" s="281"/>
      <c r="E14" s="281"/>
      <c r="F14" s="281"/>
      <c r="G14" s="44"/>
      <c r="H14" s="321" t="s">
        <v>9</v>
      </c>
      <c r="I14" s="283"/>
      <c r="J14" s="276"/>
      <c r="K14" s="277"/>
      <c r="L14" s="277"/>
      <c r="M14" s="277"/>
      <c r="N14" s="29" t="s">
        <v>86</v>
      </c>
      <c r="O14" s="196"/>
      <c r="P14" s="12"/>
      <c r="BD14" s="5"/>
      <c r="BE14" s="5"/>
      <c r="BF14" s="14"/>
      <c r="BG14" s="14"/>
      <c r="BH14" s="14"/>
      <c r="BI14" s="14"/>
      <c r="BJ14" s="14"/>
      <c r="BK14" s="14"/>
      <c r="BL14" s="14"/>
      <c r="BM14" s="14"/>
      <c r="BN14" s="15"/>
      <c r="BO14" s="11"/>
      <c r="BP14" s="13"/>
      <c r="BQ14" s="13"/>
      <c r="BR14" s="13"/>
      <c r="BS14" s="14"/>
    </row>
    <row r="15" spans="1:71" x14ac:dyDescent="0.2">
      <c r="A15" s="275" t="s">
        <v>56</v>
      </c>
      <c r="B15" s="275"/>
      <c r="C15" s="275"/>
      <c r="D15" s="275"/>
      <c r="E15" s="275"/>
      <c r="F15" s="275"/>
      <c r="G15" s="275"/>
      <c r="H15" s="275"/>
      <c r="I15" s="275"/>
      <c r="J15" s="275"/>
      <c r="K15" s="275"/>
      <c r="L15" s="275"/>
      <c r="M15" s="275"/>
      <c r="N15" s="107"/>
      <c r="O15" s="83"/>
      <c r="BD15" s="5"/>
      <c r="BE15" s="5"/>
      <c r="BF15" s="14"/>
      <c r="BG15" s="14"/>
      <c r="BH15" s="14"/>
      <c r="BI15" s="14"/>
      <c r="BJ15" s="14"/>
      <c r="BK15" s="14"/>
      <c r="BL15" s="14"/>
      <c r="BM15" s="14"/>
      <c r="BN15" s="20"/>
      <c r="BO15" s="19"/>
      <c r="BP15" s="19"/>
      <c r="BQ15" s="19"/>
      <c r="BR15" s="19"/>
      <c r="BS15" s="14"/>
    </row>
    <row r="16" spans="1:71" x14ac:dyDescent="0.2">
      <c r="A16" s="280" t="s">
        <v>58</v>
      </c>
      <c r="B16" s="280"/>
      <c r="C16" s="280"/>
      <c r="D16" s="280"/>
      <c r="E16" s="280"/>
      <c r="F16" s="280"/>
      <c r="G16" s="62"/>
      <c r="H16" s="360">
        <v>0</v>
      </c>
      <c r="I16" s="283"/>
      <c r="J16" s="270"/>
      <c r="K16" s="271"/>
      <c r="L16" s="271"/>
      <c r="M16" s="271"/>
      <c r="N16" s="141" t="str">
        <f>IF(OR(J16=0,AND(J16&gt;=1430,J16&lt;=24170)),"OK","out of range")</f>
        <v>OK</v>
      </c>
      <c r="O16" s="196"/>
      <c r="P16" s="12"/>
      <c r="BD16" s="5"/>
      <c r="BE16" s="5"/>
      <c r="BF16" s="14"/>
      <c r="BG16" s="14"/>
      <c r="BH16" s="14"/>
      <c r="BI16" s="14"/>
      <c r="BJ16" s="14"/>
      <c r="BK16" s="14"/>
      <c r="BL16" s="14"/>
      <c r="BM16" s="14"/>
      <c r="BN16" s="19"/>
      <c r="BO16" s="19"/>
      <c r="BP16" s="19"/>
      <c r="BQ16" s="19"/>
      <c r="BR16" s="19"/>
      <c r="BS16" s="14"/>
    </row>
    <row r="17" spans="1:71" x14ac:dyDescent="0.2">
      <c r="A17" s="275" t="s">
        <v>57</v>
      </c>
      <c r="B17" s="275"/>
      <c r="C17" s="275"/>
      <c r="D17" s="275"/>
      <c r="E17" s="275"/>
      <c r="F17" s="275"/>
      <c r="G17" s="275"/>
      <c r="H17" s="275"/>
      <c r="I17" s="275"/>
      <c r="J17" s="275"/>
      <c r="K17" s="275"/>
      <c r="L17" s="275"/>
      <c r="M17" s="275"/>
      <c r="N17" s="107"/>
      <c r="O17" s="198"/>
      <c r="BD17" s="5"/>
      <c r="BE17" s="5"/>
      <c r="BF17" s="14"/>
      <c r="BG17" s="14"/>
      <c r="BH17" s="14"/>
      <c r="BI17" s="14"/>
      <c r="BJ17" s="14"/>
      <c r="BK17" s="14"/>
      <c r="BL17" s="14"/>
      <c r="BM17" s="14"/>
      <c r="BN17" s="19"/>
      <c r="BO17" s="19"/>
      <c r="BP17" s="19"/>
      <c r="BQ17" s="19"/>
      <c r="BR17" s="19"/>
      <c r="BS17" s="14"/>
    </row>
    <row r="18" spans="1:71" ht="15.75" x14ac:dyDescent="0.3">
      <c r="A18" s="280" t="s">
        <v>388</v>
      </c>
      <c r="B18" s="280"/>
      <c r="C18" s="280"/>
      <c r="D18" s="280"/>
      <c r="E18" s="280"/>
      <c r="F18" s="280"/>
      <c r="G18" s="62"/>
      <c r="H18" s="322">
        <v>12</v>
      </c>
      <c r="I18" s="323"/>
      <c r="J18" s="270"/>
      <c r="K18" s="271"/>
      <c r="L18" s="271"/>
      <c r="M18" s="271"/>
      <c r="N18" s="141" t="str">
        <f>IF(J18&gt;=10.5,"OK","out of range")</f>
        <v>out of range</v>
      </c>
      <c r="O18" s="198"/>
      <c r="BD18" s="13"/>
      <c r="BE18" s="14"/>
      <c r="BF18" s="14"/>
      <c r="BG18" s="14"/>
      <c r="BH18" s="14"/>
      <c r="BI18" s="14"/>
      <c r="BJ18" s="14"/>
      <c r="BK18" s="14"/>
      <c r="BL18" s="14"/>
    </row>
    <row r="19" spans="1:71" ht="15.75" x14ac:dyDescent="0.3">
      <c r="A19" s="280" t="s">
        <v>85</v>
      </c>
      <c r="B19" s="280"/>
      <c r="C19" s="280"/>
      <c r="D19" s="280"/>
      <c r="E19" s="280"/>
      <c r="F19" s="280"/>
      <c r="G19" s="62"/>
      <c r="H19" s="316">
        <v>10</v>
      </c>
      <c r="I19" s="283"/>
      <c r="J19" s="272"/>
      <c r="K19" s="271"/>
      <c r="L19" s="271"/>
      <c r="M19" s="271"/>
      <c r="N19" s="141" t="str">
        <f>IF(J10&lt;&gt;"Basic Freeway Segment (FS)","N/A",IF(J19&gt;=0.7,"OK","out of range"))</f>
        <v>N/A</v>
      </c>
      <c r="O19" s="196"/>
      <c r="BD19" s="14"/>
      <c r="BE19" s="14"/>
      <c r="BF19" s="14"/>
      <c r="BG19" s="14"/>
      <c r="BH19" s="14"/>
      <c r="BI19" s="14"/>
      <c r="BJ19" s="14"/>
      <c r="BK19" s="14"/>
      <c r="BL19" s="14"/>
    </row>
    <row r="20" spans="1:71" ht="15.75" x14ac:dyDescent="0.3">
      <c r="A20" s="280" t="s">
        <v>363</v>
      </c>
      <c r="B20" s="280"/>
      <c r="C20" s="280"/>
      <c r="D20" s="280"/>
      <c r="E20" s="280"/>
      <c r="F20" s="280"/>
      <c r="G20" s="137"/>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137"/>
      <c r="H21" s="316">
        <v>6</v>
      </c>
      <c r="I21" s="283"/>
      <c r="J21" s="270"/>
      <c r="K21" s="271"/>
      <c r="L21" s="271"/>
      <c r="M21" s="271"/>
      <c r="N21" s="29" t="s">
        <v>86</v>
      </c>
      <c r="O21" s="199"/>
    </row>
    <row r="22" spans="1:71" ht="15.75" x14ac:dyDescent="0.3">
      <c r="A22" s="280" t="s">
        <v>287</v>
      </c>
      <c r="B22" s="280"/>
      <c r="C22" s="280"/>
      <c r="D22" s="280"/>
      <c r="E22" s="280"/>
      <c r="F22" s="280"/>
      <c r="G22" s="62"/>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45"/>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45"/>
      <c r="H24" s="316">
        <v>0</v>
      </c>
      <c r="I24" s="283"/>
      <c r="J24" s="270"/>
      <c r="K24" s="271"/>
      <c r="L24" s="271"/>
      <c r="M24" s="271"/>
      <c r="N24" s="141" t="str">
        <f>IF(AND(J24&gt;=0,J24&lt;=J$11),"OK","out of range")</f>
        <v>OK</v>
      </c>
      <c r="O24" s="199"/>
    </row>
    <row r="25" spans="1:71" x14ac:dyDescent="0.2">
      <c r="A25" s="280" t="s">
        <v>61</v>
      </c>
      <c r="B25" s="280"/>
      <c r="C25" s="280"/>
      <c r="D25" s="280"/>
      <c r="E25" s="280"/>
      <c r="F25" s="280"/>
      <c r="G25" s="62"/>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62"/>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62"/>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62"/>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62"/>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62"/>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62"/>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62"/>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62"/>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62"/>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62"/>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62"/>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62"/>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62"/>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62"/>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62"/>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62"/>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62"/>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62"/>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62"/>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62"/>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43"/>
      <c r="H48" s="278">
        <v>0.14199999999999999</v>
      </c>
      <c r="I48" s="279"/>
      <c r="J48" s="270"/>
      <c r="K48" s="271"/>
      <c r="L48" s="271"/>
      <c r="M48" s="271"/>
      <c r="N48" s="141" t="str">
        <f>IF(J10&lt;&gt;"Entrance Speed-Change Lane (EN)", "N/A",IF(AND(J48&gt;0,J48&lt;=0.3),"OK","out of range"))</f>
        <v>N/A</v>
      </c>
      <c r="O48" s="199"/>
      <c r="P48" s="12"/>
    </row>
    <row r="49" spans="1:30" ht="15.75" x14ac:dyDescent="0.3">
      <c r="A49" s="280" t="s">
        <v>88</v>
      </c>
      <c r="B49" s="280"/>
      <c r="C49" s="280"/>
      <c r="D49" s="280"/>
      <c r="E49" s="280"/>
      <c r="F49" s="280"/>
      <c r="G49" s="96"/>
      <c r="H49" s="278">
        <v>7.0999999999999994E-2</v>
      </c>
      <c r="I49" s="279"/>
      <c r="J49" s="272"/>
      <c r="K49" s="271"/>
      <c r="L49" s="271"/>
      <c r="M49" s="271"/>
      <c r="N49" s="141" t="str">
        <f>IF(J10&lt;&gt;"Exit Speed-Change Lane (EX)", "N/A",IF(AND(J49&gt;0,J49&lt;=0.3),"OK","out of range"))</f>
        <v>N/A</v>
      </c>
      <c r="O49" s="199"/>
      <c r="P49" s="12"/>
    </row>
    <row r="50" spans="1:30" ht="15.75" x14ac:dyDescent="0.3">
      <c r="A50" s="280" t="s">
        <v>211</v>
      </c>
      <c r="B50" s="280"/>
      <c r="C50" s="280"/>
      <c r="D50" s="280"/>
      <c r="E50" s="280"/>
      <c r="F50" s="280"/>
      <c r="G50" s="43"/>
      <c r="H50" s="278" t="s">
        <v>391</v>
      </c>
      <c r="I50" s="279"/>
      <c r="J50" s="270"/>
      <c r="K50" s="271"/>
      <c r="L50" s="271"/>
      <c r="M50" s="271"/>
      <c r="N50" s="141" t="str">
        <f>IF(J10&lt;&gt;"Basic Freeway Segment (FS)", "N/A",IF(J50&gt;0,"OK","out of range"))</f>
        <v>N/A</v>
      </c>
      <c r="O50" s="199"/>
      <c r="P50" s="83"/>
    </row>
    <row r="51" spans="1:30" ht="15.75" x14ac:dyDescent="0.3">
      <c r="A51" s="280" t="s">
        <v>212</v>
      </c>
      <c r="B51" s="280"/>
      <c r="C51" s="280"/>
      <c r="D51" s="280"/>
      <c r="E51" s="280"/>
      <c r="F51" s="280"/>
      <c r="G51" s="43"/>
      <c r="H51" s="278" t="s">
        <v>391</v>
      </c>
      <c r="I51" s="279"/>
      <c r="J51" s="270"/>
      <c r="K51" s="271"/>
      <c r="L51" s="271"/>
      <c r="M51" s="271"/>
      <c r="N51" s="141" t="str">
        <f>IF(J10&lt;&gt;"Basic Freeway Segment (FS)", "N/A",IF(J51&gt;0,"OK","out of range"))</f>
        <v>N/A</v>
      </c>
      <c r="O51" s="199"/>
      <c r="P51" s="83"/>
    </row>
    <row r="52" spans="1:30" ht="15.75" x14ac:dyDescent="0.3">
      <c r="A52" s="280" t="s">
        <v>213</v>
      </c>
      <c r="B52" s="280"/>
      <c r="C52" s="280"/>
      <c r="D52" s="280"/>
      <c r="E52" s="280"/>
      <c r="F52" s="280"/>
      <c r="G52" s="87"/>
      <c r="H52" s="278" t="s">
        <v>71</v>
      </c>
      <c r="I52" s="283"/>
      <c r="J52" s="319"/>
      <c r="K52" s="320"/>
      <c r="L52" s="320"/>
      <c r="M52" s="320"/>
      <c r="N52" s="141" t="str">
        <f>IF(J10&lt;&gt;"Basic Freeway Segment (FS)", "N/A",IF(J52&lt;37968,"OK","out of range"))</f>
        <v>N/A</v>
      </c>
      <c r="O52" s="199"/>
      <c r="P52" s="12"/>
    </row>
    <row r="53" spans="1:30" ht="15.75" x14ac:dyDescent="0.3">
      <c r="A53" s="280" t="s">
        <v>214</v>
      </c>
      <c r="B53" s="280"/>
      <c r="C53" s="280"/>
      <c r="D53" s="280"/>
      <c r="E53" s="280"/>
      <c r="F53" s="280"/>
      <c r="G53" s="96"/>
      <c r="H53" s="278" t="s">
        <v>71</v>
      </c>
      <c r="I53" s="283"/>
      <c r="J53" s="319"/>
      <c r="K53" s="320"/>
      <c r="L53" s="320"/>
      <c r="M53" s="320"/>
      <c r="N53" s="141" t="str">
        <f>IF(J10&lt;&gt;"Basic Freeway Segment (FS)", "N/A",IF(J53&lt;32852,"OK","out of range"))</f>
        <v>N/A</v>
      </c>
      <c r="O53" s="199"/>
      <c r="P53" s="12"/>
    </row>
    <row r="54" spans="1:30" x14ac:dyDescent="0.2">
      <c r="A54" s="275" t="s">
        <v>79</v>
      </c>
      <c r="B54" s="275"/>
      <c r="C54" s="275"/>
      <c r="D54" s="275"/>
      <c r="E54" s="275"/>
      <c r="F54" s="275"/>
      <c r="G54" s="275"/>
      <c r="H54" s="275"/>
      <c r="I54" s="275"/>
      <c r="J54" s="275"/>
      <c r="K54" s="275"/>
      <c r="L54" s="275"/>
      <c r="M54" s="275"/>
      <c r="N54" s="107"/>
      <c r="O54" s="199"/>
      <c r="P54" s="39" t="s">
        <v>343</v>
      </c>
    </row>
    <row r="55" spans="1:30" x14ac:dyDescent="0.2">
      <c r="A55" s="280" t="s">
        <v>390</v>
      </c>
      <c r="B55" s="280"/>
      <c r="C55" s="280"/>
      <c r="D55" s="280"/>
      <c r="E55" s="280"/>
      <c r="F55" s="280"/>
      <c r="G55" s="45"/>
      <c r="H55" s="278" t="s">
        <v>15</v>
      </c>
      <c r="I55" s="279"/>
      <c r="J55" s="276"/>
      <c r="K55" s="277"/>
      <c r="L55" s="277"/>
      <c r="M55" s="277"/>
      <c r="N55" s="29" t="s">
        <v>86</v>
      </c>
      <c r="O55" s="199"/>
    </row>
    <row r="56" spans="1:30" s="164" customFormat="1" x14ac:dyDescent="0.2">
      <c r="A56" s="280" t="s">
        <v>404</v>
      </c>
      <c r="B56" s="280"/>
      <c r="C56" s="280"/>
      <c r="D56" s="280"/>
      <c r="E56" s="280"/>
      <c r="F56" s="280"/>
      <c r="G56" s="166"/>
      <c r="H56" s="365" t="s">
        <v>86</v>
      </c>
      <c r="I56" s="365"/>
      <c r="J56" s="276"/>
      <c r="K56" s="277"/>
      <c r="L56" s="277"/>
      <c r="M56" s="366"/>
      <c r="N56" s="29" t="str">
        <f>IF(J55="Yes","-","N/A")</f>
        <v>N/A</v>
      </c>
      <c r="O56" s="199"/>
      <c r="R56" s="27"/>
      <c r="S56" s="27"/>
      <c r="T56" s="27"/>
      <c r="U56" s="27"/>
      <c r="V56" s="27"/>
      <c r="W56" s="27"/>
      <c r="X56" s="27"/>
      <c r="Y56" s="27"/>
      <c r="Z56" s="27"/>
      <c r="AA56" s="27"/>
      <c r="AB56" s="27"/>
      <c r="AC56" s="27"/>
      <c r="AD56" s="27"/>
    </row>
    <row r="57" spans="1:30" ht="15.75" x14ac:dyDescent="0.3">
      <c r="A57" s="280" t="s">
        <v>90</v>
      </c>
      <c r="B57" s="280"/>
      <c r="C57" s="280"/>
      <c r="D57" s="280"/>
      <c r="E57" s="280"/>
      <c r="F57" s="280"/>
      <c r="G57" s="45"/>
      <c r="H57" s="278">
        <v>0</v>
      </c>
      <c r="I57" s="279"/>
      <c r="J57" s="270"/>
      <c r="K57" s="271"/>
      <c r="L57" s="271"/>
      <c r="M57" s="271"/>
      <c r="N57" s="141" t="str">
        <f>IF(J55="Yes","N/A",IF(AND(J57&gt;=0,J57&lt;=J11,J57&lt;=0.152),"OK","out of range"))</f>
        <v>OK</v>
      </c>
      <c r="O57" s="199"/>
    </row>
    <row r="58" spans="1:30" ht="15.75" x14ac:dyDescent="0.3">
      <c r="A58" s="280" t="s">
        <v>286</v>
      </c>
      <c r="B58" s="280"/>
      <c r="C58" s="280"/>
      <c r="D58" s="280"/>
      <c r="E58" s="280"/>
      <c r="F58" s="280"/>
      <c r="G58" s="45"/>
      <c r="H58" s="278">
        <v>0</v>
      </c>
      <c r="I58" s="279"/>
      <c r="J58" s="272"/>
      <c r="K58" s="271"/>
      <c r="L58" s="271"/>
      <c r="M58" s="271"/>
      <c r="N58" s="141" t="str">
        <f>IF(J55="No","N/A",IF(AND(J58&gt;=0,J58&lt;=J11),"OK","out of range"))</f>
        <v>OK</v>
      </c>
      <c r="O58" s="199"/>
      <c r="P58" s="12"/>
    </row>
    <row r="59" spans="1:30" ht="15.75" x14ac:dyDescent="0.3">
      <c r="A59" s="280" t="s">
        <v>91</v>
      </c>
      <c r="B59" s="280"/>
      <c r="C59" s="280"/>
      <c r="D59" s="280"/>
      <c r="E59" s="280"/>
      <c r="F59" s="280"/>
      <c r="G59" s="45"/>
      <c r="H59" s="278">
        <v>0</v>
      </c>
      <c r="I59" s="279"/>
      <c r="J59" s="273"/>
      <c r="K59" s="274"/>
      <c r="L59" s="274"/>
      <c r="M59" s="274"/>
      <c r="N59" s="141" t="str">
        <f>IF(J55="No","N/A",IF(AND(J59&gt;=0,J59&lt;=0.45),"OK","out of range"))</f>
        <v>OK</v>
      </c>
      <c r="O59" s="199"/>
      <c r="P59" s="12"/>
    </row>
    <row r="60" spans="1:30"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30" s="131" customFormat="1" ht="13.5" x14ac:dyDescent="0.25">
      <c r="A61" s="367" t="s">
        <v>393</v>
      </c>
      <c r="B61" s="367"/>
      <c r="C61" s="367"/>
      <c r="D61" s="367"/>
      <c r="E61" s="367"/>
      <c r="F61" s="367"/>
      <c r="G61" s="367"/>
      <c r="H61" s="365" t="s">
        <v>86</v>
      </c>
      <c r="I61" s="365"/>
      <c r="J61" s="369"/>
      <c r="K61" s="369"/>
      <c r="L61" s="369"/>
      <c r="M61" s="270"/>
      <c r="N61" s="161" t="s">
        <v>86</v>
      </c>
      <c r="O61" s="199"/>
      <c r="P61" s="12"/>
      <c r="R61" s="27"/>
      <c r="S61" s="27"/>
      <c r="T61" s="27"/>
      <c r="U61" s="27"/>
      <c r="V61" s="27"/>
      <c r="W61" s="27"/>
      <c r="X61" s="27"/>
      <c r="Y61" s="27"/>
      <c r="Z61" s="27"/>
      <c r="AA61" s="27"/>
      <c r="AB61" s="27"/>
      <c r="AC61" s="27"/>
      <c r="AD61" s="27"/>
    </row>
    <row r="62" spans="1:30" s="181" customFormat="1" x14ac:dyDescent="0.2">
      <c r="A62" s="275" t="s">
        <v>416</v>
      </c>
      <c r="B62" s="275"/>
      <c r="C62" s="275"/>
      <c r="D62" s="275"/>
      <c r="E62" s="275"/>
      <c r="F62" s="275"/>
      <c r="G62" s="275"/>
      <c r="H62" s="275"/>
      <c r="I62" s="275"/>
      <c r="J62" s="275"/>
      <c r="K62" s="275"/>
      <c r="L62" s="275"/>
      <c r="M62" s="275"/>
      <c r="N62" s="275"/>
      <c r="O62" s="199"/>
      <c r="P62" s="12"/>
      <c r="R62" s="27"/>
      <c r="S62" s="27"/>
      <c r="T62" s="27"/>
      <c r="U62" s="27"/>
      <c r="V62" s="27"/>
      <c r="W62" s="27"/>
      <c r="X62" s="27"/>
      <c r="Y62" s="27"/>
      <c r="Z62" s="27"/>
      <c r="AA62" s="27"/>
      <c r="AB62" s="27"/>
      <c r="AC62" s="27"/>
      <c r="AD62" s="27"/>
    </row>
    <row r="63" spans="1:30" s="181" customFormat="1" x14ac:dyDescent="0.2">
      <c r="A63" s="367" t="s">
        <v>420</v>
      </c>
      <c r="B63" s="367"/>
      <c r="C63" s="367"/>
      <c r="D63" s="367"/>
      <c r="E63" s="367"/>
      <c r="F63" s="367"/>
      <c r="G63" s="367"/>
      <c r="H63" s="365" t="s">
        <v>86</v>
      </c>
      <c r="I63" s="365"/>
      <c r="J63" s="370"/>
      <c r="K63" s="277"/>
      <c r="L63" s="277"/>
      <c r="M63" s="277"/>
      <c r="N63" s="161" t="s">
        <v>86</v>
      </c>
      <c r="O63" s="199"/>
      <c r="P63" s="12"/>
      <c r="R63" s="27"/>
      <c r="S63" s="27"/>
      <c r="T63" s="27"/>
      <c r="U63" s="27"/>
      <c r="V63" s="27"/>
      <c r="W63" s="27"/>
      <c r="X63" s="27"/>
      <c r="Y63" s="27"/>
      <c r="Z63" s="27"/>
      <c r="AA63" s="27"/>
      <c r="AB63" s="27"/>
      <c r="AC63" s="27"/>
      <c r="AD63" s="27"/>
    </row>
    <row r="64" spans="1:30" s="181" customFormat="1" x14ac:dyDescent="0.2">
      <c r="A64" s="367" t="s">
        <v>421</v>
      </c>
      <c r="B64" s="367"/>
      <c r="C64" s="367"/>
      <c r="D64" s="367"/>
      <c r="E64" s="367"/>
      <c r="F64" s="367"/>
      <c r="G64" s="367"/>
      <c r="H64" s="365" t="s">
        <v>86</v>
      </c>
      <c r="I64" s="365"/>
      <c r="J64" s="369"/>
      <c r="K64" s="369"/>
      <c r="L64" s="369"/>
      <c r="M64" s="369"/>
      <c r="N64" s="161" t="str">
        <f>IF(J63="No - Use Default Value","N/A","-")</f>
        <v>-</v>
      </c>
      <c r="O64" s="83"/>
      <c r="P64" s="12"/>
      <c r="R64" s="27"/>
      <c r="S64" s="27"/>
      <c r="T64" s="27"/>
      <c r="U64" s="27"/>
      <c r="V64" s="27"/>
      <c r="W64" s="27"/>
      <c r="X64" s="27"/>
      <c r="Y64" s="27"/>
      <c r="Z64" s="27"/>
      <c r="AA64" s="27"/>
      <c r="AB64" s="27"/>
      <c r="AC64" s="27"/>
      <c r="AD64" s="27"/>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14"/>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c r="L71" s="131"/>
    </row>
    <row r="72" spans="1:15" x14ac:dyDescent="0.2">
      <c r="A72" s="300"/>
      <c r="B72" s="300"/>
      <c r="C72" s="50" t="s">
        <v>17</v>
      </c>
      <c r="D72" s="50" t="s">
        <v>18</v>
      </c>
      <c r="E72" s="140" t="s">
        <v>394</v>
      </c>
      <c r="F72" s="140" t="s">
        <v>394</v>
      </c>
      <c r="G72" s="300"/>
      <c r="H72" s="300"/>
      <c r="I72" s="300"/>
      <c r="J72" s="300"/>
      <c r="K72" s="300"/>
      <c r="L72" s="131"/>
    </row>
    <row r="73" spans="1:15" x14ac:dyDescent="0.2">
      <c r="A73" s="51" t="s">
        <v>98</v>
      </c>
      <c r="B73" s="47">
        <f>J$11</f>
        <v>0</v>
      </c>
      <c r="C73" s="47">
        <v>-4.556</v>
      </c>
      <c r="D73" s="47">
        <v>1.4059999999999999</v>
      </c>
      <c r="E73" s="49"/>
      <c r="F73" s="48"/>
      <c r="G73" s="64">
        <f>J$12</f>
        <v>0</v>
      </c>
      <c r="H73" s="47"/>
      <c r="I73" s="47"/>
      <c r="J73" s="298" t="e">
        <f>B73*EXP(C73+D73*LN(G73/1000))</f>
        <v>#NUM!</v>
      </c>
      <c r="K73" s="298"/>
      <c r="L73" s="131"/>
    </row>
    <row r="74" spans="1:15" x14ac:dyDescent="0.2">
      <c r="A74" s="138" t="s">
        <v>372</v>
      </c>
      <c r="B74" s="47">
        <f t="shared" ref="B74:B78" si="0">J$11</f>
        <v>0</v>
      </c>
      <c r="C74" s="47">
        <v>-4.25</v>
      </c>
      <c r="D74" s="47">
        <v>1.4059999999999999</v>
      </c>
      <c r="E74" s="47">
        <v>-4.99E-2</v>
      </c>
      <c r="F74" s="47"/>
      <c r="G74" s="64">
        <f t="shared" ref="G74:G78" si="1">J$12</f>
        <v>0</v>
      </c>
      <c r="H74" s="64">
        <f>J13</f>
        <v>0</v>
      </c>
      <c r="I74" s="47"/>
      <c r="J74" s="298" t="e">
        <f>B74*EXP(C74+D74*LN(G74/1000)+(E74*H74/1000))</f>
        <v>#NUM!</v>
      </c>
      <c r="K74" s="298"/>
    </row>
    <row r="75" spans="1:15" x14ac:dyDescent="0.2">
      <c r="A75" s="138" t="s">
        <v>373</v>
      </c>
      <c r="B75" s="47">
        <f t="shared" si="0"/>
        <v>0</v>
      </c>
      <c r="C75" s="47">
        <v>-5.3739999999999997</v>
      </c>
      <c r="D75" s="47">
        <v>1.4059999999999999</v>
      </c>
      <c r="E75" s="47"/>
      <c r="F75" s="47">
        <v>0.93</v>
      </c>
      <c r="G75" s="64">
        <f t="shared" si="1"/>
        <v>0</v>
      </c>
      <c r="H75" s="47"/>
      <c r="I75" s="47">
        <f>J14</f>
        <v>0</v>
      </c>
      <c r="J75" s="298" t="e">
        <f>B75*EXP(C75+D75*LN(G75/1000)+F75*(I75-2)^0.5)</f>
        <v>#NUM!</v>
      </c>
      <c r="K75" s="298"/>
    </row>
    <row r="76" spans="1:15" x14ac:dyDescent="0.2">
      <c r="A76" s="51" t="s">
        <v>101</v>
      </c>
      <c r="B76" s="47">
        <f t="shared" si="0"/>
        <v>0</v>
      </c>
      <c r="C76" s="47">
        <v>-3.133</v>
      </c>
      <c r="D76" s="47">
        <v>1.2949999999999999</v>
      </c>
      <c r="E76" s="47"/>
      <c r="F76" s="47"/>
      <c r="G76" s="64">
        <f t="shared" si="1"/>
        <v>0</v>
      </c>
      <c r="H76" s="47"/>
      <c r="I76" s="47"/>
      <c r="J76" s="298" t="e">
        <f>B76*EXP(C76+D76*LN(G76/1000))</f>
        <v>#NUM!</v>
      </c>
      <c r="K76" s="298"/>
    </row>
    <row r="77" spans="1:15" x14ac:dyDescent="0.2">
      <c r="A77" s="138" t="s">
        <v>374</v>
      </c>
      <c r="B77" s="47">
        <f t="shared" si="0"/>
        <v>0</v>
      </c>
      <c r="C77" s="47">
        <v>-3.0430000000000001</v>
      </c>
      <c r="D77" s="47">
        <v>1.2949999999999999</v>
      </c>
      <c r="E77" s="47">
        <v>-2.0199999999999999E-2</v>
      </c>
      <c r="F77" s="47"/>
      <c r="G77" s="64">
        <f t="shared" si="1"/>
        <v>0</v>
      </c>
      <c r="H77" s="64">
        <f>J13</f>
        <v>0</v>
      </c>
      <c r="I77" s="47"/>
      <c r="J77" s="298" t="e">
        <f>B77*EXP(C77+D77*LN(G77/1000)+(E77*H77/1000))</f>
        <v>#NUM!</v>
      </c>
      <c r="K77" s="298"/>
    </row>
    <row r="78" spans="1:15" x14ac:dyDescent="0.2">
      <c r="A78" s="138" t="s">
        <v>375</v>
      </c>
      <c r="B78" s="47">
        <f t="shared" si="0"/>
        <v>0</v>
      </c>
      <c r="C78" s="47">
        <v>-3.4129999999999998</v>
      </c>
      <c r="D78" s="47">
        <v>1.2949999999999999</v>
      </c>
      <c r="E78" s="47"/>
      <c r="F78" s="47">
        <v>0.59799999999999998</v>
      </c>
      <c r="G78" s="64">
        <f t="shared" si="1"/>
        <v>0</v>
      </c>
      <c r="H78" s="47"/>
      <c r="I78" s="47">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50" t="s">
        <v>17</v>
      </c>
      <c r="D84" s="50" t="s">
        <v>115</v>
      </c>
      <c r="M84" s="67" t="s">
        <v>130</v>
      </c>
      <c r="N84" s="65"/>
      <c r="R84" s="66"/>
      <c r="S84" s="66"/>
      <c r="T84" s="66"/>
      <c r="U84" s="66"/>
      <c r="V84" s="66"/>
      <c r="W84" s="66"/>
      <c r="X84" s="66"/>
      <c r="Y84" s="66"/>
      <c r="Z84" s="66"/>
      <c r="AA84" s="66"/>
      <c r="AB84" s="66"/>
      <c r="AC84" s="66"/>
      <c r="AD84" s="66"/>
    </row>
    <row r="85" spans="1:30" x14ac:dyDescent="0.2">
      <c r="A85" s="295" t="s">
        <v>113</v>
      </c>
      <c r="B85" s="295"/>
      <c r="C85" s="47">
        <v>-4.8899999999999997</v>
      </c>
      <c r="D85" s="47">
        <f>J16</f>
        <v>0</v>
      </c>
      <c r="M85" s="177">
        <f>IF(D85=0,1,1+(EXP(C85)*(5730/D85)^2))</f>
        <v>1</v>
      </c>
    </row>
    <row r="86" spans="1:30" x14ac:dyDescent="0.2">
      <c r="A86" s="295" t="s">
        <v>114</v>
      </c>
      <c r="B86" s="295"/>
      <c r="C86" s="47">
        <v>-5.47</v>
      </c>
      <c r="D86" s="47">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71" t="s">
        <v>17</v>
      </c>
      <c r="D89" s="71" t="s">
        <v>144</v>
      </c>
      <c r="E89" s="3"/>
      <c r="F89" s="3"/>
      <c r="G89" s="3"/>
      <c r="H89" s="3"/>
      <c r="I89" s="3"/>
      <c r="J89" s="3"/>
      <c r="K89" s="3"/>
      <c r="L89" s="3"/>
      <c r="M89" s="67" t="s">
        <v>292</v>
      </c>
    </row>
    <row r="90" spans="1:30" x14ac:dyDescent="0.2">
      <c r="A90" s="295" t="s">
        <v>113</v>
      </c>
      <c r="B90" s="295"/>
      <c r="C90" s="70">
        <v>-4.1099999999999998E-2</v>
      </c>
      <c r="D90" s="70">
        <f>J18</f>
        <v>0</v>
      </c>
      <c r="M90" s="177">
        <f>EXP(C90*(MIN(D90,13)-12))</f>
        <v>1.6375479982400416</v>
      </c>
    </row>
    <row r="91" spans="1:30" x14ac:dyDescent="0.2">
      <c r="A91" s="295" t="s">
        <v>114</v>
      </c>
      <c r="B91" s="295"/>
      <c r="C91" s="70">
        <v>-2.7300000000000001E-2</v>
      </c>
      <c r="D91" s="70">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71" t="s">
        <v>17</v>
      </c>
      <c r="D94" s="71" t="s">
        <v>105</v>
      </c>
      <c r="E94" s="71" t="s">
        <v>149</v>
      </c>
      <c r="F94" s="3"/>
      <c r="G94" s="3"/>
      <c r="H94" s="3"/>
      <c r="I94" s="3"/>
      <c r="J94" s="3"/>
      <c r="K94" s="3"/>
      <c r="L94" s="3"/>
      <c r="M94" s="67" t="s">
        <v>293</v>
      </c>
    </row>
    <row r="95" spans="1:30" x14ac:dyDescent="0.2">
      <c r="A95" s="295" t="s">
        <v>113</v>
      </c>
      <c r="B95" s="295"/>
      <c r="C95" s="163">
        <v>-4.1099999999999998E-2</v>
      </c>
      <c r="D95" s="70">
        <f>J14</f>
        <v>0</v>
      </c>
      <c r="E95" s="70">
        <f>J20</f>
        <v>0</v>
      </c>
      <c r="M95" s="177" t="e">
        <f>EXP(C95/D95*(MIN(E95,12)-6))</f>
        <v>#DIV/0!</v>
      </c>
    </row>
    <row r="96" spans="1:30" x14ac:dyDescent="0.2">
      <c r="A96" s="295" t="s">
        <v>114</v>
      </c>
      <c r="B96" s="295"/>
      <c r="C96" s="163">
        <v>-2.7300000000000001E-2</v>
      </c>
      <c r="D96" s="70">
        <f>J14</f>
        <v>0</v>
      </c>
      <c r="E96" s="70">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71" t="s">
        <v>145</v>
      </c>
      <c r="D99" s="71" t="s">
        <v>17</v>
      </c>
      <c r="E99" s="71" t="s">
        <v>105</v>
      </c>
      <c r="F99" s="3"/>
      <c r="G99" s="3"/>
      <c r="H99" s="3"/>
      <c r="I99" s="3"/>
      <c r="J99" s="3"/>
      <c r="K99" s="3"/>
      <c r="L99" s="3"/>
      <c r="M99" s="67" t="s">
        <v>294</v>
      </c>
    </row>
    <row r="100" spans="1:14" x14ac:dyDescent="0.2">
      <c r="A100" s="295" t="s">
        <v>113</v>
      </c>
      <c r="B100" s="295"/>
      <c r="C100" s="119" t="e">
        <f>J24/J11</f>
        <v>#DIV/0!</v>
      </c>
      <c r="D100" s="70">
        <v>-0.51600000000000001</v>
      </c>
      <c r="E100" s="70">
        <f>J14</f>
        <v>0</v>
      </c>
      <c r="M100" s="72"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71" t="s">
        <v>146</v>
      </c>
      <c r="D103" s="71" t="s">
        <v>17</v>
      </c>
      <c r="E103" s="71" t="s">
        <v>105</v>
      </c>
      <c r="F103" s="71" t="s">
        <v>147</v>
      </c>
      <c r="G103" s="71" t="s">
        <v>149</v>
      </c>
      <c r="H103" s="71" t="s">
        <v>148</v>
      </c>
      <c r="I103" s="140" t="s">
        <v>365</v>
      </c>
      <c r="J103" s="140" t="s">
        <v>366</v>
      </c>
      <c r="K103" s="140" t="s">
        <v>150</v>
      </c>
      <c r="L103" s="140" t="s">
        <v>151</v>
      </c>
      <c r="M103" s="67" t="s">
        <v>295</v>
      </c>
    </row>
    <row r="104" spans="1:14" x14ac:dyDescent="0.2">
      <c r="A104" s="295" t="s">
        <v>113</v>
      </c>
      <c r="B104" s="295"/>
      <c r="C104" s="132" t="e">
        <f>SUM(J25,J27,J29,J31,J33)/J11</f>
        <v>#DIV/0!</v>
      </c>
      <c r="D104" s="70">
        <v>-6.0099999999999997E-3</v>
      </c>
      <c r="E104" s="70">
        <f>J14</f>
        <v>0</v>
      </c>
      <c r="F104" s="70">
        <f>J22</f>
        <v>0</v>
      </c>
      <c r="G104" s="70">
        <f>J20</f>
        <v>0</v>
      </c>
      <c r="H104" s="70">
        <f>J21</f>
        <v>0</v>
      </c>
      <c r="I104" s="70">
        <f>J60</f>
        <v>0</v>
      </c>
      <c r="J104" s="82">
        <f>J61</f>
        <v>0</v>
      </c>
      <c r="K104" s="128">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132" t="e">
        <f>SUM(J25,J27,J29,J31,J33)/J11</f>
        <v>#DIV/0!</v>
      </c>
      <c r="D105" s="70">
        <f>-0.00407</f>
        <v>-4.0699999999999998E-3</v>
      </c>
      <c r="E105" s="70">
        <f>J14</f>
        <v>0</v>
      </c>
      <c r="F105" s="70">
        <f>J22</f>
        <v>0</v>
      </c>
      <c r="G105" s="70">
        <f>J20</f>
        <v>0</v>
      </c>
      <c r="H105" s="70">
        <f>J21</f>
        <v>0</v>
      </c>
      <c r="I105" s="70">
        <f>J60</f>
        <v>0</v>
      </c>
      <c r="J105" s="82">
        <f>J61</f>
        <v>0</v>
      </c>
      <c r="K105" s="128">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73" t="s">
        <v>146</v>
      </c>
      <c r="D108" s="73" t="s">
        <v>17</v>
      </c>
      <c r="E108" s="73" t="s">
        <v>105</v>
      </c>
      <c r="F108" s="140" t="s">
        <v>151</v>
      </c>
      <c r="G108" s="25"/>
      <c r="H108" s="25"/>
      <c r="I108" s="25"/>
      <c r="J108" s="25"/>
      <c r="K108" s="8"/>
      <c r="L108" s="77"/>
      <c r="M108" s="67" t="s">
        <v>296</v>
      </c>
    </row>
    <row r="109" spans="1:14" x14ac:dyDescent="0.2">
      <c r="A109" s="295" t="s">
        <v>113</v>
      </c>
      <c r="B109" s="295"/>
      <c r="C109" s="132" t="e">
        <f>SUM(J25,J27,J29,J31,J33)/J11</f>
        <v>#DIV/0!</v>
      </c>
      <c r="D109" s="74">
        <v>1.66E-2</v>
      </c>
      <c r="E109" s="74">
        <f>J14</f>
        <v>0</v>
      </c>
      <c r="F109" s="8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132" t="e">
        <f>SUM(J25,J27,J29,J31,J33)/J11</f>
        <v>#DIV/0!</v>
      </c>
      <c r="D110" s="74">
        <v>1.6199999999999999E-2</v>
      </c>
      <c r="E110" s="74">
        <f>J14</f>
        <v>0</v>
      </c>
      <c r="F110" s="8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73" t="s">
        <v>163</v>
      </c>
      <c r="D113" s="73" t="s">
        <v>17</v>
      </c>
      <c r="E113" s="75" t="s">
        <v>105</v>
      </c>
      <c r="F113" s="75" t="s">
        <v>365</v>
      </c>
      <c r="G113" s="73" t="s">
        <v>367</v>
      </c>
      <c r="H113" s="73" t="s">
        <v>18</v>
      </c>
      <c r="I113" s="145" t="s">
        <v>394</v>
      </c>
      <c r="J113" s="73" t="s">
        <v>167</v>
      </c>
      <c r="K113" s="25"/>
      <c r="L113" s="25"/>
      <c r="M113" s="67" t="s">
        <v>297</v>
      </c>
      <c r="O113" s="63"/>
      <c r="R113"/>
      <c r="AE113" s="27"/>
    </row>
    <row r="114" spans="1:31" x14ac:dyDescent="0.2">
      <c r="A114" s="302" t="s">
        <v>368</v>
      </c>
      <c r="B114" s="303"/>
      <c r="C114" s="74">
        <f>J$59</f>
        <v>0</v>
      </c>
      <c r="D114" s="74">
        <v>-4.1099999999999998E-2</v>
      </c>
      <c r="E114" s="76">
        <f>J$14</f>
        <v>0</v>
      </c>
      <c r="F114" s="21">
        <f>J$60</f>
        <v>0</v>
      </c>
      <c r="G114" s="74">
        <f>IF(J$55="Yes",1,0)</f>
        <v>0</v>
      </c>
      <c r="H114" s="74">
        <v>1.3180000000000001</v>
      </c>
      <c r="I114" s="74">
        <v>1.3049999999999999</v>
      </c>
      <c r="J114" s="74" t="e">
        <f>J$57/J$11</f>
        <v>#DIV/0!</v>
      </c>
      <c r="K114" s="10"/>
      <c r="L114" s="10"/>
      <c r="M114" s="284">
        <f>IF(J55="yes",(1-C114)*EXP(C116)+C114*EXP(D116+E116+F116),1)</f>
        <v>1</v>
      </c>
      <c r="O114" s="63"/>
      <c r="R114"/>
      <c r="AE114" s="27"/>
    </row>
    <row r="115" spans="1:31" ht="14.25" x14ac:dyDescent="0.25">
      <c r="A115" s="304"/>
      <c r="B115" s="305"/>
      <c r="C115" s="73" t="s">
        <v>164</v>
      </c>
      <c r="D115" s="73" t="s">
        <v>165</v>
      </c>
      <c r="E115" s="73" t="s">
        <v>166</v>
      </c>
      <c r="F115" s="73" t="s">
        <v>168</v>
      </c>
      <c r="G115" s="10"/>
      <c r="H115" s="10"/>
      <c r="I115" s="10"/>
      <c r="J115" s="10"/>
      <c r="M115" s="285"/>
    </row>
    <row r="116" spans="1:31" x14ac:dyDescent="0.2">
      <c r="A116" s="304"/>
      <c r="B116" s="305"/>
      <c r="C116" s="74" t="e">
        <f>(D114/E114*MIN(F114,12))*G114</f>
        <v>#DIV/0!</v>
      </c>
      <c r="D116" s="74">
        <f>D114*(MIN(F114,13)-12)*G114</f>
        <v>0</v>
      </c>
      <c r="E116" s="74">
        <f>H114*G114</f>
        <v>0</v>
      </c>
      <c r="F116" s="74" t="e">
        <f>I114*(1-G114)*J114</f>
        <v>#DIV/0!</v>
      </c>
      <c r="G116" s="10"/>
      <c r="H116" s="10"/>
      <c r="I116" s="10"/>
      <c r="J116" s="10"/>
      <c r="M116" s="286"/>
    </row>
    <row r="117" spans="1:31" ht="14.25" x14ac:dyDescent="0.25">
      <c r="A117" s="306" t="s">
        <v>371</v>
      </c>
      <c r="B117" s="307"/>
      <c r="C117" s="145" t="s">
        <v>163</v>
      </c>
      <c r="D117" s="145" t="s">
        <v>17</v>
      </c>
      <c r="E117" s="140" t="s">
        <v>105</v>
      </c>
      <c r="F117" s="140" t="s">
        <v>365</v>
      </c>
      <c r="G117" s="145" t="s">
        <v>367</v>
      </c>
      <c r="H117" s="145" t="s">
        <v>18</v>
      </c>
      <c r="I117" s="145" t="s">
        <v>394</v>
      </c>
      <c r="J117" s="145" t="s">
        <v>167</v>
      </c>
      <c r="K117" s="143"/>
      <c r="L117" s="143"/>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s="144" customFormat="1" x14ac:dyDescent="0.2">
      <c r="A121" s="146"/>
      <c r="B121" s="146"/>
      <c r="C121" s="10"/>
      <c r="D121" s="10"/>
      <c r="E121" s="10"/>
      <c r="F121" s="10"/>
      <c r="G121" s="10"/>
      <c r="H121" s="10"/>
      <c r="I121" s="10"/>
      <c r="J121" s="10"/>
      <c r="M121" s="26"/>
      <c r="N121" s="63"/>
      <c r="R121" s="27"/>
      <c r="S121" s="27"/>
      <c r="T121" s="27"/>
      <c r="U121" s="27"/>
      <c r="V121" s="27"/>
      <c r="W121" s="27"/>
      <c r="X121" s="27"/>
      <c r="Y121" s="27"/>
      <c r="Z121" s="27"/>
      <c r="AA121" s="27"/>
      <c r="AB121" s="27"/>
      <c r="AC121" s="27"/>
      <c r="AD121" s="27"/>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73" t="s">
        <v>159</v>
      </c>
      <c r="E123" s="169" t="s">
        <v>396</v>
      </c>
      <c r="F123" s="89" t="s">
        <v>160</v>
      </c>
      <c r="G123" s="86" t="s">
        <v>158</v>
      </c>
      <c r="H123" s="86" t="s">
        <v>161</v>
      </c>
      <c r="I123" s="86" t="s">
        <v>162</v>
      </c>
      <c r="J123" s="129" t="s">
        <v>369</v>
      </c>
      <c r="K123" s="140" t="s">
        <v>370</v>
      </c>
      <c r="L123" s="77"/>
      <c r="M123" s="67" t="s">
        <v>305</v>
      </c>
      <c r="N123" s="68"/>
    </row>
    <row r="124" spans="1:31" x14ac:dyDescent="0.2">
      <c r="A124" s="296" t="s">
        <v>368</v>
      </c>
      <c r="B124" s="295"/>
      <c r="C124" s="74">
        <v>14.34</v>
      </c>
      <c r="D124" s="74">
        <f>J50</f>
        <v>0</v>
      </c>
      <c r="E124" s="76">
        <v>-1.3</v>
      </c>
      <c r="F124" s="93">
        <f>J52</f>
        <v>0</v>
      </c>
      <c r="G124" s="88">
        <f>J11</f>
        <v>0</v>
      </c>
      <c r="H124" s="88">
        <f>J51</f>
        <v>0</v>
      </c>
      <c r="I124" s="94">
        <f>J53</f>
        <v>0</v>
      </c>
      <c r="J124" s="133" t="e">
        <f>(1+(EXP(-C124*D124+E124*LN(F124/1000))/(C124*G124))*(1-EXP(-C124*G124)))</f>
        <v>#NUM!</v>
      </c>
      <c r="K124" s="128"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73" t="s">
        <v>17</v>
      </c>
      <c r="D127" s="73" t="s">
        <v>105</v>
      </c>
      <c r="E127" s="73" t="s">
        <v>152</v>
      </c>
      <c r="F127" s="3"/>
      <c r="G127" s="3"/>
      <c r="H127" s="3"/>
      <c r="I127" s="3"/>
      <c r="J127" s="3"/>
      <c r="K127" s="3"/>
      <c r="L127" s="3"/>
      <c r="M127" s="67" t="s">
        <v>298</v>
      </c>
    </row>
    <row r="128" spans="1:31" x14ac:dyDescent="0.2">
      <c r="A128" s="296" t="s">
        <v>368</v>
      </c>
      <c r="B128" s="295"/>
      <c r="C128" s="74">
        <v>-4.1099999999999998E-2</v>
      </c>
      <c r="D128" s="74">
        <f>J14</f>
        <v>0</v>
      </c>
      <c r="E128" s="74">
        <f>J19</f>
        <v>0</v>
      </c>
      <c r="M128" s="177" t="e">
        <f>EXP(C128/D128*(MIN(E128,12)-10))</f>
        <v>#DIV/0!</v>
      </c>
    </row>
    <row r="129" spans="1:16" x14ac:dyDescent="0.2">
      <c r="A129" s="296" t="s">
        <v>371</v>
      </c>
      <c r="B129" s="295"/>
      <c r="C129" s="74">
        <v>-2.7300000000000001E-2</v>
      </c>
      <c r="D129" s="74">
        <f>J14</f>
        <v>0</v>
      </c>
      <c r="E129" s="7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73" t="s">
        <v>153</v>
      </c>
      <c r="D132" s="73" t="s">
        <v>17</v>
      </c>
      <c r="E132" s="73" t="s">
        <v>105</v>
      </c>
      <c r="F132" s="3"/>
      <c r="G132" s="3"/>
      <c r="H132" s="3"/>
      <c r="I132" s="3"/>
      <c r="J132" s="3"/>
      <c r="K132" s="3"/>
      <c r="L132" s="3"/>
      <c r="M132" s="67" t="s">
        <v>299</v>
      </c>
    </row>
    <row r="133" spans="1:16" x14ac:dyDescent="0.2">
      <c r="A133" s="296" t="s">
        <v>368</v>
      </c>
      <c r="B133" s="295"/>
      <c r="C133" s="119" t="e">
        <f>J23/J11</f>
        <v>#DIV/0!</v>
      </c>
      <c r="D133" s="74">
        <v>-0.51600000000000001</v>
      </c>
      <c r="E133" s="7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165"/>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73" t="s">
        <v>157</v>
      </c>
      <c r="D146" s="73" t="s">
        <v>17</v>
      </c>
      <c r="E146" s="73" t="s">
        <v>105</v>
      </c>
      <c r="M146" s="67" t="s">
        <v>302</v>
      </c>
    </row>
    <row r="147" spans="1:35" x14ac:dyDescent="0.2">
      <c r="A147" s="296" t="s">
        <v>368</v>
      </c>
      <c r="B147" s="295"/>
      <c r="C147" s="119" t="e">
        <f>J58/J11</f>
        <v>#DIV/0!</v>
      </c>
      <c r="D147" s="74">
        <v>-0.78700000000000003</v>
      </c>
      <c r="E147" s="74">
        <f>J14</f>
        <v>0</v>
      </c>
      <c r="M147" s="177">
        <f>IF(J55="Yes",(1-C147)*1+C147*EXP(D147/E147),1)</f>
        <v>1</v>
      </c>
      <c r="N147" s="68"/>
    </row>
    <row r="148" spans="1:35" x14ac:dyDescent="0.2">
      <c r="A148" s="296" t="s">
        <v>371</v>
      </c>
      <c r="B148" s="295"/>
      <c r="C148" s="119" t="e">
        <f>J58/J11</f>
        <v>#DIV/0!</v>
      </c>
      <c r="D148" s="74">
        <v>-1.091</v>
      </c>
      <c r="E148" s="7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81" t="s">
        <v>17</v>
      </c>
      <c r="D151" s="81" t="s">
        <v>169</v>
      </c>
      <c r="E151" s="3"/>
      <c r="F151" s="3"/>
      <c r="G151" s="3"/>
      <c r="H151" s="3"/>
      <c r="I151" s="3"/>
      <c r="J151" s="3"/>
      <c r="K151" s="3"/>
      <c r="L151" s="3"/>
      <c r="M151" s="67" t="s">
        <v>303</v>
      </c>
    </row>
    <row r="152" spans="1:35" x14ac:dyDescent="0.2">
      <c r="A152" s="296" t="s">
        <v>372</v>
      </c>
      <c r="B152" s="295"/>
      <c r="C152" s="80">
        <v>6.9000000000000006E-2</v>
      </c>
      <c r="D152" s="80">
        <f>J48</f>
        <v>0</v>
      </c>
      <c r="F152" s="12"/>
      <c r="M152" s="179" t="e">
        <f>EXP(C152*(1/D152-1/0.142))</f>
        <v>#DIV/0!</v>
      </c>
      <c r="N152" s="68"/>
    </row>
    <row r="153" spans="1:35" x14ac:dyDescent="0.2">
      <c r="A153" s="363" t="s">
        <v>374</v>
      </c>
      <c r="B153" s="364"/>
      <c r="C153" s="80">
        <v>9.9099999999999994E-2</v>
      </c>
      <c r="D153" s="80">
        <f>J48</f>
        <v>0</v>
      </c>
      <c r="M153" s="179" t="e">
        <f>EXP(C153*(1/D153-1/0.142))</f>
        <v>#DIV/0!</v>
      </c>
      <c r="N153" s="84"/>
    </row>
    <row r="154" spans="1:35" ht="14.25" x14ac:dyDescent="0.25">
      <c r="A154" s="265" t="s">
        <v>112</v>
      </c>
      <c r="B154" s="265"/>
      <c r="C154" s="81" t="s">
        <v>17</v>
      </c>
      <c r="D154" s="81" t="s">
        <v>170</v>
      </c>
      <c r="E154" s="3"/>
      <c r="F154" s="3"/>
      <c r="G154" s="3"/>
      <c r="H154" s="3"/>
      <c r="I154" s="3"/>
      <c r="J154" s="3"/>
      <c r="K154" s="3"/>
      <c r="L154" s="3"/>
      <c r="M154" s="67" t="s">
        <v>304</v>
      </c>
    </row>
    <row r="155" spans="1:35" x14ac:dyDescent="0.2">
      <c r="A155" s="296" t="s">
        <v>373</v>
      </c>
      <c r="B155" s="295"/>
      <c r="C155" s="80">
        <v>3.2300000000000002E-2</v>
      </c>
      <c r="D155" s="80">
        <f>J49</f>
        <v>0</v>
      </c>
      <c r="F155" s="83"/>
      <c r="M155" s="179" t="e">
        <f>EXP(C155*(1/D155-1/0.071))</f>
        <v>#DIV/0!</v>
      </c>
      <c r="N155" s="68"/>
    </row>
    <row r="156" spans="1:35" x14ac:dyDescent="0.2">
      <c r="A156" s="363" t="s">
        <v>375</v>
      </c>
      <c r="B156" s="364"/>
      <c r="C156" s="80">
        <v>4.3299999999999998E-2</v>
      </c>
      <c r="D156" s="80">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114" t="s">
        <v>129</v>
      </c>
      <c r="C159" s="114" t="s">
        <v>108</v>
      </c>
      <c r="D159" s="114" t="s">
        <v>130</v>
      </c>
      <c r="E159" s="115" t="s">
        <v>292</v>
      </c>
      <c r="F159" s="115" t="s">
        <v>293</v>
      </c>
      <c r="G159" s="115" t="s">
        <v>294</v>
      </c>
      <c r="H159" s="209" t="s">
        <v>295</v>
      </c>
      <c r="I159" s="209" t="s">
        <v>296</v>
      </c>
      <c r="J159" s="115" t="s">
        <v>297</v>
      </c>
      <c r="K159" s="115" t="s">
        <v>305</v>
      </c>
      <c r="L159" s="115" t="s">
        <v>298</v>
      </c>
      <c r="M159" s="115" t="s">
        <v>299</v>
      </c>
      <c r="N159" s="115" t="s">
        <v>300</v>
      </c>
      <c r="O159" s="115" t="s">
        <v>301</v>
      </c>
      <c r="P159" s="115" t="s">
        <v>302</v>
      </c>
      <c r="Q159" s="115" t="s">
        <v>306</v>
      </c>
      <c r="R159" s="116" t="s">
        <v>131</v>
      </c>
      <c r="S159" s="68"/>
      <c r="T159"/>
      <c r="U159"/>
      <c r="V159"/>
      <c r="AE159" s="27"/>
      <c r="AF159" s="27"/>
      <c r="AG159" s="27"/>
      <c r="AH159" s="27"/>
      <c r="AI159" s="27"/>
    </row>
    <row r="160" spans="1:35" x14ac:dyDescent="0.2">
      <c r="A160" s="103" t="s">
        <v>98</v>
      </c>
      <c r="B160" s="69">
        <f>LocalValues!I7</f>
        <v>1</v>
      </c>
      <c r="C160" s="183" t="e">
        <f t="shared" ref="C160:C165" si="2">J73</f>
        <v>#NUM!</v>
      </c>
      <c r="D160" s="183">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c r="U160"/>
      <c r="V160"/>
      <c r="AE160" s="27"/>
      <c r="AF160" s="27"/>
      <c r="AG160" s="27"/>
      <c r="AH160" s="27"/>
      <c r="AI160" s="27"/>
    </row>
    <row r="161" spans="1:35" x14ac:dyDescent="0.2">
      <c r="A161" s="103" t="s">
        <v>99</v>
      </c>
      <c r="B161" s="69">
        <f>LocalValues!I8</f>
        <v>1</v>
      </c>
      <c r="C161" s="183" t="e">
        <f t="shared" si="2"/>
        <v>#NUM!</v>
      </c>
      <c r="D161" s="183">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c r="U161"/>
      <c r="V161"/>
      <c r="AE161" s="27"/>
      <c r="AF161" s="27"/>
      <c r="AG161" s="27"/>
      <c r="AH161" s="27"/>
      <c r="AI161" s="27"/>
    </row>
    <row r="162" spans="1:35" x14ac:dyDescent="0.2">
      <c r="A162" s="103" t="s">
        <v>100</v>
      </c>
      <c r="B162" s="69">
        <f>LocalValues!I9</f>
        <v>1</v>
      </c>
      <c r="C162" s="183" t="e">
        <f t="shared" si="2"/>
        <v>#NUM!</v>
      </c>
      <c r="D162" s="183">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c r="U162"/>
      <c r="V162"/>
      <c r="AE162" s="27"/>
      <c r="AF162" s="27"/>
      <c r="AG162" s="27"/>
      <c r="AH162" s="27"/>
      <c r="AI162" s="27"/>
    </row>
    <row r="163" spans="1:35" x14ac:dyDescent="0.2">
      <c r="A163" s="103" t="s">
        <v>101</v>
      </c>
      <c r="B163" s="69">
        <f>LocalValues!I10</f>
        <v>1</v>
      </c>
      <c r="C163" s="183" t="e">
        <f t="shared" si="2"/>
        <v>#NUM!</v>
      </c>
      <c r="D163" s="183">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c r="U163"/>
      <c r="V163"/>
      <c r="AE163" s="27"/>
      <c r="AF163" s="27"/>
      <c r="AG163" s="27"/>
      <c r="AH163" s="27"/>
      <c r="AI163" s="27"/>
    </row>
    <row r="164" spans="1:35" x14ac:dyDescent="0.2">
      <c r="A164" s="103" t="s">
        <v>102</v>
      </c>
      <c r="B164" s="69">
        <f>LocalValues!I11</f>
        <v>1</v>
      </c>
      <c r="C164" s="183" t="e">
        <f t="shared" si="2"/>
        <v>#NUM!</v>
      </c>
      <c r="D164" s="183">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c r="U164"/>
      <c r="V164"/>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c r="U165"/>
      <c r="V16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173"/>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c r="AC169"/>
      <c r="AD169"/>
    </row>
    <row r="170" spans="1:35" x14ac:dyDescent="0.2">
      <c r="A170" s="104"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c r="AC170"/>
      <c r="AD170"/>
    </row>
    <row r="171" spans="1:35" x14ac:dyDescent="0.2">
      <c r="A171" s="104" t="s">
        <v>200</v>
      </c>
      <c r="B171" s="112" t="e">
        <f t="shared" ref="B171:B174" si="5">E171*H171*I171*J171</f>
        <v>#DIV/0!</v>
      </c>
      <c r="C171" s="112" t="e">
        <f t="shared" ref="C171:C174" si="6">F171*H171*I171*K171</f>
        <v>#DIV/0!</v>
      </c>
      <c r="D171" s="112" t="e">
        <f t="shared" ref="D171:D174"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74"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row>
    <row r="172" spans="1:35" x14ac:dyDescent="0.2">
      <c r="A172" s="104"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row>
    <row r="173" spans="1:35" x14ac:dyDescent="0.2">
      <c r="A173" s="104"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row>
    <row r="174" spans="1:35" x14ac:dyDescent="0.2">
      <c r="A174" s="104"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row>
    <row r="175" spans="1:35" x14ac:dyDescent="0.2">
      <c r="A175" s="104" t="s">
        <v>204</v>
      </c>
      <c r="B175" s="112" t="e">
        <f t="shared" ref="B175:B181" si="16">E175*H175*I175*J175</f>
        <v>#DIV/0!</v>
      </c>
      <c r="C175" s="112" t="e">
        <f t="shared" ref="C175:C181" si="17">F175*H175*I175*K175</f>
        <v>#DIV/0!</v>
      </c>
      <c r="D175" s="112" t="e">
        <f t="shared" ref="D175:D181" si="18">G175*H175*I175*L175</f>
        <v>#DIV/0!</v>
      </c>
      <c r="E175" s="112">
        <f t="shared" si="8"/>
        <v>1.1187032320602409E-2</v>
      </c>
      <c r="F175" s="112">
        <f t="shared" ref="F175:F177" si="19">EXP(-2.575)</f>
        <v>7.6153822798610327E-2</v>
      </c>
      <c r="G175" s="119">
        <f t="shared" ref="G175:G176" si="20">EXP(-0.27)</f>
        <v>0.76337949433685315</v>
      </c>
      <c r="H175" s="118" t="e">
        <f t="shared" ref="H175:H180" si="21">EXP(-0.46*$C$109)</f>
        <v>#DIV/0!</v>
      </c>
      <c r="I175" s="112" t="e">
        <f t="shared" ref="I175:I181" si="22">EXP(-0.9931*M175)</f>
        <v>#DIV/0!</v>
      </c>
      <c r="J175" s="112">
        <f t="shared" si="12"/>
        <v>1</v>
      </c>
      <c r="K175" s="118">
        <f t="shared" si="13"/>
        <v>1</v>
      </c>
      <c r="L175" s="118">
        <f t="shared" si="14"/>
        <v>1</v>
      </c>
      <c r="M175" s="118" t="e">
        <f t="shared" si="4"/>
        <v>#DIV/0!</v>
      </c>
      <c r="N175" s="112" t="e">
        <f>IF(LocalValues!F24="",C175/(1/1+B175+C175+D175),LocalValues!F24)</f>
        <v>#DIV/0!</v>
      </c>
      <c r="O175" s="126" t="str">
        <f t="shared" ref="O175:O177" si="23">IFERROR(R$161*N175,"-")</f>
        <v>-</v>
      </c>
      <c r="Q175" s="27"/>
      <c r="AD175"/>
    </row>
    <row r="176" spans="1:35" x14ac:dyDescent="0.2">
      <c r="A176" s="104" t="s">
        <v>205</v>
      </c>
      <c r="B176" s="112" t="e">
        <f t="shared" si="16"/>
        <v>#DIV/0!</v>
      </c>
      <c r="C176" s="112" t="e">
        <f t="shared" si="17"/>
        <v>#DIV/0!</v>
      </c>
      <c r="D176" s="112" t="e">
        <f t="shared" si="18"/>
        <v>#DIV/0!</v>
      </c>
      <c r="E176" s="112">
        <f t="shared" si="8"/>
        <v>1.1187032320602409E-2</v>
      </c>
      <c r="F176" s="112">
        <f t="shared" si="19"/>
        <v>7.6153822798610327E-2</v>
      </c>
      <c r="G176" s="119">
        <f t="shared" si="20"/>
        <v>0.76337949433685315</v>
      </c>
      <c r="H176" s="118" t="e">
        <f t="shared" si="21"/>
        <v>#DIV/0!</v>
      </c>
      <c r="I176" s="112" t="e">
        <f t="shared" si="22"/>
        <v>#DIV/0!</v>
      </c>
      <c r="J176" s="112">
        <f t="shared" si="12"/>
        <v>1</v>
      </c>
      <c r="K176" s="118">
        <f t="shared" si="13"/>
        <v>1</v>
      </c>
      <c r="L176" s="118">
        <f t="shared" si="14"/>
        <v>1</v>
      </c>
      <c r="M176" s="118" t="e">
        <f t="shared" si="4"/>
        <v>#DIV/0!</v>
      </c>
      <c r="N176" s="112" t="e">
        <f>IF(LocalValues!F25="",D176/(1/1+B176+C176+D176),LocalValues!F25)</f>
        <v>#DIV/0!</v>
      </c>
      <c r="O176" s="126" t="str">
        <f t="shared" si="23"/>
        <v>-</v>
      </c>
      <c r="Q176" s="27"/>
      <c r="AD176"/>
    </row>
    <row r="177" spans="1:30" x14ac:dyDescent="0.2">
      <c r="A177" s="104" t="s">
        <v>206</v>
      </c>
      <c r="B177" s="112" t="e">
        <f t="shared" si="16"/>
        <v>#DIV/0!</v>
      </c>
      <c r="C177" s="112" t="e">
        <f t="shared" si="17"/>
        <v>#DIV/0!</v>
      </c>
      <c r="D177" s="112" t="e">
        <f t="shared" si="18"/>
        <v>#DIV/0!</v>
      </c>
      <c r="E177" s="112">
        <f t="shared" si="8"/>
        <v>1.1187032320602409E-2</v>
      </c>
      <c r="F177" s="112">
        <f t="shared" si="19"/>
        <v>7.6153822798610327E-2</v>
      </c>
      <c r="G177" s="119">
        <f>EXP(-0.27)</f>
        <v>0.76337949433685315</v>
      </c>
      <c r="H177" s="118" t="e">
        <f t="shared" si="21"/>
        <v>#DIV/0!</v>
      </c>
      <c r="I177" s="112" t="e">
        <f t="shared" si="22"/>
        <v>#DIV/0!</v>
      </c>
      <c r="J177" s="112">
        <f t="shared" si="12"/>
        <v>1</v>
      </c>
      <c r="K177" s="118">
        <f t="shared" si="13"/>
        <v>1</v>
      </c>
      <c r="L177" s="118">
        <f t="shared" si="14"/>
        <v>1</v>
      </c>
      <c r="M177" s="118" t="e">
        <f t="shared" si="4"/>
        <v>#DIV/0!</v>
      </c>
      <c r="N177" s="112" t="e">
        <f>IF(LocalValues!F26="",1-N174-N175-N176,LocalValues!F26)</f>
        <v>#DIV/0!</v>
      </c>
      <c r="O177" s="126" t="str">
        <f t="shared" si="23"/>
        <v>-</v>
      </c>
      <c r="Q177" s="27"/>
      <c r="AD177"/>
    </row>
    <row r="178" spans="1:30" x14ac:dyDescent="0.2">
      <c r="A178" s="104" t="s">
        <v>207</v>
      </c>
      <c r="B178" s="112" t="e">
        <f t="shared" si="16"/>
        <v>#DIV/0!</v>
      </c>
      <c r="C178" s="112" t="e">
        <f t="shared" si="17"/>
        <v>#DIV/0!</v>
      </c>
      <c r="D178" s="112" t="e">
        <f t="shared" si="18"/>
        <v>#DIV/0!</v>
      </c>
      <c r="E178" s="112">
        <f t="shared" si="8"/>
        <v>1.1187032320602409E-2</v>
      </c>
      <c r="F178" s="112">
        <f>EXP(-2.18)</f>
        <v>0.11304153064044985</v>
      </c>
      <c r="G178" s="112">
        <f>EXP(-0.204)</f>
        <v>0.8154623711872927</v>
      </c>
      <c r="H178" s="118" t="e">
        <f t="shared" si="21"/>
        <v>#DIV/0!</v>
      </c>
      <c r="I178" s="112" t="e">
        <f t="shared" si="22"/>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row>
    <row r="179" spans="1:30" x14ac:dyDescent="0.2">
      <c r="A179" s="104" t="s">
        <v>208</v>
      </c>
      <c r="B179" s="112" t="e">
        <f t="shared" si="16"/>
        <v>#DIV/0!</v>
      </c>
      <c r="C179" s="112" t="e">
        <f t="shared" si="17"/>
        <v>#DIV/0!</v>
      </c>
      <c r="D179" s="112" t="e">
        <f t="shared" si="18"/>
        <v>#DIV/0!</v>
      </c>
      <c r="E179" s="112">
        <f t="shared" si="8"/>
        <v>1.1187032320602409E-2</v>
      </c>
      <c r="F179" s="112">
        <f t="shared" ref="F179:F181" si="24">EXP(-2.18)</f>
        <v>0.11304153064044985</v>
      </c>
      <c r="G179" s="112">
        <f t="shared" ref="G179:G181" si="25">EXP(-0.204)</f>
        <v>0.8154623711872927</v>
      </c>
      <c r="H179" s="118" t="e">
        <f t="shared" si="21"/>
        <v>#DIV/0!</v>
      </c>
      <c r="I179" s="112" t="e">
        <f t="shared" si="22"/>
        <v>#DIV/0!</v>
      </c>
      <c r="J179" s="112">
        <f t="shared" si="12"/>
        <v>1</v>
      </c>
      <c r="K179" s="118">
        <f t="shared" si="13"/>
        <v>1</v>
      </c>
      <c r="L179" s="118">
        <f t="shared" si="14"/>
        <v>1</v>
      </c>
      <c r="M179" s="118" t="e">
        <f t="shared" si="4"/>
        <v>#DIV/0!</v>
      </c>
      <c r="N179" s="112" t="e">
        <f>IF(LocalValues!F29="",C179/(1/1+B179+C179+D179),LocalValues!F29)</f>
        <v>#DIV/0!</v>
      </c>
      <c r="O179" s="126" t="str">
        <f t="shared" ref="O179:O181" si="26">IFERROR(R$162*N179,"-")</f>
        <v>-</v>
      </c>
      <c r="Q179" s="27"/>
      <c r="AD179"/>
    </row>
    <row r="180" spans="1:30" x14ac:dyDescent="0.2">
      <c r="A180" s="104" t="s">
        <v>209</v>
      </c>
      <c r="B180" s="112" t="e">
        <f t="shared" si="16"/>
        <v>#DIV/0!</v>
      </c>
      <c r="C180" s="112" t="e">
        <f t="shared" si="17"/>
        <v>#DIV/0!</v>
      </c>
      <c r="D180" s="112" t="e">
        <f t="shared" si="18"/>
        <v>#DIV/0!</v>
      </c>
      <c r="E180" s="112">
        <f t="shared" si="8"/>
        <v>1.1187032320602409E-2</v>
      </c>
      <c r="F180" s="112">
        <f t="shared" si="24"/>
        <v>0.11304153064044985</v>
      </c>
      <c r="G180" s="112">
        <f t="shared" si="25"/>
        <v>0.8154623711872927</v>
      </c>
      <c r="H180" s="118" t="e">
        <f t="shared" si="21"/>
        <v>#DIV/0!</v>
      </c>
      <c r="I180" s="112" t="e">
        <f t="shared" si="22"/>
        <v>#DIV/0!</v>
      </c>
      <c r="J180" s="112">
        <f t="shared" si="12"/>
        <v>1</v>
      </c>
      <c r="K180" s="118">
        <f t="shared" si="13"/>
        <v>1</v>
      </c>
      <c r="L180" s="118">
        <f t="shared" si="14"/>
        <v>1</v>
      </c>
      <c r="M180" s="118" t="e">
        <f t="shared" si="4"/>
        <v>#DIV/0!</v>
      </c>
      <c r="N180" s="112" t="e">
        <f>IF(LocalValues!F30="",D180/(1/1+B180+C180+D180),LocalValues!F30)</f>
        <v>#DIV/0!</v>
      </c>
      <c r="O180" s="126" t="str">
        <f t="shared" si="26"/>
        <v>-</v>
      </c>
      <c r="Q180" s="27"/>
      <c r="AD180"/>
    </row>
    <row r="181" spans="1:30" ht="13.5" thickBot="1" x14ac:dyDescent="0.25">
      <c r="A181" s="111" t="s">
        <v>210</v>
      </c>
      <c r="B181" s="120" t="e">
        <f t="shared" si="16"/>
        <v>#DIV/0!</v>
      </c>
      <c r="C181" s="120" t="e">
        <f t="shared" si="17"/>
        <v>#DIV/0!</v>
      </c>
      <c r="D181" s="120" t="e">
        <f t="shared" si="18"/>
        <v>#DIV/0!</v>
      </c>
      <c r="E181" s="120">
        <f t="shared" si="8"/>
        <v>1.1187032320602409E-2</v>
      </c>
      <c r="F181" s="120">
        <f t="shared" si="24"/>
        <v>0.11304153064044985</v>
      </c>
      <c r="G181" s="121">
        <f t="shared" si="25"/>
        <v>0.8154623711872927</v>
      </c>
      <c r="H181" s="121" t="e">
        <f>EXP(-0.46*$C$109)</f>
        <v>#DIV/0!</v>
      </c>
      <c r="I181" s="120" t="e">
        <f t="shared" si="22"/>
        <v>#DIV/0!</v>
      </c>
      <c r="J181" s="120">
        <f t="shared" si="12"/>
        <v>1</v>
      </c>
      <c r="K181" s="121">
        <f t="shared" si="13"/>
        <v>1</v>
      </c>
      <c r="L181" s="121">
        <f t="shared" si="14"/>
        <v>1</v>
      </c>
      <c r="M181" s="120" t="e">
        <f t="shared" si="4"/>
        <v>#DIV/0!</v>
      </c>
      <c r="N181" s="120" t="e">
        <f>IF(LocalValues!F31="",1-N178-N179-N180,LocalValues!F31)</f>
        <v>#DIV/0!</v>
      </c>
      <c r="O181" s="127" t="str">
        <f t="shared" si="26"/>
        <v>-</v>
      </c>
      <c r="Q181" s="162"/>
      <c r="AD181"/>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85"/>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109" t="s">
        <v>173</v>
      </c>
      <c r="D186" s="109" t="s">
        <v>174</v>
      </c>
      <c r="E186" s="109" t="s">
        <v>175</v>
      </c>
      <c r="F186" s="109" t="s">
        <v>176</v>
      </c>
      <c r="G186" s="109" t="s">
        <v>19</v>
      </c>
      <c r="H186" s="109" t="s">
        <v>177</v>
      </c>
      <c r="I186" s="109" t="s">
        <v>178</v>
      </c>
      <c r="J186" s="109" t="s">
        <v>179</v>
      </c>
      <c r="K186" s="109" t="s">
        <v>180</v>
      </c>
      <c r="L186" s="110" t="s">
        <v>19</v>
      </c>
    </row>
    <row r="187" spans="1:30" x14ac:dyDescent="0.2">
      <c r="A187" s="102" t="s">
        <v>182</v>
      </c>
      <c r="B187" s="103" t="s">
        <v>15</v>
      </c>
      <c r="C187" s="97" t="str">
        <f>IFERROR(IF(AND($J$10="Basic Freeway Segment (FS)",$J$55="No",LocalValues!P38=""),$R$160*LocalValues!C38,$R$160*LocalValues!P38),"-")</f>
        <v>-</v>
      </c>
      <c r="D187" s="97" t="str">
        <f>IFERROR(IF(AND($J$10="Basic Freeway Segment (FS)",$J$55="No",LocalValues!Q38=""),$R$160*LocalValues!D38,$R$160*LocalValues!Q38),"-")</f>
        <v>-</v>
      </c>
      <c r="E187" s="97" t="str">
        <f>IFERROR(IF(AND($J$10="Basic Freeway Segment (FS)",$J$55="No",LocalValues!R38=""),$R$160*LocalValues!E38,$R$160*LocalValues!R38),"-")</f>
        <v>-</v>
      </c>
      <c r="F187" s="97" t="str">
        <f>IFERROR(IF(AND($J$10="Basic Freeway Segment (FS)",$J$55="No",LocalValues!S38=""),$R$160*LocalValues!F38,$R$160*LocalValues!S38),"-")</f>
        <v>-</v>
      </c>
      <c r="G187" s="97" t="str">
        <f>IFERROR(IF(AND($J$10="Basic Freeway Segment (FS)",$J$55="No",LocalValues!T38=""),$R$160*LocalValues!G38,$R$160*LocalValues!T38),"-")</f>
        <v>-</v>
      </c>
      <c r="H187" s="97" t="str">
        <f>IFERROR(IF(AND($J$10="Basic Freeway Segment (FS)",$J$55="No",LocalValues!U38=""),$R$160*LocalValues!H38,$R$160*LocalValues!U38),"-")</f>
        <v>-</v>
      </c>
      <c r="I187" s="97" t="str">
        <f>IFERROR(IF(AND($J$10="Basic Freeway Segment (FS)",$J$55="No",LocalValues!V38=""),$R$160*LocalValues!I38,$R$160*LocalValues!V38),"-")</f>
        <v>-</v>
      </c>
      <c r="J187" s="97" t="str">
        <f>IFERROR(IF(AND($J$10="Basic Freeway Segment (FS)",$J$55="No",LocalValues!W38=""),$R$160*LocalValues!J38,$R$160*LocalValues!W38),"-")</f>
        <v>-</v>
      </c>
      <c r="K187" s="97" t="str">
        <f>IFERROR(IF(AND($J$10="Basic Freeway Segment (FS)",$J$55="No",LocalValues!X38=""),$R$160*LocalValues!K38,$R$160*LocalValues!X38),"-")</f>
        <v>-</v>
      </c>
      <c r="L187" s="98" t="str">
        <f>IFERROR(IF(AND($J$10="Basic Freeway Segment (FS)",$J$55="No",LocalValues!Y38=""),$R$160*LocalValues!L38,$R$160*LocalValues!Y38),"-")</f>
        <v>-</v>
      </c>
    </row>
    <row r="188" spans="1:30" x14ac:dyDescent="0.2">
      <c r="A188" s="62"/>
      <c r="B188" s="103"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102" t="s">
        <v>183</v>
      </c>
      <c r="B189" s="103" t="s">
        <v>15</v>
      </c>
      <c r="C189" s="97" t="str">
        <f>IFERROR(IF(AND($J$10="Entrance Speed-Change Lane (EN)",$J$55="No",LocalValues!P40=""),$R$161*LocalValues!C40,$R$161*LocalValues!P40),"-")</f>
        <v>-</v>
      </c>
      <c r="D189" s="97" t="str">
        <f>IFERROR(IF(AND($J$10="Entrance Speed-Change Lane (EN)",$J$55="No",LocalValues!Q40=""),$R$161*LocalValues!D40,$R$161*LocalValues!Q40),"-")</f>
        <v>-</v>
      </c>
      <c r="E189" s="97" t="str">
        <f>IFERROR(IF(AND($J$10="Entrance Speed-Change Lane (EN)",$J$55="No",LocalValues!R40=""),$R$161*LocalValues!E40,$R$161*LocalValues!R40),"-")</f>
        <v>-</v>
      </c>
      <c r="F189" s="97" t="str">
        <f>IFERROR(IF(AND($J$10="Entrance Speed-Change Lane (EN)",$J$55="No",LocalValues!S40=""),$R$161*LocalValues!F40,$R$161*LocalValues!S40),"-")</f>
        <v>-</v>
      </c>
      <c r="G189" s="97" t="str">
        <f>IFERROR(IF(AND($J$10="Entrance Speed-Change Lane (EN)",$J$55="No",LocalValues!T40=""),$R$161*LocalValues!G40,$R$161*LocalValues!T40),"-")</f>
        <v>-</v>
      </c>
      <c r="H189" s="97" t="str">
        <f>IFERROR(IF(AND($J$10="Entrance Speed-Change Lane (EN)",$J$55="No",LocalValues!U40=""),$R$161*LocalValues!H40,$R$161*LocalValues!U40),"-")</f>
        <v>-</v>
      </c>
      <c r="I189" s="97" t="str">
        <f>IFERROR(IF(AND($J$10="Entrance Speed-Change Lane (EN)",$J$55="No",LocalValues!V40=""),$R$161*LocalValues!I40,$R$161*LocalValues!V40),"-")</f>
        <v>-</v>
      </c>
      <c r="J189" s="97" t="str">
        <f>IFERROR(IF(AND($J$10="Entrance Speed-Change Lane (EN)",$J$55="No",LocalValues!W40=""),$R$161*LocalValues!J40,$R$161*LocalValues!W40),"-")</f>
        <v>-</v>
      </c>
      <c r="K189" s="97" t="str">
        <f>IFERROR(IF(AND($J$10="Entrance Speed-Change Lane (EN)",$J$55="No",LocalValues!X40=""),$R$161*LocalValues!K40,$R$161*LocalValues!X40),"-")</f>
        <v>-</v>
      </c>
      <c r="L189" s="98" t="str">
        <f>IFERROR(IF(AND($J$10="Entrance Speed-Change Lane (EN)",$J$55="No",LocalValues!Y40=""),$R$161*LocalValues!L40,$R$161*LocalValues!Y40),"-")</f>
        <v>-</v>
      </c>
    </row>
    <row r="190" spans="1:30" x14ac:dyDescent="0.2">
      <c r="A190" s="62"/>
      <c r="B190" s="103" t="s">
        <v>14</v>
      </c>
      <c r="C190" s="97" t="str">
        <f>IFERROR(IF(AND($J$10="Entrance Speed-Change Lane (EN)",$J$55="Yes",LocalValues!P41=""),$R$161*LocalValues!C41,$R$161*LocalValues!P41),"-")</f>
        <v>-</v>
      </c>
      <c r="D190" s="97" t="str">
        <f>IFERROR(IF(AND($J$10="Entrance Speed-Change Lane (EN)",$J$55="Yes",LocalValues!Q41=""),$R$161*LocalValues!D41,$R$161*LocalValues!Q41),"-")</f>
        <v>-</v>
      </c>
      <c r="E190" s="97" t="str">
        <f>IFERROR(IF(AND($J$10="Entrance Speed-Change Lane (EN)",$J$55="Yes",LocalValues!R41=""),$R$161*LocalValues!E41,$R$161*LocalValues!R41),"-")</f>
        <v>-</v>
      </c>
      <c r="F190" s="97" t="str">
        <f>IFERROR(IF(AND($J$10="Entrance Speed-Change Lane (EN)",$J$55="Yes",LocalValues!S41=""),$R$161*LocalValues!F41,$R$161*LocalValues!S41),"-")</f>
        <v>-</v>
      </c>
      <c r="G190" s="97" t="str">
        <f>IFERROR(IF(AND($J$10="Entrance Speed-Change Lane (EN)",$J$55="Yes",LocalValues!T41=""),$R$161*LocalValues!G41,$R$161*LocalValues!T41),"-")</f>
        <v>-</v>
      </c>
      <c r="H190" s="97" t="str">
        <f>IFERROR(IF(AND($J$10="Entrance Speed-Change Lane (EN)",$J$55="Yes",LocalValues!U41=""),$R$161*LocalValues!H41,$R$161*LocalValues!U41),"-")</f>
        <v>-</v>
      </c>
      <c r="I190" s="97" t="str">
        <f>IFERROR(IF(AND($J$10="Entrance Speed-Change Lane (EN)",$J$55="Yes",LocalValues!V41=""),$R$161*LocalValues!I41,$R$161*LocalValues!V41),"-")</f>
        <v>-</v>
      </c>
      <c r="J190" s="97" t="str">
        <f>IFERROR(IF(AND($J$10="Entrance Speed-Change Lane (EN)",$J$55="Yes",LocalValues!W41=""),$R$161*LocalValues!J41,$R$161*LocalValues!W41),"-")</f>
        <v>-</v>
      </c>
      <c r="K190" s="97" t="str">
        <f>IFERROR(IF(AND($J$10="Entrance Speed-Change Lane (EN)",$J$55="Yes",LocalValues!X41=""),$R$161*LocalValues!K41,$R$161*LocalValues!X41),"-")</f>
        <v>-</v>
      </c>
      <c r="L190" s="98" t="str">
        <f>IFERROR(IF(AND($J$10="Entrance Speed-Change Lane (EN)",$J$55="Yes",LocalValues!Y41=""),$R$161*LocalValues!L41,$R$161*LocalValues!Y41),"-")</f>
        <v>-</v>
      </c>
    </row>
    <row r="191" spans="1:30" x14ac:dyDescent="0.2">
      <c r="A191" s="102" t="s">
        <v>184</v>
      </c>
      <c r="B191" s="103" t="s">
        <v>15</v>
      </c>
      <c r="C191" s="97" t="str">
        <f>IFERROR(IF(AND($J$10="Exit Speed-Change Lane (EX)",$J$55="No",LocalValues!P42=""),$R$162*LocalValues!C42,$R$162*LocalValues!P42),"-")</f>
        <v>-</v>
      </c>
      <c r="D191" s="97" t="str">
        <f>IFERROR(IF(AND($J$10="Exit Speed-Change Lane (EX)",$J$55="No",LocalValues!Q42=""),$R$162*LocalValues!D42,$R$162*LocalValues!Q42),"-")</f>
        <v>-</v>
      </c>
      <c r="E191" s="97" t="str">
        <f>IFERROR(IF(AND($J$10="Exit Speed-Change Lane (EX)",$J$55="No",LocalValues!R42=""),$R$162*LocalValues!E42,$R$162*LocalValues!R42),"-")</f>
        <v>-</v>
      </c>
      <c r="F191" s="97" t="str">
        <f>IFERROR(IF(AND($J$10="Exit Speed-Change Lane (EX)",$J$55="No",LocalValues!S42=""),$R$162*LocalValues!F42,$R$162*LocalValues!S42),"-")</f>
        <v>-</v>
      </c>
      <c r="G191" s="97" t="str">
        <f>IFERROR(IF(AND($J$10="Exit Speed-Change Lane (EX)",$J$55="No",LocalValues!T42=""),$R$162*LocalValues!G42,$R$162*LocalValues!T42),"-")</f>
        <v>-</v>
      </c>
      <c r="H191" s="97" t="str">
        <f>IFERROR(IF(AND($J$10="Exit Speed-Change Lane (EX)",$J$55="No",LocalValues!U42=""),$R$162*LocalValues!H42,$R$162*LocalValues!U42),"-")</f>
        <v>-</v>
      </c>
      <c r="I191" s="97" t="str">
        <f>IFERROR(IF(AND($J$10="Exit Speed-Change Lane (EX)",$J$55="No",LocalValues!V42=""),$R$162*LocalValues!I42,$R$162*LocalValues!V42),"-")</f>
        <v>-</v>
      </c>
      <c r="J191" s="97" t="str">
        <f>IFERROR(IF(AND($J$10="Exit Speed-Change Lane (EX)",$J$55="No",LocalValues!W42=""),$R$162*LocalValues!J42,$R$162*LocalValues!W42),"-")</f>
        <v>-</v>
      </c>
      <c r="K191" s="97" t="str">
        <f>IFERROR(IF(AND($J$10="Exit Speed-Change Lane (EX)",$J$55="No",LocalValues!X42=""),$R$162*LocalValues!K42,$R$162*LocalValues!X42),"-")</f>
        <v>-</v>
      </c>
      <c r="L191" s="98" t="str">
        <f>IFERROR(IF(AND($J$10="Exit Speed-Change Lane (EX)",$J$55="No",LocalValues!Y42=""),$R$162*LocalValues!L42,$R$162*LocalValues!Y42),"-")</f>
        <v>-</v>
      </c>
    </row>
    <row r="192" spans="1:30" ht="13.5" thickBot="1" x14ac:dyDescent="0.25">
      <c r="A192" s="117"/>
      <c r="B192" s="91" t="s">
        <v>14</v>
      </c>
      <c r="C192" s="97" t="str">
        <f>IFERROR(IF(AND($J$10="Exit Speed-Change Lane (EX)",$J$55="Yes",LocalValues!P43=""),$R$162*LocalValues!C43,$R$162*LocalValues!P43),"-")</f>
        <v>-</v>
      </c>
      <c r="D192" s="97" t="str">
        <f>IFERROR(IF(AND($J$10="Exit Speed-Change Lane (EX)",$J$55="Yes",LocalValues!Q43=""),$R$162*LocalValues!D43,$R$162*LocalValues!Q43),"-")</f>
        <v>-</v>
      </c>
      <c r="E192" s="97" t="str">
        <f>IFERROR(IF(AND($J$10="Exit Speed-Change Lane (EX)",$J$55="Yes",LocalValues!R43=""),$R$162*LocalValues!E43,$R$162*LocalValues!R43),"-")</f>
        <v>-</v>
      </c>
      <c r="F192" s="97" t="str">
        <f>IFERROR(IF(AND($J$10="Exit Speed-Change Lane (EX)",$J$55="Yes",LocalValues!S43=""),$R$162*LocalValues!F43,$R$162*LocalValues!S43),"-")</f>
        <v>-</v>
      </c>
      <c r="G192" s="97" t="str">
        <f>IFERROR(IF(AND($J$10="Exit Speed-Change Lane (EX)",$J$55="Yes",LocalValues!T43=""),$R$162*LocalValues!G43,$R$162*LocalValues!T43),"-")</f>
        <v>-</v>
      </c>
      <c r="H192" s="97" t="str">
        <f>IFERROR(IF(AND($J$10="Exit Speed-Change Lane (EX)",$J$55="Yes",LocalValues!U43=""),$R$162*LocalValues!H43,$R$162*LocalValues!U43),"-")</f>
        <v>-</v>
      </c>
      <c r="I192" s="97" t="str">
        <f>IFERROR(IF(AND($J$10="Exit Speed-Change Lane (EX)",$J$55="Yes",LocalValues!V43=""),$R$162*LocalValues!I43,$R$162*LocalValues!V43),"-")</f>
        <v>-</v>
      </c>
      <c r="J192" s="97" t="str">
        <f>IFERROR(IF(AND($J$10="Exit Speed-Change Lane (EX)",$J$55="Yes",LocalValues!W43=""),$R$162*LocalValues!J43,$R$162*LocalValues!W43),"-")</f>
        <v>-</v>
      </c>
      <c r="K192" s="97" t="str">
        <f>IFERROR(IF(AND($J$10="Exit Speed-Change Lane (EX)",$J$55="Yes",LocalValues!X43=""),$R$162*LocalValues!K43,$R$162*LocalValues!X43),"-")</f>
        <v>-</v>
      </c>
      <c r="L192" s="98"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109" t="s">
        <v>173</v>
      </c>
      <c r="D195" s="109" t="s">
        <v>174</v>
      </c>
      <c r="E195" s="109" t="s">
        <v>175</v>
      </c>
      <c r="F195" s="109" t="s">
        <v>176</v>
      </c>
      <c r="G195" s="109" t="s">
        <v>19</v>
      </c>
      <c r="H195" s="109" t="s">
        <v>177</v>
      </c>
      <c r="I195" s="109" t="s">
        <v>178</v>
      </c>
      <c r="J195" s="109" t="s">
        <v>179</v>
      </c>
      <c r="K195" s="109" t="s">
        <v>180</v>
      </c>
      <c r="L195" s="110" t="s">
        <v>19</v>
      </c>
    </row>
    <row r="196" spans="1:13" x14ac:dyDescent="0.2">
      <c r="A196" s="102" t="s">
        <v>182</v>
      </c>
      <c r="B196" s="103" t="s">
        <v>15</v>
      </c>
      <c r="C196" s="97" t="str">
        <f>IFERROR(IF(AND($J$10="Basic Freeway Segment (FS)",$J$55="No",LocalValues!P47=""),$R$163*LocalValues!C47,$R$163*LocalValues!P47),"-")</f>
        <v>-</v>
      </c>
      <c r="D196" s="97" t="str">
        <f>IFERROR(IF(AND($J$10="Basic Freeway Segment (FS)",$J$55="No",LocalValues!Q47=""),$R$163*LocalValues!D47,$R$163*LocalValues!Q47),"-")</f>
        <v>-</v>
      </c>
      <c r="E196" s="97" t="str">
        <f>IFERROR(IF(AND($J$10="Basic Freeway Segment (FS)",$J$55="No",LocalValues!R47=""),$R$163*LocalValues!E47,$R$163*LocalValues!R47),"-")</f>
        <v>-</v>
      </c>
      <c r="F196" s="97" t="str">
        <f>IFERROR(IF(AND($J$10="Basic Freeway Segment (FS)",$J$55="No",LocalValues!S47=""),$R$163*LocalValues!F47,$R$163*LocalValues!S47),"-")</f>
        <v>-</v>
      </c>
      <c r="G196" s="97" t="str">
        <f>IFERROR(IF(AND($J$10="Basic Freeway Segment (FS)",$J$55="No",LocalValues!T47=""),$R$163*LocalValues!G47,$R$163*LocalValues!T47),"-")</f>
        <v>-</v>
      </c>
      <c r="H196" s="97" t="str">
        <f>IFERROR(IF(AND($J$10="Basic Freeway Segment (FS)",$J$55="No",LocalValues!U47=""),$R$163*LocalValues!H47,$R$163*LocalValues!U47),"-")</f>
        <v>-</v>
      </c>
      <c r="I196" s="97" t="str">
        <f>IFERROR(IF(AND($J$10="Basic Freeway Segment (FS)",$J$55="No",LocalValues!V47=""),$R$163*LocalValues!I47,$R$163*LocalValues!V47),"-")</f>
        <v>-</v>
      </c>
      <c r="J196" s="97" t="str">
        <f>IFERROR(IF(AND($J$10="Basic Freeway Segment (FS)",$J$55="No",LocalValues!W47=""),$R$163*LocalValues!J47,$R$163*LocalValues!W47),"-")</f>
        <v>-</v>
      </c>
      <c r="K196" s="97" t="str">
        <f>IFERROR(IF(AND($J$10="Basic Freeway Segment (FS)",$J$55="No",LocalValues!X47=""),$R$163*LocalValues!K47,$R$163*LocalValues!X47),"-")</f>
        <v>-</v>
      </c>
      <c r="L196" s="98" t="str">
        <f>IFERROR(IF(AND($J$10="Basic Freeway Segment (FS)",$J$55="No",LocalValues!Y47=""),$R$163*LocalValues!L47,$R$163*LocalValues!Y47),"-")</f>
        <v>-</v>
      </c>
    </row>
    <row r="197" spans="1:13" x14ac:dyDescent="0.2">
      <c r="A197" s="62"/>
      <c r="B197" s="103"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102" t="s">
        <v>183</v>
      </c>
      <c r="B198" s="103" t="s">
        <v>15</v>
      </c>
      <c r="C198" s="97" t="str">
        <f>IFERROR(IF(AND($J$10="Entrance Speed-Change Lane (EN)",$J$55="No",LocalValues!P49=""),$R$164*LocalValues!C49,$R$164*LocalValues!P49),"-")</f>
        <v>-</v>
      </c>
      <c r="D198" s="97" t="str">
        <f>IFERROR(IF(AND($J$10="Entrance Speed-Change Lane (EN)",$J$55="No",LocalValues!Q49=""),$R$164*LocalValues!D49,$R$164*LocalValues!Q49),"-")</f>
        <v>-</v>
      </c>
      <c r="E198" s="97" t="str">
        <f>IFERROR(IF(AND($J$10="Entrance Speed-Change Lane (EN)",$J$55="No",LocalValues!R49=""),$R$164*LocalValues!E49,$R$164*LocalValues!R49),"-")</f>
        <v>-</v>
      </c>
      <c r="F198" s="97" t="str">
        <f>IFERROR(IF(AND($J$10="Entrance Speed-Change Lane (EN)",$J$55="No",LocalValues!S49=""),$R$164*LocalValues!F49,$R$164*LocalValues!S49),"-")</f>
        <v>-</v>
      </c>
      <c r="G198" s="97" t="str">
        <f>IFERROR(IF(AND($J$10="Entrance Speed-Change Lane (EN)",$J$55="No",LocalValues!T49=""),$R$164*LocalValues!G49,$R$164*LocalValues!T49),"-")</f>
        <v>-</v>
      </c>
      <c r="H198" s="97" t="str">
        <f>IFERROR(IF(AND($J$10="Entrance Speed-Change Lane (EN)",$J$55="No",LocalValues!U49=""),$R$164*LocalValues!H49,$R$164*LocalValues!U49),"-")</f>
        <v>-</v>
      </c>
      <c r="I198" s="97" t="str">
        <f>IFERROR(IF(AND($J$10="Entrance Speed-Change Lane (EN)",$J$55="No",LocalValues!V49=""),$R$164*LocalValues!I49,$R$164*LocalValues!V49),"-")</f>
        <v>-</v>
      </c>
      <c r="J198" s="97" t="str">
        <f>IFERROR(IF(AND($J$10="Entrance Speed-Change Lane (EN)",$J$55="No",LocalValues!W49=""),$R$164*LocalValues!J49,$R$164*LocalValues!W49),"-")</f>
        <v>-</v>
      </c>
      <c r="K198" s="97" t="str">
        <f>IFERROR(IF(AND($J$10="Entrance Speed-Change Lane (EN)",$J$55="No",LocalValues!X49=""),$R$164*LocalValues!K49,$R$164*LocalValues!X49),"-")</f>
        <v>-</v>
      </c>
      <c r="L198" s="98" t="str">
        <f>IFERROR(IF(AND($J$10="Entrance Speed-Change Lane (EN)",$J$55="No",LocalValues!Y49=""),$R$164*LocalValues!L49,$R$164*LocalValues!Y49),"-")</f>
        <v>-</v>
      </c>
    </row>
    <row r="199" spans="1:13" x14ac:dyDescent="0.2">
      <c r="A199" s="62"/>
      <c r="B199" s="103" t="s">
        <v>14</v>
      </c>
      <c r="C199" s="97" t="str">
        <f>IFERROR(IF(AND($J$10="Entrance Speed-Change Lane (EN)",$J$55="Yes",LocalValues!P50=""),$R$164*LocalValues!C50,$R$164*LocalValues!P50),"-")</f>
        <v>-</v>
      </c>
      <c r="D199" s="97" t="str">
        <f>IFERROR(IF(AND($J$10="Entrance Speed-Change Lane (EN)",$J$55="Yes",LocalValues!Q50=""),$R$164*LocalValues!D50,$R$164*LocalValues!Q50),"-")</f>
        <v>-</v>
      </c>
      <c r="E199" s="97" t="str">
        <f>IFERROR(IF(AND($J$10="Entrance Speed-Change Lane (EN)",$J$55="Yes",LocalValues!R50=""),$R$164*LocalValues!E50,$R$164*LocalValues!R50),"-")</f>
        <v>-</v>
      </c>
      <c r="F199" s="97" t="str">
        <f>IFERROR(IF(AND($J$10="Entrance Speed-Change Lane (EN)",$J$55="Yes",LocalValues!S50=""),$R$164*LocalValues!F50,$R$164*LocalValues!S50),"-")</f>
        <v>-</v>
      </c>
      <c r="G199" s="97" t="str">
        <f>IFERROR(IF(AND($J$10="Entrance Speed-Change Lane (EN)",$J$55="Yes",LocalValues!T50=""),$R$164*LocalValues!G50,$R$164*LocalValues!T50),"-")</f>
        <v>-</v>
      </c>
      <c r="H199" s="97" t="str">
        <f>IFERROR(IF(AND($J$10="Entrance Speed-Change Lane (EN)",$J$55="Yes",LocalValues!U50=""),$R$164*LocalValues!H50,$R$164*LocalValues!U50),"-")</f>
        <v>-</v>
      </c>
      <c r="I199" s="97" t="str">
        <f>IFERROR(IF(AND($J$10="Entrance Speed-Change Lane (EN)",$J$55="Yes",LocalValues!V50=""),$R$164*LocalValues!I50,$R$164*LocalValues!V50),"-")</f>
        <v>-</v>
      </c>
      <c r="J199" s="97" t="str">
        <f>IFERROR(IF(AND($J$10="Entrance Speed-Change Lane (EN)",$J$55="Yes",LocalValues!W50=""),$R$164*LocalValues!J50,$R$164*LocalValues!W50),"-")</f>
        <v>-</v>
      </c>
      <c r="K199" s="97" t="str">
        <f>IFERROR(IF(AND($J$10="Entrance Speed-Change Lane (EN)",$J$55="Yes",LocalValues!X50=""),$R$164*LocalValues!K50,$R$164*LocalValues!X50),"-")</f>
        <v>-</v>
      </c>
      <c r="L199" s="98" t="str">
        <f>IFERROR(IF(AND($J$10="Entrance Speed-Change Lane (EN)",$J$55="Yes",LocalValues!Y50=""),$R$164*LocalValues!L50,$R$164*LocalValues!Y50),"-")</f>
        <v>-</v>
      </c>
    </row>
    <row r="200" spans="1:13" x14ac:dyDescent="0.2">
      <c r="A200" s="102" t="s">
        <v>184</v>
      </c>
      <c r="B200" s="103" t="s">
        <v>15</v>
      </c>
      <c r="C200" s="97" t="str">
        <f>IFERROR(IF(AND($J$10="Exit Speed-Change Lane (EX)",$J$55="No",LocalValues!P51=""),$R$165*LocalValues!C51,$R$165*LocalValues!P51),"-")</f>
        <v>-</v>
      </c>
      <c r="D200" s="97" t="str">
        <f>IFERROR(IF(AND($J$10="Exit Speed-Change Lane (EX)",$J$55="No",LocalValues!Q51=""),$R$165*LocalValues!D51,$R$165*LocalValues!Q51),"-")</f>
        <v>-</v>
      </c>
      <c r="E200" s="97" t="str">
        <f>IFERROR(IF(AND($J$10="Exit Speed-Change Lane (EX)",$J$55="No",LocalValues!R51=""),$R$165*LocalValues!E51,$R$165*LocalValues!R51),"-")</f>
        <v>-</v>
      </c>
      <c r="F200" s="97" t="str">
        <f>IFERROR(IF(AND($J$10="Exit Speed-Change Lane (EX)",$J$55="No",LocalValues!S51=""),$R$165*LocalValues!F51,$R$165*LocalValues!S51),"-")</f>
        <v>-</v>
      </c>
      <c r="G200" s="97" t="str">
        <f>IFERROR(IF(AND($J$10="Exit Speed-Change Lane (EX)",$J$55="No",LocalValues!T51=""),$R$165*LocalValues!G51,$R$165*LocalValues!T51),"-")</f>
        <v>-</v>
      </c>
      <c r="H200" s="97" t="str">
        <f>IFERROR(IF(AND($J$10="Exit Speed-Change Lane (EX)",$J$55="No",LocalValues!U51=""),$R$165*LocalValues!H51,$R$165*LocalValues!U51),"-")</f>
        <v>-</v>
      </c>
      <c r="I200" s="97" t="str">
        <f>IFERROR(IF(AND($J$10="Exit Speed-Change Lane (EX)",$J$55="No",LocalValues!V51=""),$R$165*LocalValues!I51,$R$165*LocalValues!V51),"-")</f>
        <v>-</v>
      </c>
      <c r="J200" s="97" t="str">
        <f>IFERROR(IF(AND($J$10="Exit Speed-Change Lane (EX)",$J$55="No",LocalValues!W51=""),$R$165*LocalValues!J51,$R$165*LocalValues!W51),"-")</f>
        <v>-</v>
      </c>
      <c r="K200" s="97" t="str">
        <f>IFERROR(IF(AND($J$10="Exit Speed-Change Lane (EX)",$J$55="No",LocalValues!X51=""),$R$165*LocalValues!K51,$R$165*LocalValues!X51),"-")</f>
        <v>-</v>
      </c>
      <c r="L200" s="98"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175" t="s">
        <v>173</v>
      </c>
      <c r="D206" s="175" t="s">
        <v>174</v>
      </c>
      <c r="E206" s="175" t="s">
        <v>175</v>
      </c>
      <c r="F206" s="175" t="s">
        <v>176</v>
      </c>
      <c r="G206" s="175" t="s">
        <v>19</v>
      </c>
      <c r="H206" s="175" t="s">
        <v>177</v>
      </c>
      <c r="I206" s="175" t="s">
        <v>178</v>
      </c>
      <c r="J206" s="175" t="s">
        <v>179</v>
      </c>
      <c r="K206" s="175" t="s">
        <v>180</v>
      </c>
      <c r="L206" s="175" t="s">
        <v>19</v>
      </c>
      <c r="M206" s="261"/>
    </row>
    <row r="207" spans="1:13" x14ac:dyDescent="0.2">
      <c r="A207" s="174"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7">SUM(C207:L207)</f>
        <v>0</v>
      </c>
    </row>
    <row r="208" spans="1:13" x14ac:dyDescent="0.2">
      <c r="A208" s="174" t="s">
        <v>409</v>
      </c>
      <c r="B208" s="112" t="e">
        <f t="shared" ref="B208:B210" si="28">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7"/>
        <v>0</v>
      </c>
    </row>
    <row r="209" spans="1:13" x14ac:dyDescent="0.2">
      <c r="A209" s="174" t="s">
        <v>410</v>
      </c>
      <c r="B209" s="112" t="e">
        <f t="shared" si="28"/>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7"/>
        <v>0</v>
      </c>
    </row>
    <row r="210" spans="1:13" x14ac:dyDescent="0.2">
      <c r="A210" s="174" t="s">
        <v>129</v>
      </c>
      <c r="B210" s="112" t="e">
        <f t="shared" si="28"/>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7"/>
        <v>0</v>
      </c>
    </row>
    <row r="211" spans="1:13" x14ac:dyDescent="0.2">
      <c r="A211" s="174"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7"/>
        <v>0</v>
      </c>
    </row>
    <row r="212" spans="1:13" ht="13.5" thickBot="1" x14ac:dyDescent="0.25">
      <c r="A212" s="186" t="s">
        <v>12</v>
      </c>
      <c r="B212" s="99"/>
      <c r="C212" s="188">
        <f>SUM(C207:C211)</f>
        <v>0</v>
      </c>
      <c r="D212" s="188">
        <f t="shared" ref="D212:L212" si="29">SUM(D207:D211)</f>
        <v>0</v>
      </c>
      <c r="E212" s="188">
        <f t="shared" si="29"/>
        <v>0</v>
      </c>
      <c r="F212" s="188">
        <f t="shared" si="29"/>
        <v>0</v>
      </c>
      <c r="G212" s="188">
        <f t="shared" si="29"/>
        <v>0</v>
      </c>
      <c r="H212" s="188">
        <f t="shared" si="29"/>
        <v>0</v>
      </c>
      <c r="I212" s="188">
        <f t="shared" si="29"/>
        <v>0</v>
      </c>
      <c r="J212" s="188">
        <f t="shared" si="29"/>
        <v>0</v>
      </c>
      <c r="K212" s="188">
        <f t="shared" si="29"/>
        <v>0</v>
      </c>
      <c r="L212" s="188">
        <f t="shared" si="29"/>
        <v>0</v>
      </c>
      <c r="M212" s="187">
        <f t="shared" si="27"/>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175" t="s">
        <v>173</v>
      </c>
      <c r="D215" s="175" t="s">
        <v>174</v>
      </c>
      <c r="E215" s="175" t="s">
        <v>175</v>
      </c>
      <c r="F215" s="175" t="s">
        <v>176</v>
      </c>
      <c r="G215" s="175" t="s">
        <v>19</v>
      </c>
      <c r="H215" s="175" t="s">
        <v>177</v>
      </c>
      <c r="I215" s="175" t="s">
        <v>178</v>
      </c>
      <c r="J215" s="175" t="s">
        <v>179</v>
      </c>
      <c r="K215" s="175" t="s">
        <v>180</v>
      </c>
      <c r="L215" s="175" t="s">
        <v>19</v>
      </c>
      <c r="M215" s="261"/>
    </row>
    <row r="216" spans="1:13" x14ac:dyDescent="0.2">
      <c r="A216" s="174"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30">SUM(C216:L216)</f>
        <v>0</v>
      </c>
    </row>
    <row r="217" spans="1:13" x14ac:dyDescent="0.2">
      <c r="A217" s="174" t="s">
        <v>409</v>
      </c>
      <c r="B217" s="112" t="e">
        <f t="shared" ref="B217:B219" si="31">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30"/>
        <v>0</v>
      </c>
    </row>
    <row r="218" spans="1:13" x14ac:dyDescent="0.2">
      <c r="A218" s="174" t="s">
        <v>410</v>
      </c>
      <c r="B218" s="112" t="e">
        <f t="shared" si="31"/>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30"/>
        <v>0</v>
      </c>
    </row>
    <row r="219" spans="1:13" x14ac:dyDescent="0.2">
      <c r="A219" s="174" t="s">
        <v>129</v>
      </c>
      <c r="B219" s="112" t="e">
        <f t="shared" si="31"/>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30"/>
        <v>0</v>
      </c>
    </row>
    <row r="220" spans="1:13" x14ac:dyDescent="0.2">
      <c r="A220" s="174"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30"/>
        <v>0</v>
      </c>
    </row>
    <row r="221" spans="1:13" ht="13.5" thickBot="1" x14ac:dyDescent="0.25">
      <c r="A221" s="186" t="s">
        <v>12</v>
      </c>
      <c r="B221" s="99"/>
      <c r="C221" s="188">
        <f>SUM(C216:C220)</f>
        <v>0</v>
      </c>
      <c r="D221" s="188">
        <f t="shared" ref="D221:L221" si="32">SUM(D216:D220)</f>
        <v>0</v>
      </c>
      <c r="E221" s="188">
        <f t="shared" si="32"/>
        <v>0</v>
      </c>
      <c r="F221" s="188">
        <f t="shared" si="32"/>
        <v>0</v>
      </c>
      <c r="G221" s="188">
        <f t="shared" si="32"/>
        <v>0</v>
      </c>
      <c r="H221" s="188">
        <f t="shared" si="32"/>
        <v>0</v>
      </c>
      <c r="I221" s="188">
        <f t="shared" si="32"/>
        <v>0</v>
      </c>
      <c r="J221" s="188">
        <f t="shared" si="32"/>
        <v>0</v>
      </c>
      <c r="K221" s="188">
        <f t="shared" si="32"/>
        <v>0</v>
      </c>
      <c r="L221" s="188">
        <f t="shared" si="32"/>
        <v>0</v>
      </c>
      <c r="M221" s="187">
        <f t="shared" si="30"/>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175" t="s">
        <v>173</v>
      </c>
      <c r="D224" s="175" t="s">
        <v>174</v>
      </c>
      <c r="E224" s="175" t="s">
        <v>175</v>
      </c>
      <c r="F224" s="175" t="s">
        <v>176</v>
      </c>
      <c r="G224" s="175" t="s">
        <v>19</v>
      </c>
      <c r="H224" s="175" t="s">
        <v>177</v>
      </c>
      <c r="I224" s="175" t="s">
        <v>178</v>
      </c>
      <c r="J224" s="175" t="s">
        <v>179</v>
      </c>
      <c r="K224" s="175" t="s">
        <v>180</v>
      </c>
      <c r="L224" s="175" t="s">
        <v>19</v>
      </c>
      <c r="M224" s="261"/>
    </row>
    <row r="225" spans="1:13" x14ac:dyDescent="0.2">
      <c r="A225" s="174"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33">SUM(C225:L225)</f>
        <v>0</v>
      </c>
    </row>
    <row r="226" spans="1:13" x14ac:dyDescent="0.2">
      <c r="A226" s="174" t="s">
        <v>409</v>
      </c>
      <c r="B226" s="112" t="e">
        <f t="shared" ref="B226:B228" si="34">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33"/>
        <v>0</v>
      </c>
    </row>
    <row r="227" spans="1:13" x14ac:dyDescent="0.2">
      <c r="A227" s="174" t="s">
        <v>410</v>
      </c>
      <c r="B227" s="112" t="e">
        <f t="shared" si="34"/>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33"/>
        <v>0</v>
      </c>
    </row>
    <row r="228" spans="1:13" x14ac:dyDescent="0.2">
      <c r="A228" s="174" t="s">
        <v>129</v>
      </c>
      <c r="B228" s="112" t="e">
        <f t="shared" si="34"/>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33"/>
        <v>0</v>
      </c>
    </row>
    <row r="229" spans="1:13" x14ac:dyDescent="0.2">
      <c r="A229" s="174"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33"/>
        <v>0</v>
      </c>
    </row>
    <row r="230" spans="1:13" ht="13.5" thickBot="1" x14ac:dyDescent="0.25">
      <c r="A230" s="186" t="s">
        <v>12</v>
      </c>
      <c r="B230" s="99"/>
      <c r="C230" s="188">
        <f>SUM(C225:C229)</f>
        <v>0</v>
      </c>
      <c r="D230" s="188">
        <f t="shared" ref="D230:L230" si="35">SUM(D225:D229)</f>
        <v>0</v>
      </c>
      <c r="E230" s="188">
        <f t="shared" si="35"/>
        <v>0</v>
      </c>
      <c r="F230" s="188">
        <f t="shared" si="35"/>
        <v>0</v>
      </c>
      <c r="G230" s="188">
        <f t="shared" si="35"/>
        <v>0</v>
      </c>
      <c r="H230" s="188">
        <f t="shared" si="35"/>
        <v>0</v>
      </c>
      <c r="I230" s="188">
        <f t="shared" si="35"/>
        <v>0</v>
      </c>
      <c r="J230" s="188">
        <f t="shared" si="35"/>
        <v>0</v>
      </c>
      <c r="K230" s="188">
        <f t="shared" si="35"/>
        <v>0</v>
      </c>
      <c r="L230" s="188">
        <f t="shared" si="35"/>
        <v>0</v>
      </c>
      <c r="M230" s="187">
        <f t="shared" si="33"/>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63:G63"/>
    <mergeCell ref="A64:G64"/>
    <mergeCell ref="H63:I63"/>
    <mergeCell ref="H60:I60"/>
    <mergeCell ref="A88:M88"/>
    <mergeCell ref="H64:I64"/>
    <mergeCell ref="J63:M63"/>
    <mergeCell ref="J64:M64"/>
    <mergeCell ref="G71:G72"/>
    <mergeCell ref="H71:H72"/>
    <mergeCell ref="A66:G66"/>
    <mergeCell ref="A84:B84"/>
    <mergeCell ref="A85:B85"/>
    <mergeCell ref="A86:B86"/>
    <mergeCell ref="H66:M66"/>
    <mergeCell ref="J74:K74"/>
    <mergeCell ref="A65:M65"/>
    <mergeCell ref="J75:K75"/>
    <mergeCell ref="J76:K76"/>
    <mergeCell ref="J77:K77"/>
    <mergeCell ref="J78:K78"/>
    <mergeCell ref="J79:K79"/>
    <mergeCell ref="A82:M82"/>
    <mergeCell ref="A70:K70"/>
    <mergeCell ref="A49:F49"/>
    <mergeCell ref="A89:B89"/>
    <mergeCell ref="A108:B108"/>
    <mergeCell ref="H55:I55"/>
    <mergeCell ref="H50:I50"/>
    <mergeCell ref="H51:I51"/>
    <mergeCell ref="A98:M98"/>
    <mergeCell ref="H56:I56"/>
    <mergeCell ref="J56:M56"/>
    <mergeCell ref="A60:G60"/>
    <mergeCell ref="A61:G61"/>
    <mergeCell ref="J61:M61"/>
    <mergeCell ref="H61:I61"/>
    <mergeCell ref="C71:F71"/>
    <mergeCell ref="A71:A72"/>
    <mergeCell ref="B71:B72"/>
    <mergeCell ref="A58:F58"/>
    <mergeCell ref="A59:F59"/>
    <mergeCell ref="A62:N62"/>
    <mergeCell ref="A55:F55"/>
    <mergeCell ref="A57:F57"/>
    <mergeCell ref="A56:F56"/>
    <mergeCell ref="H53:I53"/>
    <mergeCell ref="J53:M53"/>
    <mergeCell ref="A158:R158"/>
    <mergeCell ref="A146:B146"/>
    <mergeCell ref="A147:B147"/>
    <mergeCell ref="A148:B148"/>
    <mergeCell ref="A153:B153"/>
    <mergeCell ref="A154:B154"/>
    <mergeCell ref="A155:B155"/>
    <mergeCell ref="A156:B156"/>
    <mergeCell ref="A150:M150"/>
    <mergeCell ref="A151:B151"/>
    <mergeCell ref="A152:B152"/>
    <mergeCell ref="J41:M41"/>
    <mergeCell ref="H38:I38"/>
    <mergeCell ref="H52:I52"/>
    <mergeCell ref="J52:M52"/>
    <mergeCell ref="H42:I42"/>
    <mergeCell ref="H43:I43"/>
    <mergeCell ref="H44:I44"/>
    <mergeCell ref="A47:M47"/>
    <mergeCell ref="H45:I45"/>
    <mergeCell ref="J42:M42"/>
    <mergeCell ref="A42:F42"/>
    <mergeCell ref="H48:I48"/>
    <mergeCell ref="H39:I39"/>
    <mergeCell ref="H40:I40"/>
    <mergeCell ref="H41:I41"/>
    <mergeCell ref="A41:F41"/>
    <mergeCell ref="H49:I49"/>
    <mergeCell ref="J46:M46"/>
    <mergeCell ref="A43:F43"/>
    <mergeCell ref="J48:M48"/>
    <mergeCell ref="A44:F44"/>
    <mergeCell ref="A45:F45"/>
    <mergeCell ref="A46:F46"/>
    <mergeCell ref="A48:F48"/>
    <mergeCell ref="A36:F36"/>
    <mergeCell ref="A37:F37"/>
    <mergeCell ref="H32:I32"/>
    <mergeCell ref="A38:F38"/>
    <mergeCell ref="A39:F39"/>
    <mergeCell ref="A40:F40"/>
    <mergeCell ref="J38:M38"/>
    <mergeCell ref="J39:M39"/>
    <mergeCell ref="J40:M40"/>
    <mergeCell ref="H36:I36"/>
    <mergeCell ref="H37:I37"/>
    <mergeCell ref="H29:I29"/>
    <mergeCell ref="H30:I30"/>
    <mergeCell ref="H31:I31"/>
    <mergeCell ref="J37:M37"/>
    <mergeCell ref="J36:M36"/>
    <mergeCell ref="J32:M32"/>
    <mergeCell ref="J33:M33"/>
    <mergeCell ref="J34:M34"/>
    <mergeCell ref="H33:I33"/>
    <mergeCell ref="H34:I34"/>
    <mergeCell ref="A11:G11"/>
    <mergeCell ref="H11:I11"/>
    <mergeCell ref="J11:M11"/>
    <mergeCell ref="H14:I14"/>
    <mergeCell ref="A33:F33"/>
    <mergeCell ref="A34:F34"/>
    <mergeCell ref="J22:M22"/>
    <mergeCell ref="H21:I21"/>
    <mergeCell ref="H16:I16"/>
    <mergeCell ref="J16:M16"/>
    <mergeCell ref="A18:F18"/>
    <mergeCell ref="A21:F21"/>
    <mergeCell ref="A19:F19"/>
    <mergeCell ref="A22:F22"/>
    <mergeCell ref="A23:F23"/>
    <mergeCell ref="H12:I12"/>
    <mergeCell ref="J23:M23"/>
    <mergeCell ref="H22:I22"/>
    <mergeCell ref="H19:I19"/>
    <mergeCell ref="J19:M19"/>
    <mergeCell ref="H20:I20"/>
    <mergeCell ref="A2:M2"/>
    <mergeCell ref="A3:G3"/>
    <mergeCell ref="H3:M3"/>
    <mergeCell ref="A5:C5"/>
    <mergeCell ref="E5:G5"/>
    <mergeCell ref="H5:J5"/>
    <mergeCell ref="A4:C4"/>
    <mergeCell ref="E4:G4"/>
    <mergeCell ref="H4:J4"/>
    <mergeCell ref="K4:N4"/>
    <mergeCell ref="K5:N5"/>
    <mergeCell ref="H6:J6"/>
    <mergeCell ref="A20:F20"/>
    <mergeCell ref="A6:C6"/>
    <mergeCell ref="E6:G6"/>
    <mergeCell ref="A10:G10"/>
    <mergeCell ref="H10:I10"/>
    <mergeCell ref="A9:G9"/>
    <mergeCell ref="H9:I9"/>
    <mergeCell ref="J9:M9"/>
    <mergeCell ref="A7:C7"/>
    <mergeCell ref="E7:G7"/>
    <mergeCell ref="J12:M12"/>
    <mergeCell ref="J14:M14"/>
    <mergeCell ref="A12:D12"/>
    <mergeCell ref="A15:M15"/>
    <mergeCell ref="J10:M10"/>
    <mergeCell ref="A13:D13"/>
    <mergeCell ref="J13:M13"/>
    <mergeCell ref="H13:I13"/>
    <mergeCell ref="H25:I25"/>
    <mergeCell ref="H24:I24"/>
    <mergeCell ref="H18:I18"/>
    <mergeCell ref="J18:M18"/>
    <mergeCell ref="J20:M20"/>
    <mergeCell ref="J21:M21"/>
    <mergeCell ref="H23:I23"/>
    <mergeCell ref="A52:F52"/>
    <mergeCell ref="A53:F53"/>
    <mergeCell ref="J27:M27"/>
    <mergeCell ref="J26:M26"/>
    <mergeCell ref="J24:M24"/>
    <mergeCell ref="A24:F24"/>
    <mergeCell ref="A25:F25"/>
    <mergeCell ref="J28:M28"/>
    <mergeCell ref="J29:M29"/>
    <mergeCell ref="J30:M30"/>
    <mergeCell ref="J31:M31"/>
    <mergeCell ref="A27:F27"/>
    <mergeCell ref="A28:F28"/>
    <mergeCell ref="H27:I27"/>
    <mergeCell ref="H28:I28"/>
    <mergeCell ref="J45:M45"/>
    <mergeCell ref="H46:I46"/>
    <mergeCell ref="J43:M43"/>
    <mergeCell ref="J44:M44"/>
    <mergeCell ref="A29:F29"/>
    <mergeCell ref="A30:F30"/>
    <mergeCell ref="A31:F31"/>
    <mergeCell ref="A32:F32"/>
    <mergeCell ref="A35:M35"/>
    <mergeCell ref="J73:K73"/>
    <mergeCell ref="I71:I72"/>
    <mergeCell ref="J71:K72"/>
    <mergeCell ref="B194:B195"/>
    <mergeCell ref="C194:G194"/>
    <mergeCell ref="H194:L194"/>
    <mergeCell ref="A99:B99"/>
    <mergeCell ref="A100:B100"/>
    <mergeCell ref="A103:B103"/>
    <mergeCell ref="A104:B104"/>
    <mergeCell ref="A136:B136"/>
    <mergeCell ref="A113:B113"/>
    <mergeCell ref="A114:B116"/>
    <mergeCell ref="A117:B120"/>
    <mergeCell ref="A122:M122"/>
    <mergeCell ref="A112:M112"/>
    <mergeCell ref="A105:B105"/>
    <mergeCell ref="A126:M126"/>
    <mergeCell ref="A131:M131"/>
    <mergeCell ref="A135:M135"/>
    <mergeCell ref="A140:M140"/>
    <mergeCell ref="A145:M145"/>
    <mergeCell ref="A109:B109"/>
    <mergeCell ref="A168:O168"/>
    <mergeCell ref="A184:L184"/>
    <mergeCell ref="M114:M116"/>
    <mergeCell ref="M117:M120"/>
    <mergeCell ref="A83:M83"/>
    <mergeCell ref="A142:B142"/>
    <mergeCell ref="A143:B143"/>
    <mergeCell ref="A102:M102"/>
    <mergeCell ref="A107:M107"/>
    <mergeCell ref="A90:B90"/>
    <mergeCell ref="A91:B91"/>
    <mergeCell ref="A94:B94"/>
    <mergeCell ref="A95:B95"/>
    <mergeCell ref="A96:B96"/>
    <mergeCell ref="A128:B128"/>
    <mergeCell ref="A129:B129"/>
    <mergeCell ref="A132:B132"/>
    <mergeCell ref="A133:B133"/>
    <mergeCell ref="A123:B123"/>
    <mergeCell ref="A124:B124"/>
    <mergeCell ref="A137:B137"/>
    <mergeCell ref="A138:B138"/>
    <mergeCell ref="A141:B141"/>
    <mergeCell ref="A93:M93"/>
    <mergeCell ref="A110:B110"/>
    <mergeCell ref="A127:B127"/>
    <mergeCell ref="K6:N6"/>
    <mergeCell ref="K7:N7"/>
    <mergeCell ref="K8:N8"/>
    <mergeCell ref="J57:M57"/>
    <mergeCell ref="J58:M58"/>
    <mergeCell ref="J59:M59"/>
    <mergeCell ref="J60:M60"/>
    <mergeCell ref="J49:M49"/>
    <mergeCell ref="J50:M50"/>
    <mergeCell ref="J51:M51"/>
    <mergeCell ref="A54:M54"/>
    <mergeCell ref="J55:M55"/>
    <mergeCell ref="H57:I57"/>
    <mergeCell ref="H58:I58"/>
    <mergeCell ref="H59:I59"/>
    <mergeCell ref="A17:M17"/>
    <mergeCell ref="A26:F26"/>
    <mergeCell ref="A16:F16"/>
    <mergeCell ref="A14:F14"/>
    <mergeCell ref="J25:M25"/>
    <mergeCell ref="A50:F50"/>
    <mergeCell ref="A51:F51"/>
    <mergeCell ref="H26:I26"/>
    <mergeCell ref="B185:B186"/>
    <mergeCell ref="A222:M222"/>
    <mergeCell ref="A223:A224"/>
    <mergeCell ref="B223:B224"/>
    <mergeCell ref="C223:G223"/>
    <mergeCell ref="H223:L223"/>
    <mergeCell ref="M223:M224"/>
    <mergeCell ref="A204:M204"/>
    <mergeCell ref="C205:G205"/>
    <mergeCell ref="H205:L205"/>
    <mergeCell ref="A205:A206"/>
    <mergeCell ref="B205:B206"/>
    <mergeCell ref="M205:M206"/>
    <mergeCell ref="A213:M213"/>
    <mergeCell ref="A214:A215"/>
    <mergeCell ref="B214:B215"/>
    <mergeCell ref="C214:G214"/>
    <mergeCell ref="H214:L214"/>
    <mergeCell ref="M214:M215"/>
    <mergeCell ref="C185:G185"/>
    <mergeCell ref="H185:L185"/>
    <mergeCell ref="A185:A186"/>
    <mergeCell ref="A193:L193"/>
    <mergeCell ref="A194:A195"/>
  </mergeCells>
  <conditionalFormatting sqref="J12:M12 J13">
    <cfRule type="cellIs" dxfId="579" priority="31" stopIfTrue="1" operator="greaterThan">
      <formula>$F$12</formula>
    </cfRule>
  </conditionalFormatting>
  <conditionalFormatting sqref="J52">
    <cfRule type="cellIs" dxfId="578" priority="30" stopIfTrue="1" operator="greaterThan">
      <formula>$F$12</formula>
    </cfRule>
  </conditionalFormatting>
  <conditionalFormatting sqref="J53">
    <cfRule type="cellIs" dxfId="577" priority="29" stopIfTrue="1" operator="greaterThan">
      <formula>$F$12</formula>
    </cfRule>
  </conditionalFormatting>
  <conditionalFormatting sqref="A26:M26">
    <cfRule type="expression" dxfId="576" priority="26">
      <formula>$N$26="N/A"</formula>
    </cfRule>
  </conditionalFormatting>
  <conditionalFormatting sqref="A28:M28">
    <cfRule type="expression" dxfId="575" priority="27">
      <formula>$N$28="N/A"</formula>
    </cfRule>
  </conditionalFormatting>
  <conditionalFormatting sqref="A30:M30">
    <cfRule type="expression" dxfId="574" priority="25">
      <formula>$N$30="N/A"</formula>
    </cfRule>
  </conditionalFormatting>
  <conditionalFormatting sqref="A32:M32">
    <cfRule type="expression" dxfId="573" priority="24">
      <formula>$N$32="N/A"</formula>
    </cfRule>
  </conditionalFormatting>
  <conditionalFormatting sqref="A34:M34">
    <cfRule type="expression" dxfId="572" priority="23">
      <formula>$N$34="N/A"</formula>
    </cfRule>
  </conditionalFormatting>
  <conditionalFormatting sqref="A40:M40">
    <cfRule type="expression" dxfId="571" priority="22">
      <formula>$N$40="N/A"</formula>
    </cfRule>
  </conditionalFormatting>
  <conditionalFormatting sqref="A42:M42">
    <cfRule type="expression" dxfId="570" priority="21">
      <formula>$N$42="N/A"</formula>
    </cfRule>
  </conditionalFormatting>
  <conditionalFormatting sqref="A44:M44">
    <cfRule type="expression" dxfId="569" priority="20">
      <formula>$N$44="N/A"</formula>
    </cfRule>
  </conditionalFormatting>
  <conditionalFormatting sqref="A46:M46">
    <cfRule type="expression" dxfId="568" priority="19">
      <formula>$N$46="N/A"</formula>
    </cfRule>
  </conditionalFormatting>
  <conditionalFormatting sqref="A49:M49">
    <cfRule type="expression" dxfId="567" priority="18">
      <formula>$N$49="N/A"</formula>
    </cfRule>
  </conditionalFormatting>
  <conditionalFormatting sqref="A50:M50">
    <cfRule type="expression" dxfId="566" priority="17">
      <formula>$N$50="N/A"</formula>
    </cfRule>
  </conditionalFormatting>
  <conditionalFormatting sqref="A51:M51">
    <cfRule type="expression" dxfId="565" priority="16">
      <formula>$N$51="N/A"</formula>
    </cfRule>
  </conditionalFormatting>
  <conditionalFormatting sqref="A52:M52">
    <cfRule type="expression" dxfId="564" priority="15">
      <formula>$N$52="N/A"</formula>
    </cfRule>
  </conditionalFormatting>
  <conditionalFormatting sqref="A53:M53">
    <cfRule type="expression" dxfId="563" priority="14">
      <formula>$N$53="N/A"</formula>
    </cfRule>
  </conditionalFormatting>
  <conditionalFormatting sqref="A56:M56">
    <cfRule type="expression" dxfId="562" priority="13">
      <formula>$N$56="N/A"</formula>
    </cfRule>
  </conditionalFormatting>
  <conditionalFormatting sqref="A57:M57">
    <cfRule type="expression" dxfId="561" priority="12">
      <formula>$N$57="N/A"</formula>
    </cfRule>
  </conditionalFormatting>
  <conditionalFormatting sqref="A58:M58">
    <cfRule type="expression" dxfId="560" priority="11">
      <formula>$N$58="N/A"</formula>
    </cfRule>
  </conditionalFormatting>
  <conditionalFormatting sqref="A59:M59">
    <cfRule type="expression" dxfId="559" priority="10">
      <formula>$N$59="N/A"</formula>
    </cfRule>
  </conditionalFormatting>
  <conditionalFormatting sqref="A60:M60">
    <cfRule type="expression" dxfId="558" priority="9">
      <formula>$N$60="N/A"</formula>
    </cfRule>
  </conditionalFormatting>
  <conditionalFormatting sqref="A13:M13">
    <cfRule type="expression" dxfId="557" priority="8">
      <formula>$N$13="N/A"</formula>
    </cfRule>
  </conditionalFormatting>
  <conditionalFormatting sqref="A38:M38">
    <cfRule type="expression" dxfId="556" priority="7">
      <formula>$N$38="N/A"</formula>
    </cfRule>
  </conditionalFormatting>
  <conditionalFormatting sqref="A48:M48">
    <cfRule type="expression" dxfId="555" priority="6">
      <formula>$N$48="N/A"</formula>
    </cfRule>
  </conditionalFormatting>
  <conditionalFormatting sqref="A64:M64">
    <cfRule type="expression" dxfId="554" priority="5">
      <formula>$N$64="N/A"</formula>
    </cfRule>
  </conditionalFormatting>
  <conditionalFormatting sqref="A19:M19">
    <cfRule type="expression" dxfId="553" priority="4">
      <formula>$N$19="N/A"</formula>
    </cfRule>
  </conditionalFormatting>
  <conditionalFormatting sqref="A23:M23">
    <cfRule type="expression" dxfId="552" priority="3">
      <formula>$N$23="N/A"</formula>
    </cfRule>
  </conditionalFormatting>
  <conditionalFormatting sqref="A36:M36">
    <cfRule type="expression" dxfId="551"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550" priority="29" stopIfTrue="1" operator="greaterThan">
      <formula>$F$12</formula>
    </cfRule>
  </conditionalFormatting>
  <conditionalFormatting sqref="J52">
    <cfRule type="cellIs" dxfId="549" priority="28" stopIfTrue="1" operator="greaterThan">
      <formula>$F$12</formula>
    </cfRule>
  </conditionalFormatting>
  <conditionalFormatting sqref="J53">
    <cfRule type="cellIs" dxfId="548" priority="27" stopIfTrue="1" operator="greaterThan">
      <formula>$F$12</formula>
    </cfRule>
  </conditionalFormatting>
  <conditionalFormatting sqref="A26:M26">
    <cfRule type="expression" dxfId="547" priority="25">
      <formula>$N$26="N/A"</formula>
    </cfRule>
  </conditionalFormatting>
  <conditionalFormatting sqref="A28:M28">
    <cfRule type="expression" dxfId="546" priority="26">
      <formula>$N$28="N/A"</formula>
    </cfRule>
  </conditionalFormatting>
  <conditionalFormatting sqref="A30:M30">
    <cfRule type="expression" dxfId="545" priority="24">
      <formula>$N$30="N/A"</formula>
    </cfRule>
  </conditionalFormatting>
  <conditionalFormatting sqref="A32:M32">
    <cfRule type="expression" dxfId="544" priority="23">
      <formula>$N$32="N/A"</formula>
    </cfRule>
  </conditionalFormatting>
  <conditionalFormatting sqref="A34:M34">
    <cfRule type="expression" dxfId="543" priority="22">
      <formula>$N$34="N/A"</formula>
    </cfRule>
  </conditionalFormatting>
  <conditionalFormatting sqref="A40:M40">
    <cfRule type="expression" dxfId="542" priority="21">
      <formula>$N$40="N/A"</formula>
    </cfRule>
  </conditionalFormatting>
  <conditionalFormatting sqref="A42:M42">
    <cfRule type="expression" dxfId="541" priority="20">
      <formula>$N$42="N/A"</formula>
    </cfRule>
  </conditionalFormatting>
  <conditionalFormatting sqref="A44:M44">
    <cfRule type="expression" dxfId="540" priority="19">
      <formula>$N$44="N/A"</formula>
    </cfRule>
  </conditionalFormatting>
  <conditionalFormatting sqref="A46:M46">
    <cfRule type="expression" dxfId="539" priority="18">
      <formula>$N$46="N/A"</formula>
    </cfRule>
  </conditionalFormatting>
  <conditionalFormatting sqref="A49:M49">
    <cfRule type="expression" dxfId="538" priority="17">
      <formula>$N$49="N/A"</formula>
    </cfRule>
  </conditionalFormatting>
  <conditionalFormatting sqref="A50:M50">
    <cfRule type="expression" dxfId="537" priority="16">
      <formula>$N$50="N/A"</formula>
    </cfRule>
  </conditionalFormatting>
  <conditionalFormatting sqref="A51:M51">
    <cfRule type="expression" dxfId="536" priority="15">
      <formula>$N$51="N/A"</formula>
    </cfRule>
  </conditionalFormatting>
  <conditionalFormatting sqref="A52:M52">
    <cfRule type="expression" dxfId="535" priority="14">
      <formula>$N$52="N/A"</formula>
    </cfRule>
  </conditionalFormatting>
  <conditionalFormatting sqref="A53:M53">
    <cfRule type="expression" dxfId="534" priority="13">
      <formula>$N$53="N/A"</formula>
    </cfRule>
  </conditionalFormatting>
  <conditionalFormatting sqref="A56:M56">
    <cfRule type="expression" dxfId="533" priority="12">
      <formula>$N$56="N/A"</formula>
    </cfRule>
  </conditionalFormatting>
  <conditionalFormatting sqref="A57:M57">
    <cfRule type="expression" dxfId="532" priority="11">
      <formula>$N$57="N/A"</formula>
    </cfRule>
  </conditionalFormatting>
  <conditionalFormatting sqref="A58:M58">
    <cfRule type="expression" dxfId="531" priority="10">
      <formula>$N$58="N/A"</formula>
    </cfRule>
  </conditionalFormatting>
  <conditionalFormatting sqref="A59:M59">
    <cfRule type="expression" dxfId="530" priority="9">
      <formula>$N$59="N/A"</formula>
    </cfRule>
  </conditionalFormatting>
  <conditionalFormatting sqref="A60:M60">
    <cfRule type="expression" dxfId="529" priority="8">
      <formula>$N$60="N/A"</formula>
    </cfRule>
  </conditionalFormatting>
  <conditionalFormatting sqref="A13:M13">
    <cfRule type="expression" dxfId="528" priority="7">
      <formula>$N$13="N/A"</formula>
    </cfRule>
  </conditionalFormatting>
  <conditionalFormatting sqref="A38:M38">
    <cfRule type="expression" dxfId="527" priority="6">
      <formula>$N$38="N/A"</formula>
    </cfRule>
  </conditionalFormatting>
  <conditionalFormatting sqref="A48:M48">
    <cfRule type="expression" dxfId="526" priority="5">
      <formula>$N$48="N/A"</formula>
    </cfRule>
  </conditionalFormatting>
  <conditionalFormatting sqref="A64:M64">
    <cfRule type="expression" dxfId="525" priority="4">
      <formula>$N$64="N/A"</formula>
    </cfRule>
  </conditionalFormatting>
  <conditionalFormatting sqref="A19:M19">
    <cfRule type="expression" dxfId="524" priority="3">
      <formula>$N$19="N/A"</formula>
    </cfRule>
  </conditionalFormatting>
  <conditionalFormatting sqref="A23:M23">
    <cfRule type="expression" dxfId="523" priority="2">
      <formula>$N$23="N/A"</formula>
    </cfRule>
  </conditionalFormatting>
  <conditionalFormatting sqref="A36:M36">
    <cfRule type="expression" dxfId="522"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521" priority="29" stopIfTrue="1" operator="greaterThan">
      <formula>$F$12</formula>
    </cfRule>
  </conditionalFormatting>
  <conditionalFormatting sqref="J52">
    <cfRule type="cellIs" dxfId="520" priority="28" stopIfTrue="1" operator="greaterThan">
      <formula>$F$12</formula>
    </cfRule>
  </conditionalFormatting>
  <conditionalFormatting sqref="J53">
    <cfRule type="cellIs" dxfId="519" priority="27" stopIfTrue="1" operator="greaterThan">
      <formula>$F$12</formula>
    </cfRule>
  </conditionalFormatting>
  <conditionalFormatting sqref="A26:M26">
    <cfRule type="expression" dxfId="518" priority="25">
      <formula>$N$26="N/A"</formula>
    </cfRule>
  </conditionalFormatting>
  <conditionalFormatting sqref="A28:M28">
    <cfRule type="expression" dxfId="517" priority="26">
      <formula>$N$28="N/A"</formula>
    </cfRule>
  </conditionalFormatting>
  <conditionalFormatting sqref="A30:M30">
    <cfRule type="expression" dxfId="516" priority="24">
      <formula>$N$30="N/A"</formula>
    </cfRule>
  </conditionalFormatting>
  <conditionalFormatting sqref="A32:M32">
    <cfRule type="expression" dxfId="515" priority="23">
      <formula>$N$32="N/A"</formula>
    </cfRule>
  </conditionalFormatting>
  <conditionalFormatting sqref="A34:M34">
    <cfRule type="expression" dxfId="514" priority="22">
      <formula>$N$34="N/A"</formula>
    </cfRule>
  </conditionalFormatting>
  <conditionalFormatting sqref="A40:M40">
    <cfRule type="expression" dxfId="513" priority="21">
      <formula>$N$40="N/A"</formula>
    </cfRule>
  </conditionalFormatting>
  <conditionalFormatting sqref="A42:M42">
    <cfRule type="expression" dxfId="512" priority="20">
      <formula>$N$42="N/A"</formula>
    </cfRule>
  </conditionalFormatting>
  <conditionalFormatting sqref="A44:M44">
    <cfRule type="expression" dxfId="511" priority="19">
      <formula>$N$44="N/A"</formula>
    </cfRule>
  </conditionalFormatting>
  <conditionalFormatting sqref="A46:M46">
    <cfRule type="expression" dxfId="510" priority="18">
      <formula>$N$46="N/A"</formula>
    </cfRule>
  </conditionalFormatting>
  <conditionalFormatting sqref="A49:M49">
    <cfRule type="expression" dxfId="509" priority="17">
      <formula>$N$49="N/A"</formula>
    </cfRule>
  </conditionalFormatting>
  <conditionalFormatting sqref="A50:M50">
    <cfRule type="expression" dxfId="508" priority="16">
      <formula>$N$50="N/A"</formula>
    </cfRule>
  </conditionalFormatting>
  <conditionalFormatting sqref="A51:M51">
    <cfRule type="expression" dxfId="507" priority="15">
      <formula>$N$51="N/A"</formula>
    </cfRule>
  </conditionalFormatting>
  <conditionalFormatting sqref="A52:M52">
    <cfRule type="expression" dxfId="506" priority="14">
      <formula>$N$52="N/A"</formula>
    </cfRule>
  </conditionalFormatting>
  <conditionalFormatting sqref="A53:M53">
    <cfRule type="expression" dxfId="505" priority="13">
      <formula>$N$53="N/A"</formula>
    </cfRule>
  </conditionalFormatting>
  <conditionalFormatting sqref="A56:M56">
    <cfRule type="expression" dxfId="504" priority="12">
      <formula>$N$56="N/A"</formula>
    </cfRule>
  </conditionalFormatting>
  <conditionalFormatting sqref="A57:M57">
    <cfRule type="expression" dxfId="503" priority="11">
      <formula>$N$57="N/A"</formula>
    </cfRule>
  </conditionalFormatting>
  <conditionalFormatting sqref="A58:M58">
    <cfRule type="expression" dxfId="502" priority="10">
      <formula>$N$58="N/A"</formula>
    </cfRule>
  </conditionalFormatting>
  <conditionalFormatting sqref="A59:M59">
    <cfRule type="expression" dxfId="501" priority="9">
      <formula>$N$59="N/A"</formula>
    </cfRule>
  </conditionalFormatting>
  <conditionalFormatting sqref="A60:M60">
    <cfRule type="expression" dxfId="500" priority="8">
      <formula>$N$60="N/A"</formula>
    </cfRule>
  </conditionalFormatting>
  <conditionalFormatting sqref="A13:M13">
    <cfRule type="expression" dxfId="499" priority="7">
      <formula>$N$13="N/A"</formula>
    </cfRule>
  </conditionalFormatting>
  <conditionalFormatting sqref="A38:M38">
    <cfRule type="expression" dxfId="498" priority="6">
      <formula>$N$38="N/A"</formula>
    </cfRule>
  </conditionalFormatting>
  <conditionalFormatting sqref="A48:M48">
    <cfRule type="expression" dxfId="497" priority="5">
      <formula>$N$48="N/A"</formula>
    </cfRule>
  </conditionalFormatting>
  <conditionalFormatting sqref="A64:M64">
    <cfRule type="expression" dxfId="496" priority="4">
      <formula>$N$64="N/A"</formula>
    </cfRule>
  </conditionalFormatting>
  <conditionalFormatting sqref="A19:M19">
    <cfRule type="expression" dxfId="495" priority="3">
      <formula>$N$19="N/A"</formula>
    </cfRule>
  </conditionalFormatting>
  <conditionalFormatting sqref="A23:M23">
    <cfRule type="expression" dxfId="494" priority="2">
      <formula>$N$23="N/A"</formula>
    </cfRule>
  </conditionalFormatting>
  <conditionalFormatting sqref="A36:M36">
    <cfRule type="expression" dxfId="493"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492" priority="29" stopIfTrue="1" operator="greaterThan">
      <formula>$F$12</formula>
    </cfRule>
  </conditionalFormatting>
  <conditionalFormatting sqref="J52">
    <cfRule type="cellIs" dxfId="491" priority="28" stopIfTrue="1" operator="greaterThan">
      <formula>$F$12</formula>
    </cfRule>
  </conditionalFormatting>
  <conditionalFormatting sqref="J53">
    <cfRule type="cellIs" dxfId="490" priority="27" stopIfTrue="1" operator="greaterThan">
      <formula>$F$12</formula>
    </cfRule>
  </conditionalFormatting>
  <conditionalFormatting sqref="A26:M26">
    <cfRule type="expression" dxfId="489" priority="25">
      <formula>$N$26="N/A"</formula>
    </cfRule>
  </conditionalFormatting>
  <conditionalFormatting sqref="A28:M28">
    <cfRule type="expression" dxfId="488" priority="26">
      <formula>$N$28="N/A"</formula>
    </cfRule>
  </conditionalFormatting>
  <conditionalFormatting sqref="A30:M30">
    <cfRule type="expression" dxfId="487" priority="24">
      <formula>$N$30="N/A"</formula>
    </cfRule>
  </conditionalFormatting>
  <conditionalFormatting sqref="A32:M32">
    <cfRule type="expression" dxfId="486" priority="23">
      <formula>$N$32="N/A"</formula>
    </cfRule>
  </conditionalFormatting>
  <conditionalFormatting sqref="A34:M34">
    <cfRule type="expression" dxfId="485" priority="22">
      <formula>$N$34="N/A"</formula>
    </cfRule>
  </conditionalFormatting>
  <conditionalFormatting sqref="A40:M40">
    <cfRule type="expression" dxfId="484" priority="21">
      <formula>$N$40="N/A"</formula>
    </cfRule>
  </conditionalFormatting>
  <conditionalFormatting sqref="A42:M42">
    <cfRule type="expression" dxfId="483" priority="20">
      <formula>$N$42="N/A"</formula>
    </cfRule>
  </conditionalFormatting>
  <conditionalFormatting sqref="A44:M44">
    <cfRule type="expression" dxfId="482" priority="19">
      <formula>$N$44="N/A"</formula>
    </cfRule>
  </conditionalFormatting>
  <conditionalFormatting sqref="A46:M46">
    <cfRule type="expression" dxfId="481" priority="18">
      <formula>$N$46="N/A"</formula>
    </cfRule>
  </conditionalFormatting>
  <conditionalFormatting sqref="A49:M49">
    <cfRule type="expression" dxfId="480" priority="17">
      <formula>$N$49="N/A"</formula>
    </cfRule>
  </conditionalFormatting>
  <conditionalFormatting sqref="A50:M50">
    <cfRule type="expression" dxfId="479" priority="16">
      <formula>$N$50="N/A"</formula>
    </cfRule>
  </conditionalFormatting>
  <conditionalFormatting sqref="A51:M51">
    <cfRule type="expression" dxfId="478" priority="15">
      <formula>$N$51="N/A"</formula>
    </cfRule>
  </conditionalFormatting>
  <conditionalFormatting sqref="A52:M52">
    <cfRule type="expression" dxfId="477" priority="14">
      <formula>$N$52="N/A"</formula>
    </cfRule>
  </conditionalFormatting>
  <conditionalFormatting sqref="A53:M53">
    <cfRule type="expression" dxfId="476" priority="13">
      <formula>$N$53="N/A"</formula>
    </cfRule>
  </conditionalFormatting>
  <conditionalFormatting sqref="A56:M56">
    <cfRule type="expression" dxfId="475" priority="12">
      <formula>$N$56="N/A"</formula>
    </cfRule>
  </conditionalFormatting>
  <conditionalFormatting sqref="A57:M57">
    <cfRule type="expression" dxfId="474" priority="11">
      <formula>$N$57="N/A"</formula>
    </cfRule>
  </conditionalFormatting>
  <conditionalFormatting sqref="A58:M58">
    <cfRule type="expression" dxfId="473" priority="10">
      <formula>$N$58="N/A"</formula>
    </cfRule>
  </conditionalFormatting>
  <conditionalFormatting sqref="A59:M59">
    <cfRule type="expression" dxfId="472" priority="9">
      <formula>$N$59="N/A"</formula>
    </cfRule>
  </conditionalFormatting>
  <conditionalFormatting sqref="A60:M60">
    <cfRule type="expression" dxfId="471" priority="8">
      <formula>$N$60="N/A"</formula>
    </cfRule>
  </conditionalFormatting>
  <conditionalFormatting sqref="A13:M13">
    <cfRule type="expression" dxfId="470" priority="7">
      <formula>$N$13="N/A"</formula>
    </cfRule>
  </conditionalFormatting>
  <conditionalFormatting sqref="A38:M38">
    <cfRule type="expression" dxfId="469" priority="6">
      <formula>$N$38="N/A"</formula>
    </cfRule>
  </conditionalFormatting>
  <conditionalFormatting sqref="A48:M48">
    <cfRule type="expression" dxfId="468" priority="5">
      <formula>$N$48="N/A"</formula>
    </cfRule>
  </conditionalFormatting>
  <conditionalFormatting sqref="A64:M64">
    <cfRule type="expression" dxfId="467" priority="4">
      <formula>$N$64="N/A"</formula>
    </cfRule>
  </conditionalFormatting>
  <conditionalFormatting sqref="A19:M19">
    <cfRule type="expression" dxfId="466" priority="3">
      <formula>$N$19="N/A"</formula>
    </cfRule>
  </conditionalFormatting>
  <conditionalFormatting sqref="A23:M23">
    <cfRule type="expression" dxfId="465" priority="2">
      <formula>$N$23="N/A"</formula>
    </cfRule>
  </conditionalFormatting>
  <conditionalFormatting sqref="A36:M36">
    <cfRule type="expression" dxfId="464"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463" priority="29" stopIfTrue="1" operator="greaterThan">
      <formula>$F$12</formula>
    </cfRule>
  </conditionalFormatting>
  <conditionalFormatting sqref="J52">
    <cfRule type="cellIs" dxfId="462" priority="28" stopIfTrue="1" operator="greaterThan">
      <formula>$F$12</formula>
    </cfRule>
  </conditionalFormatting>
  <conditionalFormatting sqref="J53">
    <cfRule type="cellIs" dxfId="461" priority="27" stopIfTrue="1" operator="greaterThan">
      <formula>$F$12</formula>
    </cfRule>
  </conditionalFormatting>
  <conditionalFormatting sqref="A26:M26">
    <cfRule type="expression" dxfId="460" priority="25">
      <formula>$N$26="N/A"</formula>
    </cfRule>
  </conditionalFormatting>
  <conditionalFormatting sqref="A28:M28">
    <cfRule type="expression" dxfId="459" priority="26">
      <formula>$N$28="N/A"</formula>
    </cfRule>
  </conditionalFormatting>
  <conditionalFormatting sqref="A30:M30">
    <cfRule type="expression" dxfId="458" priority="24">
      <formula>$N$30="N/A"</formula>
    </cfRule>
  </conditionalFormatting>
  <conditionalFormatting sqref="A32:M32">
    <cfRule type="expression" dxfId="457" priority="23">
      <formula>$N$32="N/A"</formula>
    </cfRule>
  </conditionalFormatting>
  <conditionalFormatting sqref="A34:M34">
    <cfRule type="expression" dxfId="456" priority="22">
      <formula>$N$34="N/A"</formula>
    </cfRule>
  </conditionalFormatting>
  <conditionalFormatting sqref="A40:M40">
    <cfRule type="expression" dxfId="455" priority="21">
      <formula>$N$40="N/A"</formula>
    </cfRule>
  </conditionalFormatting>
  <conditionalFormatting sqref="A42:M42">
    <cfRule type="expression" dxfId="454" priority="20">
      <formula>$N$42="N/A"</formula>
    </cfRule>
  </conditionalFormatting>
  <conditionalFormatting sqref="A44:M44">
    <cfRule type="expression" dxfId="453" priority="19">
      <formula>$N$44="N/A"</formula>
    </cfRule>
  </conditionalFormatting>
  <conditionalFormatting sqref="A46:M46">
    <cfRule type="expression" dxfId="452" priority="18">
      <formula>$N$46="N/A"</formula>
    </cfRule>
  </conditionalFormatting>
  <conditionalFormatting sqref="A49:M49">
    <cfRule type="expression" dxfId="451" priority="17">
      <formula>$N$49="N/A"</formula>
    </cfRule>
  </conditionalFormatting>
  <conditionalFormatting sqref="A50:M50">
    <cfRule type="expression" dxfId="450" priority="16">
      <formula>$N$50="N/A"</formula>
    </cfRule>
  </conditionalFormatting>
  <conditionalFormatting sqref="A51:M51">
    <cfRule type="expression" dxfId="449" priority="15">
      <formula>$N$51="N/A"</formula>
    </cfRule>
  </conditionalFormatting>
  <conditionalFormatting sqref="A52:M52">
    <cfRule type="expression" dxfId="448" priority="14">
      <formula>$N$52="N/A"</formula>
    </cfRule>
  </conditionalFormatting>
  <conditionalFormatting sqref="A53:M53">
    <cfRule type="expression" dxfId="447" priority="13">
      <formula>$N$53="N/A"</formula>
    </cfRule>
  </conditionalFormatting>
  <conditionalFormatting sqref="A56:M56">
    <cfRule type="expression" dxfId="446" priority="12">
      <formula>$N$56="N/A"</formula>
    </cfRule>
  </conditionalFormatting>
  <conditionalFormatting sqref="A57:M57">
    <cfRule type="expression" dxfId="445" priority="11">
      <formula>$N$57="N/A"</formula>
    </cfRule>
  </conditionalFormatting>
  <conditionalFormatting sqref="A58:M58">
    <cfRule type="expression" dxfId="444" priority="10">
      <formula>$N$58="N/A"</formula>
    </cfRule>
  </conditionalFormatting>
  <conditionalFormatting sqref="A59:M59">
    <cfRule type="expression" dxfId="443" priority="9">
      <formula>$N$59="N/A"</formula>
    </cfRule>
  </conditionalFormatting>
  <conditionalFormatting sqref="A60:M60">
    <cfRule type="expression" dxfId="442" priority="8">
      <formula>$N$60="N/A"</formula>
    </cfRule>
  </conditionalFormatting>
  <conditionalFormatting sqref="A13:M13">
    <cfRule type="expression" dxfId="441" priority="7">
      <formula>$N$13="N/A"</formula>
    </cfRule>
  </conditionalFormatting>
  <conditionalFormatting sqref="A38:M38">
    <cfRule type="expression" dxfId="440" priority="6">
      <formula>$N$38="N/A"</formula>
    </cfRule>
  </conditionalFormatting>
  <conditionalFormatting sqref="A48:M48">
    <cfRule type="expression" dxfId="439" priority="5">
      <formula>$N$48="N/A"</formula>
    </cfRule>
  </conditionalFormatting>
  <conditionalFormatting sqref="A64:M64">
    <cfRule type="expression" dxfId="438" priority="4">
      <formula>$N$64="N/A"</formula>
    </cfRule>
  </conditionalFormatting>
  <conditionalFormatting sqref="A19:M19">
    <cfRule type="expression" dxfId="437" priority="3">
      <formula>$N$19="N/A"</formula>
    </cfRule>
  </conditionalFormatting>
  <conditionalFormatting sqref="A23:M23">
    <cfRule type="expression" dxfId="436" priority="2">
      <formula>$N$23="N/A"</formula>
    </cfRule>
  </conditionalFormatting>
  <conditionalFormatting sqref="A36:M36">
    <cfRule type="expression" dxfId="435"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434" priority="29" stopIfTrue="1" operator="greaterThan">
      <formula>$F$12</formula>
    </cfRule>
  </conditionalFormatting>
  <conditionalFormatting sqref="J52">
    <cfRule type="cellIs" dxfId="433" priority="28" stopIfTrue="1" operator="greaterThan">
      <formula>$F$12</formula>
    </cfRule>
  </conditionalFormatting>
  <conditionalFormatting sqref="J53">
    <cfRule type="cellIs" dxfId="432" priority="27" stopIfTrue="1" operator="greaterThan">
      <formula>$F$12</formula>
    </cfRule>
  </conditionalFormatting>
  <conditionalFormatting sqref="A26:M26">
    <cfRule type="expression" dxfId="431" priority="25">
      <formula>$N$26="N/A"</formula>
    </cfRule>
  </conditionalFormatting>
  <conditionalFormatting sqref="A28:M28">
    <cfRule type="expression" dxfId="430" priority="26">
      <formula>$N$28="N/A"</formula>
    </cfRule>
  </conditionalFormatting>
  <conditionalFormatting sqref="A30:M30">
    <cfRule type="expression" dxfId="429" priority="24">
      <formula>$N$30="N/A"</formula>
    </cfRule>
  </conditionalFormatting>
  <conditionalFormatting sqref="A32:M32">
    <cfRule type="expression" dxfId="428" priority="23">
      <formula>$N$32="N/A"</formula>
    </cfRule>
  </conditionalFormatting>
  <conditionalFormatting sqref="A34:M34">
    <cfRule type="expression" dxfId="427" priority="22">
      <formula>$N$34="N/A"</formula>
    </cfRule>
  </conditionalFormatting>
  <conditionalFormatting sqref="A40:M40">
    <cfRule type="expression" dxfId="426" priority="21">
      <formula>$N$40="N/A"</formula>
    </cfRule>
  </conditionalFormatting>
  <conditionalFormatting sqref="A42:M42">
    <cfRule type="expression" dxfId="425" priority="20">
      <formula>$N$42="N/A"</formula>
    </cfRule>
  </conditionalFormatting>
  <conditionalFormatting sqref="A44:M44">
    <cfRule type="expression" dxfId="424" priority="19">
      <formula>$N$44="N/A"</formula>
    </cfRule>
  </conditionalFormatting>
  <conditionalFormatting sqref="A46:M46">
    <cfRule type="expression" dxfId="423" priority="18">
      <formula>$N$46="N/A"</formula>
    </cfRule>
  </conditionalFormatting>
  <conditionalFormatting sqref="A49:M49">
    <cfRule type="expression" dxfId="422" priority="17">
      <formula>$N$49="N/A"</formula>
    </cfRule>
  </conditionalFormatting>
  <conditionalFormatting sqref="A50:M50">
    <cfRule type="expression" dxfId="421" priority="16">
      <formula>$N$50="N/A"</formula>
    </cfRule>
  </conditionalFormatting>
  <conditionalFormatting sqref="A51:M51">
    <cfRule type="expression" dxfId="420" priority="15">
      <formula>$N$51="N/A"</formula>
    </cfRule>
  </conditionalFormatting>
  <conditionalFormatting sqref="A52:M52">
    <cfRule type="expression" dxfId="419" priority="14">
      <formula>$N$52="N/A"</formula>
    </cfRule>
  </conditionalFormatting>
  <conditionalFormatting sqref="A53:M53">
    <cfRule type="expression" dxfId="418" priority="13">
      <formula>$N$53="N/A"</formula>
    </cfRule>
  </conditionalFormatting>
  <conditionalFormatting sqref="A56:M56">
    <cfRule type="expression" dxfId="417" priority="12">
      <formula>$N$56="N/A"</formula>
    </cfRule>
  </conditionalFormatting>
  <conditionalFormatting sqref="A57:M57">
    <cfRule type="expression" dxfId="416" priority="11">
      <formula>$N$57="N/A"</formula>
    </cfRule>
  </conditionalFormatting>
  <conditionalFormatting sqref="A58:M58">
    <cfRule type="expression" dxfId="415" priority="10">
      <formula>$N$58="N/A"</formula>
    </cfRule>
  </conditionalFormatting>
  <conditionalFormatting sqref="A59:M59">
    <cfRule type="expression" dxfId="414" priority="9">
      <formula>$N$59="N/A"</formula>
    </cfRule>
  </conditionalFormatting>
  <conditionalFormatting sqref="A60:M60">
    <cfRule type="expression" dxfId="413" priority="8">
      <formula>$N$60="N/A"</formula>
    </cfRule>
  </conditionalFormatting>
  <conditionalFormatting sqref="A13:M13">
    <cfRule type="expression" dxfId="412" priority="7">
      <formula>$N$13="N/A"</formula>
    </cfRule>
  </conditionalFormatting>
  <conditionalFormatting sqref="A38:M38">
    <cfRule type="expression" dxfId="411" priority="6">
      <formula>$N$38="N/A"</formula>
    </cfRule>
  </conditionalFormatting>
  <conditionalFormatting sqref="A48:M48">
    <cfRule type="expression" dxfId="410" priority="5">
      <formula>$N$48="N/A"</formula>
    </cfRule>
  </conditionalFormatting>
  <conditionalFormatting sqref="A64:M64">
    <cfRule type="expression" dxfId="409" priority="4">
      <formula>$N$64="N/A"</formula>
    </cfRule>
  </conditionalFormatting>
  <conditionalFormatting sqref="A19:M19">
    <cfRule type="expression" dxfId="408" priority="3">
      <formula>$N$19="N/A"</formula>
    </cfRule>
  </conditionalFormatting>
  <conditionalFormatting sqref="A23:M23">
    <cfRule type="expression" dxfId="407" priority="2">
      <formula>$N$23="N/A"</formula>
    </cfRule>
  </conditionalFormatting>
  <conditionalFormatting sqref="A36:M36">
    <cfRule type="expression" dxfId="406" priority="1">
      <formula>$N$36="N/A"</formula>
    </cfRule>
  </conditionalFormatting>
  <dataValidations count="3">
    <dataValidation type="whole" operator="greaterThan" allowBlank="1" showInputMessage="1" showErrorMessage="1" sqref="K8">
      <formula1>1990</formula1>
    </dataValidation>
    <dataValidation type="whole" allowBlank="1" showInputMessage="1" showErrorMessage="1" sqref="K12:M12 J12:J13">
      <formula1>0</formula1>
      <formula2>66000</formula2>
    </dataValidation>
    <dataValidation type="decimal" operator="greaterThan" allowBlank="1" showInputMessage="1" showErrorMessage="1" sqref="J11:M11">
      <formula1>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Menus!$B$23:$B$24</xm:f>
          </x14:formula1>
          <xm:sqref>J63:M63</xm:sqref>
        </x14:dataValidation>
        <x14:dataValidation type="list" allowBlank="1" showInputMessage="1" showErrorMessage="1">
          <x14:formula1>
            <xm:f>Menus!$B$19:$B$20</xm:f>
          </x14:formula1>
          <xm:sqref>J56:M56</xm:sqref>
        </x14:dataValidation>
        <x14:dataValidation type="list" allowBlank="1" showInputMessage="1" showErrorMessage="1">
          <x14:formula1>
            <xm:f>Menus!$B$15:$B$16</xm:f>
          </x14:formula1>
          <xm:sqref>J55:M55</xm:sqref>
        </x14:dataValidation>
        <x14:dataValidation type="list" allowBlank="1" showInputMessage="1" showErrorMessage="1">
          <x14:formula1>
            <xm:f>Menus!$B$7:$B$12</xm:f>
          </x14:formula1>
          <xm:sqref>J14:M14</xm:sqref>
        </x14:dataValidation>
        <x14:dataValidation type="list" operator="greaterThan" allowBlank="1" showInputMessage="1" showErrorMessage="1">
          <x14:formula1>
            <xm:f>Menus!$B$2:$B$4</xm:f>
          </x14:formula1>
          <xm:sqref>J10:M10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31"/>
  <sheetViews>
    <sheetView zoomScale="70" zoomScaleNormal="70" workbookViewId="0">
      <selection activeCell="E4" sqref="E4:G4"/>
    </sheetView>
  </sheetViews>
  <sheetFormatPr defaultColWidth="9" defaultRowHeight="12.75" x14ac:dyDescent="0.2"/>
  <cols>
    <col min="1" max="6" width="11.28515625" style="215" customWidth="1"/>
    <col min="7" max="7" width="8.85546875" style="215" customWidth="1"/>
    <col min="8" max="9" width="8.7109375" style="215" customWidth="1"/>
    <col min="10" max="13" width="7.7109375" style="215" customWidth="1"/>
    <col min="14" max="14" width="14.140625" style="63" customWidth="1"/>
    <col min="15" max="15" width="10.7109375" style="215" customWidth="1"/>
    <col min="16" max="17" width="7.7109375" style="215" customWidth="1"/>
    <col min="18" max="18" width="26.28515625" style="27" customWidth="1"/>
    <col min="19" max="25" width="14.7109375" style="27" customWidth="1"/>
    <col min="26" max="26" width="14.28515625" style="27" customWidth="1"/>
    <col min="27" max="28" width="14.7109375" style="27" customWidth="1"/>
    <col min="29" max="29" width="11.7109375" style="27" customWidth="1"/>
    <col min="30" max="30" width="9.140625" style="27" customWidth="1"/>
    <col min="31" max="31" width="9" style="215"/>
    <col min="32" max="32" width="11.28515625" style="215" customWidth="1"/>
    <col min="33" max="33" width="11" style="215" customWidth="1"/>
    <col min="34" max="34" width="12" style="215" customWidth="1"/>
    <col min="35" max="35" width="13.28515625" style="215" customWidth="1"/>
    <col min="36" max="36" width="10.28515625" style="215" customWidth="1"/>
    <col min="37" max="37" width="11.7109375" style="215" customWidth="1"/>
    <col min="38" max="38" width="10.7109375" style="215" customWidth="1"/>
    <col min="39" max="39" width="13.28515625" style="215" customWidth="1"/>
    <col min="40" max="40" width="10" style="215" customWidth="1"/>
    <col min="41" max="41" width="13.28515625" style="215" customWidth="1"/>
    <col min="42" max="45" width="9" style="215"/>
    <col min="46" max="46" width="12.140625" style="215" customWidth="1"/>
    <col min="47" max="47" width="12.7109375" style="215" customWidth="1"/>
    <col min="48" max="49" width="12.28515625" style="215" customWidth="1"/>
    <col min="50" max="51" width="9" style="215"/>
    <col min="52" max="52" width="10.140625" style="215" customWidth="1"/>
    <col min="53" max="16384" width="9" style="215"/>
  </cols>
  <sheetData>
    <row r="1" spans="1:71" ht="13.5" thickBot="1" x14ac:dyDescent="0.25">
      <c r="AE1" s="1"/>
      <c r="AH1" s="11"/>
      <c r="AN1" s="2"/>
      <c r="AS1" s="220"/>
      <c r="AT1" s="220"/>
      <c r="AU1" s="220"/>
      <c r="AV1" s="220"/>
      <c r="AW1" s="220"/>
      <c r="AX1" s="220"/>
      <c r="AY1" s="225"/>
      <c r="AZ1" s="225"/>
      <c r="BA1" s="220"/>
      <c r="BB1" s="220"/>
      <c r="BC1" s="220"/>
      <c r="BD1" s="220"/>
      <c r="BE1" s="220"/>
      <c r="BF1" s="225"/>
      <c r="BG1" s="225"/>
      <c r="BH1" s="225"/>
      <c r="BI1" s="225"/>
      <c r="BJ1" s="225"/>
      <c r="BK1" s="225"/>
      <c r="BL1" s="225"/>
      <c r="BM1" s="225"/>
      <c r="BN1" s="225"/>
      <c r="BO1" s="225"/>
      <c r="BP1" s="225"/>
      <c r="BQ1" s="225"/>
      <c r="BR1" s="225"/>
      <c r="BS1" s="225"/>
    </row>
    <row r="2" spans="1:71" ht="14.25" thickTop="1" thickBot="1" x14ac:dyDescent="0.25">
      <c r="A2" s="341" t="s">
        <v>92</v>
      </c>
      <c r="B2" s="342"/>
      <c r="C2" s="342"/>
      <c r="D2" s="342"/>
      <c r="E2" s="343"/>
      <c r="F2" s="343"/>
      <c r="G2" s="343"/>
      <c r="H2" s="343"/>
      <c r="I2" s="343"/>
      <c r="J2" s="343"/>
      <c r="K2" s="343"/>
      <c r="L2" s="343"/>
      <c r="M2" s="343"/>
      <c r="N2" s="106"/>
      <c r="O2" s="46"/>
      <c r="P2" s="12"/>
      <c r="BD2" s="220"/>
      <c r="BE2" s="220"/>
      <c r="BF2" s="224"/>
      <c r="BG2" s="224"/>
      <c r="BH2" s="224"/>
      <c r="BI2" s="224"/>
      <c r="BJ2" s="225"/>
      <c r="BK2" s="225"/>
      <c r="BL2" s="225"/>
      <c r="BM2" s="225"/>
      <c r="BN2" s="224"/>
      <c r="BO2" s="224"/>
      <c r="BP2" s="224"/>
      <c r="BQ2" s="224"/>
      <c r="BR2" s="224"/>
      <c r="BS2" s="225"/>
    </row>
    <row r="3" spans="1:71" x14ac:dyDescent="0.2">
      <c r="A3" s="344" t="s">
        <v>0</v>
      </c>
      <c r="B3" s="345"/>
      <c r="C3" s="345"/>
      <c r="D3" s="345"/>
      <c r="E3" s="345"/>
      <c r="F3" s="345"/>
      <c r="G3" s="346"/>
      <c r="H3" s="347" t="s">
        <v>5</v>
      </c>
      <c r="I3" s="348"/>
      <c r="J3" s="348"/>
      <c r="K3" s="348"/>
      <c r="L3" s="348"/>
      <c r="M3" s="348"/>
      <c r="N3" s="105"/>
      <c r="O3" s="11"/>
      <c r="P3" s="12"/>
      <c r="BD3" s="220"/>
      <c r="BE3" s="220"/>
      <c r="BF3" s="224"/>
      <c r="BG3" s="224"/>
      <c r="BH3" s="224"/>
      <c r="BI3" s="224"/>
      <c r="BJ3" s="225"/>
      <c r="BK3" s="225"/>
      <c r="BL3" s="225"/>
      <c r="BM3" s="225"/>
      <c r="BN3" s="224"/>
      <c r="BO3" s="224"/>
      <c r="BP3" s="224"/>
      <c r="BQ3" s="224"/>
      <c r="BR3" s="224"/>
      <c r="BS3" s="225"/>
    </row>
    <row r="4" spans="1:71" x14ac:dyDescent="0.2">
      <c r="A4" s="352" t="s">
        <v>1</v>
      </c>
      <c r="B4" s="352"/>
      <c r="C4" s="352"/>
      <c r="D4" s="222"/>
      <c r="E4" s="353" t="s">
        <v>415</v>
      </c>
      <c r="F4" s="354"/>
      <c r="G4" s="355"/>
      <c r="H4" s="356" t="s">
        <v>52</v>
      </c>
      <c r="I4" s="352"/>
      <c r="J4" s="357"/>
      <c r="K4" s="353"/>
      <c r="L4" s="358"/>
      <c r="M4" s="358"/>
      <c r="N4" s="358"/>
      <c r="O4" s="225"/>
      <c r="BD4" s="220"/>
      <c r="BE4" s="220"/>
      <c r="BF4" s="224"/>
      <c r="BG4" s="224"/>
      <c r="BH4" s="224"/>
      <c r="BI4" s="224"/>
      <c r="BJ4" s="225"/>
      <c r="BK4" s="225"/>
      <c r="BL4" s="225"/>
      <c r="BM4" s="225"/>
      <c r="BN4" s="18"/>
      <c r="BO4" s="18"/>
      <c r="BP4" s="224"/>
      <c r="BQ4" s="224"/>
      <c r="BR4" s="224"/>
      <c r="BS4" s="225"/>
    </row>
    <row r="5" spans="1:71" x14ac:dyDescent="0.2">
      <c r="A5" s="339" t="s">
        <v>2</v>
      </c>
      <c r="B5" s="339"/>
      <c r="C5" s="339"/>
      <c r="D5" s="221"/>
      <c r="E5" s="266" t="s">
        <v>275</v>
      </c>
      <c r="F5" s="349"/>
      <c r="G5" s="350"/>
      <c r="H5" s="351" t="s">
        <v>54</v>
      </c>
      <c r="I5" s="325"/>
      <c r="J5" s="326"/>
      <c r="K5" s="266"/>
      <c r="L5" s="267"/>
      <c r="M5" s="267"/>
      <c r="N5" s="267"/>
      <c r="O5" s="28"/>
      <c r="S5" s="215"/>
      <c r="BD5" s="220"/>
      <c r="BE5" s="220"/>
      <c r="BF5" s="224"/>
      <c r="BG5" s="224"/>
      <c r="BH5" s="224"/>
      <c r="BI5" s="224"/>
      <c r="BJ5" s="224"/>
      <c r="BK5" s="224"/>
      <c r="BL5" s="225"/>
      <c r="BM5" s="225"/>
      <c r="BN5" s="18"/>
      <c r="BO5" s="18"/>
      <c r="BP5" s="224"/>
      <c r="BQ5" s="224"/>
      <c r="BR5" s="224"/>
      <c r="BS5" s="225"/>
    </row>
    <row r="6" spans="1:71" x14ac:dyDescent="0.2">
      <c r="A6" s="327" t="s">
        <v>3</v>
      </c>
      <c r="B6" s="327"/>
      <c r="C6" s="327"/>
      <c r="D6" s="9"/>
      <c r="E6" s="328">
        <f ca="1">TODAY()</f>
        <v>44503</v>
      </c>
      <c r="F6" s="329"/>
      <c r="G6" s="330"/>
      <c r="H6" s="324" t="s">
        <v>53</v>
      </c>
      <c r="I6" s="325"/>
      <c r="J6" s="326"/>
      <c r="K6" s="266"/>
      <c r="L6" s="267"/>
      <c r="M6" s="267"/>
      <c r="N6" s="267"/>
      <c r="O6" s="28"/>
      <c r="S6" s="235"/>
      <c r="BD6" s="220"/>
      <c r="BE6" s="220"/>
      <c r="BF6" s="235"/>
      <c r="BG6" s="235"/>
      <c r="BH6" s="235"/>
      <c r="BI6" s="235"/>
      <c r="BJ6" s="235"/>
      <c r="BK6" s="235"/>
      <c r="BL6" s="225"/>
      <c r="BM6" s="225"/>
      <c r="BN6" s="15"/>
      <c r="BO6" s="11"/>
      <c r="BP6" s="235"/>
      <c r="BQ6" s="235"/>
      <c r="BR6" s="235"/>
      <c r="BS6" s="225"/>
    </row>
    <row r="7" spans="1:71" x14ac:dyDescent="0.2">
      <c r="A7" s="339"/>
      <c r="B7" s="339"/>
      <c r="C7" s="339"/>
      <c r="D7" s="220"/>
      <c r="E7" s="339"/>
      <c r="F7" s="339"/>
      <c r="G7" s="326"/>
      <c r="H7" s="227" t="s">
        <v>6</v>
      </c>
      <c r="I7" s="226"/>
      <c r="J7" s="221"/>
      <c r="K7" s="266"/>
      <c r="L7" s="267"/>
      <c r="M7" s="267"/>
      <c r="N7" s="267"/>
      <c r="O7" s="225"/>
      <c r="S7" s="215"/>
      <c r="BD7" s="220"/>
      <c r="BE7" s="220"/>
      <c r="BF7" s="235"/>
      <c r="BG7" s="235"/>
      <c r="BH7" s="235"/>
      <c r="BI7" s="235"/>
      <c r="BJ7" s="235"/>
      <c r="BK7" s="235"/>
      <c r="BL7" s="225"/>
      <c r="BM7" s="225"/>
      <c r="BN7" s="11"/>
      <c r="BO7" s="11"/>
      <c r="BP7" s="235"/>
      <c r="BQ7" s="235"/>
      <c r="BR7" s="235"/>
      <c r="BS7" s="225"/>
    </row>
    <row r="8" spans="1:71" x14ac:dyDescent="0.2">
      <c r="A8" s="228"/>
      <c r="B8" s="228"/>
      <c r="C8" s="228"/>
      <c r="D8" s="228"/>
      <c r="E8" s="228"/>
      <c r="F8" s="228"/>
      <c r="G8" s="9"/>
      <c r="H8" s="227" t="s">
        <v>7</v>
      </c>
      <c r="I8" s="226"/>
      <c r="J8" s="221"/>
      <c r="K8" s="268"/>
      <c r="L8" s="269"/>
      <c r="M8" s="269"/>
      <c r="N8" s="269"/>
      <c r="O8" s="225"/>
      <c r="S8" s="215"/>
      <c r="BD8" s="220"/>
      <c r="BE8" s="220"/>
      <c r="BF8" s="235"/>
      <c r="BG8" s="235"/>
      <c r="BH8" s="235"/>
      <c r="BI8" s="235"/>
      <c r="BJ8" s="235"/>
      <c r="BK8" s="235"/>
      <c r="BL8" s="225"/>
      <c r="BM8" s="225"/>
      <c r="BN8" s="11"/>
      <c r="BO8" s="11"/>
      <c r="BP8" s="235"/>
      <c r="BQ8" s="235"/>
      <c r="BR8" s="235"/>
      <c r="BS8" s="225"/>
    </row>
    <row r="9" spans="1:71" x14ac:dyDescent="0.2">
      <c r="A9" s="335" t="s">
        <v>4</v>
      </c>
      <c r="B9" s="336"/>
      <c r="C9" s="336"/>
      <c r="D9" s="336"/>
      <c r="E9" s="336"/>
      <c r="F9" s="336"/>
      <c r="G9" s="337"/>
      <c r="H9" s="338" t="s">
        <v>8</v>
      </c>
      <c r="I9" s="337"/>
      <c r="J9" s="338" t="s">
        <v>10</v>
      </c>
      <c r="K9" s="336"/>
      <c r="L9" s="336"/>
      <c r="M9" s="336"/>
      <c r="N9" s="219" t="s">
        <v>87</v>
      </c>
      <c r="O9" s="196"/>
      <c r="P9" s="12"/>
      <c r="S9" s="215"/>
      <c r="BD9" s="220"/>
      <c r="BE9" s="220"/>
      <c r="BF9" s="235"/>
      <c r="BG9" s="235"/>
      <c r="BH9" s="235"/>
      <c r="BI9" s="235"/>
      <c r="BJ9" s="235"/>
      <c r="BK9" s="235"/>
      <c r="BL9" s="225"/>
      <c r="BM9" s="225"/>
      <c r="BN9" s="15"/>
      <c r="BO9" s="11"/>
      <c r="BP9" s="235"/>
      <c r="BQ9" s="235"/>
      <c r="BR9" s="235"/>
      <c r="BS9" s="225"/>
    </row>
    <row r="10" spans="1:71" ht="18" customHeight="1" x14ac:dyDescent="0.2">
      <c r="A10" s="331" t="s">
        <v>290</v>
      </c>
      <c r="B10" s="331"/>
      <c r="C10" s="331"/>
      <c r="D10" s="331"/>
      <c r="E10" s="331"/>
      <c r="F10" s="331"/>
      <c r="G10" s="332"/>
      <c r="H10" s="333" t="s">
        <v>9</v>
      </c>
      <c r="I10" s="334"/>
      <c r="J10" s="361"/>
      <c r="K10" s="362"/>
      <c r="L10" s="362"/>
      <c r="M10" s="362"/>
      <c r="N10" s="218" t="s">
        <v>86</v>
      </c>
      <c r="O10" s="83"/>
      <c r="R10" s="215"/>
      <c r="S10" s="215"/>
      <c r="T10" s="215"/>
      <c r="U10" s="215"/>
      <c r="V10" s="215"/>
      <c r="W10" s="215"/>
      <c r="X10" s="215"/>
      <c r="Y10" s="215"/>
      <c r="Z10" s="215"/>
      <c r="AA10" s="215"/>
      <c r="AB10" s="215"/>
      <c r="AC10" s="215"/>
      <c r="AD10" s="215"/>
      <c r="BF10" s="200"/>
      <c r="BG10" s="200"/>
      <c r="BH10" s="200"/>
      <c r="BI10" s="200"/>
      <c r="BJ10" s="200"/>
      <c r="BK10" s="200"/>
      <c r="BN10" s="216"/>
      <c r="BO10" s="216"/>
      <c r="BP10" s="200"/>
      <c r="BQ10" s="200"/>
      <c r="BR10" s="200"/>
    </row>
    <row r="11" spans="1:71" ht="16.5" thickBot="1" x14ac:dyDescent="0.35">
      <c r="A11" s="317" t="s">
        <v>289</v>
      </c>
      <c r="B11" s="318"/>
      <c r="C11" s="318"/>
      <c r="D11" s="318"/>
      <c r="E11" s="352"/>
      <c r="F11" s="352"/>
      <c r="G11" s="357"/>
      <c r="H11" s="316" t="s">
        <v>9</v>
      </c>
      <c r="I11" s="283"/>
      <c r="J11" s="359"/>
      <c r="K11" s="354"/>
      <c r="L11" s="354"/>
      <c r="M11" s="354"/>
      <c r="N11" s="29" t="s">
        <v>86</v>
      </c>
      <c r="O11" s="196"/>
      <c r="S11" s="215"/>
      <c r="BD11" s="220"/>
      <c r="BE11" s="220"/>
      <c r="BF11" s="225"/>
      <c r="BG11" s="225"/>
      <c r="BH11" s="225"/>
      <c r="BI11" s="225"/>
      <c r="BJ11" s="225"/>
      <c r="BK11" s="225"/>
      <c r="BL11" s="225"/>
      <c r="BM11" s="225"/>
      <c r="BN11" s="15"/>
      <c r="BO11" s="11"/>
      <c r="BP11" s="235"/>
      <c r="BQ11" s="235"/>
      <c r="BR11" s="235"/>
      <c r="BS11" s="225"/>
    </row>
    <row r="12" spans="1:71" ht="16.5" thickBot="1" x14ac:dyDescent="0.35">
      <c r="A12" s="317" t="s">
        <v>109</v>
      </c>
      <c r="B12" s="318"/>
      <c r="C12" s="318"/>
      <c r="D12" s="318"/>
      <c r="E12" s="36" t="s">
        <v>50</v>
      </c>
      <c r="F12" s="38" t="str">
        <f>IF($J$14=2,46000,IF(J14=3,92000,IF(J14=4,115000,IF(J14=5,121000,IF(J14=6,137000,IF(J14=7,149000,"?"))))))</f>
        <v>?</v>
      </c>
      <c r="G12" s="37" t="s">
        <v>49</v>
      </c>
      <c r="H12" s="321" t="s">
        <v>9</v>
      </c>
      <c r="I12" s="283"/>
      <c r="J12" s="319"/>
      <c r="K12" s="340"/>
      <c r="L12" s="340"/>
      <c r="M12" s="340"/>
      <c r="N12" s="160" t="str">
        <f>IF(J12&gt;F12,"out of range","OK")</f>
        <v>OK</v>
      </c>
      <c r="O12" s="83"/>
      <c r="P12" s="12"/>
      <c r="S12" s="215"/>
      <c r="BD12" s="220"/>
      <c r="BE12" s="220"/>
      <c r="BF12" s="225"/>
      <c r="BG12" s="225"/>
      <c r="BH12" s="225"/>
      <c r="BI12" s="225"/>
      <c r="BJ12" s="225"/>
      <c r="BK12" s="225"/>
      <c r="BL12" s="225"/>
      <c r="BM12" s="225"/>
      <c r="BN12" s="11"/>
      <c r="BO12" s="11"/>
      <c r="BP12" s="235"/>
      <c r="BQ12" s="235"/>
      <c r="BR12" s="235"/>
      <c r="BS12" s="225"/>
    </row>
    <row r="13" spans="1:71" ht="16.5" thickBot="1" x14ac:dyDescent="0.35">
      <c r="A13" s="317" t="s">
        <v>110</v>
      </c>
      <c r="B13" s="318"/>
      <c r="C13" s="318"/>
      <c r="D13" s="318"/>
      <c r="E13" s="36" t="s">
        <v>50</v>
      </c>
      <c r="F13" s="38" t="str">
        <f>IF($J$10="Entrance Speed-Change Lane (EN)",25210,"N/A")</f>
        <v>N/A</v>
      </c>
      <c r="G13" s="37" t="s">
        <v>49</v>
      </c>
      <c r="H13" s="321" t="s">
        <v>9</v>
      </c>
      <c r="I13" s="283"/>
      <c r="J13" s="319"/>
      <c r="K13" s="320"/>
      <c r="L13" s="320"/>
      <c r="M13" s="320"/>
      <c r="N13" s="160" t="str">
        <f>IF(OR(J10="Basic Freeway Segment (FS)",J10="Exit Speed-Change Lane (EX)"),"N/A",IF(J13&gt;F13,"out of range","OK"))</f>
        <v>OK</v>
      </c>
      <c r="O13" s="197"/>
      <c r="P13" s="12"/>
      <c r="S13" s="215"/>
      <c r="BD13" s="220"/>
      <c r="BE13" s="220"/>
      <c r="BF13" s="225"/>
      <c r="BG13" s="225"/>
      <c r="BH13" s="225"/>
      <c r="BI13" s="225"/>
      <c r="BJ13" s="225"/>
      <c r="BK13" s="225"/>
      <c r="BL13" s="225"/>
      <c r="BM13" s="225"/>
      <c r="BN13" s="11"/>
      <c r="BO13" s="11"/>
      <c r="BP13" s="235"/>
      <c r="BQ13" s="235"/>
      <c r="BR13" s="235"/>
      <c r="BS13" s="225"/>
    </row>
    <row r="14" spans="1:71" x14ac:dyDescent="0.2">
      <c r="A14" s="281" t="s">
        <v>291</v>
      </c>
      <c r="B14" s="281"/>
      <c r="C14" s="281"/>
      <c r="D14" s="281"/>
      <c r="E14" s="281"/>
      <c r="F14" s="281"/>
      <c r="G14" s="217"/>
      <c r="H14" s="321" t="s">
        <v>9</v>
      </c>
      <c r="I14" s="283"/>
      <c r="J14" s="276"/>
      <c r="K14" s="277"/>
      <c r="L14" s="277"/>
      <c r="M14" s="277"/>
      <c r="N14" s="29" t="s">
        <v>86</v>
      </c>
      <c r="O14" s="196"/>
      <c r="P14" s="12"/>
      <c r="BD14" s="220"/>
      <c r="BE14" s="220"/>
      <c r="BF14" s="225"/>
      <c r="BG14" s="225"/>
      <c r="BH14" s="225"/>
      <c r="BI14" s="225"/>
      <c r="BJ14" s="225"/>
      <c r="BK14" s="225"/>
      <c r="BL14" s="225"/>
      <c r="BM14" s="225"/>
      <c r="BN14" s="15"/>
      <c r="BO14" s="11"/>
      <c r="BP14" s="235"/>
      <c r="BQ14" s="235"/>
      <c r="BR14" s="235"/>
      <c r="BS14" s="225"/>
    </row>
    <row r="15" spans="1:71" x14ac:dyDescent="0.2">
      <c r="A15" s="275" t="s">
        <v>56</v>
      </c>
      <c r="B15" s="275"/>
      <c r="C15" s="275"/>
      <c r="D15" s="275"/>
      <c r="E15" s="275"/>
      <c r="F15" s="275"/>
      <c r="G15" s="275"/>
      <c r="H15" s="275"/>
      <c r="I15" s="275"/>
      <c r="J15" s="275"/>
      <c r="K15" s="275"/>
      <c r="L15" s="275"/>
      <c r="M15" s="275"/>
      <c r="N15" s="107"/>
      <c r="O15" s="83"/>
      <c r="BD15" s="220"/>
      <c r="BE15" s="220"/>
      <c r="BF15" s="225"/>
      <c r="BG15" s="225"/>
      <c r="BH15" s="225"/>
      <c r="BI15" s="225"/>
      <c r="BJ15" s="225"/>
      <c r="BK15" s="225"/>
      <c r="BL15" s="225"/>
      <c r="BM15" s="225"/>
      <c r="BN15" s="20"/>
      <c r="BO15" s="19"/>
      <c r="BP15" s="19"/>
      <c r="BQ15" s="19"/>
      <c r="BR15" s="19"/>
      <c r="BS15" s="225"/>
    </row>
    <row r="16" spans="1:71" x14ac:dyDescent="0.2">
      <c r="A16" s="280" t="s">
        <v>58</v>
      </c>
      <c r="B16" s="280"/>
      <c r="C16" s="280"/>
      <c r="D16" s="280"/>
      <c r="E16" s="280"/>
      <c r="F16" s="280"/>
      <c r="G16" s="223"/>
      <c r="H16" s="360">
        <v>0</v>
      </c>
      <c r="I16" s="283"/>
      <c r="J16" s="270"/>
      <c r="K16" s="271"/>
      <c r="L16" s="271"/>
      <c r="M16" s="271"/>
      <c r="N16" s="141" t="str">
        <f>IF(OR(J16=0,AND(J16&gt;=1430,J16&lt;=24170)),"OK","out of range")</f>
        <v>OK</v>
      </c>
      <c r="O16" s="196"/>
      <c r="P16" s="12"/>
      <c r="BD16" s="220"/>
      <c r="BE16" s="220"/>
      <c r="BF16" s="225"/>
      <c r="BG16" s="225"/>
      <c r="BH16" s="225"/>
      <c r="BI16" s="225"/>
      <c r="BJ16" s="225"/>
      <c r="BK16" s="225"/>
      <c r="BL16" s="225"/>
      <c r="BM16" s="225"/>
      <c r="BN16" s="19"/>
      <c r="BO16" s="19"/>
      <c r="BP16" s="19"/>
      <c r="BQ16" s="19"/>
      <c r="BR16" s="19"/>
      <c r="BS16" s="225"/>
    </row>
    <row r="17" spans="1:71" x14ac:dyDescent="0.2">
      <c r="A17" s="275" t="s">
        <v>57</v>
      </c>
      <c r="B17" s="275"/>
      <c r="C17" s="275"/>
      <c r="D17" s="275"/>
      <c r="E17" s="275"/>
      <c r="F17" s="275"/>
      <c r="G17" s="275"/>
      <c r="H17" s="275"/>
      <c r="I17" s="275"/>
      <c r="J17" s="275"/>
      <c r="K17" s="275"/>
      <c r="L17" s="275"/>
      <c r="M17" s="275"/>
      <c r="N17" s="107"/>
      <c r="O17" s="198"/>
      <c r="BD17" s="220"/>
      <c r="BE17" s="220"/>
      <c r="BF17" s="225"/>
      <c r="BG17" s="225"/>
      <c r="BH17" s="225"/>
      <c r="BI17" s="225"/>
      <c r="BJ17" s="225"/>
      <c r="BK17" s="225"/>
      <c r="BL17" s="225"/>
      <c r="BM17" s="225"/>
      <c r="BN17" s="19"/>
      <c r="BO17" s="19"/>
      <c r="BP17" s="19"/>
      <c r="BQ17" s="19"/>
      <c r="BR17" s="19"/>
      <c r="BS17" s="225"/>
    </row>
    <row r="18" spans="1:71" ht="15.75" x14ac:dyDescent="0.3">
      <c r="A18" s="280" t="s">
        <v>388</v>
      </c>
      <c r="B18" s="280"/>
      <c r="C18" s="280"/>
      <c r="D18" s="280"/>
      <c r="E18" s="280"/>
      <c r="F18" s="280"/>
      <c r="G18" s="223"/>
      <c r="H18" s="322">
        <v>12</v>
      </c>
      <c r="I18" s="323"/>
      <c r="J18" s="270"/>
      <c r="K18" s="271"/>
      <c r="L18" s="271"/>
      <c r="M18" s="271"/>
      <c r="N18" s="141" t="str">
        <f>IF(J18&gt;=10.5,"OK","out of range")</f>
        <v>out of range</v>
      </c>
      <c r="O18" s="198"/>
      <c r="BD18" s="235"/>
      <c r="BE18" s="225"/>
      <c r="BF18" s="225"/>
      <c r="BG18" s="225"/>
      <c r="BH18" s="225"/>
      <c r="BI18" s="225"/>
      <c r="BJ18" s="225"/>
      <c r="BK18" s="225"/>
      <c r="BL18" s="225"/>
    </row>
    <row r="19" spans="1:71" ht="15.75" x14ac:dyDescent="0.3">
      <c r="A19" s="280" t="s">
        <v>85</v>
      </c>
      <c r="B19" s="280"/>
      <c r="C19" s="280"/>
      <c r="D19" s="280"/>
      <c r="E19" s="280"/>
      <c r="F19" s="280"/>
      <c r="G19" s="223"/>
      <c r="H19" s="316">
        <v>10</v>
      </c>
      <c r="I19" s="283"/>
      <c r="J19" s="272"/>
      <c r="K19" s="271"/>
      <c r="L19" s="271"/>
      <c r="M19" s="271"/>
      <c r="N19" s="141" t="str">
        <f>IF(J10&lt;&gt;"Basic Freeway Segment (FS)","N/A",IF(J19&gt;=0.7,"OK","out of range"))</f>
        <v>N/A</v>
      </c>
      <c r="O19" s="196"/>
      <c r="BD19" s="225"/>
      <c r="BE19" s="225"/>
      <c r="BF19" s="225"/>
      <c r="BG19" s="225"/>
      <c r="BH19" s="225"/>
      <c r="BI19" s="225"/>
      <c r="BJ19" s="225"/>
      <c r="BK19" s="225"/>
      <c r="BL19" s="225"/>
    </row>
    <row r="20" spans="1:71" ht="15.75" x14ac:dyDescent="0.3">
      <c r="A20" s="280" t="s">
        <v>363</v>
      </c>
      <c r="B20" s="280"/>
      <c r="C20" s="280"/>
      <c r="D20" s="280"/>
      <c r="E20" s="280"/>
      <c r="F20" s="280"/>
      <c r="G20" s="240"/>
      <c r="H20" s="316">
        <v>6</v>
      </c>
      <c r="I20" s="283"/>
      <c r="J20" s="270"/>
      <c r="K20" s="271"/>
      <c r="L20" s="271"/>
      <c r="M20" s="271"/>
      <c r="N20" s="141" t="str">
        <f>IF(J20&gt;=0.7,"OK","out of range")</f>
        <v>out of range</v>
      </c>
      <c r="O20" s="196"/>
    </row>
    <row r="21" spans="1:71" ht="15.75" x14ac:dyDescent="0.3">
      <c r="A21" s="280" t="s">
        <v>364</v>
      </c>
      <c r="B21" s="280"/>
      <c r="C21" s="280"/>
      <c r="D21" s="280"/>
      <c r="E21" s="280"/>
      <c r="F21" s="280"/>
      <c r="G21" s="240"/>
      <c r="H21" s="316">
        <v>6</v>
      </c>
      <c r="I21" s="283"/>
      <c r="J21" s="270"/>
      <c r="K21" s="271"/>
      <c r="L21" s="271"/>
      <c r="M21" s="271"/>
      <c r="N21" s="29" t="s">
        <v>86</v>
      </c>
      <c r="O21" s="199"/>
    </row>
    <row r="22" spans="1:71" ht="15.75" x14ac:dyDescent="0.3">
      <c r="A22" s="280" t="s">
        <v>287</v>
      </c>
      <c r="B22" s="280"/>
      <c r="C22" s="280"/>
      <c r="D22" s="280"/>
      <c r="E22" s="280"/>
      <c r="F22" s="280"/>
      <c r="G22" s="223"/>
      <c r="H22" s="316">
        <v>60</v>
      </c>
      <c r="I22" s="283"/>
      <c r="J22" s="270"/>
      <c r="K22" s="271"/>
      <c r="L22" s="271"/>
      <c r="M22" s="271"/>
      <c r="N22" s="141" t="str">
        <f>IF(AND(J22&gt;=5,J22&lt;=90),"OK","out of range")</f>
        <v>out of range</v>
      </c>
      <c r="O22" s="196"/>
    </row>
    <row r="23" spans="1:71" x14ac:dyDescent="0.2">
      <c r="A23" s="280" t="s">
        <v>60</v>
      </c>
      <c r="B23" s="280"/>
      <c r="C23" s="280"/>
      <c r="D23" s="280"/>
      <c r="E23" s="280"/>
      <c r="F23" s="280"/>
      <c r="G23" s="242"/>
      <c r="H23" s="316">
        <v>0</v>
      </c>
      <c r="I23" s="283"/>
      <c r="J23" s="272"/>
      <c r="K23" s="271"/>
      <c r="L23" s="271"/>
      <c r="M23" s="271"/>
      <c r="N23" s="141" t="str">
        <f>IF(J10&lt;&gt;"Basic Freeway Segment (FS)","N/A",IF(AND(J23&gt;=0,J23&lt;=J$11),"OK","out of range"))</f>
        <v>N/A</v>
      </c>
      <c r="O23" s="196"/>
    </row>
    <row r="24" spans="1:71" x14ac:dyDescent="0.2">
      <c r="A24" s="315" t="s">
        <v>59</v>
      </c>
      <c r="B24" s="315"/>
      <c r="C24" s="315"/>
      <c r="D24" s="315"/>
      <c r="E24" s="315"/>
      <c r="F24" s="315"/>
      <c r="G24" s="242"/>
      <c r="H24" s="316">
        <v>0</v>
      </c>
      <c r="I24" s="283"/>
      <c r="J24" s="270"/>
      <c r="K24" s="271"/>
      <c r="L24" s="271"/>
      <c r="M24" s="271"/>
      <c r="N24" s="141" t="str">
        <f>IF(AND(J24&gt;=0,J24&lt;=J$11),"OK","out of range")</f>
        <v>OK</v>
      </c>
      <c r="O24" s="199"/>
    </row>
    <row r="25" spans="1:71" x14ac:dyDescent="0.2">
      <c r="A25" s="280" t="s">
        <v>61</v>
      </c>
      <c r="B25" s="280"/>
      <c r="C25" s="280"/>
      <c r="D25" s="280"/>
      <c r="E25" s="280"/>
      <c r="F25" s="280"/>
      <c r="G25" s="223"/>
      <c r="H25" s="316">
        <v>0</v>
      </c>
      <c r="I25" s="283"/>
      <c r="J25" s="270"/>
      <c r="K25" s="282"/>
      <c r="L25" s="282"/>
      <c r="M25" s="282"/>
      <c r="N25" s="141" t="str">
        <f>IF(J25&lt;0,"out of range", IF(J$25+J$27+J$29+J$31+J$33&gt;J$11,"out of range - barrier pieces 1 through 5 exceed length of segment","OK"))</f>
        <v>OK</v>
      </c>
      <c r="O25" s="199"/>
    </row>
    <row r="26" spans="1:71" x14ac:dyDescent="0.2">
      <c r="A26" s="280" t="s">
        <v>66</v>
      </c>
      <c r="B26" s="280"/>
      <c r="C26" s="280"/>
      <c r="D26" s="280"/>
      <c r="E26" s="280"/>
      <c r="F26" s="280"/>
      <c r="G26" s="223"/>
      <c r="H26" s="278" t="s">
        <v>71</v>
      </c>
      <c r="I26" s="283"/>
      <c r="J26" s="270"/>
      <c r="K26" s="282"/>
      <c r="L26" s="282"/>
      <c r="M26" s="282"/>
      <c r="N26" s="141" t="str">
        <f>IF(J25="","N/A",IF(AND(J26&gt;=0.75,J26&lt;=J$22-J$21-0.75),"OK","out of range"))</f>
        <v>N/A</v>
      </c>
      <c r="O26" s="199"/>
      <c r="P26" s="12"/>
    </row>
    <row r="27" spans="1:71" x14ac:dyDescent="0.2">
      <c r="A27" s="280" t="s">
        <v>62</v>
      </c>
      <c r="B27" s="280"/>
      <c r="C27" s="280"/>
      <c r="D27" s="280"/>
      <c r="E27" s="280"/>
      <c r="F27" s="280"/>
      <c r="G27" s="223"/>
      <c r="H27" s="316">
        <v>0</v>
      </c>
      <c r="I27" s="283"/>
      <c r="J27" s="270"/>
      <c r="K27" s="282"/>
      <c r="L27" s="282"/>
      <c r="M27" s="282"/>
      <c r="N27" s="141" t="str">
        <f>IF(J27&lt;0,"out of range", IF(J$25+J$27+J$29+J$31+J$33&gt;J$11,"out of range - barrier pieces 1 through 5 exceed length of segment","OK"))</f>
        <v>OK</v>
      </c>
      <c r="O27" s="199"/>
    </row>
    <row r="28" spans="1:71" x14ac:dyDescent="0.2">
      <c r="A28" s="280" t="s">
        <v>67</v>
      </c>
      <c r="B28" s="280"/>
      <c r="C28" s="280"/>
      <c r="D28" s="280"/>
      <c r="E28" s="280"/>
      <c r="F28" s="280"/>
      <c r="G28" s="223"/>
      <c r="H28" s="278" t="s">
        <v>71</v>
      </c>
      <c r="I28" s="283"/>
      <c r="J28" s="270"/>
      <c r="K28" s="282"/>
      <c r="L28" s="282"/>
      <c r="M28" s="282"/>
      <c r="N28" s="141" t="str">
        <f>IF(J27="","N/A",IF(AND(J28&gt;=0.75,J28&lt;=J$22-J$21-0.75),"OK","out of range"))</f>
        <v>N/A</v>
      </c>
      <c r="O28" s="199"/>
    </row>
    <row r="29" spans="1:71" x14ac:dyDescent="0.2">
      <c r="A29" s="280" t="s">
        <v>63</v>
      </c>
      <c r="B29" s="280"/>
      <c r="C29" s="280"/>
      <c r="D29" s="280"/>
      <c r="E29" s="280"/>
      <c r="F29" s="280"/>
      <c r="G29" s="223"/>
      <c r="H29" s="316">
        <v>0</v>
      </c>
      <c r="I29" s="283"/>
      <c r="J29" s="270"/>
      <c r="K29" s="282"/>
      <c r="L29" s="282"/>
      <c r="M29" s="282"/>
      <c r="N29" s="141" t="str">
        <f>IF(J29&lt;0,"out of range", IF(J$25+J$27+J$29+J$31+J$33&gt;J$11,"out of range - barrier pieces 1 through 5 exceed length of segment","OK"))</f>
        <v>OK</v>
      </c>
      <c r="O29" s="199"/>
    </row>
    <row r="30" spans="1:71" x14ac:dyDescent="0.2">
      <c r="A30" s="280" t="s">
        <v>68</v>
      </c>
      <c r="B30" s="280"/>
      <c r="C30" s="280"/>
      <c r="D30" s="280"/>
      <c r="E30" s="280"/>
      <c r="F30" s="280"/>
      <c r="G30" s="223"/>
      <c r="H30" s="278" t="s">
        <v>71</v>
      </c>
      <c r="I30" s="283"/>
      <c r="J30" s="270"/>
      <c r="K30" s="282"/>
      <c r="L30" s="282"/>
      <c r="M30" s="282"/>
      <c r="N30" s="141" t="str">
        <f>IF(J29="","N/A",IF(AND(J30&gt;=0.75,J30&lt;=J$22-J$21-0.75),"OK","out of range"))</f>
        <v>N/A</v>
      </c>
      <c r="O30" s="199"/>
    </row>
    <row r="31" spans="1:71" x14ac:dyDescent="0.2">
      <c r="A31" s="280" t="s">
        <v>64</v>
      </c>
      <c r="B31" s="280"/>
      <c r="C31" s="280"/>
      <c r="D31" s="280"/>
      <c r="E31" s="280"/>
      <c r="F31" s="280"/>
      <c r="G31" s="223"/>
      <c r="H31" s="316">
        <v>0</v>
      </c>
      <c r="I31" s="283"/>
      <c r="J31" s="270"/>
      <c r="K31" s="282"/>
      <c r="L31" s="282"/>
      <c r="M31" s="282"/>
      <c r="N31" s="141" t="str">
        <f>IF(J31&lt;0,"out of range", IF(J$25+J$27+J$29+J$31+J$33&gt;J$11,"out of range - barrier pieces 1 through 5 exceed length of segment","OK"))</f>
        <v>OK</v>
      </c>
      <c r="O31" s="199"/>
    </row>
    <row r="32" spans="1:71" x14ac:dyDescent="0.2">
      <c r="A32" s="280" t="s">
        <v>69</v>
      </c>
      <c r="B32" s="280"/>
      <c r="C32" s="280"/>
      <c r="D32" s="280"/>
      <c r="E32" s="280"/>
      <c r="F32" s="280"/>
      <c r="G32" s="223"/>
      <c r="H32" s="278" t="s">
        <v>71</v>
      </c>
      <c r="I32" s="283"/>
      <c r="J32" s="270"/>
      <c r="K32" s="282"/>
      <c r="L32" s="282"/>
      <c r="M32" s="282"/>
      <c r="N32" s="141" t="str">
        <f>IF(J31="","N/A",IF(AND(J32&gt;=0.75,J32&lt;=J$22-J$21-0.75),"OK","out of range"))</f>
        <v>N/A</v>
      </c>
      <c r="O32" s="199"/>
    </row>
    <row r="33" spans="1:16" x14ac:dyDescent="0.2">
      <c r="A33" s="280" t="s">
        <v>65</v>
      </c>
      <c r="B33" s="280"/>
      <c r="C33" s="280"/>
      <c r="D33" s="280"/>
      <c r="E33" s="280"/>
      <c r="F33" s="280"/>
      <c r="G33" s="223"/>
      <c r="H33" s="316">
        <v>0</v>
      </c>
      <c r="I33" s="283"/>
      <c r="J33" s="270"/>
      <c r="K33" s="282"/>
      <c r="L33" s="282"/>
      <c r="M33" s="282"/>
      <c r="N33" s="141" t="str">
        <f>IF(J33&lt;0,"out of range", IF(J$25+J$27+J$29+J$31+J$33&gt;J$11,"out of range - barrier pieces 1 through 5 exceed length of segment","OK"))</f>
        <v>OK</v>
      </c>
      <c r="O33" s="199"/>
    </row>
    <row r="34" spans="1:16" x14ac:dyDescent="0.2">
      <c r="A34" s="280" t="s">
        <v>70</v>
      </c>
      <c r="B34" s="280"/>
      <c r="C34" s="280"/>
      <c r="D34" s="280"/>
      <c r="E34" s="280"/>
      <c r="F34" s="280"/>
      <c r="G34" s="223"/>
      <c r="H34" s="278" t="s">
        <v>71</v>
      </c>
      <c r="I34" s="283"/>
      <c r="J34" s="270"/>
      <c r="K34" s="282"/>
      <c r="L34" s="282"/>
      <c r="M34" s="282"/>
      <c r="N34" s="141" t="str">
        <f>IF(J33="","N/A",IF(AND(J34&gt;=0.75,J34&lt;=J$22-J$21-0.75),"OK","out of range"))</f>
        <v>N/A</v>
      </c>
      <c r="O34" s="199"/>
    </row>
    <row r="35" spans="1:16" x14ac:dyDescent="0.2">
      <c r="A35" s="275" t="s">
        <v>72</v>
      </c>
      <c r="B35" s="275"/>
      <c r="C35" s="275"/>
      <c r="D35" s="275"/>
      <c r="E35" s="275"/>
      <c r="F35" s="275"/>
      <c r="G35" s="275"/>
      <c r="H35" s="275"/>
      <c r="I35" s="275"/>
      <c r="J35" s="275"/>
      <c r="K35" s="275"/>
      <c r="L35" s="275"/>
      <c r="M35" s="275"/>
      <c r="N35" s="107"/>
      <c r="O35" s="199"/>
    </row>
    <row r="36" spans="1:16" ht="15.75" x14ac:dyDescent="0.3">
      <c r="A36" s="280" t="s">
        <v>288</v>
      </c>
      <c r="B36" s="280"/>
      <c r="C36" s="280"/>
      <c r="D36" s="280"/>
      <c r="E36" s="280"/>
      <c r="F36" s="280"/>
      <c r="G36" s="223"/>
      <c r="H36" s="316">
        <v>30</v>
      </c>
      <c r="I36" s="283"/>
      <c r="J36" s="270"/>
      <c r="K36" s="271"/>
      <c r="L36" s="271"/>
      <c r="M36" s="271"/>
      <c r="N36" s="141" t="str">
        <f>IF(J10&lt;&gt;"Basic Freeway Segment (FS)","N/A",IF(AND(J36&gt;=10,J36&lt;=30),"OK","out of range"))</f>
        <v>N/A</v>
      </c>
      <c r="O36" s="199"/>
    </row>
    <row r="37" spans="1:16" x14ac:dyDescent="0.2">
      <c r="A37" s="280" t="s">
        <v>73</v>
      </c>
      <c r="B37" s="280"/>
      <c r="C37" s="280"/>
      <c r="D37" s="280"/>
      <c r="E37" s="280"/>
      <c r="F37" s="280"/>
      <c r="G37" s="223"/>
      <c r="H37" s="316">
        <v>0</v>
      </c>
      <c r="I37" s="283"/>
      <c r="J37" s="270"/>
      <c r="K37" s="271"/>
      <c r="L37" s="271"/>
      <c r="M37" s="271"/>
      <c r="N37" s="141" t="str">
        <f>IF(J37&lt;0,"out of range", IF(J$37+J$39+J$41+J$43+J$45&gt;J$11,"out of range - barrier pieces 1 through 5 exceed length of segment","OK"))</f>
        <v>OK</v>
      </c>
      <c r="O37" s="199"/>
    </row>
    <row r="38" spans="1:16" x14ac:dyDescent="0.2">
      <c r="A38" s="280" t="s">
        <v>398</v>
      </c>
      <c r="B38" s="280"/>
      <c r="C38" s="280"/>
      <c r="D38" s="280"/>
      <c r="E38" s="280"/>
      <c r="F38" s="280"/>
      <c r="G38" s="223"/>
      <c r="H38" s="278" t="s">
        <v>71</v>
      </c>
      <c r="I38" s="283"/>
      <c r="J38" s="270"/>
      <c r="K38" s="271"/>
      <c r="L38" s="271"/>
      <c r="M38" s="271"/>
      <c r="N38" s="141" t="str">
        <f>IF(J37="","N/A",IF(AND(J38&gt;=1,J38&lt;=20),"OK","out of range"))</f>
        <v>N/A</v>
      </c>
      <c r="O38" s="199"/>
      <c r="P38" s="12"/>
    </row>
    <row r="39" spans="1:16" x14ac:dyDescent="0.2">
      <c r="A39" s="280" t="s">
        <v>74</v>
      </c>
      <c r="B39" s="280"/>
      <c r="C39" s="280"/>
      <c r="D39" s="280"/>
      <c r="E39" s="280"/>
      <c r="F39" s="280"/>
      <c r="G39" s="223"/>
      <c r="H39" s="316">
        <v>0</v>
      </c>
      <c r="I39" s="283"/>
      <c r="J39" s="270"/>
      <c r="K39" s="271"/>
      <c r="L39" s="271"/>
      <c r="M39" s="271"/>
      <c r="N39" s="141" t="str">
        <f>IF(J39&lt;0,"out of range", IF(J$37+J$39+J$41+J$43+J$45&gt;J$11,"out of range - barrier pieces 1 through 5 exceed length of segment","OK"))</f>
        <v>OK</v>
      </c>
      <c r="O39" s="199"/>
    </row>
    <row r="40" spans="1:16" x14ac:dyDescent="0.2">
      <c r="A40" s="280" t="s">
        <v>399</v>
      </c>
      <c r="B40" s="280"/>
      <c r="C40" s="280"/>
      <c r="D40" s="280"/>
      <c r="E40" s="280"/>
      <c r="F40" s="280"/>
      <c r="G40" s="223"/>
      <c r="H40" s="278" t="s">
        <v>71</v>
      </c>
      <c r="I40" s="283"/>
      <c r="J40" s="270"/>
      <c r="K40" s="271"/>
      <c r="L40" s="271"/>
      <c r="M40" s="271"/>
      <c r="N40" s="141" t="str">
        <f>IF(J39="","N/A",IF(AND(J40&gt;=1,J40&lt;=20),"OK","out of range"))</f>
        <v>N/A</v>
      </c>
      <c r="O40" s="199"/>
    </row>
    <row r="41" spans="1:16" x14ac:dyDescent="0.2">
      <c r="A41" s="280" t="s">
        <v>75</v>
      </c>
      <c r="B41" s="280"/>
      <c r="C41" s="280"/>
      <c r="D41" s="280"/>
      <c r="E41" s="280"/>
      <c r="F41" s="280"/>
      <c r="G41" s="223"/>
      <c r="H41" s="316">
        <v>0</v>
      </c>
      <c r="I41" s="283"/>
      <c r="J41" s="270"/>
      <c r="K41" s="271"/>
      <c r="L41" s="271"/>
      <c r="M41" s="271"/>
      <c r="N41" s="141" t="str">
        <f>IF(J41&lt;0,"out of range", IF(J$37+J$39+J$41+J$43+J$45&gt;J$11,"out of range - barrier pieces 1 through 5 exceed length of segment","OK"))</f>
        <v>OK</v>
      </c>
      <c r="O41" s="199"/>
    </row>
    <row r="42" spans="1:16" x14ac:dyDescent="0.2">
      <c r="A42" s="280" t="s">
        <v>400</v>
      </c>
      <c r="B42" s="280"/>
      <c r="C42" s="280"/>
      <c r="D42" s="280"/>
      <c r="E42" s="280"/>
      <c r="F42" s="280"/>
      <c r="G42" s="223"/>
      <c r="H42" s="278" t="s">
        <v>71</v>
      </c>
      <c r="I42" s="283"/>
      <c r="J42" s="270"/>
      <c r="K42" s="271"/>
      <c r="L42" s="271"/>
      <c r="M42" s="271"/>
      <c r="N42" s="141" t="str">
        <f>IF(J41="","N/A",IF(AND(J42&gt;=1,J42&lt;=20),"OK","out of range"))</f>
        <v>N/A</v>
      </c>
      <c r="O42" s="199"/>
    </row>
    <row r="43" spans="1:16" x14ac:dyDescent="0.2">
      <c r="A43" s="280" t="s">
        <v>76</v>
      </c>
      <c r="B43" s="280"/>
      <c r="C43" s="280"/>
      <c r="D43" s="280"/>
      <c r="E43" s="280"/>
      <c r="F43" s="280"/>
      <c r="G43" s="223"/>
      <c r="H43" s="316">
        <v>0</v>
      </c>
      <c r="I43" s="283"/>
      <c r="J43" s="270"/>
      <c r="K43" s="271"/>
      <c r="L43" s="271"/>
      <c r="M43" s="271"/>
      <c r="N43" s="141" t="str">
        <f>IF(J43&lt;0,"out of range", IF(J$37+J$39+J$41+J$43+J$45&gt;J$11,"out of range - barrier pieces 1 through 5 exceed length of segment","OK"))</f>
        <v>OK</v>
      </c>
      <c r="O43" s="199"/>
    </row>
    <row r="44" spans="1:16" x14ac:dyDescent="0.2">
      <c r="A44" s="280" t="s">
        <v>401</v>
      </c>
      <c r="B44" s="280"/>
      <c r="C44" s="280"/>
      <c r="D44" s="280"/>
      <c r="E44" s="280"/>
      <c r="F44" s="280"/>
      <c r="G44" s="223"/>
      <c r="H44" s="278" t="s">
        <v>71</v>
      </c>
      <c r="I44" s="283"/>
      <c r="J44" s="270"/>
      <c r="K44" s="271"/>
      <c r="L44" s="271"/>
      <c r="M44" s="271"/>
      <c r="N44" s="141" t="str">
        <f>IF(J43="","N/A",IF(AND(J44&gt;=1,J44&lt;=20),"OK","out of range"))</f>
        <v>N/A</v>
      </c>
      <c r="O44" s="199"/>
    </row>
    <row r="45" spans="1:16" x14ac:dyDescent="0.2">
      <c r="A45" s="280" t="s">
        <v>77</v>
      </c>
      <c r="B45" s="280"/>
      <c r="C45" s="280"/>
      <c r="D45" s="280"/>
      <c r="E45" s="280"/>
      <c r="F45" s="280"/>
      <c r="G45" s="223"/>
      <c r="H45" s="316">
        <v>0</v>
      </c>
      <c r="I45" s="283"/>
      <c r="J45" s="270"/>
      <c r="K45" s="271"/>
      <c r="L45" s="271"/>
      <c r="M45" s="271"/>
      <c r="N45" s="141" t="str">
        <f>IF(J45&lt;0,"out of range", IF(J$37+J$39+J$41+J$43+J$45&gt;J$11,"out of range - barrier pieces 1 through 5 exceed length of segment","OK"))</f>
        <v>OK</v>
      </c>
      <c r="O45" s="199"/>
    </row>
    <row r="46" spans="1:16" x14ac:dyDescent="0.2">
      <c r="A46" s="280" t="s">
        <v>402</v>
      </c>
      <c r="B46" s="280"/>
      <c r="C46" s="280"/>
      <c r="D46" s="280"/>
      <c r="E46" s="280"/>
      <c r="F46" s="280"/>
      <c r="G46" s="223"/>
      <c r="H46" s="278" t="s">
        <v>71</v>
      </c>
      <c r="I46" s="283"/>
      <c r="J46" s="270"/>
      <c r="K46" s="271"/>
      <c r="L46" s="271"/>
      <c r="M46" s="271"/>
      <c r="N46" s="141" t="str">
        <f>IF(J45="","N/A",IF(AND(J46&gt;=1,J46&lt;=20),"OK","out of range"))</f>
        <v>N/A</v>
      </c>
      <c r="O46" s="199"/>
    </row>
    <row r="47" spans="1:16" x14ac:dyDescent="0.2">
      <c r="A47" s="275" t="s">
        <v>78</v>
      </c>
      <c r="B47" s="275"/>
      <c r="C47" s="275"/>
      <c r="D47" s="275"/>
      <c r="E47" s="275"/>
      <c r="F47" s="275"/>
      <c r="G47" s="275"/>
      <c r="H47" s="275"/>
      <c r="I47" s="275"/>
      <c r="J47" s="275"/>
      <c r="K47" s="275"/>
      <c r="L47" s="275"/>
      <c r="M47" s="275"/>
      <c r="N47" s="107"/>
      <c r="O47" s="199"/>
      <c r="P47" s="12"/>
    </row>
    <row r="48" spans="1:16" ht="15.75" x14ac:dyDescent="0.3">
      <c r="A48" s="280" t="s">
        <v>89</v>
      </c>
      <c r="B48" s="280"/>
      <c r="C48" s="280"/>
      <c r="D48" s="280"/>
      <c r="E48" s="280"/>
      <c r="F48" s="280"/>
      <c r="G48" s="240"/>
      <c r="H48" s="278">
        <v>0.14199999999999999</v>
      </c>
      <c r="I48" s="279"/>
      <c r="J48" s="270"/>
      <c r="K48" s="271"/>
      <c r="L48" s="271"/>
      <c r="M48" s="271"/>
      <c r="N48" s="141" t="str">
        <f>IF(J10&lt;&gt;"Entrance Speed-Change Lane (EN)", "N/A",IF(AND(J48&gt;0,J48&lt;=0.3),"OK","out of range"))</f>
        <v>N/A</v>
      </c>
      <c r="O48" s="199"/>
      <c r="P48" s="12"/>
    </row>
    <row r="49" spans="1:16" ht="15.75" x14ac:dyDescent="0.3">
      <c r="A49" s="280" t="s">
        <v>88</v>
      </c>
      <c r="B49" s="280"/>
      <c r="C49" s="280"/>
      <c r="D49" s="280"/>
      <c r="E49" s="280"/>
      <c r="F49" s="280"/>
      <c r="G49" s="240"/>
      <c r="H49" s="278">
        <v>7.0999999999999994E-2</v>
      </c>
      <c r="I49" s="279"/>
      <c r="J49" s="272"/>
      <c r="K49" s="271"/>
      <c r="L49" s="271"/>
      <c r="M49" s="271"/>
      <c r="N49" s="141" t="str">
        <f>IF(J10&lt;&gt;"Exit Speed-Change Lane (EX)", "N/A",IF(AND(J49&gt;0,J49&lt;=0.3),"OK","out of range"))</f>
        <v>N/A</v>
      </c>
      <c r="O49" s="199"/>
      <c r="P49" s="12"/>
    </row>
    <row r="50" spans="1:16" ht="15.75" x14ac:dyDescent="0.3">
      <c r="A50" s="280" t="s">
        <v>211</v>
      </c>
      <c r="B50" s="280"/>
      <c r="C50" s="280"/>
      <c r="D50" s="280"/>
      <c r="E50" s="280"/>
      <c r="F50" s="280"/>
      <c r="G50" s="240"/>
      <c r="H50" s="278" t="s">
        <v>391</v>
      </c>
      <c r="I50" s="279"/>
      <c r="J50" s="270"/>
      <c r="K50" s="271"/>
      <c r="L50" s="271"/>
      <c r="M50" s="271"/>
      <c r="N50" s="141" t="str">
        <f>IF(J10&lt;&gt;"Basic Freeway Segment (FS)", "N/A",IF(J50&gt;0,"OK","out of range"))</f>
        <v>N/A</v>
      </c>
      <c r="O50" s="199"/>
      <c r="P50" s="83"/>
    </row>
    <row r="51" spans="1:16" ht="15.75" x14ac:dyDescent="0.3">
      <c r="A51" s="280" t="s">
        <v>212</v>
      </c>
      <c r="B51" s="280"/>
      <c r="C51" s="280"/>
      <c r="D51" s="280"/>
      <c r="E51" s="280"/>
      <c r="F51" s="280"/>
      <c r="G51" s="240"/>
      <c r="H51" s="278" t="s">
        <v>391</v>
      </c>
      <c r="I51" s="279"/>
      <c r="J51" s="270"/>
      <c r="K51" s="271"/>
      <c r="L51" s="271"/>
      <c r="M51" s="271"/>
      <c r="N51" s="141" t="str">
        <f>IF(J10&lt;&gt;"Basic Freeway Segment (FS)", "N/A",IF(J51&gt;0,"OK","out of range"))</f>
        <v>N/A</v>
      </c>
      <c r="O51" s="199"/>
      <c r="P51" s="83"/>
    </row>
    <row r="52" spans="1:16" ht="15.75" x14ac:dyDescent="0.3">
      <c r="A52" s="280" t="s">
        <v>213</v>
      </c>
      <c r="B52" s="280"/>
      <c r="C52" s="280"/>
      <c r="D52" s="280"/>
      <c r="E52" s="280"/>
      <c r="F52" s="280"/>
      <c r="G52" s="240"/>
      <c r="H52" s="278" t="s">
        <v>71</v>
      </c>
      <c r="I52" s="283"/>
      <c r="J52" s="319"/>
      <c r="K52" s="320"/>
      <c r="L52" s="320"/>
      <c r="M52" s="320"/>
      <c r="N52" s="141" t="str">
        <f>IF(J10&lt;&gt;"Basic Freeway Segment (FS)", "N/A",IF(J52&lt;37968,"OK","out of range"))</f>
        <v>N/A</v>
      </c>
      <c r="O52" s="199"/>
      <c r="P52" s="12"/>
    </row>
    <row r="53" spans="1:16" ht="15.75" x14ac:dyDescent="0.3">
      <c r="A53" s="280" t="s">
        <v>214</v>
      </c>
      <c r="B53" s="280"/>
      <c r="C53" s="280"/>
      <c r="D53" s="280"/>
      <c r="E53" s="280"/>
      <c r="F53" s="280"/>
      <c r="G53" s="240"/>
      <c r="H53" s="278" t="s">
        <v>71</v>
      </c>
      <c r="I53" s="283"/>
      <c r="J53" s="319"/>
      <c r="K53" s="320"/>
      <c r="L53" s="320"/>
      <c r="M53" s="320"/>
      <c r="N53" s="141" t="str">
        <f>IF(J10&lt;&gt;"Basic Freeway Segment (FS)", "N/A",IF(J53&lt;32852,"OK","out of range"))</f>
        <v>N/A</v>
      </c>
      <c r="O53" s="199"/>
      <c r="P53" s="12"/>
    </row>
    <row r="54" spans="1:16" x14ac:dyDescent="0.2">
      <c r="A54" s="275" t="s">
        <v>79</v>
      </c>
      <c r="B54" s="275"/>
      <c r="C54" s="275"/>
      <c r="D54" s="275"/>
      <c r="E54" s="275"/>
      <c r="F54" s="275"/>
      <c r="G54" s="275"/>
      <c r="H54" s="275"/>
      <c r="I54" s="275"/>
      <c r="J54" s="275"/>
      <c r="K54" s="275"/>
      <c r="L54" s="275"/>
      <c r="M54" s="275"/>
      <c r="N54" s="107"/>
      <c r="O54" s="199"/>
      <c r="P54" s="39" t="s">
        <v>343</v>
      </c>
    </row>
    <row r="55" spans="1:16" x14ac:dyDescent="0.2">
      <c r="A55" s="280" t="s">
        <v>390</v>
      </c>
      <c r="B55" s="280"/>
      <c r="C55" s="280"/>
      <c r="D55" s="280"/>
      <c r="E55" s="280"/>
      <c r="F55" s="280"/>
      <c r="G55" s="242"/>
      <c r="H55" s="278" t="s">
        <v>15</v>
      </c>
      <c r="I55" s="279"/>
      <c r="J55" s="276"/>
      <c r="K55" s="277"/>
      <c r="L55" s="277"/>
      <c r="M55" s="277"/>
      <c r="N55" s="29" t="s">
        <v>86</v>
      </c>
      <c r="O55" s="199"/>
    </row>
    <row r="56" spans="1:16" x14ac:dyDescent="0.2">
      <c r="A56" s="280" t="s">
        <v>404</v>
      </c>
      <c r="B56" s="280"/>
      <c r="C56" s="280"/>
      <c r="D56" s="280"/>
      <c r="E56" s="280"/>
      <c r="F56" s="280"/>
      <c r="G56" s="242"/>
      <c r="H56" s="365" t="s">
        <v>86</v>
      </c>
      <c r="I56" s="365"/>
      <c r="J56" s="276"/>
      <c r="K56" s="277"/>
      <c r="L56" s="277"/>
      <c r="M56" s="366"/>
      <c r="N56" s="29" t="str">
        <f>IF(J55="Yes","-","N/A")</f>
        <v>N/A</v>
      </c>
      <c r="O56" s="199"/>
    </row>
    <row r="57" spans="1:16" ht="15.75" x14ac:dyDescent="0.3">
      <c r="A57" s="280" t="s">
        <v>90</v>
      </c>
      <c r="B57" s="280"/>
      <c r="C57" s="280"/>
      <c r="D57" s="280"/>
      <c r="E57" s="280"/>
      <c r="F57" s="280"/>
      <c r="G57" s="242"/>
      <c r="H57" s="278">
        <v>0</v>
      </c>
      <c r="I57" s="279"/>
      <c r="J57" s="270"/>
      <c r="K57" s="271"/>
      <c r="L57" s="271"/>
      <c r="M57" s="271"/>
      <c r="N57" s="141" t="str">
        <f>IF(J55="Yes","N/A",IF(AND(J57&gt;=0,J57&lt;=J11,J57&lt;=0.152),"OK","out of range"))</f>
        <v>OK</v>
      </c>
      <c r="O57" s="199"/>
    </row>
    <row r="58" spans="1:16" ht="15.75" x14ac:dyDescent="0.3">
      <c r="A58" s="280" t="s">
        <v>286</v>
      </c>
      <c r="B58" s="280"/>
      <c r="C58" s="280"/>
      <c r="D58" s="280"/>
      <c r="E58" s="280"/>
      <c r="F58" s="280"/>
      <c r="G58" s="242"/>
      <c r="H58" s="278">
        <v>0</v>
      </c>
      <c r="I58" s="279"/>
      <c r="J58" s="272"/>
      <c r="K58" s="271"/>
      <c r="L58" s="271"/>
      <c r="M58" s="271"/>
      <c r="N58" s="141" t="str">
        <f>IF(J55="No","N/A",IF(AND(J58&gt;=0,J58&lt;=J11),"OK","out of range"))</f>
        <v>OK</v>
      </c>
      <c r="O58" s="199"/>
      <c r="P58" s="12"/>
    </row>
    <row r="59" spans="1:16" ht="15.75" x14ac:dyDescent="0.3">
      <c r="A59" s="280" t="s">
        <v>91</v>
      </c>
      <c r="B59" s="280"/>
      <c r="C59" s="280"/>
      <c r="D59" s="280"/>
      <c r="E59" s="280"/>
      <c r="F59" s="280"/>
      <c r="G59" s="242"/>
      <c r="H59" s="278">
        <v>0</v>
      </c>
      <c r="I59" s="279"/>
      <c r="J59" s="273"/>
      <c r="K59" s="274"/>
      <c r="L59" s="274"/>
      <c r="M59" s="274"/>
      <c r="N59" s="141" t="str">
        <f>IF(J55="No","N/A",IF(AND(J59&gt;=0,J59&lt;=0.45),"OK","out of range"))</f>
        <v>OK</v>
      </c>
      <c r="O59" s="199"/>
      <c r="P59" s="12"/>
    </row>
    <row r="60" spans="1:16" ht="13.5" x14ac:dyDescent="0.25">
      <c r="A60" s="367" t="s">
        <v>392</v>
      </c>
      <c r="B60" s="367"/>
      <c r="C60" s="367"/>
      <c r="D60" s="367"/>
      <c r="E60" s="367"/>
      <c r="F60" s="367"/>
      <c r="G60" s="368"/>
      <c r="H60" s="278">
        <v>12</v>
      </c>
      <c r="I60" s="279"/>
      <c r="J60" s="270"/>
      <c r="K60" s="271"/>
      <c r="L60" s="271"/>
      <c r="M60" s="271"/>
      <c r="N60" s="141" t="str">
        <f>IF(J55="No","N/A",IF(AND(J60&gt;=3.5,J60&lt;=16.8),"OK","out of range"))</f>
        <v>out of range</v>
      </c>
      <c r="O60" s="199"/>
      <c r="P60" s="12"/>
    </row>
    <row r="61" spans="1:16" ht="13.5" x14ac:dyDescent="0.25">
      <c r="A61" s="367" t="s">
        <v>393</v>
      </c>
      <c r="B61" s="367"/>
      <c r="C61" s="367"/>
      <c r="D61" s="367"/>
      <c r="E61" s="367"/>
      <c r="F61" s="367"/>
      <c r="G61" s="367"/>
      <c r="H61" s="365" t="s">
        <v>86</v>
      </c>
      <c r="I61" s="365"/>
      <c r="J61" s="369"/>
      <c r="K61" s="369"/>
      <c r="L61" s="369"/>
      <c r="M61" s="270"/>
      <c r="N61" s="161" t="s">
        <v>86</v>
      </c>
      <c r="O61" s="199"/>
      <c r="P61" s="12"/>
    </row>
    <row r="62" spans="1:16" x14ac:dyDescent="0.2">
      <c r="A62" s="275" t="s">
        <v>416</v>
      </c>
      <c r="B62" s="275"/>
      <c r="C62" s="275"/>
      <c r="D62" s="275"/>
      <c r="E62" s="275"/>
      <c r="F62" s="275"/>
      <c r="G62" s="275"/>
      <c r="H62" s="275"/>
      <c r="I62" s="275"/>
      <c r="J62" s="275"/>
      <c r="K62" s="275"/>
      <c r="L62" s="275"/>
      <c r="M62" s="275"/>
      <c r="N62" s="275"/>
      <c r="O62" s="199"/>
      <c r="P62" s="12"/>
    </row>
    <row r="63" spans="1:16" x14ac:dyDescent="0.2">
      <c r="A63" s="367" t="s">
        <v>420</v>
      </c>
      <c r="B63" s="367"/>
      <c r="C63" s="367"/>
      <c r="D63" s="367"/>
      <c r="E63" s="367"/>
      <c r="F63" s="367"/>
      <c r="G63" s="367"/>
      <c r="H63" s="365" t="s">
        <v>86</v>
      </c>
      <c r="I63" s="365"/>
      <c r="J63" s="370"/>
      <c r="K63" s="277"/>
      <c r="L63" s="277"/>
      <c r="M63" s="277"/>
      <c r="N63" s="161" t="s">
        <v>86</v>
      </c>
      <c r="O63" s="199"/>
      <c r="P63" s="12"/>
    </row>
    <row r="64" spans="1:16" x14ac:dyDescent="0.2">
      <c r="A64" s="367" t="s">
        <v>421</v>
      </c>
      <c r="B64" s="367"/>
      <c r="C64" s="367"/>
      <c r="D64" s="367"/>
      <c r="E64" s="367"/>
      <c r="F64" s="367"/>
      <c r="G64" s="367"/>
      <c r="H64" s="365" t="s">
        <v>86</v>
      </c>
      <c r="I64" s="365"/>
      <c r="J64" s="369"/>
      <c r="K64" s="369"/>
      <c r="L64" s="369"/>
      <c r="M64" s="369"/>
      <c r="N64" s="161" t="str">
        <f>IF(J63="No - Use Default Value","N/A","-")</f>
        <v>-</v>
      </c>
      <c r="O64" s="83"/>
      <c r="P64" s="12"/>
    </row>
    <row r="65" spans="1:15" x14ac:dyDescent="0.2">
      <c r="A65" s="275" t="s">
        <v>80</v>
      </c>
      <c r="B65" s="275"/>
      <c r="C65" s="275"/>
      <c r="D65" s="275"/>
      <c r="E65" s="275"/>
      <c r="F65" s="275"/>
      <c r="G65" s="275"/>
      <c r="H65" s="275"/>
      <c r="I65" s="275"/>
      <c r="J65" s="275"/>
      <c r="K65" s="275"/>
      <c r="L65" s="275"/>
      <c r="M65" s="275"/>
      <c r="N65" s="107"/>
      <c r="O65" s="201"/>
    </row>
    <row r="66" spans="1:15" ht="13.5" thickBot="1" x14ac:dyDescent="0.25">
      <c r="A66" s="371" t="s">
        <v>344</v>
      </c>
      <c r="B66" s="372"/>
      <c r="C66" s="372"/>
      <c r="D66" s="372"/>
      <c r="E66" s="372"/>
      <c r="F66" s="372"/>
      <c r="G66" s="373"/>
      <c r="H66" s="374" t="s">
        <v>126</v>
      </c>
      <c r="I66" s="375"/>
      <c r="J66" s="375"/>
      <c r="K66" s="375"/>
      <c r="L66" s="375"/>
      <c r="M66" s="375"/>
      <c r="N66" s="108"/>
      <c r="O66" s="225"/>
    </row>
    <row r="67" spans="1:15" ht="13.5" thickTop="1" x14ac:dyDescent="0.2">
      <c r="A67" s="24"/>
      <c r="B67" s="24"/>
      <c r="C67" s="24"/>
      <c r="D67" s="24"/>
      <c r="E67" s="24"/>
      <c r="F67" s="24"/>
      <c r="G67" s="24"/>
      <c r="H67" s="24"/>
      <c r="J67" s="24"/>
      <c r="K67" s="24"/>
      <c r="L67" s="24"/>
      <c r="M67" s="24"/>
      <c r="N67" s="16"/>
      <c r="O67" s="4"/>
    </row>
    <row r="68" spans="1:15" x14ac:dyDescent="0.2">
      <c r="A68" s="8"/>
      <c r="B68" s="8"/>
      <c r="C68" s="8"/>
      <c r="D68" s="8"/>
      <c r="E68" s="8"/>
      <c r="F68" s="8"/>
      <c r="G68" s="8"/>
      <c r="H68" s="8"/>
      <c r="I68" s="8"/>
      <c r="J68" s="8"/>
      <c r="K68" s="8"/>
      <c r="L68" s="8"/>
      <c r="M68" s="8"/>
      <c r="N68" s="16"/>
      <c r="O68" s="4"/>
    </row>
    <row r="69" spans="1:15" ht="13.5" thickBot="1" x14ac:dyDescent="0.25"/>
    <row r="70" spans="1:15" ht="14.25" thickTop="1" thickBot="1" x14ac:dyDescent="0.25">
      <c r="A70" s="254" t="s">
        <v>96</v>
      </c>
      <c r="B70" s="254"/>
      <c r="C70" s="254"/>
      <c r="D70" s="254"/>
      <c r="E70" s="254"/>
      <c r="F70" s="254"/>
      <c r="G70" s="254"/>
      <c r="H70" s="254"/>
      <c r="I70" s="254"/>
      <c r="J70" s="254"/>
      <c r="K70" s="254"/>
      <c r="L70" s="176"/>
      <c r="M70" s="176"/>
    </row>
    <row r="71" spans="1:15" ht="15.6" customHeight="1" thickTop="1" x14ac:dyDescent="0.2">
      <c r="A71" s="299" t="s">
        <v>97</v>
      </c>
      <c r="B71" s="299" t="s">
        <v>104</v>
      </c>
      <c r="C71" s="299" t="s">
        <v>16</v>
      </c>
      <c r="D71" s="299"/>
      <c r="E71" s="299"/>
      <c r="F71" s="299"/>
      <c r="G71" s="299" t="s">
        <v>106</v>
      </c>
      <c r="H71" s="299" t="s">
        <v>107</v>
      </c>
      <c r="I71" s="299" t="s">
        <v>105</v>
      </c>
      <c r="J71" s="299" t="s">
        <v>108</v>
      </c>
      <c r="K71" s="299"/>
    </row>
    <row r="72" spans="1:15" x14ac:dyDescent="0.2">
      <c r="A72" s="300"/>
      <c r="B72" s="300"/>
      <c r="C72" s="214" t="s">
        <v>17</v>
      </c>
      <c r="D72" s="214" t="s">
        <v>18</v>
      </c>
      <c r="E72" s="140" t="s">
        <v>394</v>
      </c>
      <c r="F72" s="140" t="s">
        <v>394</v>
      </c>
      <c r="G72" s="300"/>
      <c r="H72" s="300"/>
      <c r="I72" s="300"/>
      <c r="J72" s="300"/>
      <c r="K72" s="300"/>
    </row>
    <row r="73" spans="1:15" x14ac:dyDescent="0.2">
      <c r="A73" s="243" t="s">
        <v>98</v>
      </c>
      <c r="B73" s="234">
        <f>J$11</f>
        <v>0</v>
      </c>
      <c r="C73" s="234">
        <v>-4.556</v>
      </c>
      <c r="D73" s="234">
        <v>1.4059999999999999</v>
      </c>
      <c r="E73" s="213"/>
      <c r="F73" s="233"/>
      <c r="G73" s="64">
        <f>J$12</f>
        <v>0</v>
      </c>
      <c r="H73" s="234"/>
      <c r="I73" s="234"/>
      <c r="J73" s="298" t="e">
        <f>B73*EXP(C73+D73*LN(G73/1000))</f>
        <v>#NUM!</v>
      </c>
      <c r="K73" s="298"/>
    </row>
    <row r="74" spans="1:15" x14ac:dyDescent="0.2">
      <c r="A74" s="241" t="s">
        <v>372</v>
      </c>
      <c r="B74" s="234">
        <f t="shared" ref="B74:B78" si="0">J$11</f>
        <v>0</v>
      </c>
      <c r="C74" s="234">
        <v>-4.25</v>
      </c>
      <c r="D74" s="234">
        <v>1.4059999999999999</v>
      </c>
      <c r="E74" s="234">
        <v>-4.99E-2</v>
      </c>
      <c r="F74" s="234"/>
      <c r="G74" s="64">
        <f t="shared" ref="G74:G78" si="1">J$12</f>
        <v>0</v>
      </c>
      <c r="H74" s="64">
        <f>J13</f>
        <v>0</v>
      </c>
      <c r="I74" s="234"/>
      <c r="J74" s="298" t="e">
        <f>B74*EXP(C74+D74*LN(G74/1000)+(E74*H74/1000))</f>
        <v>#NUM!</v>
      </c>
      <c r="K74" s="298"/>
    </row>
    <row r="75" spans="1:15" x14ac:dyDescent="0.2">
      <c r="A75" s="241" t="s">
        <v>373</v>
      </c>
      <c r="B75" s="234">
        <f t="shared" si="0"/>
        <v>0</v>
      </c>
      <c r="C75" s="234">
        <v>-5.3739999999999997</v>
      </c>
      <c r="D75" s="234">
        <v>1.4059999999999999</v>
      </c>
      <c r="E75" s="234"/>
      <c r="F75" s="234">
        <v>0.93</v>
      </c>
      <c r="G75" s="64">
        <f t="shared" si="1"/>
        <v>0</v>
      </c>
      <c r="H75" s="234"/>
      <c r="I75" s="234">
        <f>J14</f>
        <v>0</v>
      </c>
      <c r="J75" s="298" t="e">
        <f>B75*EXP(C75+D75*LN(G75/1000)+F75*(I75-2)^0.5)</f>
        <v>#NUM!</v>
      </c>
      <c r="K75" s="298"/>
    </row>
    <row r="76" spans="1:15" x14ac:dyDescent="0.2">
      <c r="A76" s="243" t="s">
        <v>101</v>
      </c>
      <c r="B76" s="234">
        <f t="shared" si="0"/>
        <v>0</v>
      </c>
      <c r="C76" s="234">
        <v>-3.133</v>
      </c>
      <c r="D76" s="234">
        <v>1.2949999999999999</v>
      </c>
      <c r="E76" s="234"/>
      <c r="F76" s="234"/>
      <c r="G76" s="64">
        <f t="shared" si="1"/>
        <v>0</v>
      </c>
      <c r="H76" s="234"/>
      <c r="I76" s="234"/>
      <c r="J76" s="298" t="e">
        <f>B76*EXP(C76+D76*LN(G76/1000))</f>
        <v>#NUM!</v>
      </c>
      <c r="K76" s="298"/>
    </row>
    <row r="77" spans="1:15" x14ac:dyDescent="0.2">
      <c r="A77" s="241" t="s">
        <v>374</v>
      </c>
      <c r="B77" s="234">
        <f t="shared" si="0"/>
        <v>0</v>
      </c>
      <c r="C77" s="234">
        <v>-3.0430000000000001</v>
      </c>
      <c r="D77" s="234">
        <v>1.2949999999999999</v>
      </c>
      <c r="E77" s="234">
        <v>-2.0199999999999999E-2</v>
      </c>
      <c r="F77" s="234"/>
      <c r="G77" s="64">
        <f t="shared" si="1"/>
        <v>0</v>
      </c>
      <c r="H77" s="64">
        <f>J13</f>
        <v>0</v>
      </c>
      <c r="I77" s="234"/>
      <c r="J77" s="298" t="e">
        <f>B77*EXP(C77+D77*LN(G77/1000)+(E77*H77/1000))</f>
        <v>#NUM!</v>
      </c>
      <c r="K77" s="298"/>
    </row>
    <row r="78" spans="1:15" x14ac:dyDescent="0.2">
      <c r="A78" s="241" t="s">
        <v>375</v>
      </c>
      <c r="B78" s="234">
        <f t="shared" si="0"/>
        <v>0</v>
      </c>
      <c r="C78" s="234">
        <v>-3.4129999999999998</v>
      </c>
      <c r="D78" s="234">
        <v>1.2949999999999999</v>
      </c>
      <c r="E78" s="234"/>
      <c r="F78" s="234">
        <v>0.59799999999999998</v>
      </c>
      <c r="G78" s="64">
        <f t="shared" si="1"/>
        <v>0</v>
      </c>
      <c r="H78" s="234"/>
      <c r="I78" s="234">
        <f>J14</f>
        <v>0</v>
      </c>
      <c r="J78" s="298" t="e">
        <f>B78*EXP(C78+D78*LN(G78/1000)+F78*(I78-2)^0.5)</f>
        <v>#NUM!</v>
      </c>
      <c r="K78" s="298"/>
    </row>
    <row r="79" spans="1:15" x14ac:dyDescent="0.2">
      <c r="J79" s="376"/>
      <c r="K79" s="376"/>
    </row>
    <row r="81" spans="1:30" ht="13.5" thickBot="1" x14ac:dyDescent="0.25"/>
    <row r="82" spans="1:30" ht="14.25" thickTop="1" thickBot="1" x14ac:dyDescent="0.25">
      <c r="A82" s="254" t="s">
        <v>111</v>
      </c>
      <c r="B82" s="377"/>
      <c r="C82" s="377"/>
      <c r="D82" s="377"/>
      <c r="E82" s="378"/>
      <c r="F82" s="378"/>
      <c r="G82" s="378"/>
      <c r="H82" s="378"/>
      <c r="I82" s="378"/>
      <c r="J82" s="378"/>
      <c r="K82" s="378"/>
      <c r="L82" s="378"/>
      <c r="M82" s="378"/>
    </row>
    <row r="83" spans="1:30" s="3" customFormat="1" ht="13.5" thickTop="1" x14ac:dyDescent="0.2">
      <c r="A83" s="290" t="s">
        <v>116</v>
      </c>
      <c r="B83" s="290"/>
      <c r="C83" s="290"/>
      <c r="D83" s="290"/>
      <c r="E83" s="290"/>
      <c r="F83" s="290"/>
      <c r="G83" s="290"/>
      <c r="H83" s="290"/>
      <c r="I83" s="290"/>
      <c r="J83" s="290"/>
      <c r="K83" s="290"/>
      <c r="L83" s="290"/>
      <c r="M83" s="290"/>
      <c r="N83" s="65"/>
      <c r="R83" s="66"/>
      <c r="S83" s="66"/>
      <c r="T83" s="66"/>
      <c r="U83" s="66"/>
      <c r="V83" s="66"/>
      <c r="W83" s="66"/>
      <c r="X83" s="66"/>
      <c r="Y83" s="66"/>
      <c r="Z83" s="66"/>
      <c r="AA83" s="66"/>
      <c r="AB83" s="66"/>
      <c r="AC83" s="66"/>
      <c r="AD83" s="66"/>
    </row>
    <row r="84" spans="1:30" s="3" customFormat="1" ht="14.25" x14ac:dyDescent="0.25">
      <c r="A84" s="265" t="s">
        <v>112</v>
      </c>
      <c r="B84" s="265"/>
      <c r="C84" s="214" t="s">
        <v>17</v>
      </c>
      <c r="D84" s="214" t="s">
        <v>115</v>
      </c>
      <c r="M84" s="67" t="s">
        <v>130</v>
      </c>
      <c r="N84" s="65"/>
      <c r="R84" s="66"/>
      <c r="S84" s="66"/>
      <c r="T84" s="66"/>
      <c r="U84" s="66"/>
      <c r="V84" s="66"/>
      <c r="W84" s="66"/>
      <c r="X84" s="66"/>
      <c r="Y84" s="66"/>
      <c r="Z84" s="66"/>
      <c r="AA84" s="66"/>
      <c r="AB84" s="66"/>
      <c r="AC84" s="66"/>
      <c r="AD84" s="66"/>
    </row>
    <row r="85" spans="1:30" x14ac:dyDescent="0.2">
      <c r="A85" s="295" t="s">
        <v>113</v>
      </c>
      <c r="B85" s="295"/>
      <c r="C85" s="234">
        <v>-4.8899999999999997</v>
      </c>
      <c r="D85" s="234">
        <f>J16</f>
        <v>0</v>
      </c>
      <c r="M85" s="177">
        <f>IF(D85=0,1,1+(EXP(C85)*(5730/D85)^2))</f>
        <v>1</v>
      </c>
    </row>
    <row r="86" spans="1:30" x14ac:dyDescent="0.2">
      <c r="A86" s="295" t="s">
        <v>114</v>
      </c>
      <c r="B86" s="295"/>
      <c r="C86" s="234">
        <v>-5.47</v>
      </c>
      <c r="D86" s="234">
        <f>J16</f>
        <v>0</v>
      </c>
      <c r="M86" s="177">
        <f>IF(D86=0,1,1+(EXP(C86)*(5730/D86)^2))</f>
        <v>1</v>
      </c>
      <c r="N86" s="84"/>
    </row>
    <row r="88" spans="1:30" x14ac:dyDescent="0.2">
      <c r="A88" s="293" t="s">
        <v>13</v>
      </c>
      <c r="B88" s="293"/>
      <c r="C88" s="293"/>
      <c r="D88" s="293"/>
      <c r="E88" s="293"/>
      <c r="F88" s="293"/>
      <c r="G88" s="293"/>
      <c r="H88" s="293"/>
      <c r="I88" s="293"/>
      <c r="J88" s="293"/>
      <c r="K88" s="293"/>
      <c r="L88" s="293"/>
      <c r="M88" s="293"/>
    </row>
    <row r="89" spans="1:30" ht="14.25" x14ac:dyDescent="0.25">
      <c r="A89" s="265" t="s">
        <v>112</v>
      </c>
      <c r="B89" s="265"/>
      <c r="C89" s="214" t="s">
        <v>17</v>
      </c>
      <c r="D89" s="214" t="s">
        <v>144</v>
      </c>
      <c r="E89" s="3"/>
      <c r="F89" s="3"/>
      <c r="G89" s="3"/>
      <c r="H89" s="3"/>
      <c r="I89" s="3"/>
      <c r="J89" s="3"/>
      <c r="K89" s="3"/>
      <c r="L89" s="3"/>
      <c r="M89" s="67" t="s">
        <v>292</v>
      </c>
    </row>
    <row r="90" spans="1:30" x14ac:dyDescent="0.2">
      <c r="A90" s="295" t="s">
        <v>113</v>
      </c>
      <c r="B90" s="295"/>
      <c r="C90" s="234">
        <v>-4.1099999999999998E-2</v>
      </c>
      <c r="D90" s="234">
        <f>J18</f>
        <v>0</v>
      </c>
      <c r="M90" s="177">
        <f>EXP(C90*(MIN(D90,13)-12))</f>
        <v>1.6375479982400416</v>
      </c>
    </row>
    <row r="91" spans="1:30" x14ac:dyDescent="0.2">
      <c r="A91" s="295" t="s">
        <v>114</v>
      </c>
      <c r="B91" s="295"/>
      <c r="C91" s="234">
        <v>-2.7300000000000001E-2</v>
      </c>
      <c r="D91" s="234">
        <f>J18</f>
        <v>0</v>
      </c>
      <c r="M91" s="177">
        <f>EXP(C91*(MIN(D91,13)-12))</f>
        <v>1.3876338077408086</v>
      </c>
      <c r="N91" s="84"/>
    </row>
    <row r="93" spans="1:30" x14ac:dyDescent="0.2">
      <c r="A93" s="293" t="s">
        <v>117</v>
      </c>
      <c r="B93" s="293"/>
      <c r="C93" s="293"/>
      <c r="D93" s="293"/>
      <c r="E93" s="293"/>
      <c r="F93" s="293"/>
      <c r="G93" s="293"/>
      <c r="H93" s="293"/>
      <c r="I93" s="293"/>
      <c r="J93" s="293"/>
      <c r="K93" s="293"/>
      <c r="L93" s="293"/>
      <c r="M93" s="293"/>
    </row>
    <row r="94" spans="1:30" ht="14.25" x14ac:dyDescent="0.25">
      <c r="A94" s="265" t="s">
        <v>112</v>
      </c>
      <c r="B94" s="265"/>
      <c r="C94" s="214" t="s">
        <v>17</v>
      </c>
      <c r="D94" s="214" t="s">
        <v>105</v>
      </c>
      <c r="E94" s="214" t="s">
        <v>149</v>
      </c>
      <c r="F94" s="3"/>
      <c r="G94" s="3"/>
      <c r="H94" s="3"/>
      <c r="I94" s="3"/>
      <c r="J94" s="3"/>
      <c r="K94" s="3"/>
      <c r="L94" s="3"/>
      <c r="M94" s="67" t="s">
        <v>293</v>
      </c>
    </row>
    <row r="95" spans="1:30" x14ac:dyDescent="0.2">
      <c r="A95" s="295" t="s">
        <v>113</v>
      </c>
      <c r="B95" s="295"/>
      <c r="C95" s="234">
        <v>-4.1099999999999998E-2</v>
      </c>
      <c r="D95" s="234">
        <f>J14</f>
        <v>0</v>
      </c>
      <c r="E95" s="234">
        <f>J20</f>
        <v>0</v>
      </c>
      <c r="M95" s="177" t="e">
        <f>EXP(C95/D95*(MIN(E95,12)-6))</f>
        <v>#DIV/0!</v>
      </c>
    </row>
    <row r="96" spans="1:30" x14ac:dyDescent="0.2">
      <c r="A96" s="295" t="s">
        <v>114</v>
      </c>
      <c r="B96" s="295"/>
      <c r="C96" s="234">
        <v>-2.7300000000000001E-2</v>
      </c>
      <c r="D96" s="234">
        <f>J14</f>
        <v>0</v>
      </c>
      <c r="E96" s="234">
        <f>J20</f>
        <v>0</v>
      </c>
      <c r="M96" s="177" t="e">
        <f>EXP(C96/D96*(MIN(E96,12)-6))</f>
        <v>#DIV/0!</v>
      </c>
      <c r="N96" s="84"/>
    </row>
    <row r="98" spans="1:14" x14ac:dyDescent="0.2">
      <c r="A98" s="293" t="s">
        <v>118</v>
      </c>
      <c r="B98" s="293"/>
      <c r="C98" s="293"/>
      <c r="D98" s="293"/>
      <c r="E98" s="293"/>
      <c r="F98" s="293"/>
      <c r="G98" s="293"/>
      <c r="H98" s="293"/>
      <c r="I98" s="293"/>
      <c r="J98" s="293"/>
      <c r="K98" s="293"/>
      <c r="L98" s="293"/>
      <c r="M98" s="293"/>
    </row>
    <row r="99" spans="1:14" ht="14.25" x14ac:dyDescent="0.25">
      <c r="A99" s="265" t="s">
        <v>112</v>
      </c>
      <c r="B99" s="265"/>
      <c r="C99" s="214" t="s">
        <v>145</v>
      </c>
      <c r="D99" s="214" t="s">
        <v>17</v>
      </c>
      <c r="E99" s="214" t="s">
        <v>105</v>
      </c>
      <c r="F99" s="3"/>
      <c r="G99" s="3"/>
      <c r="H99" s="3"/>
      <c r="I99" s="3"/>
      <c r="J99" s="3"/>
      <c r="K99" s="3"/>
      <c r="L99" s="3"/>
      <c r="M99" s="67" t="s">
        <v>294</v>
      </c>
    </row>
    <row r="100" spans="1:14" x14ac:dyDescent="0.2">
      <c r="A100" s="295" t="s">
        <v>113</v>
      </c>
      <c r="B100" s="295"/>
      <c r="C100" s="119" t="e">
        <f>J24/J11</f>
        <v>#DIV/0!</v>
      </c>
      <c r="D100" s="234">
        <v>-0.51600000000000001</v>
      </c>
      <c r="E100" s="234">
        <f>J14</f>
        <v>0</v>
      </c>
      <c r="M100" s="243" t="e">
        <f>(1-C100)*1+C100*EXP(D100/E100)</f>
        <v>#DIV/0!</v>
      </c>
      <c r="N100" s="84"/>
    </row>
    <row r="102" spans="1:14" x14ac:dyDescent="0.2">
      <c r="A102" s="293" t="s">
        <v>119</v>
      </c>
      <c r="B102" s="293"/>
      <c r="C102" s="293"/>
      <c r="D102" s="293"/>
      <c r="E102" s="293"/>
      <c r="F102" s="293"/>
      <c r="G102" s="293"/>
      <c r="H102" s="293"/>
      <c r="I102" s="293"/>
      <c r="J102" s="293"/>
      <c r="K102" s="293"/>
      <c r="L102" s="293"/>
      <c r="M102" s="293"/>
    </row>
    <row r="103" spans="1:14" ht="14.25" x14ac:dyDescent="0.25">
      <c r="A103" s="265" t="s">
        <v>112</v>
      </c>
      <c r="B103" s="265"/>
      <c r="C103" s="214" t="s">
        <v>146</v>
      </c>
      <c r="D103" s="214" t="s">
        <v>17</v>
      </c>
      <c r="E103" s="214" t="s">
        <v>105</v>
      </c>
      <c r="F103" s="214" t="s">
        <v>147</v>
      </c>
      <c r="G103" s="214" t="s">
        <v>149</v>
      </c>
      <c r="H103" s="214" t="s">
        <v>148</v>
      </c>
      <c r="I103" s="140" t="s">
        <v>365</v>
      </c>
      <c r="J103" s="140" t="s">
        <v>366</v>
      </c>
      <c r="K103" s="140" t="s">
        <v>150</v>
      </c>
      <c r="L103" s="140" t="s">
        <v>151</v>
      </c>
      <c r="M103" s="67" t="s">
        <v>295</v>
      </c>
    </row>
    <row r="104" spans="1:14" x14ac:dyDescent="0.2">
      <c r="A104" s="295" t="s">
        <v>113</v>
      </c>
      <c r="B104" s="295"/>
      <c r="C104" s="231" t="e">
        <f>SUM(J25,J27,J29,J31,J33)/J11</f>
        <v>#DIV/0!</v>
      </c>
      <c r="D104" s="234">
        <v>-6.0099999999999997E-3</v>
      </c>
      <c r="E104" s="234">
        <f>J14</f>
        <v>0</v>
      </c>
      <c r="F104" s="234">
        <f>J22</f>
        <v>0</v>
      </c>
      <c r="G104" s="234">
        <f>J20</f>
        <v>0</v>
      </c>
      <c r="H104" s="234">
        <f>J21</f>
        <v>0</v>
      </c>
      <c r="I104" s="234">
        <f>J60</f>
        <v>0</v>
      </c>
      <c r="J104" s="142">
        <f>J61</f>
        <v>0</v>
      </c>
      <c r="K104" s="234">
        <f>F104-G104-H104-I104-J104</f>
        <v>0</v>
      </c>
      <c r="L104" s="142" t="e">
        <f>IF(J56="Inside",(J25+J27+J29+J31+J33)/(J25/(J26-J60-J20)+J27/(J28-J60-J20)+J29/(J30-J60-J20)+J31/(J32-J60-J20)+J33/(J34-J60-J20)),(J25+J27+J29+J31+J33)/(J25/(J26-J20)+J27/(J28-J20)+J29/(J30-J20)+J31/(J32-J20)+J33/(J34-J20)))</f>
        <v>#DIV/0!</v>
      </c>
      <c r="M104" s="177" t="e">
        <f>(1-C104)*EXP(D104/E104*(K104-48))+C104*EXP(D104/E104*(MIN(K104,2*L104)-48))</f>
        <v>#DIV/0!</v>
      </c>
    </row>
    <row r="105" spans="1:14" x14ac:dyDescent="0.2">
      <c r="A105" s="296" t="s">
        <v>114</v>
      </c>
      <c r="B105" s="295"/>
      <c r="C105" s="231" t="e">
        <f>SUM(J25,J27,J29,J31,J33)/J11</f>
        <v>#DIV/0!</v>
      </c>
      <c r="D105" s="234">
        <f>-0.00407</f>
        <v>-4.0699999999999998E-3</v>
      </c>
      <c r="E105" s="234">
        <f>J14</f>
        <v>0</v>
      </c>
      <c r="F105" s="234">
        <f>J22</f>
        <v>0</v>
      </c>
      <c r="G105" s="234">
        <f>J20</f>
        <v>0</v>
      </c>
      <c r="H105" s="234">
        <f>J21</f>
        <v>0</v>
      </c>
      <c r="I105" s="234">
        <f>J60</f>
        <v>0</v>
      </c>
      <c r="J105" s="142">
        <f>J61</f>
        <v>0</v>
      </c>
      <c r="K105" s="234">
        <f>F105-G105-H105-I105-J105</f>
        <v>0</v>
      </c>
      <c r="L105" s="142" t="e">
        <f>IF(J56="Inside",(J25+J27+J29+J31+J33)/(J25/(J26-J60-J20)+J27/(J28-J60-J20)+J29/(J30-J60-J20)+J31/(J32-J60-J20)+J33/(J34-J60-J20)),(J25+J27+J29+J31+J33)/(J25/(J26-J20)+J27/(J28-J20)+J29/(J30-J20)+J31/(J32-J20)+J33/(J34-J20)))</f>
        <v>#DIV/0!</v>
      </c>
      <c r="M105" s="177" t="e">
        <f>(1-C105)*EXP(D105/E105*(K105-48))+C105*EXP(D105/E105*(MIN(K105,2*L105)-48))</f>
        <v>#DIV/0!</v>
      </c>
      <c r="N105" s="84"/>
    </row>
    <row r="107" spans="1:14" x14ac:dyDescent="0.2">
      <c r="A107" s="293" t="s">
        <v>120</v>
      </c>
      <c r="B107" s="293"/>
      <c r="C107" s="293"/>
      <c r="D107" s="293"/>
      <c r="E107" s="293"/>
      <c r="F107" s="293"/>
      <c r="G107" s="294"/>
      <c r="H107" s="294"/>
      <c r="I107" s="294"/>
      <c r="J107" s="294"/>
      <c r="K107" s="294"/>
      <c r="L107" s="294"/>
      <c r="M107" s="293"/>
    </row>
    <row r="108" spans="1:14" ht="14.25" x14ac:dyDescent="0.25">
      <c r="A108" s="265" t="s">
        <v>112</v>
      </c>
      <c r="B108" s="265"/>
      <c r="C108" s="214" t="s">
        <v>146</v>
      </c>
      <c r="D108" s="214" t="s">
        <v>17</v>
      </c>
      <c r="E108" s="214" t="s">
        <v>105</v>
      </c>
      <c r="F108" s="140" t="s">
        <v>151</v>
      </c>
      <c r="G108" s="25"/>
      <c r="H108" s="25"/>
      <c r="I108" s="25"/>
      <c r="J108" s="25"/>
      <c r="K108" s="8"/>
      <c r="L108" s="77"/>
      <c r="M108" s="67" t="s">
        <v>296</v>
      </c>
    </row>
    <row r="109" spans="1:14" x14ac:dyDescent="0.2">
      <c r="A109" s="295" t="s">
        <v>113</v>
      </c>
      <c r="B109" s="295"/>
      <c r="C109" s="231" t="e">
        <f>SUM(J25,J27,J29,J31,J33)/J11</f>
        <v>#DIV/0!</v>
      </c>
      <c r="D109" s="234">
        <v>1.66E-2</v>
      </c>
      <c r="E109" s="234">
        <f>J14</f>
        <v>0</v>
      </c>
      <c r="F109" s="142" t="e">
        <f>IF(J56="Inside",(J25+J27+J29+J31+J33)/(J25/(J26-J60-J20)+J27/(J28-J60-J20)+J29/(J30-J60-J20)+J31/(J32-J60-J20)+J33/(J34-J60-J20)),(J25+J27+J29+J31+J33)/(J25/(J26-J20)+J27/(J28-J20)+J29/(J30-J20)+J31/(J32-J20)+J33/(J34-J20)))</f>
        <v>#DIV/0!</v>
      </c>
      <c r="G109" s="10"/>
      <c r="H109" s="10"/>
      <c r="I109" s="10"/>
      <c r="J109" s="10"/>
      <c r="M109" s="177" t="e">
        <f>(1-C109)*1+C109*EXP(D109*E109/F109)</f>
        <v>#DIV/0!</v>
      </c>
    </row>
    <row r="110" spans="1:14" x14ac:dyDescent="0.2">
      <c r="A110" s="296" t="s">
        <v>114</v>
      </c>
      <c r="B110" s="295"/>
      <c r="C110" s="231" t="e">
        <f>SUM(J25,J27,J29,J31,J33)/J11</f>
        <v>#DIV/0!</v>
      </c>
      <c r="D110" s="234">
        <v>1.6199999999999999E-2</v>
      </c>
      <c r="E110" s="234">
        <f>J14</f>
        <v>0</v>
      </c>
      <c r="F110" s="142" t="e">
        <f>IF(J56="Inside",(J25+J27+J29+J31+J33)/(J25/(J26-J60-J20)+J27/(J28-J60-J20)+J29/(J30-J60-J20)+J31/(J32-J60-J20)+J33/(J34-J60-J20)),(J25+J27+J29+J31+J33)/(J25/(J26-J20)+J27/(J28-J20)+J29/(J30-J20)+J31/(J32-J20)+J33/(J34-J20)))</f>
        <v>#DIV/0!</v>
      </c>
      <c r="G110" s="10"/>
      <c r="H110" s="10"/>
      <c r="I110" s="10"/>
      <c r="J110" s="10"/>
      <c r="M110" s="177" t="e">
        <f>(1-C110)*1+C110*EXP(D110*E110/F110)</f>
        <v>#DIV/0!</v>
      </c>
      <c r="N110" s="84"/>
    </row>
    <row r="112" spans="1:14" x14ac:dyDescent="0.2">
      <c r="A112" s="293" t="s">
        <v>389</v>
      </c>
      <c r="B112" s="293"/>
      <c r="C112" s="293"/>
      <c r="D112" s="293"/>
      <c r="E112" s="293"/>
      <c r="F112" s="293"/>
      <c r="G112" s="293"/>
      <c r="H112" s="293"/>
      <c r="I112" s="293"/>
      <c r="J112" s="293"/>
      <c r="K112" s="294"/>
      <c r="L112" s="294"/>
      <c r="M112" s="293"/>
    </row>
    <row r="113" spans="1:31" ht="14.25" x14ac:dyDescent="0.25">
      <c r="A113" s="265" t="s">
        <v>112</v>
      </c>
      <c r="B113" s="265"/>
      <c r="C113" s="214" t="s">
        <v>163</v>
      </c>
      <c r="D113" s="214" t="s">
        <v>17</v>
      </c>
      <c r="E113" s="140" t="s">
        <v>105</v>
      </c>
      <c r="F113" s="140" t="s">
        <v>365</v>
      </c>
      <c r="G113" s="214" t="s">
        <v>367</v>
      </c>
      <c r="H113" s="214" t="s">
        <v>18</v>
      </c>
      <c r="I113" s="214" t="s">
        <v>394</v>
      </c>
      <c r="J113" s="214" t="s">
        <v>167</v>
      </c>
      <c r="K113" s="25"/>
      <c r="L113" s="25"/>
      <c r="M113" s="67" t="s">
        <v>297</v>
      </c>
      <c r="O113" s="63"/>
      <c r="R113" s="215"/>
      <c r="AE113" s="27"/>
    </row>
    <row r="114" spans="1:31" x14ac:dyDescent="0.2">
      <c r="A114" s="302" t="s">
        <v>368</v>
      </c>
      <c r="B114" s="303"/>
      <c r="C114" s="234">
        <f>J$59</f>
        <v>0</v>
      </c>
      <c r="D114" s="234">
        <v>-4.1099999999999998E-2</v>
      </c>
      <c r="E114" s="142">
        <f>J$14</f>
        <v>0</v>
      </c>
      <c r="F114" s="21">
        <f>J$60</f>
        <v>0</v>
      </c>
      <c r="G114" s="234">
        <f>IF(J$55="Yes",1,0)</f>
        <v>0</v>
      </c>
      <c r="H114" s="234">
        <v>1.3180000000000001</v>
      </c>
      <c r="I114" s="234">
        <v>1.3049999999999999</v>
      </c>
      <c r="J114" s="234" t="e">
        <f>J$57/J$11</f>
        <v>#DIV/0!</v>
      </c>
      <c r="K114" s="10"/>
      <c r="L114" s="10"/>
      <c r="M114" s="284">
        <f>IF(J55="yes",(1-C114)*EXP(C116)+C114*EXP(D116+E116+F116),1)</f>
        <v>1</v>
      </c>
      <c r="O114" s="63"/>
      <c r="R114" s="215"/>
      <c r="AE114" s="27"/>
    </row>
    <row r="115" spans="1:31" ht="14.25" x14ac:dyDescent="0.25">
      <c r="A115" s="304"/>
      <c r="B115" s="305"/>
      <c r="C115" s="214" t="s">
        <v>164</v>
      </c>
      <c r="D115" s="214" t="s">
        <v>165</v>
      </c>
      <c r="E115" s="214" t="s">
        <v>166</v>
      </c>
      <c r="F115" s="214" t="s">
        <v>168</v>
      </c>
      <c r="G115" s="10"/>
      <c r="H115" s="10"/>
      <c r="I115" s="10"/>
      <c r="J115" s="10"/>
      <c r="M115" s="285"/>
    </row>
    <row r="116" spans="1:31" x14ac:dyDescent="0.2">
      <c r="A116" s="304"/>
      <c r="B116" s="305"/>
      <c r="C116" s="234" t="e">
        <f>(D114/E114*MIN(F114,12))*G114</f>
        <v>#DIV/0!</v>
      </c>
      <c r="D116" s="234">
        <f>D114*(MIN(F114,13)-12)*G114</f>
        <v>0</v>
      </c>
      <c r="E116" s="234">
        <f>H114*G114</f>
        <v>0</v>
      </c>
      <c r="F116" s="234" t="e">
        <f>I114*(1-G114)*J114</f>
        <v>#DIV/0!</v>
      </c>
      <c r="G116" s="10"/>
      <c r="H116" s="10"/>
      <c r="I116" s="10"/>
      <c r="J116" s="10"/>
      <c r="M116" s="286"/>
    </row>
    <row r="117" spans="1:31" ht="14.25" x14ac:dyDescent="0.25">
      <c r="A117" s="306" t="s">
        <v>371</v>
      </c>
      <c r="B117" s="307"/>
      <c r="C117" s="214" t="s">
        <v>163</v>
      </c>
      <c r="D117" s="214" t="s">
        <v>17</v>
      </c>
      <c r="E117" s="140" t="s">
        <v>105</v>
      </c>
      <c r="F117" s="140" t="s">
        <v>365</v>
      </c>
      <c r="G117" s="214" t="s">
        <v>367</v>
      </c>
      <c r="H117" s="214" t="s">
        <v>18</v>
      </c>
      <c r="I117" s="214" t="s">
        <v>394</v>
      </c>
      <c r="J117" s="214" t="s">
        <v>167</v>
      </c>
      <c r="K117" s="224"/>
      <c r="L117" s="224"/>
      <c r="M117" s="287">
        <f>IF(J55="yes",(1-C118)*EXP(C120)+C118*EXP(D120+E120+F120),1)</f>
        <v>1</v>
      </c>
    </row>
    <row r="118" spans="1:31" x14ac:dyDescent="0.2">
      <c r="A118" s="308"/>
      <c r="B118" s="309"/>
      <c r="C118" s="142">
        <f>J59</f>
        <v>0</v>
      </c>
      <c r="D118" s="142">
        <v>-2.7300000000000001E-2</v>
      </c>
      <c r="E118" s="142">
        <f>J$14</f>
        <v>0</v>
      </c>
      <c r="F118" s="21">
        <f>J$60</f>
        <v>0</v>
      </c>
      <c r="G118" s="142">
        <f>IF(J$55="Yes",1,0)</f>
        <v>0</v>
      </c>
      <c r="H118" s="142">
        <v>1.5669999999999999</v>
      </c>
      <c r="I118" s="142">
        <v>1.5149999999999999</v>
      </c>
      <c r="J118" s="142" t="e">
        <f>J57/J11</f>
        <v>#DIV/0!</v>
      </c>
      <c r="K118" s="11"/>
      <c r="L118" s="11"/>
      <c r="M118" s="288"/>
    </row>
    <row r="119" spans="1:31" ht="14.25" x14ac:dyDescent="0.25">
      <c r="A119" s="308"/>
      <c r="B119" s="309"/>
      <c r="C119" s="140" t="s">
        <v>164</v>
      </c>
      <c r="D119" s="140" t="s">
        <v>165</v>
      </c>
      <c r="E119" s="140" t="s">
        <v>166</v>
      </c>
      <c r="F119" s="140" t="s">
        <v>168</v>
      </c>
      <c r="G119" s="11"/>
      <c r="H119" s="11"/>
      <c r="I119" s="11"/>
      <c r="J119" s="11"/>
      <c r="K119" s="27"/>
      <c r="L119" s="27"/>
      <c r="M119" s="288"/>
    </row>
    <row r="120" spans="1:31" x14ac:dyDescent="0.2">
      <c r="A120" s="310"/>
      <c r="B120" s="311"/>
      <c r="C120" s="142" t="e">
        <f>(D118/E118*MIN(F118,12))*G118</f>
        <v>#DIV/0!</v>
      </c>
      <c r="D120" s="142">
        <f>D118*(MIN(F118,13)-12)*G118</f>
        <v>0</v>
      </c>
      <c r="E120" s="142">
        <f>H118*G118</f>
        <v>0</v>
      </c>
      <c r="F120" s="142" t="e">
        <f>I118*(1-G118)*J118</f>
        <v>#DIV/0!</v>
      </c>
      <c r="G120" s="11"/>
      <c r="H120" s="11"/>
      <c r="I120" s="11"/>
      <c r="J120" s="11"/>
      <c r="K120" s="27"/>
      <c r="L120" s="27"/>
      <c r="M120" s="289"/>
      <c r="N120" s="84"/>
    </row>
    <row r="121" spans="1:31" x14ac:dyDescent="0.2">
      <c r="A121" s="146"/>
      <c r="B121" s="146"/>
      <c r="C121" s="10"/>
      <c r="D121" s="10"/>
      <c r="E121" s="10"/>
      <c r="F121" s="10"/>
      <c r="G121" s="10"/>
      <c r="H121" s="10"/>
      <c r="I121" s="10"/>
      <c r="J121" s="10"/>
      <c r="M121" s="26"/>
    </row>
    <row r="122" spans="1:31" x14ac:dyDescent="0.2">
      <c r="A122" s="293" t="s">
        <v>121</v>
      </c>
      <c r="B122" s="293"/>
      <c r="C122" s="293"/>
      <c r="D122" s="293"/>
      <c r="E122" s="293"/>
      <c r="F122" s="293"/>
      <c r="G122" s="293"/>
      <c r="H122" s="293"/>
      <c r="I122" s="293"/>
      <c r="J122" s="293"/>
      <c r="K122" s="293"/>
      <c r="L122" s="293"/>
      <c r="M122" s="293"/>
    </row>
    <row r="123" spans="1:31" ht="14.25" x14ac:dyDescent="0.25">
      <c r="A123" s="265" t="s">
        <v>112</v>
      </c>
      <c r="B123" s="265"/>
      <c r="C123" s="168" t="s">
        <v>395</v>
      </c>
      <c r="D123" s="214" t="s">
        <v>159</v>
      </c>
      <c r="E123" s="169" t="s">
        <v>396</v>
      </c>
      <c r="F123" s="140" t="s">
        <v>160</v>
      </c>
      <c r="G123" s="214" t="s">
        <v>158</v>
      </c>
      <c r="H123" s="214" t="s">
        <v>161</v>
      </c>
      <c r="I123" s="214" t="s">
        <v>162</v>
      </c>
      <c r="J123" s="214" t="s">
        <v>369</v>
      </c>
      <c r="K123" s="140" t="s">
        <v>370</v>
      </c>
      <c r="L123" s="77"/>
      <c r="M123" s="67" t="s">
        <v>305</v>
      </c>
      <c r="N123" s="68"/>
    </row>
    <row r="124" spans="1:31" x14ac:dyDescent="0.2">
      <c r="A124" s="296" t="s">
        <v>368</v>
      </c>
      <c r="B124" s="295"/>
      <c r="C124" s="234">
        <v>14.34</v>
      </c>
      <c r="D124" s="234">
        <f>J50</f>
        <v>0</v>
      </c>
      <c r="E124" s="142">
        <v>-1.3</v>
      </c>
      <c r="F124" s="93">
        <f>J52</f>
        <v>0</v>
      </c>
      <c r="G124" s="233">
        <f>J11</f>
        <v>0</v>
      </c>
      <c r="H124" s="233">
        <f>J51</f>
        <v>0</v>
      </c>
      <c r="I124" s="94">
        <f>J53</f>
        <v>0</v>
      </c>
      <c r="J124" s="233" t="e">
        <f>(1+(EXP(-C124*D124+E124*LN(F124/1000))/(C124*G124))*(1-EXP(-C124*G124)))</f>
        <v>#NUM!</v>
      </c>
      <c r="K124" s="234" t="e">
        <f>(1+(EXP(-C124*H124+E124*LN(I124/1000))/(C124*G124))*(1-EXP(-C124*G124)))</f>
        <v>#NUM!</v>
      </c>
      <c r="M124" s="178" t="e">
        <f>IF(AND(J50=999,J51=999),1,IF(AND(J50=999,J51&lt;&gt;999),K124,IF(AND(J51=999,J50&lt;&gt;999),J124,J124*K124)))</f>
        <v>#NUM!</v>
      </c>
      <c r="N124" s="68"/>
    </row>
    <row r="126" spans="1:31" x14ac:dyDescent="0.2">
      <c r="A126" s="293" t="s">
        <v>122</v>
      </c>
      <c r="B126" s="293"/>
      <c r="C126" s="293"/>
      <c r="D126" s="293"/>
      <c r="E126" s="293"/>
      <c r="F126" s="293"/>
      <c r="G126" s="293"/>
      <c r="H126" s="293"/>
      <c r="I126" s="293"/>
      <c r="J126" s="293"/>
      <c r="K126" s="293"/>
      <c r="L126" s="293"/>
      <c r="M126" s="293"/>
    </row>
    <row r="127" spans="1:31" ht="14.25" x14ac:dyDescent="0.25">
      <c r="A127" s="265" t="s">
        <v>112</v>
      </c>
      <c r="B127" s="265"/>
      <c r="C127" s="214" t="s">
        <v>17</v>
      </c>
      <c r="D127" s="214" t="s">
        <v>105</v>
      </c>
      <c r="E127" s="214" t="s">
        <v>152</v>
      </c>
      <c r="F127" s="3"/>
      <c r="G127" s="3"/>
      <c r="H127" s="3"/>
      <c r="I127" s="3"/>
      <c r="J127" s="3"/>
      <c r="K127" s="3"/>
      <c r="L127" s="3"/>
      <c r="M127" s="67" t="s">
        <v>298</v>
      </c>
    </row>
    <row r="128" spans="1:31" x14ac:dyDescent="0.2">
      <c r="A128" s="296" t="s">
        <v>368</v>
      </c>
      <c r="B128" s="295"/>
      <c r="C128" s="234">
        <v>-4.1099999999999998E-2</v>
      </c>
      <c r="D128" s="234">
        <f>J14</f>
        <v>0</v>
      </c>
      <c r="E128" s="234">
        <f>J19</f>
        <v>0</v>
      </c>
      <c r="M128" s="177" t="e">
        <f>EXP(C128/D128*(MIN(E128,12)-10))</f>
        <v>#DIV/0!</v>
      </c>
    </row>
    <row r="129" spans="1:16" x14ac:dyDescent="0.2">
      <c r="A129" s="296" t="s">
        <v>371</v>
      </c>
      <c r="B129" s="295"/>
      <c r="C129" s="234">
        <v>-2.7300000000000001E-2</v>
      </c>
      <c r="D129" s="234">
        <f>J14</f>
        <v>0</v>
      </c>
      <c r="E129" s="234">
        <f>J19</f>
        <v>0</v>
      </c>
      <c r="M129" s="177" t="e">
        <f>EXP(C129/D129*(MIN(E129,12)-10))</f>
        <v>#DIV/0!</v>
      </c>
    </row>
    <row r="131" spans="1:16" x14ac:dyDescent="0.2">
      <c r="A131" s="293" t="s">
        <v>123</v>
      </c>
      <c r="B131" s="293"/>
      <c r="C131" s="293"/>
      <c r="D131" s="293"/>
      <c r="E131" s="293"/>
      <c r="F131" s="293"/>
      <c r="G131" s="293"/>
      <c r="H131" s="293"/>
      <c r="I131" s="293"/>
      <c r="J131" s="293"/>
      <c r="K131" s="293"/>
      <c r="L131" s="293"/>
      <c r="M131" s="293"/>
    </row>
    <row r="132" spans="1:16" ht="14.25" x14ac:dyDescent="0.25">
      <c r="A132" s="265" t="s">
        <v>112</v>
      </c>
      <c r="B132" s="265"/>
      <c r="C132" s="214" t="s">
        <v>153</v>
      </c>
      <c r="D132" s="214" t="s">
        <v>17</v>
      </c>
      <c r="E132" s="214" t="s">
        <v>105</v>
      </c>
      <c r="F132" s="3"/>
      <c r="G132" s="3"/>
      <c r="H132" s="3"/>
      <c r="I132" s="3"/>
      <c r="J132" s="3"/>
      <c r="K132" s="3"/>
      <c r="L132" s="3"/>
      <c r="M132" s="67" t="s">
        <v>299</v>
      </c>
    </row>
    <row r="133" spans="1:16" x14ac:dyDescent="0.2">
      <c r="A133" s="296" t="s">
        <v>368</v>
      </c>
      <c r="B133" s="295"/>
      <c r="C133" s="119" t="e">
        <f>J23/J11</f>
        <v>#DIV/0!</v>
      </c>
      <c r="D133" s="234">
        <v>-0.51600000000000001</v>
      </c>
      <c r="E133" s="234">
        <f>J14</f>
        <v>0</v>
      </c>
      <c r="M133" s="177" t="e">
        <f>(1-C133)*1+C133*EXP(D133/E133)</f>
        <v>#DIV/0!</v>
      </c>
      <c r="N133" s="84"/>
    </row>
    <row r="135" spans="1:16" x14ac:dyDescent="0.2">
      <c r="A135" s="293" t="s">
        <v>284</v>
      </c>
      <c r="B135" s="293"/>
      <c r="C135" s="293"/>
      <c r="D135" s="293"/>
      <c r="E135" s="293"/>
      <c r="F135" s="293"/>
      <c r="G135" s="293"/>
      <c r="H135" s="293"/>
      <c r="I135" s="293"/>
      <c r="J135" s="293"/>
      <c r="K135" s="293"/>
      <c r="L135" s="293"/>
      <c r="M135" s="293"/>
      <c r="O135" s="12"/>
      <c r="P135" s="12"/>
    </row>
    <row r="136" spans="1:16" ht="14.25" x14ac:dyDescent="0.25">
      <c r="A136" s="301" t="s">
        <v>112</v>
      </c>
      <c r="B136" s="301"/>
      <c r="C136" s="140" t="s">
        <v>154</v>
      </c>
      <c r="D136" s="140" t="s">
        <v>17</v>
      </c>
      <c r="E136" s="140" t="s">
        <v>105</v>
      </c>
      <c r="F136" s="140" t="s">
        <v>155</v>
      </c>
      <c r="G136" s="140" t="s">
        <v>152</v>
      </c>
      <c r="H136" s="140" t="s">
        <v>365</v>
      </c>
      <c r="I136" s="140" t="s">
        <v>156</v>
      </c>
      <c r="J136" s="66"/>
      <c r="K136" s="66"/>
      <c r="L136" s="66"/>
      <c r="M136" s="167" t="s">
        <v>300</v>
      </c>
    </row>
    <row r="137" spans="1:16" x14ac:dyDescent="0.2">
      <c r="A137" s="291" t="s">
        <v>368</v>
      </c>
      <c r="B137" s="292"/>
      <c r="C137" s="189" t="e">
        <f>(J37+J39+J41+J43+J45)/J11</f>
        <v>#DIV/0!</v>
      </c>
      <c r="D137" s="142">
        <v>-6.0099999999999997E-3</v>
      </c>
      <c r="E137" s="142">
        <f>J14</f>
        <v>0</v>
      </c>
      <c r="F137" s="142">
        <f>J36</f>
        <v>0</v>
      </c>
      <c r="G137" s="142">
        <f>J19</f>
        <v>0</v>
      </c>
      <c r="H137" s="170">
        <f>IF(AND(J$55="Yes",J$56="Outside"),J$60,0)</f>
        <v>0</v>
      </c>
      <c r="I137" s="203" t="e">
        <f>IF(J56="Outside",(J37+J39+J41+J43+J45)/(J37/(J38-J60-J19)+J39/(J40-J60-J19)+J41/(J42-J60-J19)+J43/(J44-J60-J19)+J45/(J46-J60-J19)),(J37+J39+J41+J43+J45)/(J37/(J38-J19)+J39/(J40-J19)+J41/(J42-J19)+J43/(J44-J19)+J45/(J46-J19)))</f>
        <v>#DIV/0!</v>
      </c>
      <c r="J137" s="27"/>
      <c r="K137" s="27"/>
      <c r="L137" s="27"/>
      <c r="M137" s="179" t="e">
        <f>IF(C137=0,(1-C137)*EXP(D137/E137*(F137-H137-G137-20)),(1-C137)*EXP(D137/E137*(F137-H137-G137-20))+C137*EXP(D137/E137*(I137-20)))</f>
        <v>#DIV/0!</v>
      </c>
      <c r="N137" s="68"/>
    </row>
    <row r="138" spans="1:16" x14ac:dyDescent="0.2">
      <c r="A138" s="291" t="s">
        <v>371</v>
      </c>
      <c r="B138" s="292"/>
      <c r="C138" s="189" t="e">
        <f>(J37+J39+J41+J43+J45)/J11</f>
        <v>#DIV/0!</v>
      </c>
      <c r="D138" s="142">
        <v>-4.0699999999999998E-3</v>
      </c>
      <c r="E138" s="142">
        <f>J14</f>
        <v>0</v>
      </c>
      <c r="F138" s="142">
        <f>J36</f>
        <v>0</v>
      </c>
      <c r="G138" s="142">
        <f>J19</f>
        <v>0</v>
      </c>
      <c r="H138" s="170">
        <f>IF(AND(J$55="Yes",J$56="Outside"),J$60,0)</f>
        <v>0</v>
      </c>
      <c r="I138" s="202" t="e">
        <f>IF(J56="Outside",(J37+J39+J41+J43+J45)/(J37/(J38-J60-J19)+J39/(J40-J60-J19)+J41/(J42-J60-J19)+J43/(J44-J60-J19)+J45/(J46-J60-J19)),(J37+J39+J41+J43+J45)/(J37/(J38-J19)+J39/(J40-J19)+J41/(J42-J19)+J43/(J44-J19)+J45/(J46-J19)))</f>
        <v>#DIV/0!</v>
      </c>
      <c r="J138" s="27"/>
      <c r="K138" s="27"/>
      <c r="L138" s="27"/>
      <c r="M138" s="179" t="e">
        <f>IF(C138=0,(1-C138)*EXP(D138/E138*(F138-H138-G138-20)),(1-C138)*EXP(D138/E138*(F138-H138-G138-20))+C138*EXP(D138/E138*(I138-20)))</f>
        <v>#DIV/0!</v>
      </c>
      <c r="N138" s="68"/>
    </row>
    <row r="139" spans="1:16" x14ac:dyDescent="0.2">
      <c r="A139" s="27"/>
      <c r="B139" s="27"/>
      <c r="C139" s="27"/>
      <c r="D139" s="27"/>
      <c r="E139" s="27"/>
      <c r="F139" s="27"/>
      <c r="G139" s="27"/>
      <c r="H139" s="27"/>
      <c r="I139" s="27"/>
      <c r="J139" s="27"/>
      <c r="K139" s="27"/>
      <c r="L139" s="27"/>
      <c r="M139" s="27"/>
    </row>
    <row r="140" spans="1:16" x14ac:dyDescent="0.2">
      <c r="A140" s="293" t="s">
        <v>124</v>
      </c>
      <c r="B140" s="293"/>
      <c r="C140" s="293"/>
      <c r="D140" s="293"/>
      <c r="E140" s="293"/>
      <c r="F140" s="293"/>
      <c r="G140" s="293"/>
      <c r="H140" s="293"/>
      <c r="I140" s="293"/>
      <c r="J140" s="293"/>
      <c r="K140" s="293"/>
      <c r="L140" s="293"/>
      <c r="M140" s="293"/>
    </row>
    <row r="141" spans="1:16" ht="14.25" x14ac:dyDescent="0.25">
      <c r="A141" s="297" t="s">
        <v>112</v>
      </c>
      <c r="B141" s="297"/>
      <c r="C141" s="171" t="s">
        <v>154</v>
      </c>
      <c r="D141" s="171" t="s">
        <v>17</v>
      </c>
      <c r="E141" s="171" t="s">
        <v>105</v>
      </c>
      <c r="F141" s="171" t="s">
        <v>156</v>
      </c>
      <c r="G141" s="78"/>
      <c r="H141" s="224"/>
      <c r="I141" s="66"/>
      <c r="J141" s="66"/>
      <c r="K141" s="66"/>
      <c r="L141" s="66"/>
      <c r="M141" s="172" t="s">
        <v>301</v>
      </c>
    </row>
    <row r="142" spans="1:16" x14ac:dyDescent="0.2">
      <c r="A142" s="291" t="s">
        <v>368</v>
      </c>
      <c r="B142" s="292"/>
      <c r="C142" s="189" t="e">
        <f>(J37+J39+J41+J43+J45)/J11</f>
        <v>#DIV/0!</v>
      </c>
      <c r="D142" s="142">
        <v>1.66E-2</v>
      </c>
      <c r="E142" s="142">
        <f>J14</f>
        <v>0</v>
      </c>
      <c r="F142" s="142" t="e">
        <f>IF(C142=0,0,IF(J56="Outside",(J37+J39+J41+J43+J45)/(J37/(J38-J60-J19)+J39/(J40-J60-J19)+J41/(J42-J60-J19)+J43/(J44-J60-J19)+J45/(J46-J60-J19)),(J37+J39+J41+J43+J45)/(J37/(J38-J19)+J39/(J40-J19)+J41/(J42-J19)+J43/(J44-J19)+J45/(J46-J19))))</f>
        <v>#DIV/0!</v>
      </c>
      <c r="G142" s="79"/>
      <c r="H142" s="11"/>
      <c r="I142" s="27"/>
      <c r="J142" s="27"/>
      <c r="K142" s="27"/>
      <c r="L142" s="27"/>
      <c r="M142" s="179" t="e">
        <f>IF(C142=0,1,(1-C142)*1+C142*EXP(D142*E142/F142))</f>
        <v>#DIV/0!</v>
      </c>
      <c r="N142" s="68"/>
    </row>
    <row r="143" spans="1:16" x14ac:dyDescent="0.2">
      <c r="A143" s="291" t="s">
        <v>371</v>
      </c>
      <c r="B143" s="292"/>
      <c r="C143" s="189" t="e">
        <f>(J37+J39+J41+J43+J45)/J11</f>
        <v>#DIV/0!</v>
      </c>
      <c r="D143" s="142">
        <v>1.6199999999999999E-2</v>
      </c>
      <c r="E143" s="142">
        <f>J14</f>
        <v>0</v>
      </c>
      <c r="F143" s="142" t="e">
        <f>IF(C143=0,0,IF(J56="Outside",(J37+J39+J41+J43+J45)/(J37/(J38-J60-J19)+J39/(J40-J60-J19)+J41/(J42-J60-J19)+J43/(J44-J60-J19)+J45/(J46-J60-J19)),(J37+J39+J41+J43+J45)/(J37/(J38-J19)+J39/(J40-J19)+J41/(J42-J19)+J43/(J44-J19)+J45/(J46-J19))))</f>
        <v>#DIV/0!</v>
      </c>
      <c r="G143" s="79"/>
      <c r="H143" s="11"/>
      <c r="I143" s="27"/>
      <c r="J143" s="27"/>
      <c r="K143" s="27"/>
      <c r="L143" s="27"/>
      <c r="M143" s="179" t="e">
        <f>IF(C143=0,1,(1-C143)*1+C143*EXP(D143*E143/F143))</f>
        <v>#DIV/0!</v>
      </c>
      <c r="N143" s="68"/>
    </row>
    <row r="144" spans="1:16" x14ac:dyDescent="0.2">
      <c r="A144" s="27"/>
      <c r="B144" s="27"/>
      <c r="C144" s="27"/>
      <c r="D144" s="27"/>
      <c r="E144" s="27"/>
      <c r="F144" s="27"/>
      <c r="G144" s="27"/>
      <c r="H144" s="27"/>
      <c r="I144" s="27"/>
      <c r="J144" s="27"/>
      <c r="K144" s="27"/>
      <c r="L144" s="27"/>
      <c r="M144" s="27"/>
    </row>
    <row r="145" spans="1:35" x14ac:dyDescent="0.2">
      <c r="A145" s="293" t="s">
        <v>125</v>
      </c>
      <c r="B145" s="293"/>
      <c r="C145" s="293"/>
      <c r="D145" s="293"/>
      <c r="E145" s="293"/>
      <c r="F145" s="293"/>
      <c r="G145" s="293"/>
      <c r="H145" s="293"/>
      <c r="I145" s="293"/>
      <c r="J145" s="293"/>
      <c r="K145" s="293"/>
      <c r="L145" s="293"/>
      <c r="M145" s="293"/>
    </row>
    <row r="146" spans="1:35" ht="14.25" x14ac:dyDescent="0.25">
      <c r="A146" s="265" t="s">
        <v>112</v>
      </c>
      <c r="B146" s="265"/>
      <c r="C146" s="214" t="s">
        <v>157</v>
      </c>
      <c r="D146" s="214" t="s">
        <v>17</v>
      </c>
      <c r="E146" s="214" t="s">
        <v>105</v>
      </c>
      <c r="M146" s="67" t="s">
        <v>302</v>
      </c>
    </row>
    <row r="147" spans="1:35" x14ac:dyDescent="0.2">
      <c r="A147" s="296" t="s">
        <v>368</v>
      </c>
      <c r="B147" s="295"/>
      <c r="C147" s="119" t="e">
        <f>J58/J11</f>
        <v>#DIV/0!</v>
      </c>
      <c r="D147" s="234">
        <v>-0.78700000000000003</v>
      </c>
      <c r="E147" s="234">
        <f>J14</f>
        <v>0</v>
      </c>
      <c r="M147" s="177">
        <f>IF(J55="Yes",(1-C147)*1+C147*EXP(D147/E147),1)</f>
        <v>1</v>
      </c>
      <c r="N147" s="68"/>
    </row>
    <row r="148" spans="1:35" x14ac:dyDescent="0.2">
      <c r="A148" s="296" t="s">
        <v>371</v>
      </c>
      <c r="B148" s="295"/>
      <c r="C148" s="119" t="e">
        <f>J58/J11</f>
        <v>#DIV/0!</v>
      </c>
      <c r="D148" s="234">
        <v>-1.091</v>
      </c>
      <c r="E148" s="234">
        <f>J14</f>
        <v>0</v>
      </c>
      <c r="M148" s="177">
        <f>IF(J55="Yes",(1-C148)*1+C148*EXP(D148/E148),1)</f>
        <v>1</v>
      </c>
    </row>
    <row r="150" spans="1:35" x14ac:dyDescent="0.2">
      <c r="A150" s="293" t="s">
        <v>397</v>
      </c>
      <c r="B150" s="293"/>
      <c r="C150" s="293"/>
      <c r="D150" s="293"/>
      <c r="E150" s="293"/>
      <c r="F150" s="293"/>
      <c r="G150" s="293"/>
      <c r="H150" s="293"/>
      <c r="I150" s="293"/>
      <c r="J150" s="293"/>
      <c r="K150" s="293"/>
      <c r="L150" s="293"/>
      <c r="M150" s="293"/>
    </row>
    <row r="151" spans="1:35" ht="14.25" x14ac:dyDescent="0.25">
      <c r="A151" s="265" t="s">
        <v>112</v>
      </c>
      <c r="B151" s="265"/>
      <c r="C151" s="214" t="s">
        <v>17</v>
      </c>
      <c r="D151" s="214" t="s">
        <v>169</v>
      </c>
      <c r="E151" s="3"/>
      <c r="F151" s="3"/>
      <c r="G151" s="3"/>
      <c r="H151" s="3"/>
      <c r="I151" s="3"/>
      <c r="J151" s="3"/>
      <c r="K151" s="3"/>
      <c r="L151" s="3"/>
      <c r="M151" s="67" t="s">
        <v>303</v>
      </c>
    </row>
    <row r="152" spans="1:35" x14ac:dyDescent="0.2">
      <c r="A152" s="296" t="s">
        <v>372</v>
      </c>
      <c r="B152" s="295"/>
      <c r="C152" s="234">
        <v>6.9000000000000006E-2</v>
      </c>
      <c r="D152" s="234">
        <f>J48</f>
        <v>0</v>
      </c>
      <c r="F152" s="12"/>
      <c r="M152" s="179" t="e">
        <f>EXP(C152*(1/D152-1/0.142))</f>
        <v>#DIV/0!</v>
      </c>
      <c r="N152" s="68"/>
    </row>
    <row r="153" spans="1:35" x14ac:dyDescent="0.2">
      <c r="A153" s="363" t="s">
        <v>374</v>
      </c>
      <c r="B153" s="364"/>
      <c r="C153" s="234">
        <v>9.9099999999999994E-2</v>
      </c>
      <c r="D153" s="234">
        <f>J48</f>
        <v>0</v>
      </c>
      <c r="M153" s="179" t="e">
        <f>EXP(C153*(1/D153-1/0.142))</f>
        <v>#DIV/0!</v>
      </c>
      <c r="N153" s="84"/>
    </row>
    <row r="154" spans="1:35" ht="14.25" x14ac:dyDescent="0.25">
      <c r="A154" s="265" t="s">
        <v>112</v>
      </c>
      <c r="B154" s="265"/>
      <c r="C154" s="214" t="s">
        <v>17</v>
      </c>
      <c r="D154" s="214" t="s">
        <v>170</v>
      </c>
      <c r="E154" s="3"/>
      <c r="F154" s="3"/>
      <c r="G154" s="3"/>
      <c r="H154" s="3"/>
      <c r="I154" s="3"/>
      <c r="J154" s="3"/>
      <c r="K154" s="3"/>
      <c r="L154" s="3"/>
      <c r="M154" s="67" t="s">
        <v>304</v>
      </c>
    </row>
    <row r="155" spans="1:35" x14ac:dyDescent="0.2">
      <c r="A155" s="296" t="s">
        <v>373</v>
      </c>
      <c r="B155" s="295"/>
      <c r="C155" s="234">
        <v>3.2300000000000002E-2</v>
      </c>
      <c r="D155" s="234">
        <f>J49</f>
        <v>0</v>
      </c>
      <c r="F155" s="83"/>
      <c r="M155" s="179" t="e">
        <f>EXP(C155*(1/D155-1/0.071))</f>
        <v>#DIV/0!</v>
      </c>
      <c r="N155" s="68"/>
    </row>
    <row r="156" spans="1:35" x14ac:dyDescent="0.2">
      <c r="A156" s="363" t="s">
        <v>375</v>
      </c>
      <c r="B156" s="364"/>
      <c r="C156" s="234">
        <v>4.3299999999999998E-2</v>
      </c>
      <c r="D156" s="234">
        <f>J49</f>
        <v>0</v>
      </c>
      <c r="M156" s="179" t="e">
        <f>EXP(C156*(1/D156-1/0.071))</f>
        <v>#DIV/0!</v>
      </c>
      <c r="N156" s="84"/>
    </row>
    <row r="157" spans="1:35" ht="13.5" thickBot="1" x14ac:dyDescent="0.25"/>
    <row r="158" spans="1:35" ht="14.25" thickTop="1" thickBot="1" x14ac:dyDescent="0.25">
      <c r="A158" s="254" t="s">
        <v>128</v>
      </c>
      <c r="B158" s="254"/>
      <c r="C158" s="254"/>
      <c r="D158" s="254"/>
      <c r="E158" s="254"/>
      <c r="F158" s="254"/>
      <c r="G158" s="254"/>
      <c r="H158" s="254"/>
      <c r="I158" s="254"/>
      <c r="J158" s="254"/>
      <c r="K158" s="254"/>
      <c r="L158" s="254"/>
      <c r="M158" s="254"/>
      <c r="N158" s="254"/>
      <c r="O158" s="254"/>
      <c r="P158" s="254"/>
      <c r="Q158" s="254"/>
      <c r="R158" s="254"/>
    </row>
    <row r="159" spans="1:35" ht="15" thickTop="1" x14ac:dyDescent="0.25">
      <c r="A159" s="113"/>
      <c r="B159" s="232" t="s">
        <v>129</v>
      </c>
      <c r="C159" s="232" t="s">
        <v>108</v>
      </c>
      <c r="D159" s="232" t="s">
        <v>130</v>
      </c>
      <c r="E159" s="211" t="s">
        <v>292</v>
      </c>
      <c r="F159" s="211" t="s">
        <v>293</v>
      </c>
      <c r="G159" s="211" t="s">
        <v>294</v>
      </c>
      <c r="H159" s="209" t="s">
        <v>295</v>
      </c>
      <c r="I159" s="209" t="s">
        <v>296</v>
      </c>
      <c r="J159" s="211" t="s">
        <v>297</v>
      </c>
      <c r="K159" s="211" t="s">
        <v>305</v>
      </c>
      <c r="L159" s="211" t="s">
        <v>298</v>
      </c>
      <c r="M159" s="211" t="s">
        <v>299</v>
      </c>
      <c r="N159" s="211" t="s">
        <v>300</v>
      </c>
      <c r="O159" s="211" t="s">
        <v>301</v>
      </c>
      <c r="P159" s="211" t="s">
        <v>302</v>
      </c>
      <c r="Q159" s="211" t="s">
        <v>306</v>
      </c>
      <c r="R159" s="212" t="s">
        <v>131</v>
      </c>
      <c r="S159" s="68"/>
      <c r="T159" s="215"/>
      <c r="U159" s="215"/>
      <c r="V159" s="215"/>
      <c r="AE159" s="27"/>
      <c r="AF159" s="27"/>
      <c r="AG159" s="27"/>
      <c r="AH159" s="27"/>
      <c r="AI159" s="27"/>
    </row>
    <row r="160" spans="1:35" x14ac:dyDescent="0.2">
      <c r="A160" s="241" t="s">
        <v>98</v>
      </c>
      <c r="B160" s="69">
        <f>LocalValues!I7</f>
        <v>1</v>
      </c>
      <c r="C160" s="238" t="e">
        <f t="shared" ref="C160:C165" si="2">J73</f>
        <v>#NUM!</v>
      </c>
      <c r="D160" s="238">
        <f>M85</f>
        <v>1</v>
      </c>
      <c r="E160" s="204">
        <f>M90</f>
        <v>1.6375479982400416</v>
      </c>
      <c r="F160" s="204" t="e">
        <f>M95</f>
        <v>#DIV/0!</v>
      </c>
      <c r="G160" s="204" t="e">
        <f>M100</f>
        <v>#DIV/0!</v>
      </c>
      <c r="H160" s="204" t="e">
        <f>M104</f>
        <v>#DIV/0!</v>
      </c>
      <c r="I160" s="204" t="e">
        <f>M109</f>
        <v>#DIV/0!</v>
      </c>
      <c r="J160" s="204">
        <f>M114</f>
        <v>1</v>
      </c>
      <c r="K160" s="204" t="e">
        <f>M124</f>
        <v>#NUM!</v>
      </c>
      <c r="L160" s="204" t="e">
        <f>M128</f>
        <v>#DIV/0!</v>
      </c>
      <c r="M160" s="204" t="e">
        <f>M133</f>
        <v>#DIV/0!</v>
      </c>
      <c r="N160" s="204" t="e">
        <f>M137</f>
        <v>#DIV/0!</v>
      </c>
      <c r="O160" s="204" t="e">
        <f>M142</f>
        <v>#DIV/0!</v>
      </c>
      <c r="P160" s="204">
        <f>M147</f>
        <v>1</v>
      </c>
      <c r="Q160" s="205" t="s">
        <v>86</v>
      </c>
      <c r="R160" s="125" t="str">
        <f>IF(J$10="Basic Freeway Segment (FS)",B160*C160*D160*E160*F160*G160*H160*I160*J160*K160*L160*M160*N160*O160*P160,"Site Type Not Selected")</f>
        <v>Site Type Not Selected</v>
      </c>
      <c r="S160" s="63"/>
      <c r="T160" s="215"/>
      <c r="U160" s="215"/>
      <c r="V160" s="215"/>
      <c r="AE160" s="27"/>
      <c r="AF160" s="27"/>
      <c r="AG160" s="27"/>
      <c r="AH160" s="27"/>
      <c r="AI160" s="27"/>
    </row>
    <row r="161" spans="1:35" x14ac:dyDescent="0.2">
      <c r="A161" s="241" t="s">
        <v>99</v>
      </c>
      <c r="B161" s="69">
        <f>LocalValues!I8</f>
        <v>1</v>
      </c>
      <c r="C161" s="238" t="e">
        <f t="shared" si="2"/>
        <v>#NUM!</v>
      </c>
      <c r="D161" s="238">
        <f>M85</f>
        <v>1</v>
      </c>
      <c r="E161" s="205">
        <f>M90</f>
        <v>1.6375479982400416</v>
      </c>
      <c r="F161" s="205" t="e">
        <f>M95</f>
        <v>#DIV/0!</v>
      </c>
      <c r="G161" s="205" t="e">
        <f>M100</f>
        <v>#DIV/0!</v>
      </c>
      <c r="H161" s="205" t="e">
        <f>M104</f>
        <v>#DIV/0!</v>
      </c>
      <c r="I161" s="205" t="e">
        <f>M109</f>
        <v>#DIV/0!</v>
      </c>
      <c r="J161" s="205">
        <f>M114</f>
        <v>1</v>
      </c>
      <c r="K161" s="205" t="s">
        <v>86</v>
      </c>
      <c r="L161" s="205" t="e">
        <f>M128</f>
        <v>#DIV/0!</v>
      </c>
      <c r="M161" s="205" t="e">
        <f>M133</f>
        <v>#DIV/0!</v>
      </c>
      <c r="N161" s="205" t="e">
        <f>M137</f>
        <v>#DIV/0!</v>
      </c>
      <c r="O161" s="205" t="e">
        <f>M142</f>
        <v>#DIV/0!</v>
      </c>
      <c r="P161" s="205" t="s">
        <v>86</v>
      </c>
      <c r="Q161" s="205" t="e">
        <f>M152</f>
        <v>#DIV/0!</v>
      </c>
      <c r="R161" s="125" t="str">
        <f>IF(J$10="Entrance Speed-Change Lane (EN)",B161*C161*D161*E161*F161*G161*H161*I161*J161*Q161,"Site Type Not Selected")</f>
        <v>Site Type Not Selected</v>
      </c>
      <c r="S161" s="63"/>
      <c r="T161" s="215"/>
      <c r="U161" s="215"/>
      <c r="V161" s="215"/>
      <c r="AE161" s="27"/>
      <c r="AF161" s="27"/>
      <c r="AG161" s="27"/>
      <c r="AH161" s="27"/>
      <c r="AI161" s="27"/>
    </row>
    <row r="162" spans="1:35" x14ac:dyDescent="0.2">
      <c r="A162" s="241" t="s">
        <v>100</v>
      </c>
      <c r="B162" s="69">
        <f>LocalValues!I9</f>
        <v>1</v>
      </c>
      <c r="C162" s="238" t="e">
        <f t="shared" si="2"/>
        <v>#NUM!</v>
      </c>
      <c r="D162" s="238">
        <f>M85</f>
        <v>1</v>
      </c>
      <c r="E162" s="205">
        <f>M90</f>
        <v>1.6375479982400416</v>
      </c>
      <c r="F162" s="205" t="e">
        <f>M95</f>
        <v>#DIV/0!</v>
      </c>
      <c r="G162" s="205" t="e">
        <f>M100</f>
        <v>#DIV/0!</v>
      </c>
      <c r="H162" s="205" t="e">
        <f>M104</f>
        <v>#DIV/0!</v>
      </c>
      <c r="I162" s="205" t="e">
        <f>M109</f>
        <v>#DIV/0!</v>
      </c>
      <c r="J162" s="205">
        <f>M114</f>
        <v>1</v>
      </c>
      <c r="K162" s="205" t="s">
        <v>86</v>
      </c>
      <c r="L162" s="205" t="e">
        <f>M128</f>
        <v>#DIV/0!</v>
      </c>
      <c r="M162" s="205" t="e">
        <f>M133</f>
        <v>#DIV/0!</v>
      </c>
      <c r="N162" s="205" t="e">
        <f>M137</f>
        <v>#DIV/0!</v>
      </c>
      <c r="O162" s="205" t="e">
        <f>M142</f>
        <v>#DIV/0!</v>
      </c>
      <c r="P162" s="205" t="s">
        <v>86</v>
      </c>
      <c r="Q162" s="205" t="e">
        <f>M155</f>
        <v>#DIV/0!</v>
      </c>
      <c r="R162" s="125" t="str">
        <f>IF(J$10="Exit Speed-Change Lane (EX)",B162*C162*D162*E162*F162*G162*H162*I162*J162*Q162,"Site Type Not Selected")</f>
        <v>Site Type Not Selected</v>
      </c>
      <c r="S162" s="63"/>
      <c r="T162" s="215"/>
      <c r="U162" s="215"/>
      <c r="V162" s="215"/>
      <c r="AE162" s="27"/>
      <c r="AF162" s="27"/>
      <c r="AG162" s="27"/>
      <c r="AH162" s="27"/>
      <c r="AI162" s="27"/>
    </row>
    <row r="163" spans="1:35" x14ac:dyDescent="0.2">
      <c r="A163" s="241" t="s">
        <v>101</v>
      </c>
      <c r="B163" s="69">
        <f>LocalValues!I10</f>
        <v>1</v>
      </c>
      <c r="C163" s="238" t="e">
        <f t="shared" si="2"/>
        <v>#NUM!</v>
      </c>
      <c r="D163" s="238">
        <f>M86</f>
        <v>1</v>
      </c>
      <c r="E163" s="205">
        <f>M91</f>
        <v>1.3876338077408086</v>
      </c>
      <c r="F163" s="205" t="e">
        <f>M96</f>
        <v>#DIV/0!</v>
      </c>
      <c r="G163" s="205" t="s">
        <v>86</v>
      </c>
      <c r="H163" s="205" t="e">
        <f>M105</f>
        <v>#DIV/0!</v>
      </c>
      <c r="I163" s="205" t="e">
        <f>M110</f>
        <v>#DIV/0!</v>
      </c>
      <c r="J163" s="205">
        <f>M117</f>
        <v>1</v>
      </c>
      <c r="K163" s="205" t="s">
        <v>86</v>
      </c>
      <c r="L163" s="205" t="e">
        <f>M129</f>
        <v>#DIV/0!</v>
      </c>
      <c r="M163" s="205" t="s">
        <v>86</v>
      </c>
      <c r="N163" s="205" t="e">
        <f>M138</f>
        <v>#DIV/0!</v>
      </c>
      <c r="O163" s="205" t="e">
        <f>M143</f>
        <v>#DIV/0!</v>
      </c>
      <c r="P163" s="205">
        <f>M148</f>
        <v>1</v>
      </c>
      <c r="Q163" s="205" t="s">
        <v>86</v>
      </c>
      <c r="R163" s="125" t="str">
        <f>IF(J$10="Basic Freeway Segment (FS)",B163*C163*D163*E163*F163*H163*I163*J163*L163*N163*O163*P163,"Site Type Not Selected")</f>
        <v>Site Type Not Selected</v>
      </c>
      <c r="S163" s="63"/>
      <c r="T163" s="215"/>
      <c r="U163" s="215"/>
      <c r="V163" s="215"/>
      <c r="AE163" s="27"/>
      <c r="AF163" s="27"/>
      <c r="AG163" s="27"/>
      <c r="AH163" s="27"/>
      <c r="AI163" s="27"/>
    </row>
    <row r="164" spans="1:35" x14ac:dyDescent="0.2">
      <c r="A164" s="241" t="s">
        <v>102</v>
      </c>
      <c r="B164" s="69">
        <f>LocalValues!I11</f>
        <v>1</v>
      </c>
      <c r="C164" s="238" t="e">
        <f t="shared" si="2"/>
        <v>#NUM!</v>
      </c>
      <c r="D164" s="238">
        <f>M86</f>
        <v>1</v>
      </c>
      <c r="E164" s="205">
        <f>M91</f>
        <v>1.3876338077408086</v>
      </c>
      <c r="F164" s="205" t="e">
        <f>M96</f>
        <v>#DIV/0!</v>
      </c>
      <c r="G164" s="205" t="s">
        <v>86</v>
      </c>
      <c r="H164" s="205" t="e">
        <f>M105</f>
        <v>#DIV/0!</v>
      </c>
      <c r="I164" s="205" t="e">
        <f>M110</f>
        <v>#DIV/0!</v>
      </c>
      <c r="J164" s="205">
        <f>M117</f>
        <v>1</v>
      </c>
      <c r="K164" s="205" t="s">
        <v>86</v>
      </c>
      <c r="L164" s="205" t="e">
        <f>M129</f>
        <v>#DIV/0!</v>
      </c>
      <c r="M164" s="205" t="s">
        <v>86</v>
      </c>
      <c r="N164" s="205" t="e">
        <f>M138</f>
        <v>#DIV/0!</v>
      </c>
      <c r="O164" s="205" t="e">
        <f>M143</f>
        <v>#DIV/0!</v>
      </c>
      <c r="P164" s="205" t="s">
        <v>86</v>
      </c>
      <c r="Q164" s="205" t="e">
        <f>M153</f>
        <v>#DIV/0!</v>
      </c>
      <c r="R164" s="125" t="str">
        <f>IF(J$10="Entrance Speed-Change Lane (EN)",B164*C164*D164*E164*F164*H164*I164*J164*Q164,"Site Type Not Selected")</f>
        <v>Site Type Not Selected</v>
      </c>
      <c r="S164" s="63"/>
      <c r="T164" s="215"/>
      <c r="U164" s="215"/>
      <c r="V164" s="215"/>
      <c r="AE164" s="27"/>
      <c r="AF164" s="27"/>
      <c r="AG164" s="27"/>
      <c r="AH164" s="27"/>
      <c r="AI164" s="27"/>
    </row>
    <row r="165" spans="1:35" ht="13.5" thickBot="1" x14ac:dyDescent="0.25">
      <c r="A165" s="91" t="s">
        <v>103</v>
      </c>
      <c r="B165" s="92">
        <f>LocalValues!I12</f>
        <v>1</v>
      </c>
      <c r="C165" s="206" t="e">
        <f t="shared" si="2"/>
        <v>#NUM!</v>
      </c>
      <c r="D165" s="206">
        <f>M86</f>
        <v>1</v>
      </c>
      <c r="E165" s="207">
        <f>M91</f>
        <v>1.3876338077408086</v>
      </c>
      <c r="F165" s="207" t="e">
        <f>M96</f>
        <v>#DIV/0!</v>
      </c>
      <c r="G165" s="207" t="s">
        <v>86</v>
      </c>
      <c r="H165" s="207" t="e">
        <f>M105</f>
        <v>#DIV/0!</v>
      </c>
      <c r="I165" s="207" t="e">
        <f>M110</f>
        <v>#DIV/0!</v>
      </c>
      <c r="J165" s="207">
        <f>M117</f>
        <v>1</v>
      </c>
      <c r="K165" s="207" t="s">
        <v>86</v>
      </c>
      <c r="L165" s="207" t="e">
        <f>M129</f>
        <v>#DIV/0!</v>
      </c>
      <c r="M165" s="207" t="s">
        <v>86</v>
      </c>
      <c r="N165" s="207" t="e">
        <f>M138</f>
        <v>#DIV/0!</v>
      </c>
      <c r="O165" s="207" t="e">
        <f>M143</f>
        <v>#DIV/0!</v>
      </c>
      <c r="P165" s="207" t="s">
        <v>86</v>
      </c>
      <c r="Q165" s="207" t="e">
        <f>M156</f>
        <v>#DIV/0!</v>
      </c>
      <c r="R165" s="187" t="str">
        <f>IF(J$10="Exit Speed-Change Lane (EX)",B165*C165*D165*E165*F165*H165*I165*J165*Q165,"Site Type Not Selected")</f>
        <v>Site Type Not Selected</v>
      </c>
      <c r="S165" s="63"/>
      <c r="T165" s="215"/>
      <c r="U165" s="215"/>
      <c r="V165" s="215"/>
      <c r="AE165" s="27"/>
      <c r="AF165" s="27"/>
      <c r="AG165" s="27"/>
      <c r="AH165" s="27"/>
      <c r="AI165" s="27"/>
    </row>
    <row r="166" spans="1:35" ht="13.5" thickTop="1" x14ac:dyDescent="0.2"/>
    <row r="167" spans="1:35" ht="13.5" thickBot="1" x14ac:dyDescent="0.25"/>
    <row r="168" spans="1:35" ht="14.25" thickTop="1" thickBot="1" x14ac:dyDescent="0.25">
      <c r="A168" s="312" t="s">
        <v>132</v>
      </c>
      <c r="B168" s="313"/>
      <c r="C168" s="313"/>
      <c r="D168" s="313"/>
      <c r="E168" s="313"/>
      <c r="F168" s="313"/>
      <c r="G168" s="313"/>
      <c r="H168" s="313"/>
      <c r="I168" s="313"/>
      <c r="J168" s="313"/>
      <c r="K168" s="313"/>
      <c r="L168" s="313"/>
      <c r="M168" s="313"/>
      <c r="N168" s="313"/>
      <c r="O168" s="314"/>
    </row>
    <row r="169" spans="1:35" ht="15" thickTop="1" x14ac:dyDescent="0.2">
      <c r="A169" s="229"/>
      <c r="B169" s="184" t="s">
        <v>345</v>
      </c>
      <c r="C169" s="184" t="s">
        <v>346</v>
      </c>
      <c r="D169" s="184" t="s">
        <v>347</v>
      </c>
      <c r="E169" s="184" t="s">
        <v>348</v>
      </c>
      <c r="F169" s="184" t="s">
        <v>349</v>
      </c>
      <c r="G169" s="184" t="s">
        <v>350</v>
      </c>
      <c r="H169" s="184" t="s">
        <v>351</v>
      </c>
      <c r="I169" s="184" t="s">
        <v>352</v>
      </c>
      <c r="J169" s="184" t="s">
        <v>353</v>
      </c>
      <c r="K169" s="184" t="s">
        <v>354</v>
      </c>
      <c r="L169" s="184" t="s">
        <v>355</v>
      </c>
      <c r="M169" s="184" t="s">
        <v>356</v>
      </c>
      <c r="N169" s="184" t="s">
        <v>357</v>
      </c>
      <c r="O169" s="185" t="s">
        <v>307</v>
      </c>
      <c r="P169" s="68"/>
      <c r="Q169" s="27"/>
      <c r="AB169" s="215"/>
      <c r="AC169" s="215"/>
      <c r="AD169" s="215"/>
    </row>
    <row r="170" spans="1:35" x14ac:dyDescent="0.2">
      <c r="A170" s="242" t="s">
        <v>199</v>
      </c>
      <c r="B170" s="112" t="e">
        <f>E170*H170*I170*J170</f>
        <v>#DIV/0!</v>
      </c>
      <c r="C170" s="112" t="e">
        <f>F170*H170*I170*K170</f>
        <v>#DIV/0!</v>
      </c>
      <c r="D170" s="112" t="e">
        <f>G170*H170*I170*L170</f>
        <v>#DIV/0!</v>
      </c>
      <c r="E170" s="112">
        <f>EXP(-4.493)</f>
        <v>1.1187032320602409E-2</v>
      </c>
      <c r="F170" s="112">
        <f>EXP(-2.128)</f>
        <v>0.11907520627323114</v>
      </c>
      <c r="G170" s="112">
        <f>EXP(-0.126)</f>
        <v>0.88161484678341606</v>
      </c>
      <c r="H170" s="118" t="e">
        <f t="shared" ref="H170:H173" si="3">EXP(-0.4597*0.5*($C$109+$C$137))</f>
        <v>#DIV/0!</v>
      </c>
      <c r="I170" s="112" t="e">
        <f>EXP(-0.9931*M170)</f>
        <v>#DIV/0!</v>
      </c>
      <c r="J170" s="112">
        <f>EXP(-4.313*$J$59)</f>
        <v>1</v>
      </c>
      <c r="K170" s="118">
        <f>EXP(-0.718*$J$59)</f>
        <v>1</v>
      </c>
      <c r="L170" s="118">
        <f>EXP(0.1013*$J$59)</f>
        <v>1</v>
      </c>
      <c r="M170" s="118" t="e">
        <f t="shared" ref="M170:M181" si="4">IF($J$64&lt;&gt;"",$J$64,(1-EXP(1.45-0.124*$J$12/$J$14/1000)))</f>
        <v>#DIV/0!</v>
      </c>
      <c r="N170" s="112" t="e">
        <f>IF(LocalValues!F18="",B170/(1/1+B170+C170+D170),LocalValues!F18)</f>
        <v>#DIV/0!</v>
      </c>
      <c r="O170" s="208" t="str">
        <f>IFERROR(R$160*N170,"-")</f>
        <v>-</v>
      </c>
      <c r="P170" s="27"/>
      <c r="Q170" s="27"/>
      <c r="AB170" s="215"/>
      <c r="AC170" s="215"/>
      <c r="AD170" s="215"/>
    </row>
    <row r="171" spans="1:35" x14ac:dyDescent="0.2">
      <c r="A171" s="242" t="s">
        <v>200</v>
      </c>
      <c r="B171" s="112" t="e">
        <f t="shared" ref="B171:B181" si="5">E171*H171*I171*J171</f>
        <v>#DIV/0!</v>
      </c>
      <c r="C171" s="112" t="e">
        <f t="shared" ref="C171:C181" si="6">F171*H171*I171*K171</f>
        <v>#DIV/0!</v>
      </c>
      <c r="D171" s="112" t="e">
        <f t="shared" ref="D171:D181" si="7">G171*H171*I171*L171</f>
        <v>#DIV/0!</v>
      </c>
      <c r="E171" s="112">
        <f t="shared" ref="E171:E181" si="8">EXP(-4.493)</f>
        <v>1.1187032320602409E-2</v>
      </c>
      <c r="F171" s="112">
        <f t="shared" ref="F171:F173" si="9">EXP(-2.128)</f>
        <v>0.11907520627323114</v>
      </c>
      <c r="G171" s="112">
        <f t="shared" ref="G171:G173" si="10">EXP(-0.126)</f>
        <v>0.88161484678341606</v>
      </c>
      <c r="H171" s="118" t="e">
        <f t="shared" si="3"/>
        <v>#DIV/0!</v>
      </c>
      <c r="I171" s="112" t="e">
        <f t="shared" ref="I171:I181" si="11">EXP(-0.9931*M171)</f>
        <v>#DIV/0!</v>
      </c>
      <c r="J171" s="112">
        <f t="shared" ref="J171:J181" si="12">EXP(-4.313*$J$59)</f>
        <v>1</v>
      </c>
      <c r="K171" s="118">
        <f t="shared" ref="K171:K181" si="13">EXP(-0.718*$J$59)</f>
        <v>1</v>
      </c>
      <c r="L171" s="118">
        <f t="shared" ref="L171:L181" si="14">EXP(0.1013*$J$59)</f>
        <v>1</v>
      </c>
      <c r="M171" s="118" t="e">
        <f t="shared" si="4"/>
        <v>#DIV/0!</v>
      </c>
      <c r="N171" s="112" t="e">
        <f>IF(LocalValues!F19="",C171/(1/1+B171+C171+D171),LocalValues!F19)</f>
        <v>#DIV/0!</v>
      </c>
      <c r="O171" s="208" t="str">
        <f t="shared" ref="O171:O173" si="15">IFERROR(R$160*N171,"-")</f>
        <v>-</v>
      </c>
      <c r="Q171" s="27"/>
      <c r="AD171" s="215"/>
    </row>
    <row r="172" spans="1:35" x14ac:dyDescent="0.2">
      <c r="A172" s="242" t="s">
        <v>201</v>
      </c>
      <c r="B172" s="112" t="e">
        <f t="shared" si="5"/>
        <v>#DIV/0!</v>
      </c>
      <c r="C172" s="112" t="e">
        <f t="shared" si="6"/>
        <v>#DIV/0!</v>
      </c>
      <c r="D172" s="112" t="e">
        <f t="shared" si="7"/>
        <v>#DIV/0!</v>
      </c>
      <c r="E172" s="112">
        <f t="shared" si="8"/>
        <v>1.1187032320602409E-2</v>
      </c>
      <c r="F172" s="112">
        <f t="shared" si="9"/>
        <v>0.11907520627323114</v>
      </c>
      <c r="G172" s="112">
        <f t="shared" si="10"/>
        <v>0.88161484678341606</v>
      </c>
      <c r="H172" s="118" t="e">
        <f t="shared" si="3"/>
        <v>#DIV/0!</v>
      </c>
      <c r="I172" s="112" t="e">
        <f t="shared" si="11"/>
        <v>#DIV/0!</v>
      </c>
      <c r="J172" s="112">
        <f t="shared" si="12"/>
        <v>1</v>
      </c>
      <c r="K172" s="118">
        <f t="shared" si="13"/>
        <v>1</v>
      </c>
      <c r="L172" s="118">
        <f t="shared" si="14"/>
        <v>1</v>
      </c>
      <c r="M172" s="118" t="e">
        <f t="shared" si="4"/>
        <v>#DIV/0!</v>
      </c>
      <c r="N172" s="112" t="e">
        <f>IF(LocalValues!F20="",D172/(1/1+B172+C172+D172),LocalValues!F20)</f>
        <v>#DIV/0!</v>
      </c>
      <c r="O172" s="208" t="str">
        <f t="shared" si="15"/>
        <v>-</v>
      </c>
      <c r="Q172" s="27"/>
      <c r="AD172" s="215"/>
    </row>
    <row r="173" spans="1:35" x14ac:dyDescent="0.2">
      <c r="A173" s="242" t="s">
        <v>202</v>
      </c>
      <c r="B173" s="112" t="e">
        <f t="shared" si="5"/>
        <v>#DIV/0!</v>
      </c>
      <c r="C173" s="112" t="e">
        <f t="shared" si="6"/>
        <v>#DIV/0!</v>
      </c>
      <c r="D173" s="112" t="e">
        <f t="shared" si="7"/>
        <v>#DIV/0!</v>
      </c>
      <c r="E173" s="112">
        <f t="shared" si="8"/>
        <v>1.1187032320602409E-2</v>
      </c>
      <c r="F173" s="112">
        <f t="shared" si="9"/>
        <v>0.11907520627323114</v>
      </c>
      <c r="G173" s="112">
        <f t="shared" si="10"/>
        <v>0.88161484678341606</v>
      </c>
      <c r="H173" s="118" t="e">
        <f t="shared" si="3"/>
        <v>#DIV/0!</v>
      </c>
      <c r="I173" s="112" t="e">
        <f t="shared" si="11"/>
        <v>#DIV/0!</v>
      </c>
      <c r="J173" s="112">
        <f t="shared" si="12"/>
        <v>1</v>
      </c>
      <c r="K173" s="118">
        <f t="shared" si="13"/>
        <v>1</v>
      </c>
      <c r="L173" s="118">
        <f t="shared" si="14"/>
        <v>1</v>
      </c>
      <c r="M173" s="118" t="e">
        <f t="shared" si="4"/>
        <v>#DIV/0!</v>
      </c>
      <c r="N173" s="112" t="e">
        <f>IF(LocalValues!F21="",1-N170-N171-N172,LocalValues!F21)</f>
        <v>#DIV/0!</v>
      </c>
      <c r="O173" s="208" t="str">
        <f t="shared" si="15"/>
        <v>-</v>
      </c>
      <c r="Q173" s="27"/>
      <c r="AD173" s="215"/>
    </row>
    <row r="174" spans="1:35" x14ac:dyDescent="0.2">
      <c r="A174" s="242" t="s">
        <v>203</v>
      </c>
      <c r="B174" s="112" t="e">
        <f t="shared" si="5"/>
        <v>#DIV/0!</v>
      </c>
      <c r="C174" s="112" t="e">
        <f t="shared" si="6"/>
        <v>#DIV/0!</v>
      </c>
      <c r="D174" s="112" t="e">
        <f t="shared" si="7"/>
        <v>#DIV/0!</v>
      </c>
      <c r="E174" s="112">
        <f t="shared" si="8"/>
        <v>1.1187032320602409E-2</v>
      </c>
      <c r="F174" s="112">
        <f>EXP(-2.575)</f>
        <v>7.6153822798610327E-2</v>
      </c>
      <c r="G174" s="119">
        <f>EXP(-0.27)</f>
        <v>0.76337949433685315</v>
      </c>
      <c r="H174" s="118" t="e">
        <f>EXP(-0.46*$C$109)</f>
        <v>#DIV/0!</v>
      </c>
      <c r="I174" s="112" t="e">
        <f t="shared" si="11"/>
        <v>#DIV/0!</v>
      </c>
      <c r="J174" s="112">
        <f t="shared" si="12"/>
        <v>1</v>
      </c>
      <c r="K174" s="118">
        <f t="shared" si="13"/>
        <v>1</v>
      </c>
      <c r="L174" s="118">
        <f t="shared" si="14"/>
        <v>1</v>
      </c>
      <c r="M174" s="118" t="e">
        <f t="shared" si="4"/>
        <v>#DIV/0!</v>
      </c>
      <c r="N174" s="112" t="e">
        <f>IF(LocalValues!F23="",B174/(1/1+B174+C174+D174),LocalValues!F23)</f>
        <v>#DIV/0!</v>
      </c>
      <c r="O174" s="126" t="str">
        <f>IFERROR(R$161*N174,"-")</f>
        <v>-</v>
      </c>
      <c r="Q174" s="27"/>
      <c r="AD174" s="215"/>
    </row>
    <row r="175" spans="1:35" x14ac:dyDescent="0.2">
      <c r="A175" s="242" t="s">
        <v>204</v>
      </c>
      <c r="B175" s="112" t="e">
        <f t="shared" si="5"/>
        <v>#DIV/0!</v>
      </c>
      <c r="C175" s="112" t="e">
        <f t="shared" si="6"/>
        <v>#DIV/0!</v>
      </c>
      <c r="D175" s="112" t="e">
        <f t="shared" si="7"/>
        <v>#DIV/0!</v>
      </c>
      <c r="E175" s="112">
        <f t="shared" si="8"/>
        <v>1.1187032320602409E-2</v>
      </c>
      <c r="F175" s="112">
        <f t="shared" ref="F175:F177" si="16">EXP(-2.575)</f>
        <v>7.6153822798610327E-2</v>
      </c>
      <c r="G175" s="119">
        <f t="shared" ref="G175:G176" si="17">EXP(-0.27)</f>
        <v>0.76337949433685315</v>
      </c>
      <c r="H175" s="118" t="e">
        <f t="shared" ref="H175:H180" si="18">EXP(-0.46*$C$109)</f>
        <v>#DIV/0!</v>
      </c>
      <c r="I175" s="112" t="e">
        <f t="shared" si="11"/>
        <v>#DIV/0!</v>
      </c>
      <c r="J175" s="112">
        <f t="shared" si="12"/>
        <v>1</v>
      </c>
      <c r="K175" s="118">
        <f t="shared" si="13"/>
        <v>1</v>
      </c>
      <c r="L175" s="118">
        <f t="shared" si="14"/>
        <v>1</v>
      </c>
      <c r="M175" s="118" t="e">
        <f t="shared" si="4"/>
        <v>#DIV/0!</v>
      </c>
      <c r="N175" s="112" t="e">
        <f>IF(LocalValues!F24="",C175/(1/1+B175+C175+D175),LocalValues!F24)</f>
        <v>#DIV/0!</v>
      </c>
      <c r="O175" s="126" t="str">
        <f t="shared" ref="O175:O177" si="19">IFERROR(R$161*N175,"-")</f>
        <v>-</v>
      </c>
      <c r="Q175" s="27"/>
      <c r="AD175" s="215"/>
    </row>
    <row r="176" spans="1:35" x14ac:dyDescent="0.2">
      <c r="A176" s="242" t="s">
        <v>205</v>
      </c>
      <c r="B176" s="112" t="e">
        <f t="shared" si="5"/>
        <v>#DIV/0!</v>
      </c>
      <c r="C176" s="112" t="e">
        <f t="shared" si="6"/>
        <v>#DIV/0!</v>
      </c>
      <c r="D176" s="112" t="e">
        <f t="shared" si="7"/>
        <v>#DIV/0!</v>
      </c>
      <c r="E176" s="112">
        <f t="shared" si="8"/>
        <v>1.1187032320602409E-2</v>
      </c>
      <c r="F176" s="112">
        <f t="shared" si="16"/>
        <v>7.6153822798610327E-2</v>
      </c>
      <c r="G176" s="119">
        <f t="shared" si="17"/>
        <v>0.76337949433685315</v>
      </c>
      <c r="H176" s="118" t="e">
        <f t="shared" si="18"/>
        <v>#DIV/0!</v>
      </c>
      <c r="I176" s="112" t="e">
        <f t="shared" si="11"/>
        <v>#DIV/0!</v>
      </c>
      <c r="J176" s="112">
        <f t="shared" si="12"/>
        <v>1</v>
      </c>
      <c r="K176" s="118">
        <f t="shared" si="13"/>
        <v>1</v>
      </c>
      <c r="L176" s="118">
        <f t="shared" si="14"/>
        <v>1</v>
      </c>
      <c r="M176" s="118" t="e">
        <f t="shared" si="4"/>
        <v>#DIV/0!</v>
      </c>
      <c r="N176" s="112" t="e">
        <f>IF(LocalValues!F25="",D176/(1/1+B176+C176+D176),LocalValues!F25)</f>
        <v>#DIV/0!</v>
      </c>
      <c r="O176" s="126" t="str">
        <f t="shared" si="19"/>
        <v>-</v>
      </c>
      <c r="Q176" s="27"/>
      <c r="AD176" s="215"/>
    </row>
    <row r="177" spans="1:30" x14ac:dyDescent="0.2">
      <c r="A177" s="242" t="s">
        <v>206</v>
      </c>
      <c r="B177" s="112" t="e">
        <f t="shared" si="5"/>
        <v>#DIV/0!</v>
      </c>
      <c r="C177" s="112" t="e">
        <f t="shared" si="6"/>
        <v>#DIV/0!</v>
      </c>
      <c r="D177" s="112" t="e">
        <f t="shared" si="7"/>
        <v>#DIV/0!</v>
      </c>
      <c r="E177" s="112">
        <f t="shared" si="8"/>
        <v>1.1187032320602409E-2</v>
      </c>
      <c r="F177" s="112">
        <f t="shared" si="16"/>
        <v>7.6153822798610327E-2</v>
      </c>
      <c r="G177" s="119">
        <f>EXP(-0.27)</f>
        <v>0.76337949433685315</v>
      </c>
      <c r="H177" s="118" t="e">
        <f t="shared" si="18"/>
        <v>#DIV/0!</v>
      </c>
      <c r="I177" s="112" t="e">
        <f t="shared" si="11"/>
        <v>#DIV/0!</v>
      </c>
      <c r="J177" s="112">
        <f t="shared" si="12"/>
        <v>1</v>
      </c>
      <c r="K177" s="118">
        <f t="shared" si="13"/>
        <v>1</v>
      </c>
      <c r="L177" s="118">
        <f t="shared" si="14"/>
        <v>1</v>
      </c>
      <c r="M177" s="118" t="e">
        <f t="shared" si="4"/>
        <v>#DIV/0!</v>
      </c>
      <c r="N177" s="112" t="e">
        <f>IF(LocalValues!F26="",1-N174-N175-N176,LocalValues!F26)</f>
        <v>#DIV/0!</v>
      </c>
      <c r="O177" s="126" t="str">
        <f t="shared" si="19"/>
        <v>-</v>
      </c>
      <c r="Q177" s="27"/>
      <c r="AD177" s="215"/>
    </row>
    <row r="178" spans="1:30" x14ac:dyDescent="0.2">
      <c r="A178" s="242" t="s">
        <v>207</v>
      </c>
      <c r="B178" s="112" t="e">
        <f t="shared" si="5"/>
        <v>#DIV/0!</v>
      </c>
      <c r="C178" s="112" t="e">
        <f t="shared" si="6"/>
        <v>#DIV/0!</v>
      </c>
      <c r="D178" s="112" t="e">
        <f t="shared" si="7"/>
        <v>#DIV/0!</v>
      </c>
      <c r="E178" s="112">
        <f t="shared" si="8"/>
        <v>1.1187032320602409E-2</v>
      </c>
      <c r="F178" s="112">
        <f>EXP(-2.18)</f>
        <v>0.11304153064044985</v>
      </c>
      <c r="G178" s="112">
        <f>EXP(-0.204)</f>
        <v>0.8154623711872927</v>
      </c>
      <c r="H178" s="118" t="e">
        <f t="shared" si="18"/>
        <v>#DIV/0!</v>
      </c>
      <c r="I178" s="112" t="e">
        <f t="shared" si="11"/>
        <v>#DIV/0!</v>
      </c>
      <c r="J178" s="112">
        <f t="shared" si="12"/>
        <v>1</v>
      </c>
      <c r="K178" s="118">
        <f t="shared" si="13"/>
        <v>1</v>
      </c>
      <c r="L178" s="118">
        <f t="shared" si="14"/>
        <v>1</v>
      </c>
      <c r="M178" s="118" t="e">
        <f t="shared" si="4"/>
        <v>#DIV/0!</v>
      </c>
      <c r="N178" s="112" t="e">
        <f>IF(LocalValues!F28="",B178/(1/1+B178+C178+D178),LocalValues!F28)</f>
        <v>#DIV/0!</v>
      </c>
      <c r="O178" s="126" t="str">
        <f>IFERROR(R$162*N178,"-")</f>
        <v>-</v>
      </c>
      <c r="Q178" s="27"/>
      <c r="AD178" s="215"/>
    </row>
    <row r="179" spans="1:30" x14ac:dyDescent="0.2">
      <c r="A179" s="242" t="s">
        <v>208</v>
      </c>
      <c r="B179" s="112" t="e">
        <f t="shared" si="5"/>
        <v>#DIV/0!</v>
      </c>
      <c r="C179" s="112" t="e">
        <f t="shared" si="6"/>
        <v>#DIV/0!</v>
      </c>
      <c r="D179" s="112" t="e">
        <f t="shared" si="7"/>
        <v>#DIV/0!</v>
      </c>
      <c r="E179" s="112">
        <f t="shared" si="8"/>
        <v>1.1187032320602409E-2</v>
      </c>
      <c r="F179" s="112">
        <f t="shared" ref="F179:F181" si="20">EXP(-2.18)</f>
        <v>0.11304153064044985</v>
      </c>
      <c r="G179" s="112">
        <f t="shared" ref="G179:G181" si="21">EXP(-0.204)</f>
        <v>0.8154623711872927</v>
      </c>
      <c r="H179" s="118" t="e">
        <f t="shared" si="18"/>
        <v>#DIV/0!</v>
      </c>
      <c r="I179" s="112" t="e">
        <f t="shared" si="11"/>
        <v>#DIV/0!</v>
      </c>
      <c r="J179" s="112">
        <f t="shared" si="12"/>
        <v>1</v>
      </c>
      <c r="K179" s="118">
        <f t="shared" si="13"/>
        <v>1</v>
      </c>
      <c r="L179" s="118">
        <f t="shared" si="14"/>
        <v>1</v>
      </c>
      <c r="M179" s="118" t="e">
        <f t="shared" si="4"/>
        <v>#DIV/0!</v>
      </c>
      <c r="N179" s="112" t="e">
        <f>IF(LocalValues!F29="",C179/(1/1+B179+C179+D179),LocalValues!F29)</f>
        <v>#DIV/0!</v>
      </c>
      <c r="O179" s="126" t="str">
        <f t="shared" ref="O179:O181" si="22">IFERROR(R$162*N179,"-")</f>
        <v>-</v>
      </c>
      <c r="Q179" s="27"/>
      <c r="AD179" s="215"/>
    </row>
    <row r="180" spans="1:30" x14ac:dyDescent="0.2">
      <c r="A180" s="242" t="s">
        <v>209</v>
      </c>
      <c r="B180" s="112" t="e">
        <f t="shared" si="5"/>
        <v>#DIV/0!</v>
      </c>
      <c r="C180" s="112" t="e">
        <f t="shared" si="6"/>
        <v>#DIV/0!</v>
      </c>
      <c r="D180" s="112" t="e">
        <f t="shared" si="7"/>
        <v>#DIV/0!</v>
      </c>
      <c r="E180" s="112">
        <f t="shared" si="8"/>
        <v>1.1187032320602409E-2</v>
      </c>
      <c r="F180" s="112">
        <f t="shared" si="20"/>
        <v>0.11304153064044985</v>
      </c>
      <c r="G180" s="112">
        <f t="shared" si="21"/>
        <v>0.8154623711872927</v>
      </c>
      <c r="H180" s="118" t="e">
        <f t="shared" si="18"/>
        <v>#DIV/0!</v>
      </c>
      <c r="I180" s="112" t="e">
        <f t="shared" si="11"/>
        <v>#DIV/0!</v>
      </c>
      <c r="J180" s="112">
        <f t="shared" si="12"/>
        <v>1</v>
      </c>
      <c r="K180" s="118">
        <f t="shared" si="13"/>
        <v>1</v>
      </c>
      <c r="L180" s="118">
        <f t="shared" si="14"/>
        <v>1</v>
      </c>
      <c r="M180" s="118" t="e">
        <f t="shared" si="4"/>
        <v>#DIV/0!</v>
      </c>
      <c r="N180" s="112" t="e">
        <f>IF(LocalValues!F30="",D180/(1/1+B180+C180+D180),LocalValues!F30)</f>
        <v>#DIV/0!</v>
      </c>
      <c r="O180" s="126" t="str">
        <f t="shared" si="22"/>
        <v>-</v>
      </c>
      <c r="Q180" s="27"/>
      <c r="AD180" s="215"/>
    </row>
    <row r="181" spans="1:30" ht="13.5" thickBot="1" x14ac:dyDescent="0.25">
      <c r="A181" s="111" t="s">
        <v>210</v>
      </c>
      <c r="B181" s="120" t="e">
        <f t="shared" si="5"/>
        <v>#DIV/0!</v>
      </c>
      <c r="C181" s="120" t="e">
        <f t="shared" si="6"/>
        <v>#DIV/0!</v>
      </c>
      <c r="D181" s="120" t="e">
        <f t="shared" si="7"/>
        <v>#DIV/0!</v>
      </c>
      <c r="E181" s="120">
        <f t="shared" si="8"/>
        <v>1.1187032320602409E-2</v>
      </c>
      <c r="F181" s="120">
        <f t="shared" si="20"/>
        <v>0.11304153064044985</v>
      </c>
      <c r="G181" s="121">
        <f t="shared" si="21"/>
        <v>0.8154623711872927</v>
      </c>
      <c r="H181" s="121" t="e">
        <f>EXP(-0.46*$C$109)</f>
        <v>#DIV/0!</v>
      </c>
      <c r="I181" s="120" t="e">
        <f t="shared" si="11"/>
        <v>#DIV/0!</v>
      </c>
      <c r="J181" s="120">
        <f t="shared" si="12"/>
        <v>1</v>
      </c>
      <c r="K181" s="121">
        <f t="shared" si="13"/>
        <v>1</v>
      </c>
      <c r="L181" s="121">
        <f t="shared" si="14"/>
        <v>1</v>
      </c>
      <c r="M181" s="120" t="e">
        <f t="shared" si="4"/>
        <v>#DIV/0!</v>
      </c>
      <c r="N181" s="120" t="e">
        <f>IF(LocalValues!F31="",1-N178-N179-N180,LocalValues!F31)</f>
        <v>#DIV/0!</v>
      </c>
      <c r="O181" s="127" t="str">
        <f t="shared" si="22"/>
        <v>-</v>
      </c>
      <c r="Q181" s="162"/>
      <c r="AD181" s="215"/>
    </row>
    <row r="182" spans="1:30" ht="13.5" thickTop="1" x14ac:dyDescent="0.2"/>
    <row r="183" spans="1:30" ht="13.5" thickBot="1" x14ac:dyDescent="0.25"/>
    <row r="184" spans="1:30" ht="14.25" thickTop="1" thickBot="1" x14ac:dyDescent="0.25">
      <c r="A184" s="254" t="s">
        <v>185</v>
      </c>
      <c r="B184" s="254"/>
      <c r="C184" s="254"/>
      <c r="D184" s="254"/>
      <c r="E184" s="254"/>
      <c r="F184" s="254"/>
      <c r="G184" s="254"/>
      <c r="H184" s="254"/>
      <c r="I184" s="254"/>
      <c r="J184" s="254"/>
      <c r="K184" s="254"/>
      <c r="L184" s="254"/>
      <c r="M184" s="220"/>
    </row>
    <row r="185" spans="1:30" ht="13.5" thickTop="1" x14ac:dyDescent="0.2">
      <c r="A185" s="262" t="s">
        <v>48</v>
      </c>
      <c r="B185" s="252" t="s">
        <v>171</v>
      </c>
      <c r="C185" s="259" t="s">
        <v>172</v>
      </c>
      <c r="D185" s="259"/>
      <c r="E185" s="259"/>
      <c r="F185" s="259"/>
      <c r="G185" s="259"/>
      <c r="H185" s="259" t="s">
        <v>181</v>
      </c>
      <c r="I185" s="259"/>
      <c r="J185" s="259"/>
      <c r="K185" s="259"/>
      <c r="L185" s="260"/>
    </row>
    <row r="186" spans="1:30" ht="27" customHeight="1" x14ac:dyDescent="0.2">
      <c r="A186" s="263"/>
      <c r="B186" s="253"/>
      <c r="C186" s="210" t="s">
        <v>173</v>
      </c>
      <c r="D186" s="210" t="s">
        <v>174</v>
      </c>
      <c r="E186" s="210" t="s">
        <v>175</v>
      </c>
      <c r="F186" s="210" t="s">
        <v>176</v>
      </c>
      <c r="G186" s="210" t="s">
        <v>19</v>
      </c>
      <c r="H186" s="210" t="s">
        <v>177</v>
      </c>
      <c r="I186" s="210" t="s">
        <v>178</v>
      </c>
      <c r="J186" s="210" t="s">
        <v>179</v>
      </c>
      <c r="K186" s="210" t="s">
        <v>180</v>
      </c>
      <c r="L186" s="239" t="s">
        <v>19</v>
      </c>
    </row>
    <row r="187" spans="1:30" x14ac:dyDescent="0.2">
      <c r="A187" s="240" t="s">
        <v>182</v>
      </c>
      <c r="B187" s="241" t="s">
        <v>15</v>
      </c>
      <c r="C187" s="237" t="str">
        <f>IFERROR(IF(AND($J$10="Basic Freeway Segment (FS)",$J$55="No",LocalValues!P38=""),$R$160*LocalValues!C38,$R$160*LocalValues!P38),"-")</f>
        <v>-</v>
      </c>
      <c r="D187" s="237" t="str">
        <f>IFERROR(IF(AND($J$10="Basic Freeway Segment (FS)",$J$55="No",LocalValues!Q38=""),$R$160*LocalValues!D38,$R$160*LocalValues!Q38),"-")</f>
        <v>-</v>
      </c>
      <c r="E187" s="237" t="str">
        <f>IFERROR(IF(AND($J$10="Basic Freeway Segment (FS)",$J$55="No",LocalValues!R38=""),$R$160*LocalValues!E38,$R$160*LocalValues!R38),"-")</f>
        <v>-</v>
      </c>
      <c r="F187" s="237" t="str">
        <f>IFERROR(IF(AND($J$10="Basic Freeway Segment (FS)",$J$55="No",LocalValues!S38=""),$R$160*LocalValues!F38,$R$160*LocalValues!S38),"-")</f>
        <v>-</v>
      </c>
      <c r="G187" s="237" t="str">
        <f>IFERROR(IF(AND($J$10="Basic Freeway Segment (FS)",$J$55="No",LocalValues!T38=""),$R$160*LocalValues!G38,$R$160*LocalValues!T38),"-")</f>
        <v>-</v>
      </c>
      <c r="H187" s="237" t="str">
        <f>IFERROR(IF(AND($J$10="Basic Freeway Segment (FS)",$J$55="No",LocalValues!U38=""),$R$160*LocalValues!H38,$R$160*LocalValues!U38),"-")</f>
        <v>-</v>
      </c>
      <c r="I187" s="237" t="str">
        <f>IFERROR(IF(AND($J$10="Basic Freeway Segment (FS)",$J$55="No",LocalValues!V38=""),$R$160*LocalValues!I38,$R$160*LocalValues!V38),"-")</f>
        <v>-</v>
      </c>
      <c r="J187" s="237" t="str">
        <f>IFERROR(IF(AND($J$10="Basic Freeway Segment (FS)",$J$55="No",LocalValues!W38=""),$R$160*LocalValues!J38,$R$160*LocalValues!W38),"-")</f>
        <v>-</v>
      </c>
      <c r="K187" s="237" t="str">
        <f>IFERROR(IF(AND($J$10="Basic Freeway Segment (FS)",$J$55="No",LocalValues!X38=""),$R$160*LocalValues!K38,$R$160*LocalValues!X38),"-")</f>
        <v>-</v>
      </c>
      <c r="L187" s="236" t="str">
        <f>IFERROR(IF(AND($J$10="Basic Freeway Segment (FS)",$J$55="No",LocalValues!Y38=""),$R$160*LocalValues!L38,$R$160*LocalValues!Y38),"-")</f>
        <v>-</v>
      </c>
    </row>
    <row r="188" spans="1:30" x14ac:dyDescent="0.2">
      <c r="A188" s="223"/>
      <c r="B188" s="241" t="s">
        <v>14</v>
      </c>
      <c r="C188" s="112" t="str">
        <f>IFERROR(IF(AND($J$10="Basic Freeway Segment (FS)",$J$55="Yes",LocalValues!P39=""),$R$160*LocalValues!C39,$R$160*LocalValues!P39),"-")</f>
        <v>-</v>
      </c>
      <c r="D188" s="112" t="str">
        <f>IFERROR(IF(AND($J$10="Basic Freeway Segment (FS)",$J$55="Yes",LocalValues!Q39=""),$R$160*LocalValues!D39,$R$160*LocalValues!Q39),"-")</f>
        <v>-</v>
      </c>
      <c r="E188" s="112" t="str">
        <f>IFERROR(IF(AND($J$10="Basic Freeway Segment (FS)",$J$55="Yes",LocalValues!R39=""),$R$160*LocalValues!E39,$R$160*LocalValues!R39),"-")</f>
        <v>-</v>
      </c>
      <c r="F188" s="112" t="str">
        <f>IFERROR(IF(AND($J$10="Basic Freeway Segment (FS)",$J$55="Yes",LocalValues!S39=""),$R$160*LocalValues!F39,$R$160*LocalValues!S39),"-")</f>
        <v>-</v>
      </c>
      <c r="G188" s="112" t="str">
        <f>IFERROR(IF(AND($J$10="Basic Freeway Segment (FS)",$J$55="Yes",LocalValues!T39=""),$R$160*LocalValues!G39,$R$160*LocalValues!T39),"-")</f>
        <v>-</v>
      </c>
      <c r="H188" s="112" t="str">
        <f>IFERROR(IF(AND($J$10="Basic Freeway Segment (FS)",$J$55="Yes",LocalValues!U39=""),$R$160*LocalValues!H39,$R$160*LocalValues!U39),"-")</f>
        <v>-</v>
      </c>
      <c r="I188" s="112" t="str">
        <f>IFERROR(IF(AND($J$10="Basic Freeway Segment (FS)",$J$55="Yes",LocalValues!V39=""),$R$160*LocalValues!I39,$R$160*LocalValues!V39),"-")</f>
        <v>-</v>
      </c>
      <c r="J188" s="112" t="str">
        <f>IFERROR(IF(AND($J$10="Basic Freeway Segment (FS)",$J$55="Yes",LocalValues!W39=""),$R$160*LocalValues!J39,$R$160*LocalValues!W39),"-")</f>
        <v>-</v>
      </c>
      <c r="K188" s="112" t="str">
        <f>IFERROR(IF(AND($J$10="Basic Freeway Segment (FS)",$J$55="Yes",LocalValues!X39=""),$R$160*LocalValues!K39,$R$160*LocalValues!X39),"-")</f>
        <v>-</v>
      </c>
      <c r="L188" s="190" t="str">
        <f>IFERROR(IF(AND($J$10="Basic Freeway Segment (FS)",$J$55="Yes",LocalValues!Y39=""),$R$160*LocalValues!L39,$R$160*LocalValues!Y39),"-")</f>
        <v>-</v>
      </c>
    </row>
    <row r="189" spans="1:30" x14ac:dyDescent="0.2">
      <c r="A189" s="240" t="s">
        <v>183</v>
      </c>
      <c r="B189" s="241" t="s">
        <v>15</v>
      </c>
      <c r="C189" s="237" t="str">
        <f>IFERROR(IF(AND($J$10="Entrance Speed-Change Lane (EN)",$J$55="No",LocalValues!P40=""),$R$161*LocalValues!C40,$R$161*LocalValues!P40),"-")</f>
        <v>-</v>
      </c>
      <c r="D189" s="237" t="str">
        <f>IFERROR(IF(AND($J$10="Entrance Speed-Change Lane (EN)",$J$55="No",LocalValues!Q40=""),$R$161*LocalValues!D40,$R$161*LocalValues!Q40),"-")</f>
        <v>-</v>
      </c>
      <c r="E189" s="237" t="str">
        <f>IFERROR(IF(AND($J$10="Entrance Speed-Change Lane (EN)",$J$55="No",LocalValues!R40=""),$R$161*LocalValues!E40,$R$161*LocalValues!R40),"-")</f>
        <v>-</v>
      </c>
      <c r="F189" s="237" t="str">
        <f>IFERROR(IF(AND($J$10="Entrance Speed-Change Lane (EN)",$J$55="No",LocalValues!S40=""),$R$161*LocalValues!F40,$R$161*LocalValues!S40),"-")</f>
        <v>-</v>
      </c>
      <c r="G189" s="237" t="str">
        <f>IFERROR(IF(AND($J$10="Entrance Speed-Change Lane (EN)",$J$55="No",LocalValues!T40=""),$R$161*LocalValues!G40,$R$161*LocalValues!T40),"-")</f>
        <v>-</v>
      </c>
      <c r="H189" s="237" t="str">
        <f>IFERROR(IF(AND($J$10="Entrance Speed-Change Lane (EN)",$J$55="No",LocalValues!U40=""),$R$161*LocalValues!H40,$R$161*LocalValues!U40),"-")</f>
        <v>-</v>
      </c>
      <c r="I189" s="237" t="str">
        <f>IFERROR(IF(AND($J$10="Entrance Speed-Change Lane (EN)",$J$55="No",LocalValues!V40=""),$R$161*LocalValues!I40,$R$161*LocalValues!V40),"-")</f>
        <v>-</v>
      </c>
      <c r="J189" s="237" t="str">
        <f>IFERROR(IF(AND($J$10="Entrance Speed-Change Lane (EN)",$J$55="No",LocalValues!W40=""),$R$161*LocalValues!J40,$R$161*LocalValues!W40),"-")</f>
        <v>-</v>
      </c>
      <c r="K189" s="237" t="str">
        <f>IFERROR(IF(AND($J$10="Entrance Speed-Change Lane (EN)",$J$55="No",LocalValues!X40=""),$R$161*LocalValues!K40,$R$161*LocalValues!X40),"-")</f>
        <v>-</v>
      </c>
      <c r="L189" s="236" t="str">
        <f>IFERROR(IF(AND($J$10="Entrance Speed-Change Lane (EN)",$J$55="No",LocalValues!Y40=""),$R$161*LocalValues!L40,$R$161*LocalValues!Y40),"-")</f>
        <v>-</v>
      </c>
    </row>
    <row r="190" spans="1:30" x14ac:dyDescent="0.2">
      <c r="A190" s="223"/>
      <c r="B190" s="241" t="s">
        <v>14</v>
      </c>
      <c r="C190" s="237" t="str">
        <f>IFERROR(IF(AND($J$10="Entrance Speed-Change Lane (EN)",$J$55="Yes",LocalValues!P41=""),$R$161*LocalValues!C41,$R$161*LocalValues!P41),"-")</f>
        <v>-</v>
      </c>
      <c r="D190" s="237" t="str">
        <f>IFERROR(IF(AND($J$10="Entrance Speed-Change Lane (EN)",$J$55="Yes",LocalValues!Q41=""),$R$161*LocalValues!D41,$R$161*LocalValues!Q41),"-")</f>
        <v>-</v>
      </c>
      <c r="E190" s="237" t="str">
        <f>IFERROR(IF(AND($J$10="Entrance Speed-Change Lane (EN)",$J$55="Yes",LocalValues!R41=""),$R$161*LocalValues!E41,$R$161*LocalValues!R41),"-")</f>
        <v>-</v>
      </c>
      <c r="F190" s="237" t="str">
        <f>IFERROR(IF(AND($J$10="Entrance Speed-Change Lane (EN)",$J$55="Yes",LocalValues!S41=""),$R$161*LocalValues!F41,$R$161*LocalValues!S41),"-")</f>
        <v>-</v>
      </c>
      <c r="G190" s="237" t="str">
        <f>IFERROR(IF(AND($J$10="Entrance Speed-Change Lane (EN)",$J$55="Yes",LocalValues!T41=""),$R$161*LocalValues!G41,$R$161*LocalValues!T41),"-")</f>
        <v>-</v>
      </c>
      <c r="H190" s="237" t="str">
        <f>IFERROR(IF(AND($J$10="Entrance Speed-Change Lane (EN)",$J$55="Yes",LocalValues!U41=""),$R$161*LocalValues!H41,$R$161*LocalValues!U41),"-")</f>
        <v>-</v>
      </c>
      <c r="I190" s="237" t="str">
        <f>IFERROR(IF(AND($J$10="Entrance Speed-Change Lane (EN)",$J$55="Yes",LocalValues!V41=""),$R$161*LocalValues!I41,$R$161*LocalValues!V41),"-")</f>
        <v>-</v>
      </c>
      <c r="J190" s="237" t="str">
        <f>IFERROR(IF(AND($J$10="Entrance Speed-Change Lane (EN)",$J$55="Yes",LocalValues!W41=""),$R$161*LocalValues!J41,$R$161*LocalValues!W41),"-")</f>
        <v>-</v>
      </c>
      <c r="K190" s="237" t="str">
        <f>IFERROR(IF(AND($J$10="Entrance Speed-Change Lane (EN)",$J$55="Yes",LocalValues!X41=""),$R$161*LocalValues!K41,$R$161*LocalValues!X41),"-")</f>
        <v>-</v>
      </c>
      <c r="L190" s="236" t="str">
        <f>IFERROR(IF(AND($J$10="Entrance Speed-Change Lane (EN)",$J$55="Yes",LocalValues!Y41=""),$R$161*LocalValues!L41,$R$161*LocalValues!Y41),"-")</f>
        <v>-</v>
      </c>
    </row>
    <row r="191" spans="1:30" x14ac:dyDescent="0.2">
      <c r="A191" s="240" t="s">
        <v>184</v>
      </c>
      <c r="B191" s="241" t="s">
        <v>15</v>
      </c>
      <c r="C191" s="237" t="str">
        <f>IFERROR(IF(AND($J$10="Exit Speed-Change Lane (EX)",$J$55="No",LocalValues!P42=""),$R$162*LocalValues!C42,$R$162*LocalValues!P42),"-")</f>
        <v>-</v>
      </c>
      <c r="D191" s="237" t="str">
        <f>IFERROR(IF(AND($J$10="Exit Speed-Change Lane (EX)",$J$55="No",LocalValues!Q42=""),$R$162*LocalValues!D42,$R$162*LocalValues!Q42),"-")</f>
        <v>-</v>
      </c>
      <c r="E191" s="237" t="str">
        <f>IFERROR(IF(AND($J$10="Exit Speed-Change Lane (EX)",$J$55="No",LocalValues!R42=""),$R$162*LocalValues!E42,$R$162*LocalValues!R42),"-")</f>
        <v>-</v>
      </c>
      <c r="F191" s="237" t="str">
        <f>IFERROR(IF(AND($J$10="Exit Speed-Change Lane (EX)",$J$55="No",LocalValues!S42=""),$R$162*LocalValues!F42,$R$162*LocalValues!S42),"-")</f>
        <v>-</v>
      </c>
      <c r="G191" s="237" t="str">
        <f>IFERROR(IF(AND($J$10="Exit Speed-Change Lane (EX)",$J$55="No",LocalValues!T42=""),$R$162*LocalValues!G42,$R$162*LocalValues!T42),"-")</f>
        <v>-</v>
      </c>
      <c r="H191" s="237" t="str">
        <f>IFERROR(IF(AND($J$10="Exit Speed-Change Lane (EX)",$J$55="No",LocalValues!U42=""),$R$162*LocalValues!H42,$R$162*LocalValues!U42),"-")</f>
        <v>-</v>
      </c>
      <c r="I191" s="237" t="str">
        <f>IFERROR(IF(AND($J$10="Exit Speed-Change Lane (EX)",$J$55="No",LocalValues!V42=""),$R$162*LocalValues!I42,$R$162*LocalValues!V42),"-")</f>
        <v>-</v>
      </c>
      <c r="J191" s="237" t="str">
        <f>IFERROR(IF(AND($J$10="Exit Speed-Change Lane (EX)",$J$55="No",LocalValues!W42=""),$R$162*LocalValues!J42,$R$162*LocalValues!W42),"-")</f>
        <v>-</v>
      </c>
      <c r="K191" s="237" t="str">
        <f>IFERROR(IF(AND($J$10="Exit Speed-Change Lane (EX)",$J$55="No",LocalValues!X42=""),$R$162*LocalValues!K42,$R$162*LocalValues!X42),"-")</f>
        <v>-</v>
      </c>
      <c r="L191" s="236" t="str">
        <f>IFERROR(IF(AND($J$10="Exit Speed-Change Lane (EX)",$J$55="No",LocalValues!Y42=""),$R$162*LocalValues!L42,$R$162*LocalValues!Y42),"-")</f>
        <v>-</v>
      </c>
    </row>
    <row r="192" spans="1:30" ht="13.5" thickBot="1" x14ac:dyDescent="0.25">
      <c r="A192" s="117"/>
      <c r="B192" s="91" t="s">
        <v>14</v>
      </c>
      <c r="C192" s="237" t="str">
        <f>IFERROR(IF(AND($J$10="Exit Speed-Change Lane (EX)",$J$55="Yes",LocalValues!P43=""),$R$162*LocalValues!C43,$R$162*LocalValues!P43),"-")</f>
        <v>-</v>
      </c>
      <c r="D192" s="237" t="str">
        <f>IFERROR(IF(AND($J$10="Exit Speed-Change Lane (EX)",$J$55="Yes",LocalValues!Q43=""),$R$162*LocalValues!D43,$R$162*LocalValues!Q43),"-")</f>
        <v>-</v>
      </c>
      <c r="E192" s="237" t="str">
        <f>IFERROR(IF(AND($J$10="Exit Speed-Change Lane (EX)",$J$55="Yes",LocalValues!R43=""),$R$162*LocalValues!E43,$R$162*LocalValues!R43),"-")</f>
        <v>-</v>
      </c>
      <c r="F192" s="237" t="str">
        <f>IFERROR(IF(AND($J$10="Exit Speed-Change Lane (EX)",$J$55="Yes",LocalValues!S43=""),$R$162*LocalValues!F43,$R$162*LocalValues!S43),"-")</f>
        <v>-</v>
      </c>
      <c r="G192" s="237" t="str">
        <f>IFERROR(IF(AND($J$10="Exit Speed-Change Lane (EX)",$J$55="Yes",LocalValues!T43=""),$R$162*LocalValues!G43,$R$162*LocalValues!T43),"-")</f>
        <v>-</v>
      </c>
      <c r="H192" s="237" t="str">
        <f>IFERROR(IF(AND($J$10="Exit Speed-Change Lane (EX)",$J$55="Yes",LocalValues!U43=""),$R$162*LocalValues!H43,$R$162*LocalValues!U43),"-")</f>
        <v>-</v>
      </c>
      <c r="I192" s="237" t="str">
        <f>IFERROR(IF(AND($J$10="Exit Speed-Change Lane (EX)",$J$55="Yes",LocalValues!V43=""),$R$162*LocalValues!I43,$R$162*LocalValues!V43),"-")</f>
        <v>-</v>
      </c>
      <c r="J192" s="237" t="str">
        <f>IFERROR(IF(AND($J$10="Exit Speed-Change Lane (EX)",$J$55="Yes",LocalValues!W43=""),$R$162*LocalValues!J43,$R$162*LocalValues!W43),"-")</f>
        <v>-</v>
      </c>
      <c r="K192" s="237" t="str">
        <f>IFERROR(IF(AND($J$10="Exit Speed-Change Lane (EX)",$J$55="Yes",LocalValues!X43=""),$R$162*LocalValues!K43,$R$162*LocalValues!X43),"-")</f>
        <v>-</v>
      </c>
      <c r="L192" s="236" t="str">
        <f>IFERROR(IF(AND($J$10="Exit Speed-Change Lane (EX)",$J$55="Yes",LocalValues!Y43=""),$R$162*LocalValues!L43,$R$162*LocalValues!Y43),"-")</f>
        <v>-</v>
      </c>
    </row>
    <row r="193" spans="1:13" ht="14.25" thickTop="1" thickBot="1" x14ac:dyDescent="0.25">
      <c r="A193" s="264" t="s">
        <v>186</v>
      </c>
      <c r="B193" s="264"/>
      <c r="C193" s="264"/>
      <c r="D193" s="264"/>
      <c r="E193" s="264"/>
      <c r="F193" s="264"/>
      <c r="G193" s="264"/>
      <c r="H193" s="264"/>
      <c r="I193" s="264"/>
      <c r="J193" s="264"/>
      <c r="K193" s="264"/>
      <c r="L193" s="264"/>
    </row>
    <row r="194" spans="1:13" ht="13.5" thickTop="1" x14ac:dyDescent="0.2">
      <c r="A194" s="262" t="s">
        <v>48</v>
      </c>
      <c r="B194" s="252" t="s">
        <v>171</v>
      </c>
      <c r="C194" s="259" t="s">
        <v>172</v>
      </c>
      <c r="D194" s="259"/>
      <c r="E194" s="259"/>
      <c r="F194" s="259"/>
      <c r="G194" s="259"/>
      <c r="H194" s="259" t="s">
        <v>181</v>
      </c>
      <c r="I194" s="259"/>
      <c r="J194" s="259"/>
      <c r="K194" s="259"/>
      <c r="L194" s="260"/>
    </row>
    <row r="195" spans="1:13" ht="27" customHeight="1" x14ac:dyDescent="0.2">
      <c r="A195" s="263"/>
      <c r="B195" s="253"/>
      <c r="C195" s="210" t="s">
        <v>173</v>
      </c>
      <c r="D195" s="210" t="s">
        <v>174</v>
      </c>
      <c r="E195" s="210" t="s">
        <v>175</v>
      </c>
      <c r="F195" s="210" t="s">
        <v>176</v>
      </c>
      <c r="G195" s="210" t="s">
        <v>19</v>
      </c>
      <c r="H195" s="210" t="s">
        <v>177</v>
      </c>
      <c r="I195" s="210" t="s">
        <v>178</v>
      </c>
      <c r="J195" s="210" t="s">
        <v>179</v>
      </c>
      <c r="K195" s="210" t="s">
        <v>180</v>
      </c>
      <c r="L195" s="239" t="s">
        <v>19</v>
      </c>
    </row>
    <row r="196" spans="1:13" x14ac:dyDescent="0.2">
      <c r="A196" s="240" t="s">
        <v>182</v>
      </c>
      <c r="B196" s="241" t="s">
        <v>15</v>
      </c>
      <c r="C196" s="237" t="str">
        <f>IFERROR(IF(AND($J$10="Basic Freeway Segment (FS)",$J$55="No",LocalValues!P47=""),$R$163*LocalValues!C47,$R$163*LocalValues!P47),"-")</f>
        <v>-</v>
      </c>
      <c r="D196" s="237" t="str">
        <f>IFERROR(IF(AND($J$10="Basic Freeway Segment (FS)",$J$55="No",LocalValues!Q47=""),$R$163*LocalValues!D47,$R$163*LocalValues!Q47),"-")</f>
        <v>-</v>
      </c>
      <c r="E196" s="237" t="str">
        <f>IFERROR(IF(AND($J$10="Basic Freeway Segment (FS)",$J$55="No",LocalValues!R47=""),$R$163*LocalValues!E47,$R$163*LocalValues!R47),"-")</f>
        <v>-</v>
      </c>
      <c r="F196" s="237" t="str">
        <f>IFERROR(IF(AND($J$10="Basic Freeway Segment (FS)",$J$55="No",LocalValues!S47=""),$R$163*LocalValues!F47,$R$163*LocalValues!S47),"-")</f>
        <v>-</v>
      </c>
      <c r="G196" s="237" t="str">
        <f>IFERROR(IF(AND($J$10="Basic Freeway Segment (FS)",$J$55="No",LocalValues!T47=""),$R$163*LocalValues!G47,$R$163*LocalValues!T47),"-")</f>
        <v>-</v>
      </c>
      <c r="H196" s="237" t="str">
        <f>IFERROR(IF(AND($J$10="Basic Freeway Segment (FS)",$J$55="No",LocalValues!U47=""),$R$163*LocalValues!H47,$R$163*LocalValues!U47),"-")</f>
        <v>-</v>
      </c>
      <c r="I196" s="237" t="str">
        <f>IFERROR(IF(AND($J$10="Basic Freeway Segment (FS)",$J$55="No",LocalValues!V47=""),$R$163*LocalValues!I47,$R$163*LocalValues!V47),"-")</f>
        <v>-</v>
      </c>
      <c r="J196" s="237" t="str">
        <f>IFERROR(IF(AND($J$10="Basic Freeway Segment (FS)",$J$55="No",LocalValues!W47=""),$R$163*LocalValues!J47,$R$163*LocalValues!W47),"-")</f>
        <v>-</v>
      </c>
      <c r="K196" s="237" t="str">
        <f>IFERROR(IF(AND($J$10="Basic Freeway Segment (FS)",$J$55="No",LocalValues!X47=""),$R$163*LocalValues!K47,$R$163*LocalValues!X47),"-")</f>
        <v>-</v>
      </c>
      <c r="L196" s="236" t="str">
        <f>IFERROR(IF(AND($J$10="Basic Freeway Segment (FS)",$J$55="No",LocalValues!Y47=""),$R$163*LocalValues!L47,$R$163*LocalValues!Y47),"-")</f>
        <v>-</v>
      </c>
    </row>
    <row r="197" spans="1:13" x14ac:dyDescent="0.2">
      <c r="A197" s="223"/>
      <c r="B197" s="241" t="s">
        <v>14</v>
      </c>
      <c r="C197" s="112" t="str">
        <f>IFERROR(IF(AND($J$10="Basic Freeway Segment (FS)",$J$55="Yes",LocalValues!P48=""),$R$163*LocalValues!C48,$R$163*LocalValues!P48),"-")</f>
        <v>-</v>
      </c>
      <c r="D197" s="112" t="str">
        <f>IFERROR(IF(AND($J$10="Basic Freeway Segment (FS)",$J$55="Yes",LocalValues!Q48=""),$R$163*LocalValues!D48,$R$163*LocalValues!Q48),"-")</f>
        <v>-</v>
      </c>
      <c r="E197" s="112" t="str">
        <f>IFERROR(IF(AND($J$10="Basic Freeway Segment (FS)",$J$55="Yes",LocalValues!R48=""),$R$163*LocalValues!E48,$R$163*LocalValues!R48),"-")</f>
        <v>-</v>
      </c>
      <c r="F197" s="112" t="str">
        <f>IFERROR(IF(AND($J$10="Basic Freeway Segment (FS)",$J$55="Yes",LocalValues!S48=""),$R$163*LocalValues!F48,$R$163*LocalValues!S48),"-")</f>
        <v>-</v>
      </c>
      <c r="G197" s="112" t="str">
        <f>IFERROR(IF(AND($J$10="Basic Freeway Segment (FS)",$J$55="Yes",LocalValues!T48=""),$R$163*LocalValues!G48,$R$163*LocalValues!T48),"-")</f>
        <v>-</v>
      </c>
      <c r="H197" s="112" t="str">
        <f>IFERROR(IF(AND($J$10="Basic Freeway Segment (FS)",$J$55="Yes",LocalValues!U48=""),$R$163*LocalValues!H48,$R$163*LocalValues!U48),"-")</f>
        <v>-</v>
      </c>
      <c r="I197" s="112" t="str">
        <f>IFERROR(IF(AND($J$10="Basic Freeway Segment (FS)",$J$55="Yes",LocalValues!V48=""),$R$163*LocalValues!I48,$R$163*LocalValues!V48),"-")</f>
        <v>-</v>
      </c>
      <c r="J197" s="112" t="str">
        <f>IFERROR(IF(AND($J$10="Basic Freeway Segment (FS)",$J$55="Yes",LocalValues!W48=""),$R$163*LocalValues!J48,$R$163*LocalValues!W48),"-")</f>
        <v>-</v>
      </c>
      <c r="K197" s="112" t="str">
        <f>IFERROR(IF(AND($J$10="Basic Freeway Segment (FS)",$J$55="Yes",LocalValues!X48=""),$R$163*LocalValues!K48,$R$163*LocalValues!X48),"-")</f>
        <v>-</v>
      </c>
      <c r="L197" s="190" t="str">
        <f>IFERROR(IF(AND($J$10="Basic Freeway Segment (FS)",$J$55="Yes",LocalValues!Y48=""),$R$163*LocalValues!L48,$R$163*LocalValues!Y48),"-")</f>
        <v>-</v>
      </c>
    </row>
    <row r="198" spans="1:13" x14ac:dyDescent="0.2">
      <c r="A198" s="240" t="s">
        <v>183</v>
      </c>
      <c r="B198" s="241" t="s">
        <v>15</v>
      </c>
      <c r="C198" s="237" t="str">
        <f>IFERROR(IF(AND($J$10="Entrance Speed-Change Lane (EN)",$J$55="No",LocalValues!P49=""),$R$164*LocalValues!C49,$R$164*LocalValues!P49),"-")</f>
        <v>-</v>
      </c>
      <c r="D198" s="237" t="str">
        <f>IFERROR(IF(AND($J$10="Entrance Speed-Change Lane (EN)",$J$55="No",LocalValues!Q49=""),$R$164*LocalValues!D49,$R$164*LocalValues!Q49),"-")</f>
        <v>-</v>
      </c>
      <c r="E198" s="237" t="str">
        <f>IFERROR(IF(AND($J$10="Entrance Speed-Change Lane (EN)",$J$55="No",LocalValues!R49=""),$R$164*LocalValues!E49,$R$164*LocalValues!R49),"-")</f>
        <v>-</v>
      </c>
      <c r="F198" s="237" t="str">
        <f>IFERROR(IF(AND($J$10="Entrance Speed-Change Lane (EN)",$J$55="No",LocalValues!S49=""),$R$164*LocalValues!F49,$R$164*LocalValues!S49),"-")</f>
        <v>-</v>
      </c>
      <c r="G198" s="237" t="str">
        <f>IFERROR(IF(AND($J$10="Entrance Speed-Change Lane (EN)",$J$55="No",LocalValues!T49=""),$R$164*LocalValues!G49,$R$164*LocalValues!T49),"-")</f>
        <v>-</v>
      </c>
      <c r="H198" s="237" t="str">
        <f>IFERROR(IF(AND($J$10="Entrance Speed-Change Lane (EN)",$J$55="No",LocalValues!U49=""),$R$164*LocalValues!H49,$R$164*LocalValues!U49),"-")</f>
        <v>-</v>
      </c>
      <c r="I198" s="237" t="str">
        <f>IFERROR(IF(AND($J$10="Entrance Speed-Change Lane (EN)",$J$55="No",LocalValues!V49=""),$R$164*LocalValues!I49,$R$164*LocalValues!V49),"-")</f>
        <v>-</v>
      </c>
      <c r="J198" s="237" t="str">
        <f>IFERROR(IF(AND($J$10="Entrance Speed-Change Lane (EN)",$J$55="No",LocalValues!W49=""),$R$164*LocalValues!J49,$R$164*LocalValues!W49),"-")</f>
        <v>-</v>
      </c>
      <c r="K198" s="237" t="str">
        <f>IFERROR(IF(AND($J$10="Entrance Speed-Change Lane (EN)",$J$55="No",LocalValues!X49=""),$R$164*LocalValues!K49,$R$164*LocalValues!X49),"-")</f>
        <v>-</v>
      </c>
      <c r="L198" s="236" t="str">
        <f>IFERROR(IF(AND($J$10="Entrance Speed-Change Lane (EN)",$J$55="No",LocalValues!Y49=""),$R$164*LocalValues!L49,$R$164*LocalValues!Y49),"-")</f>
        <v>-</v>
      </c>
    </row>
    <row r="199" spans="1:13" x14ac:dyDescent="0.2">
      <c r="A199" s="223"/>
      <c r="B199" s="241" t="s">
        <v>14</v>
      </c>
      <c r="C199" s="237" t="str">
        <f>IFERROR(IF(AND($J$10="Entrance Speed-Change Lane (EN)",$J$55="Yes",LocalValues!P50=""),$R$164*LocalValues!C50,$R$164*LocalValues!P50),"-")</f>
        <v>-</v>
      </c>
      <c r="D199" s="237" t="str">
        <f>IFERROR(IF(AND($J$10="Entrance Speed-Change Lane (EN)",$J$55="Yes",LocalValues!Q50=""),$R$164*LocalValues!D50,$R$164*LocalValues!Q50),"-")</f>
        <v>-</v>
      </c>
      <c r="E199" s="237" t="str">
        <f>IFERROR(IF(AND($J$10="Entrance Speed-Change Lane (EN)",$J$55="Yes",LocalValues!R50=""),$R$164*LocalValues!E50,$R$164*LocalValues!R50),"-")</f>
        <v>-</v>
      </c>
      <c r="F199" s="237" t="str">
        <f>IFERROR(IF(AND($J$10="Entrance Speed-Change Lane (EN)",$J$55="Yes",LocalValues!S50=""),$R$164*LocalValues!F50,$R$164*LocalValues!S50),"-")</f>
        <v>-</v>
      </c>
      <c r="G199" s="237" t="str">
        <f>IFERROR(IF(AND($J$10="Entrance Speed-Change Lane (EN)",$J$55="Yes",LocalValues!T50=""),$R$164*LocalValues!G50,$R$164*LocalValues!T50),"-")</f>
        <v>-</v>
      </c>
      <c r="H199" s="237" t="str">
        <f>IFERROR(IF(AND($J$10="Entrance Speed-Change Lane (EN)",$J$55="Yes",LocalValues!U50=""),$R$164*LocalValues!H50,$R$164*LocalValues!U50),"-")</f>
        <v>-</v>
      </c>
      <c r="I199" s="237" t="str">
        <f>IFERROR(IF(AND($J$10="Entrance Speed-Change Lane (EN)",$J$55="Yes",LocalValues!V50=""),$R$164*LocalValues!I50,$R$164*LocalValues!V50),"-")</f>
        <v>-</v>
      </c>
      <c r="J199" s="237" t="str">
        <f>IFERROR(IF(AND($J$10="Entrance Speed-Change Lane (EN)",$J$55="Yes",LocalValues!W50=""),$R$164*LocalValues!J50,$R$164*LocalValues!W50),"-")</f>
        <v>-</v>
      </c>
      <c r="K199" s="237" t="str">
        <f>IFERROR(IF(AND($J$10="Entrance Speed-Change Lane (EN)",$J$55="Yes",LocalValues!X50=""),$R$164*LocalValues!K50,$R$164*LocalValues!X50),"-")</f>
        <v>-</v>
      </c>
      <c r="L199" s="236" t="str">
        <f>IFERROR(IF(AND($J$10="Entrance Speed-Change Lane (EN)",$J$55="Yes",LocalValues!Y50=""),$R$164*LocalValues!L50,$R$164*LocalValues!Y50),"-")</f>
        <v>-</v>
      </c>
    </row>
    <row r="200" spans="1:13" x14ac:dyDescent="0.2">
      <c r="A200" s="240" t="s">
        <v>184</v>
      </c>
      <c r="B200" s="241" t="s">
        <v>15</v>
      </c>
      <c r="C200" s="237" t="str">
        <f>IFERROR(IF(AND($J$10="Exit Speed-Change Lane (EX)",$J$55="No",LocalValues!P51=""),$R$165*LocalValues!C51,$R$165*LocalValues!P51),"-")</f>
        <v>-</v>
      </c>
      <c r="D200" s="237" t="str">
        <f>IFERROR(IF(AND($J$10="Exit Speed-Change Lane (EX)",$J$55="No",LocalValues!Q51=""),$R$165*LocalValues!D51,$R$165*LocalValues!Q51),"-")</f>
        <v>-</v>
      </c>
      <c r="E200" s="237" t="str">
        <f>IFERROR(IF(AND($J$10="Exit Speed-Change Lane (EX)",$J$55="No",LocalValues!R51=""),$R$165*LocalValues!E51,$R$165*LocalValues!R51),"-")</f>
        <v>-</v>
      </c>
      <c r="F200" s="237" t="str">
        <f>IFERROR(IF(AND($J$10="Exit Speed-Change Lane (EX)",$J$55="No",LocalValues!S51=""),$R$165*LocalValues!F51,$R$165*LocalValues!S51),"-")</f>
        <v>-</v>
      </c>
      <c r="G200" s="237" t="str">
        <f>IFERROR(IF(AND($J$10="Exit Speed-Change Lane (EX)",$J$55="No",LocalValues!T51=""),$R$165*LocalValues!G51,$R$165*LocalValues!T51),"-")</f>
        <v>-</v>
      </c>
      <c r="H200" s="237" t="str">
        <f>IFERROR(IF(AND($J$10="Exit Speed-Change Lane (EX)",$J$55="No",LocalValues!U51=""),$R$165*LocalValues!H51,$R$165*LocalValues!U51),"-")</f>
        <v>-</v>
      </c>
      <c r="I200" s="237" t="str">
        <f>IFERROR(IF(AND($J$10="Exit Speed-Change Lane (EX)",$J$55="No",LocalValues!V51=""),$R$165*LocalValues!I51,$R$165*LocalValues!V51),"-")</f>
        <v>-</v>
      </c>
      <c r="J200" s="237" t="str">
        <f>IFERROR(IF(AND($J$10="Exit Speed-Change Lane (EX)",$J$55="No",LocalValues!W51=""),$R$165*LocalValues!J51,$R$165*LocalValues!W51),"-")</f>
        <v>-</v>
      </c>
      <c r="K200" s="237" t="str">
        <f>IFERROR(IF(AND($J$10="Exit Speed-Change Lane (EX)",$J$55="No",LocalValues!X51=""),$R$165*LocalValues!K51,$R$165*LocalValues!X51),"-")</f>
        <v>-</v>
      </c>
      <c r="L200" s="236" t="str">
        <f>IFERROR(IF(AND($J$10="Exit Speed-Change Lane (EX)",$J$55="No",LocalValues!Y51=""),$R$165*LocalValues!L51,$R$165*LocalValues!Y51),"-")</f>
        <v>-</v>
      </c>
    </row>
    <row r="201" spans="1:13" ht="13.5" thickBot="1" x14ac:dyDescent="0.25">
      <c r="A201" s="117"/>
      <c r="B201" s="91" t="s">
        <v>14</v>
      </c>
      <c r="C201" s="99" t="str">
        <f>IFERROR(IF(AND($J$10="Exit Speed-Change Lane (EX)",$J$55="Yes",LocalValues!P52=""),$R$165*LocalValues!C52,$R$165*LocalValues!P52),"-")</f>
        <v>-</v>
      </c>
      <c r="D201" s="99" t="str">
        <f>IFERROR(IF(AND($J$10="Exit Speed-Change Lane (EX)",$J$55="Yes",LocalValues!Q52=""),$R$165*LocalValues!D52,$R$165*LocalValues!Q52),"-")</f>
        <v>-</v>
      </c>
      <c r="E201" s="99" t="str">
        <f>IFERROR(IF(AND($J$10="Exit Speed-Change Lane (EX)",$J$55="Yes",LocalValues!R52=""),$R$165*LocalValues!E52,$R$165*LocalValues!R52),"-")</f>
        <v>-</v>
      </c>
      <c r="F201" s="99" t="str">
        <f>IFERROR(IF(AND($J$10="Exit Speed-Change Lane (EX)",$J$55="Yes",LocalValues!S52=""),$R$165*LocalValues!F52,$R$165*LocalValues!S52),"-")</f>
        <v>-</v>
      </c>
      <c r="G201" s="99" t="str">
        <f>IFERROR(IF(AND($J$10="Exit Speed-Change Lane (EX)",$J$55="Yes",LocalValues!T52=""),$R$165*LocalValues!G52,$R$165*LocalValues!T52),"-")</f>
        <v>-</v>
      </c>
      <c r="H201" s="99" t="str">
        <f>IFERROR(IF(AND($J$10="Exit Speed-Change Lane (EX)",$J$55="Yes",LocalValues!U52=""),$R$165*LocalValues!H52,$R$165*LocalValues!U52),"-")</f>
        <v>-</v>
      </c>
      <c r="I201" s="99" t="str">
        <f>IFERROR(IF(AND($J$10="Exit Speed-Change Lane (EX)",$J$55="Yes",LocalValues!V52=""),$R$165*LocalValues!I52,$R$165*LocalValues!V52),"-")</f>
        <v>-</v>
      </c>
      <c r="J201" s="99" t="str">
        <f>IFERROR(IF(AND($J$10="Exit Speed-Change Lane (EX)",$J$55="Yes",LocalValues!W52=""),$R$165*LocalValues!J52,$R$165*LocalValues!W52),"-")</f>
        <v>-</v>
      </c>
      <c r="K201" s="99" t="str">
        <f>IFERROR(IF(AND($J$10="Exit Speed-Change Lane (EX)",$J$55="Yes",LocalValues!X52=""),$R$165*LocalValues!K52,$R$165*LocalValues!X52),"-")</f>
        <v>-</v>
      </c>
      <c r="L201" s="100" t="str">
        <f>IFERROR(IF(AND($J$10="Exit Speed-Change Lane (EX)",$J$55="Yes",LocalValues!Y52=""),$R$165*LocalValues!L52,$R$165*LocalValues!Y52),"-")</f>
        <v>-</v>
      </c>
    </row>
    <row r="202" spans="1:13" ht="13.5" thickTop="1" x14ac:dyDescent="0.2"/>
    <row r="203" spans="1:13" ht="13.5" thickBot="1" x14ac:dyDescent="0.25"/>
    <row r="204" spans="1:13" ht="14.25" thickTop="1" thickBot="1" x14ac:dyDescent="0.25">
      <c r="A204" s="254" t="s">
        <v>412</v>
      </c>
      <c r="B204" s="254"/>
      <c r="C204" s="254"/>
      <c r="D204" s="254"/>
      <c r="E204" s="254"/>
      <c r="F204" s="254"/>
      <c r="G204" s="254"/>
      <c r="H204" s="254"/>
      <c r="I204" s="254"/>
      <c r="J204" s="254"/>
      <c r="K204" s="254"/>
      <c r="L204" s="254"/>
      <c r="M204" s="254"/>
    </row>
    <row r="205" spans="1:13" ht="14.25" customHeight="1" thickTop="1" x14ac:dyDescent="0.2">
      <c r="A205" s="255" t="s">
        <v>407</v>
      </c>
      <c r="B205" s="257" t="s">
        <v>411</v>
      </c>
      <c r="C205" s="259" t="s">
        <v>172</v>
      </c>
      <c r="D205" s="259"/>
      <c r="E205" s="259"/>
      <c r="F205" s="259"/>
      <c r="G205" s="259"/>
      <c r="H205" s="259" t="s">
        <v>181</v>
      </c>
      <c r="I205" s="259"/>
      <c r="J205" s="259"/>
      <c r="K205" s="259"/>
      <c r="L205" s="259"/>
      <c r="M205" s="260" t="s">
        <v>12</v>
      </c>
    </row>
    <row r="206" spans="1:13" ht="38.25" x14ac:dyDescent="0.2">
      <c r="A206" s="256"/>
      <c r="B206" s="258"/>
      <c r="C206" s="210" t="s">
        <v>173</v>
      </c>
      <c r="D206" s="210" t="s">
        <v>174</v>
      </c>
      <c r="E206" s="210" t="s">
        <v>175</v>
      </c>
      <c r="F206" s="210" t="s">
        <v>176</v>
      </c>
      <c r="G206" s="210" t="s">
        <v>19</v>
      </c>
      <c r="H206" s="210" t="s">
        <v>177</v>
      </c>
      <c r="I206" s="210" t="s">
        <v>178</v>
      </c>
      <c r="J206" s="210" t="s">
        <v>179</v>
      </c>
      <c r="K206" s="210" t="s">
        <v>180</v>
      </c>
      <c r="L206" s="210" t="s">
        <v>19</v>
      </c>
      <c r="M206" s="261"/>
    </row>
    <row r="207" spans="1:13" x14ac:dyDescent="0.2">
      <c r="A207" s="230" t="s">
        <v>408</v>
      </c>
      <c r="B207" s="112" t="e">
        <f>N170</f>
        <v>#DIV/0!</v>
      </c>
      <c r="C207" s="112" t="str">
        <f>IFERROR(IF($J$55="No",IF(LocalValues!P38="",$R$160*LocalValues!C38*$B$207,$R$160*LocalValues!P38*$B$207),IF(LocalValues!P39="",$R$160*LocalValues!C39*$B$207,$R$160*LocalValues!P39*$B$207)),"-")</f>
        <v>-</v>
      </c>
      <c r="D207" s="112" t="str">
        <f>IFERROR(IF($J$55="No",IF(LocalValues!Q38="",$R$160*LocalValues!D38*$B$207,$R$160*LocalValues!Q38*$B$207),IF(LocalValues!Q39="",$R$160*LocalValues!D39*$B$207,$R$160*LocalValues!Q39*$B$207)),"-")</f>
        <v>-</v>
      </c>
      <c r="E207" s="112" t="str">
        <f>IFERROR(IF($J$55="No",IF(LocalValues!R38="",$R$160*LocalValues!E38*$B$207,$R$160*LocalValues!R38*$B$207),IF(LocalValues!R39="",$R$160*LocalValues!E39*$B$207,$R$160*LocalValues!R39*$B$207)),"-")</f>
        <v>-</v>
      </c>
      <c r="F207" s="112" t="str">
        <f>IFERROR(IF($J$55="No",IF(LocalValues!S38="",$R$160*LocalValues!F38*$B$207,$R$160*LocalValues!S38*$B$207),IF(LocalValues!S39="",$R$160*LocalValues!F39*$B$207,$R$160*LocalValues!S39*$B$207)),"-")</f>
        <v>-</v>
      </c>
      <c r="G207" s="112" t="str">
        <f>IFERROR(IF($J$55="No",IF(LocalValues!T38="",$R$160*LocalValues!G38*$B$207,$R$160*LocalValues!T38*$B$207),IF(LocalValues!T39="",$R$160*LocalValues!G39*$B$207,$R$160*LocalValues!T39*$B$207)),"-")</f>
        <v>-</v>
      </c>
      <c r="H207" s="112" t="str">
        <f>IFERROR(IF($J$55="No",IF(LocalValues!U38="",$R$160*LocalValues!H38*$B$207,$R$160*LocalValues!U38*$B$207),IF(LocalValues!U39="",$R$160*LocalValues!H39*$B$207,$R$160*LocalValues!U39*$B$207)),"-")</f>
        <v>-</v>
      </c>
      <c r="I207" s="112" t="str">
        <f>IFERROR(IF($J$55="No",IF(LocalValues!V38="",$R$160*LocalValues!I38*$B$207,$R$160*LocalValues!V38*$B$207),IF(LocalValues!V39="",$R$160*LocalValues!I39*$B$207,$R$160*LocalValues!V39*$B$207)),"-")</f>
        <v>-</v>
      </c>
      <c r="J207" s="112" t="str">
        <f>IFERROR(IF($J$55="No",IF(LocalValues!W38="",$R$160*LocalValues!J38*$B$207,$R$160*LocalValues!W38*$B$207),IF(LocalValues!W39="",$R$160*LocalValues!J39*$B$207,$R$160*LocalValues!W39*$B$207)),"-")</f>
        <v>-</v>
      </c>
      <c r="K207" s="112" t="str">
        <f>IFERROR(IF($J$55="No",IF(LocalValues!X38="",$R$160*LocalValues!K38*$B$207,$R$160*LocalValues!X38*$B$207),IF(LocalValues!X39="",$R$160*LocalValues!K39*$B$207,$R$160*LocalValues!X39*$B$207)),"-")</f>
        <v>-</v>
      </c>
      <c r="L207" s="112" t="str">
        <f>IFERROR(IF($J$55="No",IF(LocalValues!Y38="",$R$160*LocalValues!L38*$B$207,$R$160*LocalValues!Y38*$B$207),IF(LocalValues!Y39="",$R$160*LocalValues!L39*$B$207,$R$160*LocalValues!Y39*$B$207)),"-")</f>
        <v>-</v>
      </c>
      <c r="M207" s="125">
        <f t="shared" ref="M207:M212" si="23">SUM(C207:L207)</f>
        <v>0</v>
      </c>
    </row>
    <row r="208" spans="1:13" x14ac:dyDescent="0.2">
      <c r="A208" s="230" t="s">
        <v>409</v>
      </c>
      <c r="B208" s="112" t="e">
        <f t="shared" ref="B208:B210" si="24">N171</f>
        <v>#DIV/0!</v>
      </c>
      <c r="C208" s="112" t="str">
        <f>IFERROR(IF($J$55="No",IF(LocalValues!P38="",$R$160*LocalValues!C38*$B$208,$R$160*LocalValues!P38*$B$208),IF(LocalValues!P39="",$R$160*LocalValues!C39*$B$208,$R$160*LocalValues!P39*$B$208)),"-")</f>
        <v>-</v>
      </c>
      <c r="D208" s="112" t="str">
        <f>IFERROR(IF($J$55="No",IF(LocalValues!Q38="",$R$160*LocalValues!D38*$B$208,$R$160*LocalValues!Q38*$B$208),IF(LocalValues!Q39="",$R$160*LocalValues!D39*$B$208,$R$160*LocalValues!Q39*$B$208)),"-")</f>
        <v>-</v>
      </c>
      <c r="E208" s="112" t="str">
        <f>IFERROR(IF($J$55="No",IF(LocalValues!R38="",$R$160*LocalValues!E38*$B$208,$R$160*LocalValues!R38*$B$208),IF(LocalValues!R39="",$R$160*LocalValues!E39*$B$208,$R$160*LocalValues!R39*$B$208)),"-")</f>
        <v>-</v>
      </c>
      <c r="F208" s="112" t="str">
        <f>IFERROR(IF($J$55="No",IF(LocalValues!S38="",$R$160*LocalValues!F38*$B$208,$R$160*LocalValues!S38*$B$208),IF(LocalValues!S39="",$R$160*LocalValues!F39*$B$208,$R$160*LocalValues!S39*$B$208)),"-")</f>
        <v>-</v>
      </c>
      <c r="G208" s="112" t="str">
        <f>IFERROR(IF($J$55="No",IF(LocalValues!T38="",$R$160*LocalValues!G38*$B$208,$R$160*LocalValues!T38*$B$208),IF(LocalValues!T39="",$R$160*LocalValues!G39*$B$208,$R$160*LocalValues!T39*$B$208)),"-")</f>
        <v>-</v>
      </c>
      <c r="H208" s="112" t="str">
        <f>IFERROR(IF($J$55="No",IF(LocalValues!U38="",$R$160*LocalValues!H38*$B$208,$R$160*LocalValues!U38*$B$208),IF(LocalValues!U39="",$R$160*LocalValues!H39*$B$208,$R$160*LocalValues!U39*$B$208)),"-")</f>
        <v>-</v>
      </c>
      <c r="I208" s="112" t="str">
        <f>IFERROR(IF($J$55="No",IF(LocalValues!V38="",$R$160*LocalValues!I38*$B$208,$R$160*LocalValues!V38*$B$208),IF(LocalValues!V39="",$R$160*LocalValues!I39*$B$208,$R$160*LocalValues!V39*$B$208)),"-")</f>
        <v>-</v>
      </c>
      <c r="J208" s="112" t="str">
        <f>IFERROR(IF($J$55="No",IF(LocalValues!W38="",$R$160*LocalValues!J38*$B$208,$R$160*LocalValues!W38*$B$208),IF(LocalValues!W39="",$R$160*LocalValues!J39*$B$208,$R$160*LocalValues!W39*$B$208)),"-")</f>
        <v>-</v>
      </c>
      <c r="K208" s="112" t="str">
        <f>IFERROR(IF($J$55="No",IF(LocalValues!X38="",$R$160*LocalValues!K38*$B$208,$R$160*LocalValues!X38*$B$208),IF(LocalValues!X39="",$R$160*LocalValues!K39*$B$208,$R$160*LocalValues!X39*$B$208)),"-")</f>
        <v>-</v>
      </c>
      <c r="L208" s="112" t="str">
        <f>IFERROR(IF($J$55="No",IF(LocalValues!Y38="",$R$160*LocalValues!L38*$B$208,$R$160*LocalValues!Y38*$B$208),IF(LocalValues!Y39="",$R$160*LocalValues!L39*$B$208,$R$160*LocalValues!Y39*$B$208)),"-")</f>
        <v>-</v>
      </c>
      <c r="M208" s="125">
        <f t="shared" si="23"/>
        <v>0</v>
      </c>
    </row>
    <row r="209" spans="1:13" x14ac:dyDescent="0.2">
      <c r="A209" s="230" t="s">
        <v>410</v>
      </c>
      <c r="B209" s="112" t="e">
        <f t="shared" si="24"/>
        <v>#DIV/0!</v>
      </c>
      <c r="C209" s="112" t="str">
        <f>IFERROR(IF($J$55="No",IF(LocalValues!P38="",$R$160*LocalValues!C38*$B$209,$R$160*LocalValues!P38*$B$209),IF(LocalValues!P39="",$R$160*LocalValues!C39*$B$209,$R$160*LocalValues!P39*$B$209)),"-")</f>
        <v>-</v>
      </c>
      <c r="D209" s="112" t="str">
        <f>IFERROR(IF($J$55="No",IF(LocalValues!Q38="",$R$160*LocalValues!D38*$B$209,$R$160*LocalValues!Q38*$B$209),IF(LocalValues!Q39="",$R$160*LocalValues!D39*$B$209,$R$160*LocalValues!Q39*$B$209)),"-")</f>
        <v>-</v>
      </c>
      <c r="E209" s="112" t="str">
        <f>IFERROR(IF($J$55="No",IF(LocalValues!R38="",$R$160*LocalValues!E38*$B$209,$R$160*LocalValues!R38*$B$209),IF(LocalValues!R39="",$R$160*LocalValues!E39*$B$209,$R$160*LocalValues!R39*$B$209)),"-")</f>
        <v>-</v>
      </c>
      <c r="F209" s="112" t="str">
        <f>IFERROR(IF($J$55="No",IF(LocalValues!S38="",$R$160*LocalValues!F38*$B$209,$R$160*LocalValues!S38*$B$209),IF(LocalValues!S39="",$R$160*LocalValues!F39*$B$209,$R$160*LocalValues!S39*$B$209)),"-")</f>
        <v>-</v>
      </c>
      <c r="G209" s="112" t="str">
        <f>IFERROR(IF($J$55="No",IF(LocalValues!T38="",$R$160*LocalValues!G38*$B$209,$R$160*LocalValues!T38*$B$209),IF(LocalValues!T39="",$R$160*LocalValues!G39*$B$209,$R$160*LocalValues!T39*$B$209)),"-")</f>
        <v>-</v>
      </c>
      <c r="H209" s="112" t="str">
        <f>IFERROR(IF($J$55="No",IF(LocalValues!U38="",$R$160*LocalValues!H38*$B$209,$R$160*LocalValues!U38*$B$209),IF(LocalValues!U39="",$R$160*LocalValues!H39*$B$209,$R$160*LocalValues!U39*$B$209)),"-")</f>
        <v>-</v>
      </c>
      <c r="I209" s="112" t="str">
        <f>IFERROR(IF($J$55="No",IF(LocalValues!V38="",$R$160*LocalValues!I38*$B$209,$R$160*LocalValues!V38*$B$209),IF(LocalValues!V39="",$R$160*LocalValues!I39*$B$209,$R$160*LocalValues!V39*$B$209)),"-")</f>
        <v>-</v>
      </c>
      <c r="J209" s="112" t="str">
        <f>IFERROR(IF($J$55="No",IF(LocalValues!W38="",$R$160*LocalValues!J38*$B$209,$R$160*LocalValues!W38*$B$209),IF(LocalValues!W39="",$R$160*LocalValues!J39*$B$209,$R$160*LocalValues!W39*$B$209)),"-")</f>
        <v>-</v>
      </c>
      <c r="K209" s="112" t="str">
        <f>IFERROR(IF($J$55="No",IF(LocalValues!X38="",$R$160*LocalValues!K38*$B$209,$R$160*LocalValues!X38*$B$209),IF(LocalValues!X39="",$R$160*LocalValues!K39*$B$209,$R$160*LocalValues!X39*$B$209)),"-")</f>
        <v>-</v>
      </c>
      <c r="L209" s="112" t="str">
        <f>IFERROR(IF($J$55="No",IF(LocalValues!Y38="",$R$160*LocalValues!L38*$B$209,$R$160*LocalValues!Y38*$B$209),IF(LocalValues!Y39="",$R$160*LocalValues!L39*$B$209,$R$160*LocalValues!Y39*$B$209)),"-")</f>
        <v>-</v>
      </c>
      <c r="M209" s="125">
        <f t="shared" si="23"/>
        <v>0</v>
      </c>
    </row>
    <row r="210" spans="1:13" x14ac:dyDescent="0.2">
      <c r="A210" s="230" t="s">
        <v>129</v>
      </c>
      <c r="B210" s="112" t="e">
        <f t="shared" si="24"/>
        <v>#DIV/0!</v>
      </c>
      <c r="C210" s="112" t="str">
        <f>IFERROR(IF($J$55="No",IF(LocalValues!P38="",$R$160*LocalValues!C38*$B$210,$R$160*LocalValues!P38*$B$210),IF(LocalValues!P39="",$R$160*LocalValues!C39*$B$210,$R$160*LocalValues!P39*$B$210)),"-")</f>
        <v>-</v>
      </c>
      <c r="D210" s="112" t="str">
        <f>IFERROR(IF($J$55="No",$R$160*LocalValues!D38*$B$210,$R$160*LocalValues!D39*$B$210),"-")</f>
        <v>-</v>
      </c>
      <c r="E210" s="112" t="str">
        <f>IFERROR(IF($J$55="No",$R$160*LocalValues!E38*$B$210,$R$160*LocalValues!E39*$B$210),"-")</f>
        <v>-</v>
      </c>
      <c r="F210" s="112" t="str">
        <f>IFERROR(IF($J$55="No",$R$160*LocalValues!F38*$B$210,$R$160*LocalValues!F39*$B$210),"-")</f>
        <v>-</v>
      </c>
      <c r="G210" s="112" t="str">
        <f>IFERROR(IF($J$55="No",$R$160*LocalValues!G38*$B$210,$R$160*LocalValues!G39*$B$210),"-")</f>
        <v>-</v>
      </c>
      <c r="H210" s="112" t="str">
        <f>IFERROR(IF($J$55="No",$R$160*LocalValues!H38*$B$210,$R$160*LocalValues!H39*$B$210),"-")</f>
        <v>-</v>
      </c>
      <c r="I210" s="112" t="str">
        <f>IFERROR(IF($J$55="No",$R$160*LocalValues!I38*$B$210,$R$160*LocalValues!I39*$B$210),"-")</f>
        <v>-</v>
      </c>
      <c r="J210" s="112" t="str">
        <f>IFERROR(IF($J$55="No",$R$160*LocalValues!J38*$B$210,$R$160*LocalValues!J39*$B$210),"-")</f>
        <v>-</v>
      </c>
      <c r="K210" s="112" t="str">
        <f>IFERROR(IF($J$55="No",$R$160*LocalValues!K38*$B$210,$R$160*LocalValues!K39*$B$210),"-")</f>
        <v>-</v>
      </c>
      <c r="L210" s="112" t="str">
        <f>IFERROR(IF($J$55="No",$R$160*LocalValues!L38*$B$210,$R$160*LocalValues!L39*$B$210),"-")</f>
        <v>-</v>
      </c>
      <c r="M210" s="125">
        <f t="shared" si="23"/>
        <v>0</v>
      </c>
    </row>
    <row r="211" spans="1:13" x14ac:dyDescent="0.2">
      <c r="A211" s="230" t="s">
        <v>20</v>
      </c>
      <c r="B211" s="112">
        <v>1</v>
      </c>
      <c r="C211" s="112" t="str">
        <f>IFERROR(IF($J$55="No",IF(LocalValues!P47="",$R$163*LocalValues!C47*$B$211,$R$163*LocalValues!P47*$B$211),IF(LocalValues!P48="",$R$163*LocalValues!C48*$B$211,$R$163*LocalValues!P48*$B$211)),"-")</f>
        <v>-</v>
      </c>
      <c r="D211" s="112" t="str">
        <f>IFERROR(IF($J$55="No",IF(LocalValues!Q47="",$R$163*LocalValues!D47*$B$211,$R$163*LocalValues!Q47*$B$211),IF(LocalValues!Q48="",$R$163*LocalValues!D48*$B$211,$R$163*LocalValues!Q48*$B$211)),"-")</f>
        <v>-</v>
      </c>
      <c r="E211" s="112" t="str">
        <f>IFERROR(IF($J$55="No",IF(LocalValues!R47="",$R$163*LocalValues!E47*$B$211,$R$163*LocalValues!R47*$B$211),IF(LocalValues!R48="",$R$163*LocalValues!E48*$B$211,$R$163*LocalValues!R48*$B$211)),"-")</f>
        <v>-</v>
      </c>
      <c r="F211" s="112" t="str">
        <f>IFERROR(IF($J$55="No",IF(LocalValues!S47="",$R$163*LocalValues!F47*$B$211,$R$163*LocalValues!S47*$B$211),IF(LocalValues!S48="",$R$163*LocalValues!F48*$B$211,$R$163*LocalValues!S48*$B$211)),"-")</f>
        <v>-</v>
      </c>
      <c r="G211" s="112" t="str">
        <f>IFERROR(IF($J$55="No",IF(LocalValues!T47="",$R$163*LocalValues!G47*$B$211,$R$163*LocalValues!T47*$B$211),IF(LocalValues!T48="",$R$163*LocalValues!G48*$B$211,$R$163*LocalValues!T48*$B$211)),"-")</f>
        <v>-</v>
      </c>
      <c r="H211" s="112" t="str">
        <f>IFERROR(IF($J$55="No",IF(LocalValues!U47="",$R$163*LocalValues!H47*$B$211,$R$163*LocalValues!U47*$B$211),IF(LocalValues!U48="",$R$163*LocalValues!H48*$B$211,$R$163*LocalValues!U48*$B$211)),"-")</f>
        <v>-</v>
      </c>
      <c r="I211" s="112" t="str">
        <f>IFERROR(IF($J$55="No",IF(LocalValues!V47="",$R$163*LocalValues!I47*$B$211,$R$163*LocalValues!V47*$B$211),IF(LocalValues!V48="",$R$163*LocalValues!I48*$B$211,$R$163*LocalValues!V48*$B$211)),"-")</f>
        <v>-</v>
      </c>
      <c r="J211" s="112" t="str">
        <f>IFERROR(IF($J$55="No",IF(LocalValues!W47="",$R$163*LocalValues!J47*$B$211,$R$163*LocalValues!W47*$B$211),IF(LocalValues!W48="",$R$163*LocalValues!J48*$B$211,$R$163*LocalValues!W48*$B$211)),"-")</f>
        <v>-</v>
      </c>
      <c r="K211" s="112" t="str">
        <f>IFERROR(IF($J$55="No",IF(LocalValues!X47="",$R$163*LocalValues!K47*$B$211,$R$163*LocalValues!X47*$B$211),IF(LocalValues!X48="",$R$163*LocalValues!K48*$B$211,$R$163*LocalValues!X48*$B$211)),"-")</f>
        <v>-</v>
      </c>
      <c r="L211" s="112" t="str">
        <f>IFERROR(IF($J$55="No",IF(LocalValues!Y47="",$R$163*LocalValues!L47*$B$211,$R$163*LocalValues!Y47*$B$211),IF(LocalValues!Y48="",$R$163*LocalValues!L48*$B$211,$R$163*LocalValues!Y48*$B$211)),"-")</f>
        <v>-</v>
      </c>
      <c r="M211" s="125">
        <f t="shared" si="23"/>
        <v>0</v>
      </c>
    </row>
    <row r="212" spans="1:13" ht="13.5" thickBot="1" x14ac:dyDescent="0.25">
      <c r="A212" s="186" t="s">
        <v>12</v>
      </c>
      <c r="B212" s="99"/>
      <c r="C212" s="188">
        <f>SUM(C207:C211)</f>
        <v>0</v>
      </c>
      <c r="D212" s="188">
        <f t="shared" ref="D212:L212" si="25">SUM(D207:D211)</f>
        <v>0</v>
      </c>
      <c r="E212" s="188">
        <f t="shared" si="25"/>
        <v>0</v>
      </c>
      <c r="F212" s="188">
        <f t="shared" si="25"/>
        <v>0</v>
      </c>
      <c r="G212" s="188">
        <f t="shared" si="25"/>
        <v>0</v>
      </c>
      <c r="H212" s="188">
        <f t="shared" si="25"/>
        <v>0</v>
      </c>
      <c r="I212" s="188">
        <f t="shared" si="25"/>
        <v>0</v>
      </c>
      <c r="J212" s="188">
        <f t="shared" si="25"/>
        <v>0</v>
      </c>
      <c r="K212" s="188">
        <f t="shared" si="25"/>
        <v>0</v>
      </c>
      <c r="L212" s="188">
        <f t="shared" si="25"/>
        <v>0</v>
      </c>
      <c r="M212" s="187">
        <f t="shared" si="23"/>
        <v>0</v>
      </c>
    </row>
    <row r="213" spans="1:13" ht="14.25" thickTop="1" thickBot="1" x14ac:dyDescent="0.25">
      <c r="A213" s="254" t="s">
        <v>413</v>
      </c>
      <c r="B213" s="254"/>
      <c r="C213" s="254"/>
      <c r="D213" s="254"/>
      <c r="E213" s="254"/>
      <c r="F213" s="254"/>
      <c r="G213" s="254"/>
      <c r="H213" s="254"/>
      <c r="I213" s="254"/>
      <c r="J213" s="254"/>
      <c r="K213" s="254"/>
      <c r="L213" s="254"/>
      <c r="M213" s="254"/>
    </row>
    <row r="214" spans="1:13" ht="13.5" thickTop="1" x14ac:dyDescent="0.2">
      <c r="A214" s="255" t="s">
        <v>407</v>
      </c>
      <c r="B214" s="257" t="s">
        <v>411</v>
      </c>
      <c r="C214" s="259" t="s">
        <v>172</v>
      </c>
      <c r="D214" s="259"/>
      <c r="E214" s="259"/>
      <c r="F214" s="259"/>
      <c r="G214" s="259"/>
      <c r="H214" s="259" t="s">
        <v>181</v>
      </c>
      <c r="I214" s="259"/>
      <c r="J214" s="259"/>
      <c r="K214" s="259"/>
      <c r="L214" s="259"/>
      <c r="M214" s="260" t="s">
        <v>12</v>
      </c>
    </row>
    <row r="215" spans="1:13" ht="38.25" x14ac:dyDescent="0.2">
      <c r="A215" s="256"/>
      <c r="B215" s="258"/>
      <c r="C215" s="210" t="s">
        <v>173</v>
      </c>
      <c r="D215" s="210" t="s">
        <v>174</v>
      </c>
      <c r="E215" s="210" t="s">
        <v>175</v>
      </c>
      <c r="F215" s="210" t="s">
        <v>176</v>
      </c>
      <c r="G215" s="210" t="s">
        <v>19</v>
      </c>
      <c r="H215" s="210" t="s">
        <v>177</v>
      </c>
      <c r="I215" s="210" t="s">
        <v>178</v>
      </c>
      <c r="J215" s="210" t="s">
        <v>179</v>
      </c>
      <c r="K215" s="210" t="s">
        <v>180</v>
      </c>
      <c r="L215" s="210" t="s">
        <v>19</v>
      </c>
      <c r="M215" s="261"/>
    </row>
    <row r="216" spans="1:13" x14ac:dyDescent="0.2">
      <c r="A216" s="230" t="s">
        <v>408</v>
      </c>
      <c r="B216" s="112" t="e">
        <f>N174</f>
        <v>#DIV/0!</v>
      </c>
      <c r="C216" s="112" t="str">
        <f>IFERROR(IF($J$55="No",IF(LocalValues!P40="",$R$161*LocalValues!C40*$B$216,$R$161*LocalValues!P40*$B$216),IF(LocalValues!P41="",$R$161*LocalValues!C41*$B$216,$R$161*LocalValues!P41*$B$216)),"-")</f>
        <v>-</v>
      </c>
      <c r="D216" s="112" t="str">
        <f>IFERROR(IF($J$55="No",IF(LocalValues!Q40="",$R$161*LocalValues!D40*$B$216,$R$161*LocalValues!Q40*$B$216),IF(LocalValues!Q41="",$R$161*LocalValues!D41*$B$216,$R$161*LocalValues!Q41*$B$216)),"-")</f>
        <v>-</v>
      </c>
      <c r="E216" s="112" t="str">
        <f>IFERROR(IF($J$55="No",IF(LocalValues!R40="",$R$161*LocalValues!E40*$B$216,$R$161*LocalValues!R40*$B$216),IF(LocalValues!R41="",$R$161*LocalValues!E41*$B$216,$R$161*LocalValues!R41*$B$216)),"-")</f>
        <v>-</v>
      </c>
      <c r="F216" s="112" t="str">
        <f>IFERROR(IF($J$55="No",IF(LocalValues!S40="",$R$161*LocalValues!F40*$B$216,$R$161*LocalValues!S40*$B$216),IF(LocalValues!S41="",$R$161*LocalValues!F41*$B$216,$R$161*LocalValues!S41*$B$216)),"-")</f>
        <v>-</v>
      </c>
      <c r="G216" s="112" t="str">
        <f>IFERROR(IF($J$55="No",IF(LocalValues!T40="",$R$161*LocalValues!G40*$B$216,$R$161*LocalValues!T40*$B$216),IF(LocalValues!T41="",$R$161*LocalValues!G41*$B$216,$R$161*LocalValues!T41*$B$216)),"-")</f>
        <v>-</v>
      </c>
      <c r="H216" s="112" t="str">
        <f>IFERROR(IF($J$55="No",IF(LocalValues!U40="",$R$161*LocalValues!H40*$B$216,$R$161*LocalValues!U40*$B$216),IF(LocalValues!U41="",$R$161*LocalValues!H41*$B$216,$R$161*LocalValues!U41*$B$216)),"-")</f>
        <v>-</v>
      </c>
      <c r="I216" s="112" t="str">
        <f>IFERROR(IF($J$55="No",IF(LocalValues!V40="",$R$161*LocalValues!I40*$B$216,$R$161*LocalValues!V40*$B$216),IF(LocalValues!V41="",$R$161*LocalValues!I41*$B$216,$R$161*LocalValues!V41*$B$216)),"-")</f>
        <v>-</v>
      </c>
      <c r="J216" s="112" t="str">
        <f>IFERROR(IF($J$55="No",IF(LocalValues!W40="",$R$161*LocalValues!J40*$B$216,$R$161*LocalValues!W40*$B$216),IF(LocalValues!W41="",$R$161*LocalValues!J41*$B$216,$R$161*LocalValues!W41*$B$216)),"-")</f>
        <v>-</v>
      </c>
      <c r="K216" s="112" t="str">
        <f>IFERROR(IF($J$55="No",IF(LocalValues!X40="",$R$161*LocalValues!K40*$B$216,$R$161*LocalValues!X40*$B$216),IF(LocalValues!X41="",$R$161*LocalValues!K41*$B$216,$R$161*LocalValues!X41*$B$216)),"-")</f>
        <v>-</v>
      </c>
      <c r="L216" s="112" t="str">
        <f>IFERROR(IF($J$55="No",IF(LocalValues!Y40="",$R$161*LocalValues!L40*$B$216,$R$161*LocalValues!Y40*$B$216),IF(LocalValues!Y41="",$R$161*LocalValues!L41*$B$216,$R$161*LocalValues!Y41*$B$216)),"-")</f>
        <v>-</v>
      </c>
      <c r="M216" s="125">
        <f t="shared" ref="M216:M221" si="26">SUM(C216:L216)</f>
        <v>0</v>
      </c>
    </row>
    <row r="217" spans="1:13" x14ac:dyDescent="0.2">
      <c r="A217" s="230" t="s">
        <v>409</v>
      </c>
      <c r="B217" s="112" t="e">
        <f t="shared" ref="B217:B219" si="27">N175</f>
        <v>#DIV/0!</v>
      </c>
      <c r="C217" s="112" t="str">
        <f>IFERROR(IF($J$55="No",IF(LocalValues!P40="",$R$161*LocalValues!C40*$B$217,$R$161*LocalValues!P40*$B$217),IF(LocalValues!P41="",$R$161*LocalValues!C41*$B$217,$R$161*LocalValues!P41*$B$217)),"-")</f>
        <v>-</v>
      </c>
      <c r="D217" s="112" t="str">
        <f>IFERROR(IF($J$55="No",IF(LocalValues!Q40="",$R$161*LocalValues!D40*$B$217,$R$161*LocalValues!Q40*$B$217),IF(LocalValues!Q41="",$R$161*LocalValues!D41*$B$217,$R$161*LocalValues!Q41*$B$217)),"-")</f>
        <v>-</v>
      </c>
      <c r="E217" s="112" t="str">
        <f>IFERROR(IF($J$55="No",IF(LocalValues!R40="",$R$161*LocalValues!E40*$B$217,$R$161*LocalValues!R40*$B$217),IF(LocalValues!R41="",$R$161*LocalValues!E41*$B$217,$R$161*LocalValues!R41*$B$217)),"-")</f>
        <v>-</v>
      </c>
      <c r="F217" s="112" t="str">
        <f>IFERROR(IF($J$55="No",IF(LocalValues!S40="",$R$161*LocalValues!F40*$B$217,$R$161*LocalValues!S40*$B$217),IF(LocalValues!S41="",$R$161*LocalValues!F41*$B$217,$R$161*LocalValues!S41*$B$217)),"-")</f>
        <v>-</v>
      </c>
      <c r="G217" s="112" t="str">
        <f>IFERROR(IF($J$55="No",IF(LocalValues!T40="",$R$161*LocalValues!G40*$B$217,$R$161*LocalValues!T40*$B$217),IF(LocalValues!T41="",$R$161*LocalValues!G41*$B$217,$R$161*LocalValues!T41*$B$217)),"-")</f>
        <v>-</v>
      </c>
      <c r="H217" s="112" t="str">
        <f>IFERROR(IF($J$55="No",IF(LocalValues!U40="",$R$161*LocalValues!H40*$B$217,$R$161*LocalValues!U40*$B$217),IF(LocalValues!U41="",$R$161*LocalValues!H41*$B$217,$R$161*LocalValues!U41*$B$217)),"-")</f>
        <v>-</v>
      </c>
      <c r="I217" s="112" t="str">
        <f>IFERROR(IF($J$55="No",IF(LocalValues!V40="",$R$161*LocalValues!I40*$B$217,$R$161*LocalValues!V40*$B$217),IF(LocalValues!V41="",$R$161*LocalValues!I41*$B$217,$R$161*LocalValues!V41*$B$217)),"-")</f>
        <v>-</v>
      </c>
      <c r="J217" s="112" t="str">
        <f>IFERROR(IF($J$55="No",IF(LocalValues!W40="",$R$161*LocalValues!J40*$B$217,$R$161*LocalValues!W40*$B$217),IF(LocalValues!W41="",$R$161*LocalValues!J41*$B$217,$R$161*LocalValues!W41*$B$217)),"-")</f>
        <v>-</v>
      </c>
      <c r="K217" s="112" t="str">
        <f>IFERROR(IF($J$55="No",IF(LocalValues!X40="",$R$161*LocalValues!K40*$B$217,$R$161*LocalValues!X40*$B$217),IF(LocalValues!X41="",$R$161*LocalValues!K41*$B$217,$R$161*LocalValues!X41*$B$217)),"-")</f>
        <v>-</v>
      </c>
      <c r="L217" s="112" t="str">
        <f>IFERROR(IF($J$55="No",IF(LocalValues!Y40="",$R$161*LocalValues!L40*$B$217,$R$161*LocalValues!Y40*$B$217),IF(LocalValues!Y41="",$R$161*LocalValues!L41*$B$217,$R$161*LocalValues!Y41*$B$217)),"-")</f>
        <v>-</v>
      </c>
      <c r="M217" s="125">
        <f t="shared" si="26"/>
        <v>0</v>
      </c>
    </row>
    <row r="218" spans="1:13" x14ac:dyDescent="0.2">
      <c r="A218" s="230" t="s">
        <v>410</v>
      </c>
      <c r="B218" s="112" t="e">
        <f t="shared" si="27"/>
        <v>#DIV/0!</v>
      </c>
      <c r="C218" s="112" t="str">
        <f>IFERROR(IF($J$55="No",IF(LocalValues!P40="",$R$161*LocalValues!C40*$B$218,$R$161*LocalValues!P40*$B$218),IF(LocalValues!P41="",$R$161*LocalValues!C41*$B$218,$R$161*LocalValues!P41*$B$218)),"-")</f>
        <v>-</v>
      </c>
      <c r="D218" s="112" t="str">
        <f>IFERROR(IF($J$55="No",IF(LocalValues!Q40="",$R$161*LocalValues!D40*$B$218,$R$161*LocalValues!Q40*$B$218),IF(LocalValues!Q41="",$R$161*LocalValues!D41*$B$218,$R$161*LocalValues!Q41*$B$218)),"-")</f>
        <v>-</v>
      </c>
      <c r="E218" s="112" t="str">
        <f>IFERROR(IF($J$55="No",IF(LocalValues!R40="",$R$161*LocalValues!E40*$B$218,$R$161*LocalValues!R40*$B$218),IF(LocalValues!R41="",$R$161*LocalValues!E41*$B$218,$R$161*LocalValues!R41*$B$218)),"-")</f>
        <v>-</v>
      </c>
      <c r="F218" s="112" t="str">
        <f>IFERROR(IF($J$55="No",IF(LocalValues!S40="",$R$161*LocalValues!F40*$B$218,$R$161*LocalValues!S40*$B$218),IF(LocalValues!S41="",$R$161*LocalValues!F41*$B$218,$R$161*LocalValues!S41*$B$218)),"-")</f>
        <v>-</v>
      </c>
      <c r="G218" s="112" t="str">
        <f>IFERROR(IF($J$55="No",IF(LocalValues!T40="",$R$161*LocalValues!G40*$B$218,$R$161*LocalValues!T40*$B$218),IF(LocalValues!T41="",$R$161*LocalValues!G41*$B$218,$R$161*LocalValues!T41*$B$218)),"-")</f>
        <v>-</v>
      </c>
      <c r="H218" s="112" t="str">
        <f>IFERROR(IF($J$55="No",IF(LocalValues!U40="",$R$161*LocalValues!H40*$B$218,$R$161*LocalValues!U40*$B$218),IF(LocalValues!U41="",$R$161*LocalValues!H41*$B$218,$R$161*LocalValues!U41*$B$218)),"-")</f>
        <v>-</v>
      </c>
      <c r="I218" s="112" t="str">
        <f>IFERROR(IF($J$55="No",IF(LocalValues!V40="",$R$161*LocalValues!I40*$B$218,$R$161*LocalValues!V40*$B$218),IF(LocalValues!V41="",$R$161*LocalValues!I41*$B$218,$R$161*LocalValues!V41*$B$218)),"-")</f>
        <v>-</v>
      </c>
      <c r="J218" s="112" t="str">
        <f>IFERROR(IF($J$55="No",IF(LocalValues!W40="",$R$161*LocalValues!J40*$B$218,$R$161*LocalValues!W40*$B$218),IF(LocalValues!W41="",$R$161*LocalValues!J41*$B$218,$R$161*LocalValues!W41*$B$218)),"-")</f>
        <v>-</v>
      </c>
      <c r="K218" s="112" t="str">
        <f>IFERROR(IF($J$55="No",IF(LocalValues!X40="",$R$161*LocalValues!K40*$B$218,$R$161*LocalValues!X40*$B$218),IF(LocalValues!X41="",$R$161*LocalValues!K41*$B$218,$R$161*LocalValues!X41*$B$218)),"-")</f>
        <v>-</v>
      </c>
      <c r="L218" s="112" t="str">
        <f>IFERROR(IF($J$55="No",IF(LocalValues!Y40="",$R$161*LocalValues!L40*$B$218,$R$161*LocalValues!Y40*$B$218),IF(LocalValues!Y41="",$R$161*LocalValues!L41*$B$218,$R$161*LocalValues!Y41*$B$218)),"-")</f>
        <v>-</v>
      </c>
      <c r="M218" s="125">
        <f t="shared" si="26"/>
        <v>0</v>
      </c>
    </row>
    <row r="219" spans="1:13" x14ac:dyDescent="0.2">
      <c r="A219" s="230" t="s">
        <v>129</v>
      </c>
      <c r="B219" s="112" t="e">
        <f t="shared" si="27"/>
        <v>#DIV/0!</v>
      </c>
      <c r="C219" s="112" t="str">
        <f>IFERROR(IF($J$55="No",IF(LocalValues!P40="",$R$161*LocalValues!C40*$B$219,$R$161*LocalValues!P40*$B$219),IF(LocalValues!P41="",$R$161*LocalValues!C41*$B$219,$R$161*LocalValues!P41*$B$219)),"-")</f>
        <v>-</v>
      </c>
      <c r="D219" s="112" t="str">
        <f>IFERROR(IF($J$55="No",IF(LocalValues!Q40="",$R$161*LocalValues!D40*$B$219,$R$161*LocalValues!Q40*$B$219),IF(LocalValues!Q41="",$R$161*LocalValues!D41*$B$219,$R$161*LocalValues!Q41*$B$219)),"-")</f>
        <v>-</v>
      </c>
      <c r="E219" s="112" t="str">
        <f>IFERROR(IF($J$55="No",IF(LocalValues!R40="",$R$161*LocalValues!E40*$B$219,$R$161*LocalValues!R40*$B$219),IF(LocalValues!R41="",$R$161*LocalValues!E41*$B$219,$R$161*LocalValues!R41*$B$219)),"-")</f>
        <v>-</v>
      </c>
      <c r="F219" s="112" t="str">
        <f>IFERROR(IF($J$55="No",IF(LocalValues!S40="",$R$161*LocalValues!F40*$B$219,$R$161*LocalValues!S40*$B$219),IF(LocalValues!S41="",$R$161*LocalValues!F41*$B$219,$R$161*LocalValues!S41*$B$219)),"-")</f>
        <v>-</v>
      </c>
      <c r="G219" s="112" t="str">
        <f>IFERROR(IF($J$55="No",IF(LocalValues!T40="",$R$161*LocalValues!G40*$B$219,$R$161*LocalValues!T40*$B$219),IF(LocalValues!T41="",$R$161*LocalValues!G41*$B$219,$R$161*LocalValues!T41*$B$219)),"-")</f>
        <v>-</v>
      </c>
      <c r="H219" s="112" t="str">
        <f>IFERROR(IF($J$55="No",IF(LocalValues!U40="",$R$161*LocalValues!H40*$B$219,$R$161*LocalValues!U40*$B$219),IF(LocalValues!U41="",$R$161*LocalValues!H41*$B$219,$R$161*LocalValues!U41*$B$219)),"-")</f>
        <v>-</v>
      </c>
      <c r="I219" s="112" t="str">
        <f>IFERROR(IF($J$55="No",IF(LocalValues!V40="",$R$161*LocalValues!I40*$B$219,$R$161*LocalValues!V40*$B$219),IF(LocalValues!V41="",$R$161*LocalValues!I41*$B$219,$R$161*LocalValues!V41*$B$219)),"-")</f>
        <v>-</v>
      </c>
      <c r="J219" s="112" t="str">
        <f>IFERROR(IF($J$55="No",IF(LocalValues!W40="",$R$161*LocalValues!J40*$B$219,$R$161*LocalValues!W40*$B$219),IF(LocalValues!W41="",$R$161*LocalValues!J41*$B$219,$R$161*LocalValues!W41*$B$219)),"-")</f>
        <v>-</v>
      </c>
      <c r="K219" s="112" t="str">
        <f>IFERROR(IF($J$55="No",IF(LocalValues!X40="",$R$161*LocalValues!K40*$B$219,$R$161*LocalValues!X40*$B$219),IF(LocalValues!X41="",$R$161*LocalValues!K41*$B$219,$R$161*LocalValues!X41*$B$219)),"-")</f>
        <v>-</v>
      </c>
      <c r="L219" s="112" t="str">
        <f>IFERROR(IF($J$55="No",IF(LocalValues!Y40="",$R$161*LocalValues!L40*$B$219,$R$161*LocalValues!Y40*$B$219),IF(LocalValues!Y41="",$R$161*LocalValues!L41*$B$219,$R$161*LocalValues!Y41*$B$219)),"-")</f>
        <v>-</v>
      </c>
      <c r="M219" s="125">
        <f t="shared" si="26"/>
        <v>0</v>
      </c>
    </row>
    <row r="220" spans="1:13" x14ac:dyDescent="0.2">
      <c r="A220" s="230" t="s">
        <v>20</v>
      </c>
      <c r="B220" s="112">
        <v>1</v>
      </c>
      <c r="C220" s="112" t="str">
        <f>IFERROR(IF($J$55="No",IF(LocalValues!P49="",$R$164*LocalValues!C49*$B$220,$R$164*LocalValues!P49*$B$220),IF(LocalValues!P50="",$R$164*LocalValues!C50*$B$220,$R$164*LocalValues!P50*$B$220)),"-")</f>
        <v>-</v>
      </c>
      <c r="D220" s="112" t="str">
        <f>IFERROR(IF($J$55="No",IF(LocalValues!Q49="",$R$164*LocalValues!D49*$B$220,$R$164*LocalValues!Q49*$B$220),IF(LocalValues!Q50="",$R$164*LocalValues!D50*$B$220,$R$164*LocalValues!Q50*$B$220)),"-")</f>
        <v>-</v>
      </c>
      <c r="E220" s="112" t="str">
        <f>IFERROR(IF($J$55="No",IF(LocalValues!R49="",$R$164*LocalValues!E49*$B$220,$R$164*LocalValues!R49*$B$220),IF(LocalValues!R50="",$R$164*LocalValues!E50*$B$220,$R$164*LocalValues!R50*$B$220)),"-")</f>
        <v>-</v>
      </c>
      <c r="F220" s="112" t="str">
        <f>IFERROR(IF($J$55="No",IF(LocalValues!S49="",$R$164*LocalValues!F49*$B$220,$R$164*LocalValues!S49*$B$220),IF(LocalValues!S50="",$R$164*LocalValues!F50*$B$220,$R$164*LocalValues!S50*$B$220)),"-")</f>
        <v>-</v>
      </c>
      <c r="G220" s="112" t="str">
        <f>IFERROR(IF($J$55="No",IF(LocalValues!T49="",$R$164*LocalValues!G49*$B$220,$R$164*LocalValues!T49*$B$220),IF(LocalValues!T50="",$R$164*LocalValues!G50*$B$220,$R$164*LocalValues!T50*$B$220)),"-")</f>
        <v>-</v>
      </c>
      <c r="H220" s="112" t="str">
        <f>IFERROR(IF($J$55="No",IF(LocalValues!U49="",$R$164*LocalValues!H49*$B$220,$R$164*LocalValues!U49*$B$220),IF(LocalValues!U50="",$R$164*LocalValues!H50*$B$220,$R$164*LocalValues!U50*$B$220)),"-")</f>
        <v>-</v>
      </c>
      <c r="I220" s="112" t="str">
        <f>IFERROR(IF($J$55="No",IF(LocalValues!V49="",$R$164*LocalValues!I49*$B$220,$R$164*LocalValues!V49*$B$220),IF(LocalValues!V50="",$R$164*LocalValues!I50*$B$220,$R$164*LocalValues!V50*$B$220)),"-")</f>
        <v>-</v>
      </c>
      <c r="J220" s="112" t="str">
        <f>IFERROR(IF($J$55="No",IF(LocalValues!W49="",$R$164*LocalValues!J49*$B$220,$R$164*LocalValues!W49*$B$220),IF(LocalValues!W50="",$R$164*LocalValues!J50*$B$220,$R$164*LocalValues!W50*$B$220)),"-")</f>
        <v>-</v>
      </c>
      <c r="K220" s="112" t="str">
        <f>IFERROR(IF($J$55="No",IF(LocalValues!X49="",$R$164*LocalValues!K49*$B$220,$R$164*LocalValues!X49*$B$220),IF(LocalValues!X50="",$R$164*LocalValues!K50*$B$220,$R$164*LocalValues!X50*$B$220)),"-")</f>
        <v>-</v>
      </c>
      <c r="L220" s="112" t="str">
        <f>IFERROR(IF($J$55="No",IF(LocalValues!Y49="",$R$164*LocalValues!L49*$B$220,$R$164*LocalValues!Y49*$B$220),IF(LocalValues!Y50="",$R$164*LocalValues!L50*$B$220,$R$164*LocalValues!Y50*$B$220)),"-")</f>
        <v>-</v>
      </c>
      <c r="M220" s="125">
        <f t="shared" si="26"/>
        <v>0</v>
      </c>
    </row>
    <row r="221" spans="1:13" ht="13.5" thickBot="1" x14ac:dyDescent="0.25">
      <c r="A221" s="186" t="s">
        <v>12</v>
      </c>
      <c r="B221" s="99"/>
      <c r="C221" s="188">
        <f>SUM(C216:C220)</f>
        <v>0</v>
      </c>
      <c r="D221" s="188">
        <f t="shared" ref="D221:L221" si="28">SUM(D216:D220)</f>
        <v>0</v>
      </c>
      <c r="E221" s="188">
        <f t="shared" si="28"/>
        <v>0</v>
      </c>
      <c r="F221" s="188">
        <f t="shared" si="28"/>
        <v>0</v>
      </c>
      <c r="G221" s="188">
        <f t="shared" si="28"/>
        <v>0</v>
      </c>
      <c r="H221" s="188">
        <f t="shared" si="28"/>
        <v>0</v>
      </c>
      <c r="I221" s="188">
        <f t="shared" si="28"/>
        <v>0</v>
      </c>
      <c r="J221" s="188">
        <f t="shared" si="28"/>
        <v>0</v>
      </c>
      <c r="K221" s="188">
        <f t="shared" si="28"/>
        <v>0</v>
      </c>
      <c r="L221" s="188">
        <f t="shared" si="28"/>
        <v>0</v>
      </c>
      <c r="M221" s="187">
        <f t="shared" si="26"/>
        <v>0</v>
      </c>
    </row>
    <row r="222" spans="1:13" ht="14.25" thickTop="1" thickBot="1" x14ac:dyDescent="0.25">
      <c r="A222" s="254" t="s">
        <v>414</v>
      </c>
      <c r="B222" s="254"/>
      <c r="C222" s="254"/>
      <c r="D222" s="254"/>
      <c r="E222" s="254"/>
      <c r="F222" s="254"/>
      <c r="G222" s="254"/>
      <c r="H222" s="254"/>
      <c r="I222" s="254"/>
      <c r="J222" s="254"/>
      <c r="K222" s="254"/>
      <c r="L222" s="254"/>
      <c r="M222" s="254"/>
    </row>
    <row r="223" spans="1:13" ht="13.5" thickTop="1" x14ac:dyDescent="0.2">
      <c r="A223" s="255" t="s">
        <v>407</v>
      </c>
      <c r="B223" s="257" t="s">
        <v>411</v>
      </c>
      <c r="C223" s="259" t="s">
        <v>172</v>
      </c>
      <c r="D223" s="259"/>
      <c r="E223" s="259"/>
      <c r="F223" s="259"/>
      <c r="G223" s="259"/>
      <c r="H223" s="259" t="s">
        <v>181</v>
      </c>
      <c r="I223" s="259"/>
      <c r="J223" s="259"/>
      <c r="K223" s="259"/>
      <c r="L223" s="259"/>
      <c r="M223" s="260" t="s">
        <v>12</v>
      </c>
    </row>
    <row r="224" spans="1:13" ht="38.25" x14ac:dyDescent="0.2">
      <c r="A224" s="256"/>
      <c r="B224" s="258"/>
      <c r="C224" s="210" t="s">
        <v>173</v>
      </c>
      <c r="D224" s="210" t="s">
        <v>174</v>
      </c>
      <c r="E224" s="210" t="s">
        <v>175</v>
      </c>
      <c r="F224" s="210" t="s">
        <v>176</v>
      </c>
      <c r="G224" s="210" t="s">
        <v>19</v>
      </c>
      <c r="H224" s="210" t="s">
        <v>177</v>
      </c>
      <c r="I224" s="210" t="s">
        <v>178</v>
      </c>
      <c r="J224" s="210" t="s">
        <v>179</v>
      </c>
      <c r="K224" s="210" t="s">
        <v>180</v>
      </c>
      <c r="L224" s="210" t="s">
        <v>19</v>
      </c>
      <c r="M224" s="261"/>
    </row>
    <row r="225" spans="1:13" x14ac:dyDescent="0.2">
      <c r="A225" s="230" t="s">
        <v>408</v>
      </c>
      <c r="B225" s="112" t="e">
        <f>N178</f>
        <v>#DIV/0!</v>
      </c>
      <c r="C225" s="112" t="str">
        <f>IFERROR(IF($J$55="No",IF(LocalValues!P42="",$R$162*LocalValues!C42*$B$225,$R$162*LocalValues!P42*$B$225),IF(LocalValues!P43="",$R$162*LocalValues!C43*$B$225,$R$162*LocalValues!P43*$B$225)),"-")</f>
        <v>-</v>
      </c>
      <c r="D225" s="112" t="str">
        <f>IFERROR(IF($J$55="No",IF(LocalValues!Q42="",$R$162*LocalValues!D42*$B$225,$R$162*LocalValues!Q42*$B$225),IF(LocalValues!Q43="",$R$162*LocalValues!D43*$B$225,$R$162*LocalValues!Q43*$B$225)),"-")</f>
        <v>-</v>
      </c>
      <c r="E225" s="112" t="str">
        <f>IFERROR(IF($J$55="No",IF(LocalValues!R42="",$R$162*LocalValues!E42*$B$225,$R$162*LocalValues!R42*$B$225),IF(LocalValues!R43="",$R$162*LocalValues!E43*$B$225,$R$162*LocalValues!R43*$B$225)),"-")</f>
        <v>-</v>
      </c>
      <c r="F225" s="112" t="str">
        <f>IFERROR(IF($J$55="No",IF(LocalValues!S42="",$R$162*LocalValues!F42*$B$225,$R$162*LocalValues!S42*$B$225),IF(LocalValues!S43="",$R$162*LocalValues!F43*$B$225,$R$162*LocalValues!S43*$B$225)),"-")</f>
        <v>-</v>
      </c>
      <c r="G225" s="112" t="str">
        <f>IFERROR(IF($J$55="No",IF(LocalValues!T42="",$R$162*LocalValues!G42*$B$225,$R$162*LocalValues!T42*$B$225),IF(LocalValues!T43="",$R$162*LocalValues!G43*$B$225,$R$162*LocalValues!T43*$B$225)),"-")</f>
        <v>-</v>
      </c>
      <c r="H225" s="112" t="str">
        <f>IFERROR(IF($J$55="No",IF(LocalValues!U42="",$R$162*LocalValues!H42*$B$225,$R$162*LocalValues!U42*$B$225),IF(LocalValues!U43="",$R$162*LocalValues!H43*$B$225,$R$162*LocalValues!U43*$B$225)),"-")</f>
        <v>-</v>
      </c>
      <c r="I225" s="112" t="str">
        <f>IFERROR(IF($J$55="No",IF(LocalValues!V42="",$R$162*LocalValues!I42*$B$225,$R$162*LocalValues!V42*$B$225),IF(LocalValues!V43="",$R$162*LocalValues!I43*$B$225,$R$162*LocalValues!V43*$B$225)),"-")</f>
        <v>-</v>
      </c>
      <c r="J225" s="112" t="str">
        <f>IFERROR(IF($J$55="No",IF(LocalValues!W42="",$R$162*LocalValues!J42*$B$225,$R$162*LocalValues!W42*$B$225),IF(LocalValues!W43="",$R$162*LocalValues!J43*$B$225,$R$162*LocalValues!W43*$B$225)),"-")</f>
        <v>-</v>
      </c>
      <c r="K225" s="112" t="str">
        <f>IFERROR(IF($J$55="No",IF(LocalValues!X42="",$R$162*LocalValues!K42*$B$225,$R$162*LocalValues!X42*$B$225),IF(LocalValues!X43="",$R$162*LocalValues!K43*$B$225,$R$162*LocalValues!X43*$B$225)),"-")</f>
        <v>-</v>
      </c>
      <c r="L225" s="112" t="str">
        <f>IFERROR(IF($J$55="No",IF(LocalValues!Y42="",$R$162*LocalValues!L42*$B$225,$R$162*LocalValues!Y42*$B$225),IF(LocalValues!Y43="",$R$162*LocalValues!L43*$B$225,$R$162*LocalValues!Y43*$B$225)),"-")</f>
        <v>-</v>
      </c>
      <c r="M225" s="125">
        <f t="shared" ref="M225:M230" si="29">SUM(C225:L225)</f>
        <v>0</v>
      </c>
    </row>
    <row r="226" spans="1:13" x14ac:dyDescent="0.2">
      <c r="A226" s="230" t="s">
        <v>409</v>
      </c>
      <c r="B226" s="112" t="e">
        <f t="shared" ref="B226:B228" si="30">N179</f>
        <v>#DIV/0!</v>
      </c>
      <c r="C226" s="112" t="str">
        <f>IFERROR(IF($J$55="No",IF(LocalValues!P42="",$R$162*LocalValues!C42*$B$226,$R$162*LocalValues!P42*$B$226),IF(LocalValues!P43="",$R$162*LocalValues!C43*$B$226,$R$162*LocalValues!P43*$B$226)),"-")</f>
        <v>-</v>
      </c>
      <c r="D226" s="112" t="str">
        <f>IFERROR(IF($J$55="No",IF(LocalValues!Q42="",$R$162*LocalValues!D42*$B$226,$R$162*LocalValues!Q42*$B$226),IF(LocalValues!Q43="",$R$162*LocalValues!D43*$B$226,$R$162*LocalValues!Q43*$B$226)),"-")</f>
        <v>-</v>
      </c>
      <c r="E226" s="112" t="str">
        <f>IFERROR(IF($J$55="No",IF(LocalValues!R42="",$R$162*LocalValues!E42*$B$226,$R$162*LocalValues!R42*$B$226),IF(LocalValues!R43="",$R$162*LocalValues!E43*$B$226,$R$162*LocalValues!R43*$B$226)),"-")</f>
        <v>-</v>
      </c>
      <c r="F226" s="112" t="str">
        <f>IFERROR(IF($J$55="No",IF(LocalValues!S42="",$R$162*LocalValues!F42*$B$226,$R$162*LocalValues!S42*$B$226),IF(LocalValues!S43="",$R$162*LocalValues!F43*$B$226,$R$162*LocalValues!S43*$B$226)),"-")</f>
        <v>-</v>
      </c>
      <c r="G226" s="112" t="str">
        <f>IFERROR(IF($J$55="No",IF(LocalValues!T42="",$R$162*LocalValues!G42*$B$226,$R$162*LocalValues!T42*$B$226),IF(LocalValues!T43="",$R$162*LocalValues!G43*$B$226,$R$162*LocalValues!T43*$B$226)),"-")</f>
        <v>-</v>
      </c>
      <c r="H226" s="112" t="str">
        <f>IFERROR(IF($J$55="No",IF(LocalValues!U42="",$R$162*LocalValues!H42*$B$226,$R$162*LocalValues!U42*$B$226),IF(LocalValues!U43="",$R$162*LocalValues!H43*$B$226,$R$162*LocalValues!U43*$B$226)),"-")</f>
        <v>-</v>
      </c>
      <c r="I226" s="112" t="str">
        <f>IFERROR(IF($J$55="No",IF(LocalValues!V42="",$R$162*LocalValues!I42*$B$226,$R$162*LocalValues!V42*$B$226),IF(LocalValues!V43="",$R$162*LocalValues!I43*$B$226,$R$162*LocalValues!V43*$B$226)),"-")</f>
        <v>-</v>
      </c>
      <c r="J226" s="112" t="str">
        <f>IFERROR(IF($J$55="No",IF(LocalValues!W42="",$R$162*LocalValues!J42*$B$226,$R$162*LocalValues!W42*$B$226),IF(LocalValues!W43="",$R$162*LocalValues!J43*$B$226,$R$162*LocalValues!W43*$B$226)),"-")</f>
        <v>-</v>
      </c>
      <c r="K226" s="112" t="str">
        <f>IFERROR(IF($J$55="No",IF(LocalValues!X42="",$R$162*LocalValues!K42*$B$226,$R$162*LocalValues!X42*$B$226),IF(LocalValues!X43="",$R$162*LocalValues!K43*$B$226,$R$162*LocalValues!X43*$B$226)),"-")</f>
        <v>-</v>
      </c>
      <c r="L226" s="112" t="str">
        <f>IFERROR(IF($J$55="No",IF(LocalValues!Y42="",$R$162*LocalValues!L42*$B$226,$R$162*LocalValues!Y42*$B$226),IF(LocalValues!Y43="",$R$162*LocalValues!L43*$B$226,$R$162*LocalValues!Y43*$B$226)),"-")</f>
        <v>-</v>
      </c>
      <c r="M226" s="125">
        <f t="shared" si="29"/>
        <v>0</v>
      </c>
    </row>
    <row r="227" spans="1:13" x14ac:dyDescent="0.2">
      <c r="A227" s="230" t="s">
        <v>410</v>
      </c>
      <c r="B227" s="112" t="e">
        <f t="shared" si="30"/>
        <v>#DIV/0!</v>
      </c>
      <c r="C227" s="112" t="str">
        <f>IFERROR(IF($J$55="No",IF(LocalValues!P42="",$R$162*LocalValues!C42*$B$227,$R$162*LocalValues!P42*$B$227),IF(LocalValues!P43="",$R$162*LocalValues!C43*$B$227,$R$162*LocalValues!P43*$B$227)),"-")</f>
        <v>-</v>
      </c>
      <c r="D227" s="112" t="str">
        <f>IFERROR(IF($J$55="No",IF(LocalValues!Q42="",$R$162*LocalValues!D42*$B$227,$R$162*LocalValues!Q42*$B$227),IF(LocalValues!Q43="",$R$162*LocalValues!D43*$B$227,$R$162*LocalValues!Q43*$B$227)),"-")</f>
        <v>-</v>
      </c>
      <c r="E227" s="112" t="str">
        <f>IFERROR(IF($J$55="No",IF(LocalValues!R42="",$R$162*LocalValues!E42*$B$227,$R$162*LocalValues!R42*$B$227),IF(LocalValues!R43="",$R$162*LocalValues!E43*$B$227,$R$162*LocalValues!R43*$B$227)),"-")</f>
        <v>-</v>
      </c>
      <c r="F227" s="112" t="str">
        <f>IFERROR(IF($J$55="No",IF(LocalValues!S42="",$R$162*LocalValues!F42*$B$227,$R$162*LocalValues!S42*$B$227),IF(LocalValues!S43="",$R$162*LocalValues!F43*$B$227,$R$162*LocalValues!S43*$B$227)),"-")</f>
        <v>-</v>
      </c>
      <c r="G227" s="112" t="str">
        <f>IFERROR(IF($J$55="No",IF(LocalValues!T42="",$R$162*LocalValues!G42*$B$227,$R$162*LocalValues!T42*$B$227),IF(LocalValues!T43="",$R$162*LocalValues!G43*$B$227,$R$162*LocalValues!T43*$B$227)),"-")</f>
        <v>-</v>
      </c>
      <c r="H227" s="112" t="str">
        <f>IFERROR(IF($J$55="No",IF(LocalValues!U42="",$R$162*LocalValues!H42*$B$227,$R$162*LocalValues!U42*$B$227),IF(LocalValues!U43="",$R$162*LocalValues!H43*$B$227,$R$162*LocalValues!U43*$B$227)),"-")</f>
        <v>-</v>
      </c>
      <c r="I227" s="112" t="str">
        <f>IFERROR(IF($J$55="No",IF(LocalValues!V42="",$R$162*LocalValues!I42*$B$227,$R$162*LocalValues!V42*$B$227),IF(LocalValues!V43="",$R$162*LocalValues!I43*$B$227,$R$162*LocalValues!V43*$B$227)),"-")</f>
        <v>-</v>
      </c>
      <c r="J227" s="112" t="str">
        <f>IFERROR(IF($J$55="No",IF(LocalValues!W42="",$R$162*LocalValues!J42*$B$227,$R$162*LocalValues!W42*$B$227),IF(LocalValues!W43="",$R$162*LocalValues!J43*$B$227,$R$162*LocalValues!W43*$B$227)),"-")</f>
        <v>-</v>
      </c>
      <c r="K227" s="112" t="str">
        <f>IFERROR(IF($J$55="No",IF(LocalValues!X42="",$R$162*LocalValues!K42*$B$227,$R$162*LocalValues!X42*$B$227),IF(LocalValues!X43="",$R$162*LocalValues!K43*$B$227,$R$162*LocalValues!X43*$B$227)),"-")</f>
        <v>-</v>
      </c>
      <c r="L227" s="112" t="str">
        <f>IFERROR(IF($J$55="No",IF(LocalValues!Y42="",$R$162*LocalValues!L42*$B$227,$R$162*LocalValues!Y42*$B$227),IF(LocalValues!Y43="",$R$162*LocalValues!L43*$B$227,$R$162*LocalValues!Y43*$B$227)),"-")</f>
        <v>-</v>
      </c>
      <c r="M227" s="125">
        <f t="shared" si="29"/>
        <v>0</v>
      </c>
    </row>
    <row r="228" spans="1:13" x14ac:dyDescent="0.2">
      <c r="A228" s="230" t="s">
        <v>129</v>
      </c>
      <c r="B228" s="112" t="e">
        <f t="shared" si="30"/>
        <v>#DIV/0!</v>
      </c>
      <c r="C228" s="112" t="str">
        <f>IFERROR(IF($J$55="No",IF(LocalValues!P42="",$R$162*LocalValues!C42*$B$228,$R$162*LocalValues!P42*$B$228),IF(LocalValues!P43="",$R$162*LocalValues!C43*$B$228,$R$162*LocalValues!P43*$B$228)),"-")</f>
        <v>-</v>
      </c>
      <c r="D228" s="112" t="str">
        <f>IFERROR(IF($J$55="No",IF(LocalValues!Q42="",$R$162*LocalValues!D42*$B$228,$R$162*LocalValues!Q42*$B$228),IF(LocalValues!Q43="",$R$162*LocalValues!D43*$B$228,$R$162*LocalValues!Q43*$B$228)),"-")</f>
        <v>-</v>
      </c>
      <c r="E228" s="112" t="str">
        <f>IFERROR(IF($J$55="No",IF(LocalValues!R42="",$R$162*LocalValues!E42*$B$228,$R$162*LocalValues!R42*$B$228),IF(LocalValues!R43="",$R$162*LocalValues!E43*$B$228,$R$162*LocalValues!R43*$B$228)),"-")</f>
        <v>-</v>
      </c>
      <c r="F228" s="112" t="str">
        <f>IFERROR(IF($J$55="No",IF(LocalValues!S42="",$R$162*LocalValues!F42*$B$228,$R$162*LocalValues!S42*$B$228),IF(LocalValues!S43="",$R$162*LocalValues!F43*$B$228,$R$162*LocalValues!S43*$B$228)),"-")</f>
        <v>-</v>
      </c>
      <c r="G228" s="112" t="str">
        <f>IFERROR(IF($J$55="No",IF(LocalValues!T42="",$R$162*LocalValues!G42*$B$228,$R$162*LocalValues!T42*$B$228),IF(LocalValues!T43="",$R$162*LocalValues!G43*$B$228,$R$162*LocalValues!T43*$B$228)),"-")</f>
        <v>-</v>
      </c>
      <c r="H228" s="112" t="str">
        <f>IFERROR(IF($J$55="No",IF(LocalValues!U42="",$R$162*LocalValues!H42*$B$228,$R$162*LocalValues!U42*$B$228),IF(LocalValues!U43="",$R$162*LocalValues!H43*$B$228,$R$162*LocalValues!U43*$B$228)),"-")</f>
        <v>-</v>
      </c>
      <c r="I228" s="112" t="str">
        <f>IFERROR(IF($J$55="No",IF(LocalValues!V42="",$R$162*LocalValues!I42*$B$228,$R$162*LocalValues!V42*$B$228),IF(LocalValues!V43="",$R$162*LocalValues!I43*$B$228,$R$162*LocalValues!V43*$B$228)),"-")</f>
        <v>-</v>
      </c>
      <c r="J228" s="112" t="str">
        <f>IFERROR(IF($J$55="No",IF(LocalValues!W42="",$R$162*LocalValues!J42*$B$228,$R$162*LocalValues!W42*$B$228),IF(LocalValues!W43="",$R$162*LocalValues!J43*$B$228,$R$162*LocalValues!W43*$B$228)),"-")</f>
        <v>-</v>
      </c>
      <c r="K228" s="112" t="str">
        <f>IFERROR(IF($J$55="No",IF(LocalValues!X42="",$R$162*LocalValues!K42*$B$228,$R$162*LocalValues!X42*$B$228),IF(LocalValues!X43="",$R$162*LocalValues!K43*$B$228,$R$162*LocalValues!X43*$B$228)),"-")</f>
        <v>-</v>
      </c>
      <c r="L228" s="112" t="str">
        <f>IFERROR(IF($J$55="No",IF(LocalValues!Y42="",$R$162*LocalValues!L42*$B$228,$R$162*LocalValues!Y42*$B$228),IF(LocalValues!Y43="",$R$162*LocalValues!L43*$B$228,$R$162*LocalValues!Y43*$B$228)),"-")</f>
        <v>-</v>
      </c>
      <c r="M228" s="125">
        <f t="shared" si="29"/>
        <v>0</v>
      </c>
    </row>
    <row r="229" spans="1:13" x14ac:dyDescent="0.2">
      <c r="A229" s="230" t="s">
        <v>20</v>
      </c>
      <c r="B229" s="112">
        <v>1</v>
      </c>
      <c r="C229" s="112" t="str">
        <f>IFERROR(IF($J$55="No",IF(LocalValues!P51="",$R$165*LocalValues!C51*$B$229,$R$165*LocalValues!P51*$B$229),IF(LocalValues!P52="",$R$165*LocalValues!C52*$B$229,$R$165*LocalValues!P52*$B$229)),"-")</f>
        <v>-</v>
      </c>
      <c r="D229" s="112" t="str">
        <f>IFERROR(IF($J$55="No",IF(LocalValues!Q51="",$R$165*LocalValues!D51*$B$229,$R$165*LocalValues!Q51*$B$229),IF(LocalValues!Q52="",$R$165*LocalValues!D52*$B$229,$R$165*LocalValues!Q52*$B$229)),"-")</f>
        <v>-</v>
      </c>
      <c r="E229" s="112" t="str">
        <f>IFERROR(IF($J$55="No",IF(LocalValues!R51="",$R$165*LocalValues!E51*$B$229,$R$165*LocalValues!R51*$B$229),IF(LocalValues!R52="",$R$165*LocalValues!E52*$B$229,$R$165*LocalValues!R52*$B$229)),"-")</f>
        <v>-</v>
      </c>
      <c r="F229" s="112" t="str">
        <f>IFERROR(IF($J$55="No",IF(LocalValues!S51="",$R$165*LocalValues!F51*$B$229,$R$165*LocalValues!S51*$B$229),IF(LocalValues!S52="",$R$165*LocalValues!F52*$B$229,$R$165*LocalValues!S52*$B$229)),"-")</f>
        <v>-</v>
      </c>
      <c r="G229" s="112" t="str">
        <f>IFERROR(IF($J$55="No",IF(LocalValues!T51="",$R$165*LocalValues!G51*$B$229,$R$165*LocalValues!T51*$B$229),IF(LocalValues!T52="",$R$165*LocalValues!G52*$B$229,$R$165*LocalValues!T52*$B$229)),"-")</f>
        <v>-</v>
      </c>
      <c r="H229" s="112" t="str">
        <f>IFERROR(IF($J$55="No",IF(LocalValues!U51="",$R$165*LocalValues!H51*$B$229,$R$165*LocalValues!U51*$B$229),IF(LocalValues!U52="",$R$165*LocalValues!H52*$B$229,$R$165*LocalValues!U52*$B$229)),"-")</f>
        <v>-</v>
      </c>
      <c r="I229" s="112" t="str">
        <f>IFERROR(IF($J$55="No",IF(LocalValues!V51="",$R$165*LocalValues!I51*$B$229,$R$165*LocalValues!V51*$B$229),IF(LocalValues!V52="",$R$165*LocalValues!I52*$B$229,$R$165*LocalValues!V52*$B$229)),"-")</f>
        <v>-</v>
      </c>
      <c r="J229" s="112" t="str">
        <f>IFERROR(IF($J$55="No",IF(LocalValues!W51="",$R$165*LocalValues!J51*$B$229,$R$165*LocalValues!W51*$B$229),IF(LocalValues!W52="",$R$165*LocalValues!J52*$B$229,$R$165*LocalValues!W52*$B$229)),"-")</f>
        <v>-</v>
      </c>
      <c r="K229" s="112" t="str">
        <f>IFERROR(IF($J$55="No",IF(LocalValues!X51="",$R$165*LocalValues!K51*$B$229,$R$165*LocalValues!X51*$B$229),IF(LocalValues!X52="",$R$165*LocalValues!K52*$B$229,$R$165*LocalValues!X52*$B$229)),"-")</f>
        <v>-</v>
      </c>
      <c r="L229" s="112" t="str">
        <f>IFERROR(IF($J$55="No",IF(LocalValues!Y51="",$R$165*LocalValues!L51*$B$229,$R$165*LocalValues!Y51*$B$229),IF(LocalValues!Y52="",$R$165*LocalValues!L52*$B$229,$R$165*LocalValues!Y52*$B$229)),"-")</f>
        <v>-</v>
      </c>
      <c r="M229" s="125">
        <f t="shared" si="29"/>
        <v>0</v>
      </c>
    </row>
    <row r="230" spans="1:13" ht="13.5" thickBot="1" x14ac:dyDescent="0.25">
      <c r="A230" s="186" t="s">
        <v>12</v>
      </c>
      <c r="B230" s="99"/>
      <c r="C230" s="188">
        <f>SUM(C225:C229)</f>
        <v>0</v>
      </c>
      <c r="D230" s="188">
        <f t="shared" ref="D230:L230" si="31">SUM(D225:D229)</f>
        <v>0</v>
      </c>
      <c r="E230" s="188">
        <f t="shared" si="31"/>
        <v>0</v>
      </c>
      <c r="F230" s="188">
        <f t="shared" si="31"/>
        <v>0</v>
      </c>
      <c r="G230" s="188">
        <f t="shared" si="31"/>
        <v>0</v>
      </c>
      <c r="H230" s="188">
        <f t="shared" si="31"/>
        <v>0</v>
      </c>
      <c r="I230" s="188">
        <f t="shared" si="31"/>
        <v>0</v>
      </c>
      <c r="J230" s="188">
        <f t="shared" si="31"/>
        <v>0</v>
      </c>
      <c r="K230" s="188">
        <f t="shared" si="31"/>
        <v>0</v>
      </c>
      <c r="L230" s="188">
        <f t="shared" si="31"/>
        <v>0</v>
      </c>
      <c r="M230" s="187">
        <f t="shared" si="29"/>
        <v>0</v>
      </c>
    </row>
    <row r="231" spans="1:13" ht="13.5" thickTop="1" x14ac:dyDescent="0.2"/>
  </sheetData>
  <sheetProtection algorithmName="SHA-512" hashValue="DszseF8Kzl+1hG6plGhsHxEpIdB5Qq2cgKCYS9XQ7BiFgYjuxQ8vhkc47oTNcDaFVhjNhwwE/j5a9Tah9k3nGQ==" saltValue="tPZcE6tgAHGkBpIzuvt2ww==" spinCount="100000" sheet="1" objects="1" scenarios="1"/>
  <mergeCells count="282">
    <mergeCell ref="A2:M2"/>
    <mergeCell ref="A3:G3"/>
    <mergeCell ref="H3:M3"/>
    <mergeCell ref="A4:C4"/>
    <mergeCell ref="E4:G4"/>
    <mergeCell ref="H4:J4"/>
    <mergeCell ref="K4:N4"/>
    <mergeCell ref="A7:C7"/>
    <mergeCell ref="E7:G7"/>
    <mergeCell ref="K7:N7"/>
    <mergeCell ref="K8:N8"/>
    <mergeCell ref="A9:G9"/>
    <mergeCell ref="H9:I9"/>
    <mergeCell ref="J9:M9"/>
    <mergeCell ref="A5:C5"/>
    <mergeCell ref="E5:G5"/>
    <mergeCell ref="H5:J5"/>
    <mergeCell ref="K5:N5"/>
    <mergeCell ref="A6:C6"/>
    <mergeCell ref="E6:G6"/>
    <mergeCell ref="H6:J6"/>
    <mergeCell ref="K6:N6"/>
    <mergeCell ref="A12:D12"/>
    <mergeCell ref="H12:I12"/>
    <mergeCell ref="J12:M12"/>
    <mergeCell ref="A13:D13"/>
    <mergeCell ref="H13:I13"/>
    <mergeCell ref="J13:M13"/>
    <mergeCell ref="A10:G10"/>
    <mergeCell ref="H10:I10"/>
    <mergeCell ref="J10:M10"/>
    <mergeCell ref="A11:G11"/>
    <mergeCell ref="H11:I11"/>
    <mergeCell ref="J11:M11"/>
    <mergeCell ref="A17:M17"/>
    <mergeCell ref="A18:F18"/>
    <mergeCell ref="H18:I18"/>
    <mergeCell ref="J18:M18"/>
    <mergeCell ref="A19:F19"/>
    <mergeCell ref="H19:I19"/>
    <mergeCell ref="J19:M19"/>
    <mergeCell ref="A14:F14"/>
    <mergeCell ref="H14:I14"/>
    <mergeCell ref="J14:M14"/>
    <mergeCell ref="A15:M15"/>
    <mergeCell ref="A16:F16"/>
    <mergeCell ref="H16:I16"/>
    <mergeCell ref="J16:M16"/>
    <mergeCell ref="A22:F22"/>
    <mergeCell ref="H22:I22"/>
    <mergeCell ref="J22:M22"/>
    <mergeCell ref="A23:F23"/>
    <mergeCell ref="H23:I23"/>
    <mergeCell ref="J23:M23"/>
    <mergeCell ref="A20:F20"/>
    <mergeCell ref="H20:I20"/>
    <mergeCell ref="J20:M20"/>
    <mergeCell ref="A21:F21"/>
    <mergeCell ref="H21:I21"/>
    <mergeCell ref="J21:M21"/>
    <mergeCell ref="A26:F26"/>
    <mergeCell ref="H26:I26"/>
    <mergeCell ref="J26:M26"/>
    <mergeCell ref="A27:F27"/>
    <mergeCell ref="H27:I27"/>
    <mergeCell ref="J27:M27"/>
    <mergeCell ref="A24:F24"/>
    <mergeCell ref="H24:I24"/>
    <mergeCell ref="J24:M24"/>
    <mergeCell ref="A25:F25"/>
    <mergeCell ref="H25:I25"/>
    <mergeCell ref="J25:M25"/>
    <mergeCell ref="A30:F30"/>
    <mergeCell ref="H30:I30"/>
    <mergeCell ref="J30:M30"/>
    <mergeCell ref="A31:F31"/>
    <mergeCell ref="H31:I31"/>
    <mergeCell ref="J31:M31"/>
    <mergeCell ref="A28:F28"/>
    <mergeCell ref="H28:I28"/>
    <mergeCell ref="J28:M28"/>
    <mergeCell ref="A29:F29"/>
    <mergeCell ref="H29:I29"/>
    <mergeCell ref="J29:M29"/>
    <mergeCell ref="A34:F34"/>
    <mergeCell ref="H34:I34"/>
    <mergeCell ref="J34:M34"/>
    <mergeCell ref="A35:M35"/>
    <mergeCell ref="A36:F36"/>
    <mergeCell ref="H36:I36"/>
    <mergeCell ref="J36:M36"/>
    <mergeCell ref="A32:F32"/>
    <mergeCell ref="H32:I32"/>
    <mergeCell ref="J32:M32"/>
    <mergeCell ref="A33:F33"/>
    <mergeCell ref="H33:I33"/>
    <mergeCell ref="J33:M33"/>
    <mergeCell ref="A39:F39"/>
    <mergeCell ref="H39:I39"/>
    <mergeCell ref="J39:M39"/>
    <mergeCell ref="A40:F40"/>
    <mergeCell ref="H40:I40"/>
    <mergeCell ref="J40:M40"/>
    <mergeCell ref="A37:F37"/>
    <mergeCell ref="H37:I37"/>
    <mergeCell ref="J37:M37"/>
    <mergeCell ref="A38:F38"/>
    <mergeCell ref="H38:I38"/>
    <mergeCell ref="J38:M38"/>
    <mergeCell ref="A43:F43"/>
    <mergeCell ref="H43:I43"/>
    <mergeCell ref="J43:M43"/>
    <mergeCell ref="A44:F44"/>
    <mergeCell ref="H44:I44"/>
    <mergeCell ref="J44:M44"/>
    <mergeCell ref="A41:F41"/>
    <mergeCell ref="H41:I41"/>
    <mergeCell ref="J41:M41"/>
    <mergeCell ref="A42:F42"/>
    <mergeCell ref="H42:I42"/>
    <mergeCell ref="J42:M42"/>
    <mergeCell ref="A47:M47"/>
    <mergeCell ref="A48:F48"/>
    <mergeCell ref="H48:I48"/>
    <mergeCell ref="J48:M48"/>
    <mergeCell ref="A49:F49"/>
    <mergeCell ref="H49:I49"/>
    <mergeCell ref="J49:M49"/>
    <mergeCell ref="A45:F45"/>
    <mergeCell ref="H45:I45"/>
    <mergeCell ref="J45:M45"/>
    <mergeCell ref="A46:F46"/>
    <mergeCell ref="H46:I46"/>
    <mergeCell ref="J46:M46"/>
    <mergeCell ref="A52:F52"/>
    <mergeCell ref="H52:I52"/>
    <mergeCell ref="J52:M52"/>
    <mergeCell ref="A53:F53"/>
    <mergeCell ref="H53:I53"/>
    <mergeCell ref="J53:M53"/>
    <mergeCell ref="A50:F50"/>
    <mergeCell ref="H50:I50"/>
    <mergeCell ref="J50:M50"/>
    <mergeCell ref="A51:F51"/>
    <mergeCell ref="H51:I51"/>
    <mergeCell ref="J51:M51"/>
    <mergeCell ref="A57:F57"/>
    <mergeCell ref="H57:I57"/>
    <mergeCell ref="J57:M57"/>
    <mergeCell ref="A58:F58"/>
    <mergeCell ref="H58:I58"/>
    <mergeCell ref="J58:M58"/>
    <mergeCell ref="A54:M54"/>
    <mergeCell ref="A55:F55"/>
    <mergeCell ref="H55:I55"/>
    <mergeCell ref="J55:M55"/>
    <mergeCell ref="A56:F56"/>
    <mergeCell ref="H56:I56"/>
    <mergeCell ref="J56:M56"/>
    <mergeCell ref="A61:G61"/>
    <mergeCell ref="H61:I61"/>
    <mergeCell ref="J61:M61"/>
    <mergeCell ref="A62:N62"/>
    <mergeCell ref="A63:G63"/>
    <mergeCell ref="H63:I63"/>
    <mergeCell ref="J63:M63"/>
    <mergeCell ref="A59:F59"/>
    <mergeCell ref="H59:I59"/>
    <mergeCell ref="J59:M59"/>
    <mergeCell ref="A60:G60"/>
    <mergeCell ref="H60:I60"/>
    <mergeCell ref="J60:M60"/>
    <mergeCell ref="A70:K70"/>
    <mergeCell ref="A71:A72"/>
    <mergeCell ref="B71:B72"/>
    <mergeCell ref="C71:F71"/>
    <mergeCell ref="G71:G72"/>
    <mergeCell ref="H71:H72"/>
    <mergeCell ref="I71:I72"/>
    <mergeCell ref="J71:K72"/>
    <mergeCell ref="A64:G64"/>
    <mergeCell ref="H64:I64"/>
    <mergeCell ref="J64:M64"/>
    <mergeCell ref="A65:M65"/>
    <mergeCell ref="A66:G66"/>
    <mergeCell ref="H66:M66"/>
    <mergeCell ref="J79:K79"/>
    <mergeCell ref="A82:M82"/>
    <mergeCell ref="A83:M83"/>
    <mergeCell ref="A84:B84"/>
    <mergeCell ref="A85:B85"/>
    <mergeCell ref="A86:B86"/>
    <mergeCell ref="J73:K73"/>
    <mergeCell ref="J74:K74"/>
    <mergeCell ref="J75:K75"/>
    <mergeCell ref="J76:K76"/>
    <mergeCell ref="J77:K77"/>
    <mergeCell ref="J78:K78"/>
    <mergeCell ref="A95:B95"/>
    <mergeCell ref="A96:B96"/>
    <mergeCell ref="A98:M98"/>
    <mergeCell ref="A99:B99"/>
    <mergeCell ref="A100:B100"/>
    <mergeCell ref="A102:M102"/>
    <mergeCell ref="A88:M88"/>
    <mergeCell ref="A89:B89"/>
    <mergeCell ref="A90:B90"/>
    <mergeCell ref="A91:B91"/>
    <mergeCell ref="A93:M93"/>
    <mergeCell ref="A94:B94"/>
    <mergeCell ref="A110:B110"/>
    <mergeCell ref="A112:M112"/>
    <mergeCell ref="A113:B113"/>
    <mergeCell ref="A114:B116"/>
    <mergeCell ref="M114:M116"/>
    <mergeCell ref="A117:B120"/>
    <mergeCell ref="M117:M120"/>
    <mergeCell ref="A103:B103"/>
    <mergeCell ref="A104:B104"/>
    <mergeCell ref="A105:B105"/>
    <mergeCell ref="A107:M107"/>
    <mergeCell ref="A108:B108"/>
    <mergeCell ref="A109:B109"/>
    <mergeCell ref="A129:B129"/>
    <mergeCell ref="A131:M131"/>
    <mergeCell ref="A132:B132"/>
    <mergeCell ref="A133:B133"/>
    <mergeCell ref="A135:M135"/>
    <mergeCell ref="A136:B136"/>
    <mergeCell ref="A122:M122"/>
    <mergeCell ref="A123:B123"/>
    <mergeCell ref="A124:B124"/>
    <mergeCell ref="A126:M126"/>
    <mergeCell ref="A127:B127"/>
    <mergeCell ref="A128:B128"/>
    <mergeCell ref="A145:M145"/>
    <mergeCell ref="A146:B146"/>
    <mergeCell ref="A147:B147"/>
    <mergeCell ref="A148:B148"/>
    <mergeCell ref="A150:M150"/>
    <mergeCell ref="A151:B151"/>
    <mergeCell ref="A137:B137"/>
    <mergeCell ref="A138:B138"/>
    <mergeCell ref="A140:M140"/>
    <mergeCell ref="A141:B141"/>
    <mergeCell ref="A142:B142"/>
    <mergeCell ref="A143:B143"/>
    <mergeCell ref="A168:O168"/>
    <mergeCell ref="A184:L184"/>
    <mergeCell ref="A185:A186"/>
    <mergeCell ref="B185:B186"/>
    <mergeCell ref="C185:G185"/>
    <mergeCell ref="H185:L185"/>
    <mergeCell ref="A152:B152"/>
    <mergeCell ref="A153:B153"/>
    <mergeCell ref="A154:B154"/>
    <mergeCell ref="A155:B155"/>
    <mergeCell ref="A156:B156"/>
    <mergeCell ref="A158:R158"/>
    <mergeCell ref="A205:A206"/>
    <mergeCell ref="B205:B206"/>
    <mergeCell ref="C205:G205"/>
    <mergeCell ref="H205:L205"/>
    <mergeCell ref="M205:M206"/>
    <mergeCell ref="A213:M213"/>
    <mergeCell ref="A193:L193"/>
    <mergeCell ref="A194:A195"/>
    <mergeCell ref="B194:B195"/>
    <mergeCell ref="C194:G194"/>
    <mergeCell ref="H194:L194"/>
    <mergeCell ref="A204:M204"/>
    <mergeCell ref="A223:A224"/>
    <mergeCell ref="B223:B224"/>
    <mergeCell ref="C223:G223"/>
    <mergeCell ref="H223:L223"/>
    <mergeCell ref="M223:M224"/>
    <mergeCell ref="A214:A215"/>
    <mergeCell ref="B214:B215"/>
    <mergeCell ref="C214:G214"/>
    <mergeCell ref="H214:L214"/>
    <mergeCell ref="M214:M215"/>
    <mergeCell ref="A222:M222"/>
  </mergeCells>
  <conditionalFormatting sqref="J12:M12 J13">
    <cfRule type="cellIs" dxfId="405" priority="29" stopIfTrue="1" operator="greaterThan">
      <formula>$F$12</formula>
    </cfRule>
  </conditionalFormatting>
  <conditionalFormatting sqref="J52">
    <cfRule type="cellIs" dxfId="404" priority="28" stopIfTrue="1" operator="greaterThan">
      <formula>$F$12</formula>
    </cfRule>
  </conditionalFormatting>
  <conditionalFormatting sqref="J53">
    <cfRule type="cellIs" dxfId="403" priority="27" stopIfTrue="1" operator="greaterThan">
      <formula>$F$12</formula>
    </cfRule>
  </conditionalFormatting>
  <conditionalFormatting sqref="A26:M26">
    <cfRule type="expression" dxfId="402" priority="25">
      <formula>$N$26="N/A"</formula>
    </cfRule>
  </conditionalFormatting>
  <conditionalFormatting sqref="A28:M28">
    <cfRule type="expression" dxfId="401" priority="26">
      <formula>$N$28="N/A"</formula>
    </cfRule>
  </conditionalFormatting>
  <conditionalFormatting sqref="A30:M30">
    <cfRule type="expression" dxfId="400" priority="24">
      <formula>$N$30="N/A"</formula>
    </cfRule>
  </conditionalFormatting>
  <conditionalFormatting sqref="A32:M32">
    <cfRule type="expression" dxfId="399" priority="23">
      <formula>$N$32="N/A"</formula>
    </cfRule>
  </conditionalFormatting>
  <conditionalFormatting sqref="A34:M34">
    <cfRule type="expression" dxfId="398" priority="22">
      <formula>$N$34="N/A"</formula>
    </cfRule>
  </conditionalFormatting>
  <conditionalFormatting sqref="A40:M40">
    <cfRule type="expression" dxfId="397" priority="21">
      <formula>$N$40="N/A"</formula>
    </cfRule>
  </conditionalFormatting>
  <conditionalFormatting sqref="A42:M42">
    <cfRule type="expression" dxfId="396" priority="20">
      <formula>$N$42="N/A"</formula>
    </cfRule>
  </conditionalFormatting>
  <conditionalFormatting sqref="A44:M44">
    <cfRule type="expression" dxfId="395" priority="19">
      <formula>$N$44="N/A"</formula>
    </cfRule>
  </conditionalFormatting>
  <conditionalFormatting sqref="A46:M46">
    <cfRule type="expression" dxfId="394" priority="18">
      <formula>$N$46="N/A"</formula>
    </cfRule>
  </conditionalFormatting>
  <conditionalFormatting sqref="A49:M49">
    <cfRule type="expression" dxfId="393" priority="17">
      <formula>$N$49="N/A"</formula>
    </cfRule>
  </conditionalFormatting>
  <conditionalFormatting sqref="A50:M50">
    <cfRule type="expression" dxfId="392" priority="16">
      <formula>$N$50="N/A"</formula>
    </cfRule>
  </conditionalFormatting>
  <conditionalFormatting sqref="A51:M51">
    <cfRule type="expression" dxfId="391" priority="15">
      <formula>$N$51="N/A"</formula>
    </cfRule>
  </conditionalFormatting>
  <conditionalFormatting sqref="A52:M52">
    <cfRule type="expression" dxfId="390" priority="14">
      <formula>$N$52="N/A"</formula>
    </cfRule>
  </conditionalFormatting>
  <conditionalFormatting sqref="A53:M53">
    <cfRule type="expression" dxfId="389" priority="13">
      <formula>$N$53="N/A"</formula>
    </cfRule>
  </conditionalFormatting>
  <conditionalFormatting sqref="A56:M56">
    <cfRule type="expression" dxfId="388" priority="12">
      <formula>$N$56="N/A"</formula>
    </cfRule>
  </conditionalFormatting>
  <conditionalFormatting sqref="A57:M57">
    <cfRule type="expression" dxfId="387" priority="11">
      <formula>$N$57="N/A"</formula>
    </cfRule>
  </conditionalFormatting>
  <conditionalFormatting sqref="A58:M58">
    <cfRule type="expression" dxfId="386" priority="10">
      <formula>$N$58="N/A"</formula>
    </cfRule>
  </conditionalFormatting>
  <conditionalFormatting sqref="A59:M59">
    <cfRule type="expression" dxfId="385" priority="9">
      <formula>$N$59="N/A"</formula>
    </cfRule>
  </conditionalFormatting>
  <conditionalFormatting sqref="A60:M60">
    <cfRule type="expression" dxfId="384" priority="8">
      <formula>$N$60="N/A"</formula>
    </cfRule>
  </conditionalFormatting>
  <conditionalFormatting sqref="A13:M13">
    <cfRule type="expression" dxfId="383" priority="7">
      <formula>$N$13="N/A"</formula>
    </cfRule>
  </conditionalFormatting>
  <conditionalFormatting sqref="A38:M38">
    <cfRule type="expression" dxfId="382" priority="6">
      <formula>$N$38="N/A"</formula>
    </cfRule>
  </conditionalFormatting>
  <conditionalFormatting sqref="A48:M48">
    <cfRule type="expression" dxfId="381" priority="5">
      <formula>$N$48="N/A"</formula>
    </cfRule>
  </conditionalFormatting>
  <conditionalFormatting sqref="A64:M64">
    <cfRule type="expression" dxfId="380" priority="4">
      <formula>$N$64="N/A"</formula>
    </cfRule>
  </conditionalFormatting>
  <conditionalFormatting sqref="A19:M19">
    <cfRule type="expression" dxfId="379" priority="3">
      <formula>$N$19="N/A"</formula>
    </cfRule>
  </conditionalFormatting>
  <conditionalFormatting sqref="A23:M23">
    <cfRule type="expression" dxfId="378" priority="2">
      <formula>$N$23="N/A"</formula>
    </cfRule>
  </conditionalFormatting>
  <conditionalFormatting sqref="A36:M36">
    <cfRule type="expression" dxfId="377" priority="1">
      <formula>$N$36="N/A"</formula>
    </cfRule>
  </conditionalFormatting>
  <dataValidations count="3">
    <dataValidation type="decimal" operator="greaterThan" allowBlank="1" showInputMessage="1" showErrorMessage="1" sqref="J11:M11">
      <formula1>0</formula1>
    </dataValidation>
    <dataValidation type="whole" allowBlank="1" showInputMessage="1" showErrorMessage="1" sqref="K12:M12 J12:J13">
      <formula1>0</formula1>
      <formula2>66000</formula2>
    </dataValidation>
    <dataValidation type="whole" operator="greaterThan" allowBlank="1" showInputMessage="1" showErrorMessage="1" sqref="K8">
      <formula1>1990</formula1>
    </dataValidation>
  </dataValidations>
  <pageMargins left="0.7" right="0.7" top="0.75" bottom="0.75" header="0.3" footer="0.3"/>
  <pageSetup scale="76" fitToHeight="4" orientation="landscape" r:id="rId1"/>
  <headerFooter>
    <oddHeader>&amp;CHSM Urban and Suburban Arterial Predictive Method</oddHeader>
    <oddFooter>&amp;R&amp;P</oddFooter>
  </headerFooter>
  <drawing r:id="rId2"/>
  <legacyDrawing r:id="rId3"/>
  <extLst>
    <ext xmlns:x14="http://schemas.microsoft.com/office/spreadsheetml/2009/9/main" uri="{CCE6A557-97BC-4b89-ADB6-D9C93CAAB3DF}">
      <x14:dataValidations xmlns:xm="http://schemas.microsoft.com/office/excel/2006/main" count="5">
        <x14:dataValidation type="list" operator="greaterThan" allowBlank="1" showInputMessage="1" showErrorMessage="1">
          <x14:formula1>
            <xm:f>Menus!$B$2:$B$4</xm:f>
          </x14:formula1>
          <xm:sqref>J10:M10</xm:sqref>
        </x14:dataValidation>
        <x14:dataValidation type="list" allowBlank="1" showInputMessage="1" showErrorMessage="1">
          <x14:formula1>
            <xm:f>Menus!$B$7:$B$12</xm:f>
          </x14:formula1>
          <xm:sqref>J14:M14</xm:sqref>
        </x14:dataValidation>
        <x14:dataValidation type="list" allowBlank="1" showInputMessage="1" showErrorMessage="1">
          <x14:formula1>
            <xm:f>Menus!$B$15:$B$16</xm:f>
          </x14:formula1>
          <xm:sqref>J55:M55</xm:sqref>
        </x14:dataValidation>
        <x14:dataValidation type="list" allowBlank="1" showInputMessage="1" showErrorMessage="1">
          <x14:formula1>
            <xm:f>Menus!$B$19:$B$20</xm:f>
          </x14:formula1>
          <xm:sqref>J56:M56</xm:sqref>
        </x14:dataValidation>
        <x14:dataValidation type="list" allowBlank="1" showInputMessage="1" showErrorMessage="1">
          <x14:formula1>
            <xm:f>Menus!$B$23:$B$24</xm:f>
          </x14:formula1>
          <xm:sqref>J63:M63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96AA9694BF544A56402EBED0AC199" ma:contentTypeVersion="6" ma:contentTypeDescription="Create a new document." ma:contentTypeScope="" ma:versionID="a06e1d2557ced3f29c028c70b9f16d0c">
  <xsd:schema xmlns:xsd="http://www.w3.org/2001/XMLSchema" xmlns:xs="http://www.w3.org/2001/XMLSchema" xmlns:p="http://schemas.microsoft.com/office/2006/metadata/properties" xmlns:ns2="38d9a86e-6d4c-429b-a252-6af6a7251687" xmlns:ns3="8e451349-bfbb-472b-ab4e-77edf043b4e3" targetNamespace="http://schemas.microsoft.com/office/2006/metadata/properties" ma:root="true" ma:fieldsID="17c286f9be1629abad8dd4702d160b1b" ns2:_="" ns3:_="">
    <xsd:import namespace="38d9a86e-6d4c-429b-a252-6af6a7251687"/>
    <xsd:import namespace="8e451349-bfbb-472b-ab4e-77edf043b4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9a86e-6d4c-429b-a252-6af6a72516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451349-bfbb-472b-ab4e-77edf043b4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659BBF-896C-4AFE-B1F8-93C7B1E93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9a86e-6d4c-429b-a252-6af6a7251687"/>
    <ds:schemaRef ds:uri="8e451349-bfbb-472b-ab4e-77edf043b4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DF843E-9013-46A6-B519-5135C2F151CD}">
  <ds:schemaRefs>
    <ds:schemaRef ds:uri="http://schemas.microsoft.com/sharepoint/v3/contenttype/forms"/>
  </ds:schemaRefs>
</ds:datastoreItem>
</file>

<file path=customXml/itemProps3.xml><?xml version="1.0" encoding="utf-8"?>
<ds:datastoreItem xmlns:ds="http://schemas.openxmlformats.org/officeDocument/2006/customXml" ds:itemID="{7DC04889-87E4-4650-A590-36753F51E91F}">
  <ds:schemaRefs>
    <ds:schemaRef ds:uri="http://purl.org/dc/terms/"/>
    <ds:schemaRef ds:uri="http://schemas.microsoft.com/office/2006/documentManagement/types"/>
    <ds:schemaRef ds:uri="http://www.w3.org/XML/1998/namespace"/>
    <ds:schemaRef ds:uri="http://purl.org/dc/elements/1.1/"/>
    <ds:schemaRef ds:uri="http://purl.org/dc/dcmitype/"/>
    <ds:schemaRef ds:uri="http://schemas.openxmlformats.org/package/2006/metadata/core-properties"/>
    <ds:schemaRef ds:uri="http://schemas.microsoft.com/office/infopath/2007/PartnerControls"/>
    <ds:schemaRef ds:uri="http://schemas.microsoft.com/office/2006/metadata/properties"/>
    <ds:schemaRef ds:uri="8e451349-bfbb-472b-ab4e-77edf043b4e3"/>
    <ds:schemaRef ds:uri="38d9a86e-6d4c-429b-a252-6af6a72516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20</vt:i4>
      </vt:variant>
    </vt:vector>
  </HeadingPairs>
  <TitlesOfParts>
    <vt:vector size="45" baseType="lpstr">
      <vt:lpstr>Welcome</vt:lpstr>
      <vt:lpstr>Instructions</vt:lpstr>
      <vt:lpstr>Segment1</vt:lpstr>
      <vt:lpstr>Segment2</vt:lpstr>
      <vt:lpstr>Segment3</vt:lpstr>
      <vt:lpstr>Segment4</vt:lpstr>
      <vt:lpstr>Segment5</vt:lpstr>
      <vt:lpstr>Segment6</vt:lpstr>
      <vt:lpstr>Segment7</vt:lpstr>
      <vt:lpstr>Segment8</vt:lpstr>
      <vt:lpstr>Segment9</vt:lpstr>
      <vt:lpstr>Segment10</vt:lpstr>
      <vt:lpstr>Segment11</vt:lpstr>
      <vt:lpstr>Segment12</vt:lpstr>
      <vt:lpstr>Segment13</vt:lpstr>
      <vt:lpstr>Segment14</vt:lpstr>
      <vt:lpstr>Segment15</vt:lpstr>
      <vt:lpstr>Segment16</vt:lpstr>
      <vt:lpstr>Segment17</vt:lpstr>
      <vt:lpstr>Segment18</vt:lpstr>
      <vt:lpstr>Segment19</vt:lpstr>
      <vt:lpstr>Segment20</vt:lpstr>
      <vt:lpstr>LocalValues</vt:lpstr>
      <vt:lpstr>Summary</vt:lpstr>
      <vt:lpstr>Menus</vt:lpstr>
      <vt:lpstr>Segment1!Print_Area</vt:lpstr>
      <vt:lpstr>Segment10!Print_Area</vt:lpstr>
      <vt:lpstr>Segment11!Print_Area</vt:lpstr>
      <vt:lpstr>Segment12!Print_Area</vt:lpstr>
      <vt:lpstr>Segment13!Print_Area</vt:lpstr>
      <vt:lpstr>Segment14!Print_Area</vt:lpstr>
      <vt:lpstr>Segment15!Print_Area</vt:lpstr>
      <vt:lpstr>Segment16!Print_Area</vt:lpstr>
      <vt:lpstr>Segment17!Print_Area</vt:lpstr>
      <vt:lpstr>Segment18!Print_Area</vt:lpstr>
      <vt:lpstr>Segment19!Print_Area</vt:lpstr>
      <vt:lpstr>Segment2!Print_Area</vt:lpstr>
      <vt:lpstr>Segment20!Print_Area</vt:lpstr>
      <vt:lpstr>Segment3!Print_Area</vt:lpstr>
      <vt:lpstr>Segment4!Print_Area</vt:lpstr>
      <vt:lpstr>Segment5!Print_Area</vt:lpstr>
      <vt:lpstr>Segment6!Print_Area</vt:lpstr>
      <vt:lpstr>Segment7!Print_Area</vt:lpstr>
      <vt:lpstr>Segment8!Print_Area</vt:lpstr>
      <vt:lpstr>Segment9!Print_Area</vt:lpstr>
    </vt:vector>
  </TitlesOfParts>
  <Company>Kittelson &amp;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pjenior@kittelson.com</dc:creator>
  <dc:description>Prepared through NCHRP Project 17-89</dc:description>
  <cp:lastModifiedBy>Mackie, Paul</cp:lastModifiedBy>
  <cp:lastPrinted>2010-11-22T18:15:00Z</cp:lastPrinted>
  <dcterms:created xsi:type="dcterms:W3CDTF">2009-11-22T21:24:43Z</dcterms:created>
  <dcterms:modified xsi:type="dcterms:W3CDTF">2021-11-03T21:14:24Z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0x0101007C996AA9694BF544A56402EBED0AC199</vt:lpwstr>
  </property>
</Properties>
</file>