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240" windowWidth="11880" windowHeight="8385"/>
  </bookViews>
  <sheets>
    <sheet name="Input" sheetId="9" r:id="rId1"/>
    <sheet name="Step 1" sheetId="1" r:id="rId2"/>
    <sheet name="Step 2" sheetId="2" r:id="rId3"/>
    <sheet name="Step 3" sheetId="3" r:id="rId4"/>
    <sheet name="Step 4" sheetId="6" r:id="rId5"/>
    <sheet name="Step 5" sheetId="7" r:id="rId6"/>
    <sheet name="Fiscal" sheetId="8" r:id="rId7"/>
    <sheet name="Defaults" sheetId="5" r:id="rId8"/>
    <sheet name="Lists" sheetId="4" r:id="rId9"/>
    <sheet name="Name Manager" sheetId="10" r:id="rId10"/>
  </sheets>
  <definedNames>
    <definedName name="_xlnm._FilterDatabase" localSheetId="8" hidden="1">Lists!$A$19:$A$21</definedName>
    <definedName name="ColAutoMax">Lists!$D$43:$D$59</definedName>
    <definedName name="ColAutoMax_CR">Lists!$AY$43:$AY$59</definedName>
    <definedName name="ColAutoMax_HR">Lists!$AD$43:$AD$59</definedName>
    <definedName name="ColAutoMax_LR">Lists!$BT$43:$BT$59</definedName>
    <definedName name="ColAutoMin">Lists!$C$43:$C$59</definedName>
    <definedName name="ColAutoMin_CR">Lists!$AX$43:$AX$59</definedName>
    <definedName name="ColAutoMin_HR">Lists!$AC$43:$AC$59</definedName>
    <definedName name="ColAutoMin_LR">Lists!$BS$43:$BS$59</definedName>
    <definedName name="ColAutoPercent">Lists!$B$43:$B$59</definedName>
    <definedName name="ColAutoPercent_CR">Lists!$AW$43:$AW$59</definedName>
    <definedName name="ColAutoPercent_HR">Lists!$AB$43:$AB$59</definedName>
    <definedName name="ColAutoPercent_LR">Lists!$BR$43:$BR$59</definedName>
    <definedName name="ColAutoStdDev">Lists!$E$43:$E$59</definedName>
    <definedName name="ColAutoStDev_CR">Lists!$AZ$43:$AZ$59</definedName>
    <definedName name="ColAutoStDev_HR">Lists!$AE$43:$AE$59</definedName>
    <definedName name="ColAutoStDev_LR">Lists!$BU$43:$BU$59</definedName>
    <definedName name="ColBicycleMax">Lists!$P$43:$P$59</definedName>
    <definedName name="ColBicycleMax_CR">Lists!$BK$43:$BK$59</definedName>
    <definedName name="ColBicycleMax_HR">Lists!$AP$43:$AP$59</definedName>
    <definedName name="ColBicycleMax_LR">Lists!$CF$43:$CF$59</definedName>
    <definedName name="ColBicycleMin">Lists!$O$43:$O$59</definedName>
    <definedName name="ColBicycleMin_CR">Lists!$BJ$43:$BJ$59</definedName>
    <definedName name="ColBicycleMin_HR">Lists!$AO$43:$AO$59</definedName>
    <definedName name="ColBicycleMin_LR">Lists!$CE$43:$CE$59</definedName>
    <definedName name="ColBicyclePercent">Lists!$N$43:$N$59</definedName>
    <definedName name="ColBicyclePercent_CR">Lists!$BI$43:$BI$59</definedName>
    <definedName name="ColBicyclePercent_HR">Lists!$AN$43:$AN$59</definedName>
    <definedName name="ColBicyclePercent_LR">Lists!$CD$43:$CD$59</definedName>
    <definedName name="ColBicycleStdDev">Lists!$Q$43:$Q$59</definedName>
    <definedName name="ColBicycleStDev_CR">Lists!$BL$43:$BL$59</definedName>
    <definedName name="ColBicycleStDev_HR">Lists!$AQ$43:$AQ$59</definedName>
    <definedName name="ColBicycleStDev_LR">Lists!$CG$43:$CG$59</definedName>
    <definedName name="ColClimateBike">Defaults!$C$45:$C$49</definedName>
    <definedName name="ColClimatePed">Defaults!$B$45:$B$49</definedName>
    <definedName name="ColDropOffMax">Lists!$H$43:$H$59</definedName>
    <definedName name="ColDropOffMax_CR">Lists!$BC$43:$BC$59</definedName>
    <definedName name="ColDropOffMax_HR">Lists!$AH$43:$AH$59</definedName>
    <definedName name="ColDropOffMax_LR">Lists!$BX$43:$BX$59</definedName>
    <definedName name="ColDropOffMin">Lists!$G$43:$G$59</definedName>
    <definedName name="ColDropOffMin_CR">Lists!$BB$43:$BB$59</definedName>
    <definedName name="ColDropOffMin_HR">Lists!$AG$43:$AG$59</definedName>
    <definedName name="ColDropOffMin_LR">Lists!$BW$43:$BW$59</definedName>
    <definedName name="ColDropOffPercent">Lists!$F$43:$F$59</definedName>
    <definedName name="ColDropOffPercent_CR">Lists!$BA$43:$BA$59</definedName>
    <definedName name="ColDropOffPercent_HR">Lists!$AF$43:$AF$59</definedName>
    <definedName name="ColDropOffPercent_LR">Lists!$BV$43:$BV$59</definedName>
    <definedName name="ColDropOffStdDev">Lists!$I$43:$I$59</definedName>
    <definedName name="ColDropOffStdDev_CR">Lists!$BD$43:$BD$59</definedName>
    <definedName name="ColDropOffStDev_CR">Lists!$BD$43:$BD$59</definedName>
    <definedName name="ColDropOffStDev_HR">Lists!$AI$43:$AI$59</definedName>
    <definedName name="ColDropOffStDev_LR">Lists!$BY$43:$BY$59</definedName>
    <definedName name="ColFeederBusPercent">Lists!$J$43:$J$59</definedName>
    <definedName name="ColFeederMax">Lists!$L$43:$L$59</definedName>
    <definedName name="ColFeederMax_CR">Lists!$BG$43:$BG$59</definedName>
    <definedName name="ColFeederMax_HR">Lists!$AL$43:$AL$59</definedName>
    <definedName name="ColFeederMax_LR">Lists!$CB$43:$CB$59</definedName>
    <definedName name="ColFeederMin">Lists!$K$43:$K$59</definedName>
    <definedName name="ColFeederMin_CR">Lists!$BF$43:$BF$59</definedName>
    <definedName name="ColFeederMin_HR">Lists!$AK$43:$AK$59</definedName>
    <definedName name="ColFeederMin_LR">Lists!$CA$43:$CA$59</definedName>
    <definedName name="ColFeederPercent_CR">Lists!$BE$43:$BE$59</definedName>
    <definedName name="ColFeederPercent_HR">Lists!$AJ$43:$AJ$59</definedName>
    <definedName name="ColFeederPercent_LR">Lists!$BZ$43:$BZ$59</definedName>
    <definedName name="ColFeederStdDev">Lists!$M$43:$M$59</definedName>
    <definedName name="ColFeederStDev_CR">Lists!$BH$43:$BH$59</definedName>
    <definedName name="ColFeederStDev_HR">Lists!$AM$43:$AM$59</definedName>
    <definedName name="ColFeederStDev_LR">Lists!$CC$43:$CC$59</definedName>
    <definedName name="ColParkingAvg">Lists!$W$43:$W$59</definedName>
    <definedName name="ColParkingMax">Lists!$Y$43:$Y$59</definedName>
    <definedName name="ColParkingMin">Lists!$X$43:$X$59</definedName>
    <definedName name="ColParkingPrice">Lists!$V$43:$V$59</definedName>
    <definedName name="ColParkingStdDev">Lists!$Z$43:$Z$59</definedName>
    <definedName name="ColTopographyBike">Defaults!$C$56:$C$60</definedName>
    <definedName name="ColTopographyPed">Defaults!$B$56:$B$60</definedName>
    <definedName name="ColWalkMax">Lists!$T$43:$T$59</definedName>
    <definedName name="ColWalkMax_CR">Lists!$BO$43:$BO$59</definedName>
    <definedName name="ColWalkMax_HR">Lists!$AT$43:$AT$59</definedName>
    <definedName name="ColWalkMax_LR">Lists!$CJ$43:$CJ$59</definedName>
    <definedName name="ColWalkMin">Lists!$S$43:$S$59</definedName>
    <definedName name="ColWalkMin_CR">Lists!$BN$43:$BN$59</definedName>
    <definedName name="ColWalkMin_HR">Lists!$AS$43:$AS$59</definedName>
    <definedName name="ColWalkMin_LR">Lists!$CI$43:$CI$59</definedName>
    <definedName name="ColWalkPercent">Lists!$R$43:$R$59</definedName>
    <definedName name="ColWalkPercent_CR">Lists!$BM$43:$BM$59</definedName>
    <definedName name="ColWalkPercent_HR">Lists!$AR$43:$AR$59</definedName>
    <definedName name="ColWalkPercent_LR">Lists!$CH$43:$CH$59</definedName>
    <definedName name="ColWalkStdDev">Lists!$U$43:$U$59</definedName>
    <definedName name="ColWalkStDev_CR">Lists!$BP$43:$BP$59</definedName>
    <definedName name="ColWalkStDev_HR">Lists!$AU$43:$AU$59</definedName>
    <definedName name="ColWalkStDev_LR">Lists!$CK$43:$CK$59</definedName>
    <definedName name="DefaultAnnualization">Defaults!$B$78</definedName>
    <definedName name="DefaultAutotoFeeder">Defaults!$B$30</definedName>
    <definedName name="DefaultAutotoOther">Defaults!$B$24</definedName>
    <definedName name="DefaultBikeParkingTurnover">Defaults!$B$51</definedName>
    <definedName name="DefaultCapRecoveryFactor">Defaults!$B$18</definedName>
    <definedName name="DefaultCoveredRackCost">Defaults!$B$52</definedName>
    <definedName name="DefaultDailyParkingCollectionCost">Defaults!$B$17</definedName>
    <definedName name="DefaultDailytoAnnual">Defaults!$B$76</definedName>
    <definedName name="DefaultFareDiscount">Defaults!$B$77</definedName>
    <definedName name="DefaultFeederElasticity">Defaults!$B$29</definedName>
    <definedName name="DefaultLockerCost">Defaults!$B$54</definedName>
    <definedName name="DefaultOthertoAuto">Defaults!$B$23</definedName>
    <definedName name="DefaultParkandRidePercentage">Defaults!$B$20</definedName>
    <definedName name="DefaultParkingCapCost2Levels">Defaults!$B$13</definedName>
    <definedName name="DefaultParkingCapCost3to7Levels">Defaults!$B$14</definedName>
    <definedName name="DefaultParkingCapCostSurface">Defaults!$B$10</definedName>
    <definedName name="DefaultParkingCapCostUnderground">Defaults!$B$15</definedName>
    <definedName name="DefaultParkingElasticity">Defaults!$B$26</definedName>
    <definedName name="DefaultParkingOpCostStructure">Defaults!$B$11</definedName>
    <definedName name="DefaultParkingOpCostSurface">Defaults!$B$9</definedName>
    <definedName name="DefaultRackCost">Defaults!$B$53</definedName>
    <definedName name="DefaultReservedParkingCollectionCost">Defaults!$B$16</definedName>
    <definedName name="DefaultResTripSplitNonWork">Defaults!$B$67</definedName>
    <definedName name="DefaultResTripSplitWork">Defaults!$B$66</definedName>
    <definedName name="DefaultSpaceTurnover">Defaults!$B$25</definedName>
    <definedName name="DefaultTransitCaptureOffice">Defaults!$B$72</definedName>
    <definedName name="DefaultTransitCaptureResNonWork">Defaults!$B$71</definedName>
    <definedName name="DefaultTransitCaptureResWork">Defaults!$B$70</definedName>
    <definedName name="DefaultTransitCaptureRetail">Defaults!$B$73</definedName>
    <definedName name="DefaultTripGenOffice">Defaults!$B$64</definedName>
    <definedName name="DefaultTripGenRes">Defaults!$B$63</definedName>
    <definedName name="DefaultTripGenRetail">Defaults!$B$65</definedName>
    <definedName name="DefaultVehOcc">Defaults!$B$19</definedName>
    <definedName name="FiscalAnnualCost">Fiscal!$D$79</definedName>
    <definedName name="FiscalAnnualFareRevenue">Fiscal!$D$28</definedName>
    <definedName name="FiscalAnnualRevenue">Fiscal!$D$52</definedName>
    <definedName name="FiscalCombinedParkingRevenue">Fiscal!$D$39</definedName>
    <definedName name="FiscalFeederBusCosts">Fiscal!$D$59</definedName>
    <definedName name="FiscalGroundRent">Fiscal!$D$50</definedName>
    <definedName name="FiscalOtherCapitalCosts">Fiscal!$D$67</definedName>
    <definedName name="FiscalOtherOperatingCosts">Fiscal!$D$62</definedName>
    <definedName name="FiscalParkingOperatingCosts">Fiscal!$D$56</definedName>
    <definedName name="InputAnalyst">Input!$G$11</definedName>
    <definedName name="InputBicycleCommuteShare">Input!$G$23</definedName>
    <definedName name="InputBicycleParkingSpaces">Input!$G$19</definedName>
    <definedName name="InputCarParkingPrice">Input!$G$16</definedName>
    <definedName name="InputCarParkingSpaces">Input!$G$14</definedName>
    <definedName name="InputCityRegion">Input!$D$11</definedName>
    <definedName name="InputClimate">Input!$D$19</definedName>
    <definedName name="InputConnectingTransit">Input!$G$21</definedName>
    <definedName name="InputDate">Input!$G$10</definedName>
    <definedName name="InputFare">Input!$G$20</definedName>
    <definedName name="InputJobs">Input!$D$27</definedName>
    <definedName name="InputLandUse">Input!$D$18</definedName>
    <definedName name="InputLineHaulMode">Input!$D$16</definedName>
    <definedName name="InputMedianIncome">Input!$D$30</definedName>
    <definedName name="InputModeSplitMethod">'Step 2'!$D$22</definedName>
    <definedName name="InputMonthlyCarParkingPrice">Input!$G$17</definedName>
    <definedName name="InputNewExisting">Input!$D$15</definedName>
    <definedName name="InputNumberStations">Input!#REF!</definedName>
    <definedName name="InputParcelSize">'Step 5'!$D$99</definedName>
    <definedName name="InputParkingChange">'Step 4'!$D$26</definedName>
    <definedName name="InputParkingType">'Step 3'!$D$52</definedName>
    <definedName name="InputPercentZeroCar">Input!$D$31</definedName>
    <definedName name="InputPopulation">Input!$D$26</definedName>
    <definedName name="InputReservedCarParkingSpaces">Input!$G$15</definedName>
    <definedName name="InputRidershipMethod">'Step 1'!$D$20</definedName>
    <definedName name="InputStationName">Input!$D$14</definedName>
    <definedName name="InputStationType">Input!$D$17</definedName>
    <definedName name="InputTopography">Input!$D$20</definedName>
    <definedName name="InputTransferFee">Input!$G$22</definedName>
    <definedName name="InputTransitAgency">Input!$D$10</definedName>
    <definedName name="InputTransitCommuteShare">Input!#REF!</definedName>
    <definedName name="InputUtilization">Input!$G$18</definedName>
    <definedName name="InputVehPerWorker">Input!$D$32</definedName>
    <definedName name="InputWalkedtoWork">Input!$D$29</definedName>
    <definedName name="InputWorkers">Input!$D$28</definedName>
    <definedName name="LClimate">Lists!$C$19:$C$22</definedName>
    <definedName name="LExist">Lists!$A$7:$A$8</definedName>
    <definedName name="LLandUse">Lists!$C$13:$C$16</definedName>
    <definedName name="LLineHaulMode">Lists!$A$11:$A$16</definedName>
    <definedName name="LMetroRegion">Lists!$A$63:$A$437</definedName>
    <definedName name="LModeSplitMethod">Lists!$C$7:$C$8</definedName>
    <definedName name="LParkingType">Lists!$D$7:$D$10</definedName>
    <definedName name="LRidershipMethod">Lists!$A$19:$A$20</definedName>
    <definedName name="LTopography">Lists!$C$25:$C$28</definedName>
    <definedName name="LTypology">Lists!$A$24:$A$39</definedName>
    <definedName name="OutputAutoBoardings">'Step 2'!$E$38</definedName>
    <definedName name="OutputAutoPercent">'Step 2'!$F$38</definedName>
    <definedName name="OutputBicycleBoardings">'Step 2'!$E$41</definedName>
    <definedName name="OutputBicyclePercent">'Step 2'!$F$41</definedName>
    <definedName name="OutputBikeParkingSpaces">'Step 5'!$D$95</definedName>
    <definedName name="OutputDailyFeederCost">'Step 5'!$D$60</definedName>
    <definedName name="OutputDropOffBoardings">'Step 2'!$E$39</definedName>
    <definedName name="OutputDropOffPercent">'Step 2'!$F$39</definedName>
    <definedName name="OutputFeederBoardings">'Step 2'!$E$40</definedName>
    <definedName name="OutputFeederPercent">'Step 2'!$F$40</definedName>
    <definedName name="OutputNewParking">'Step 3'!$D$66</definedName>
    <definedName name="OutputNewParkingCost">'Step 3'!$D$67</definedName>
    <definedName name="OutputProposedCarParkingPrice">'Step 5'!$D$30</definedName>
    <definedName name="OutputRidership">'Step 1'!$D$41</definedName>
    <definedName name="OutputRidershipFeederBus">'Step 5'!$D$67</definedName>
    <definedName name="OutputRidershipParkingPricing">'Step 5'!$D$45</definedName>
    <definedName name="OutputStep4RidershipChange">'Step 4'!$D$33</definedName>
    <definedName name="OutputTODTrips">'Step 5'!$D$127</definedName>
    <definedName name="OutputWalkBoardings">'Step 2'!$E$42</definedName>
    <definedName name="OutputWalkPercent">'Step 2'!$F$42</definedName>
    <definedName name="RefColumn">Lists!$B$60</definedName>
    <definedName name="TableClimate">Defaults!$A$45:$C$49</definedName>
    <definedName name="TableTopography">Defaults!$A$56:$C$60</definedName>
    <definedName name="TableTransitCommuteShare">Lists!$A$62:$B$437</definedName>
    <definedName name="TableTypologyAll">Lists!$A$42:$CK$59</definedName>
  </definedNames>
  <calcPr calcId="145621"/>
</workbook>
</file>

<file path=xl/calcChain.xml><?xml version="1.0" encoding="utf-8"?>
<calcChain xmlns="http://schemas.openxmlformats.org/spreadsheetml/2006/main">
  <c r="D55" i="3" l="1"/>
  <c r="D39" i="1"/>
  <c r="D41" i="1" s="1"/>
  <c r="D38" i="1"/>
  <c r="D37" i="1"/>
  <c r="D36" i="1"/>
  <c r="D35" i="1"/>
  <c r="D34" i="1"/>
  <c r="D33" i="1"/>
  <c r="D32" i="1"/>
  <c r="D31" i="1"/>
  <c r="D30" i="1"/>
  <c r="D27" i="1"/>
  <c r="D26" i="1"/>
  <c r="D25" i="1"/>
  <c r="D24" i="1"/>
  <c r="D66" i="3"/>
  <c r="D46" i="3" l="1"/>
  <c r="G13" i="9" l="1"/>
  <c r="D37" i="8" l="1"/>
  <c r="D47" i="1" l="1"/>
  <c r="D46" i="1" l="1"/>
  <c r="D45" i="1"/>
  <c r="D44" i="1"/>
  <c r="D22" i="6" l="1"/>
  <c r="D23" i="6" s="1"/>
  <c r="B60" i="4" l="1"/>
  <c r="F35" i="2" s="1"/>
  <c r="D76" i="8"/>
  <c r="D31" i="7"/>
  <c r="C32" i="7" s="1"/>
  <c r="D42" i="7"/>
  <c r="D95" i="7"/>
  <c r="D71" i="8"/>
  <c r="D74" i="8" s="1"/>
  <c r="D92" i="7"/>
  <c r="D91" i="7"/>
  <c r="D83" i="7"/>
  <c r="D111" i="7"/>
  <c r="D122" i="7" s="1"/>
  <c r="D112" i="7"/>
  <c r="D123" i="7" s="1"/>
  <c r="D113" i="7"/>
  <c r="D124" i="7" s="1"/>
  <c r="D114" i="7"/>
  <c r="D125" i="7" s="1"/>
  <c r="D27" i="6"/>
  <c r="D28" i="6"/>
  <c r="D30" i="6"/>
  <c r="D54" i="7"/>
  <c r="D59" i="7"/>
  <c r="D32" i="8"/>
  <c r="D33" i="8"/>
  <c r="D25" i="6"/>
  <c r="D36" i="8"/>
  <c r="D43" i="8"/>
  <c r="D44" i="8" s="1"/>
  <c r="D47" i="8"/>
  <c r="D49" i="8"/>
  <c r="D56" i="3"/>
  <c r="B18" i="5"/>
  <c r="D59" i="3" s="1"/>
  <c r="D57" i="3"/>
  <c r="D66" i="8"/>
  <c r="D67" i="8" s="1"/>
  <c r="D61" i="7"/>
  <c r="D27" i="8"/>
  <c r="D18" i="8"/>
  <c r="D17" i="8"/>
  <c r="D16" i="8"/>
  <c r="D15" i="8"/>
  <c r="G13" i="8"/>
  <c r="D13" i="8"/>
  <c r="G12" i="8"/>
  <c r="D12" i="8"/>
  <c r="D120" i="7"/>
  <c r="D119" i="7"/>
  <c r="D118" i="7"/>
  <c r="D117" i="7"/>
  <c r="D107" i="7"/>
  <c r="D106" i="7"/>
  <c r="D109" i="7"/>
  <c r="D108" i="7"/>
  <c r="D105" i="7"/>
  <c r="D75" i="7"/>
  <c r="D76" i="7"/>
  <c r="D84" i="7"/>
  <c r="D85" i="7"/>
  <c r="D60" i="7"/>
  <c r="D59" i="8" s="1"/>
  <c r="D55" i="7"/>
  <c r="D35" i="3"/>
  <c r="D34" i="3"/>
  <c r="D33" i="3"/>
  <c r="D38" i="3" s="1"/>
  <c r="D32" i="3"/>
  <c r="D31" i="3"/>
  <c r="D30" i="3"/>
  <c r="B38" i="5"/>
  <c r="B39" i="5" s="1"/>
  <c r="D49" i="7"/>
  <c r="D48" i="7"/>
  <c r="D34" i="7"/>
  <c r="D35" i="7" s="1"/>
  <c r="D36" i="7"/>
  <c r="D37" i="7"/>
  <c r="D38" i="7" s="1"/>
  <c r="D39" i="7" s="1"/>
  <c r="D29" i="7"/>
  <c r="D19" i="7"/>
  <c r="D18" i="7"/>
  <c r="D17" i="7"/>
  <c r="D16" i="7"/>
  <c r="G14" i="7"/>
  <c r="D14" i="7"/>
  <c r="G13" i="7"/>
  <c r="D13" i="7"/>
  <c r="D21" i="6"/>
  <c r="D24" i="6" s="1"/>
  <c r="D19" i="6"/>
  <c r="D18" i="6"/>
  <c r="D17" i="6"/>
  <c r="D16" i="6"/>
  <c r="G14" i="6"/>
  <c r="D14" i="6"/>
  <c r="G13" i="6"/>
  <c r="D13" i="6"/>
  <c r="D43" i="3"/>
  <c r="D45" i="3"/>
  <c r="D22" i="3"/>
  <c r="D23" i="3" s="1"/>
  <c r="D21" i="3"/>
  <c r="D61" i="3"/>
  <c r="D19" i="3"/>
  <c r="D18" i="3"/>
  <c r="D17" i="3"/>
  <c r="D16" i="3"/>
  <c r="G14" i="3"/>
  <c r="D14" i="3"/>
  <c r="G13" i="3"/>
  <c r="D13" i="3"/>
  <c r="G13" i="2"/>
  <c r="D13" i="2"/>
  <c r="G12" i="2"/>
  <c r="D12" i="2"/>
  <c r="D18" i="1"/>
  <c r="D17" i="1"/>
  <c r="D16" i="1"/>
  <c r="D15" i="1"/>
  <c r="G13" i="1"/>
  <c r="G12" i="1"/>
  <c r="D13" i="1"/>
  <c r="D12" i="1"/>
  <c r="D30" i="2"/>
  <c r="D17" i="2"/>
  <c r="D16" i="2"/>
  <c r="D15" i="2"/>
  <c r="D18" i="2"/>
  <c r="F31" i="2"/>
  <c r="D70" i="8"/>
  <c r="D62" i="7" l="1"/>
  <c r="F25" i="7"/>
  <c r="D48" i="8"/>
  <c r="D50" i="8" s="1"/>
  <c r="D40" i="7"/>
  <c r="D41" i="7" s="1"/>
  <c r="D43" i="7" s="1"/>
  <c r="D44" i="7" s="1"/>
  <c r="D45" i="7" s="1"/>
  <c r="D24" i="8" s="1"/>
  <c r="D34" i="8"/>
  <c r="D127" i="7"/>
  <c r="D22" i="8" s="1"/>
  <c r="E24" i="7"/>
  <c r="G23" i="7"/>
  <c r="F34" i="2"/>
  <c r="E34" i="2" s="1"/>
  <c r="G26" i="7"/>
  <c r="G22" i="7"/>
  <c r="E23" i="7"/>
  <c r="F24" i="7"/>
  <c r="F33" i="2"/>
  <c r="E33" i="2" s="1"/>
  <c r="G25" i="7"/>
  <c r="E26" i="7"/>
  <c r="E22" i="7"/>
  <c r="F23" i="7"/>
  <c r="F32" i="2"/>
  <c r="E32" i="2" s="1"/>
  <c r="G24" i="7"/>
  <c r="E25" i="7"/>
  <c r="F26" i="7"/>
  <c r="D74" i="7" s="1"/>
  <c r="D77" i="7" s="1"/>
  <c r="F22" i="7"/>
  <c r="D63" i="3"/>
  <c r="D64" i="3" s="1"/>
  <c r="D73" i="8"/>
  <c r="D72" i="8"/>
  <c r="D86" i="7"/>
  <c r="D35" i="8"/>
  <c r="D38" i="8" s="1"/>
  <c r="D20" i="2"/>
  <c r="E35" i="2"/>
  <c r="D25" i="3"/>
  <c r="E31" i="2"/>
  <c r="E28" i="2" l="1"/>
  <c r="E29" i="2"/>
  <c r="E26" i="2"/>
  <c r="E39" i="2" s="1"/>
  <c r="E25" i="2"/>
  <c r="E27" i="2"/>
  <c r="E41" i="2"/>
  <c r="E42" i="2"/>
  <c r="E40" i="2"/>
  <c r="D50" i="7" s="1"/>
  <c r="E38" i="2"/>
  <c r="D29" i="6" s="1"/>
  <c r="D31" i="6" s="1"/>
  <c r="D32" i="6" s="1"/>
  <c r="D33" i="6" s="1"/>
  <c r="D23" i="8" s="1"/>
  <c r="D39" i="8"/>
  <c r="D67" i="3"/>
  <c r="D56" i="8" s="1"/>
  <c r="D79" i="8" s="1"/>
  <c r="D75" i="8"/>
  <c r="D77" i="8" s="1"/>
  <c r="F38" i="2"/>
  <c r="F39" i="2"/>
  <c r="F40" i="2"/>
  <c r="F41" i="2"/>
  <c r="F42" i="2"/>
  <c r="D56" i="7" l="1"/>
  <c r="D53" i="7"/>
  <c r="D63" i="7"/>
  <c r="D67" i="7" s="1"/>
  <c r="D25" i="8" s="1"/>
  <c r="D26" i="8" s="1"/>
  <c r="D28" i="8" s="1"/>
  <c r="D52" i="8" s="1"/>
  <c r="D82" i="8" s="1"/>
  <c r="D26" i="3"/>
  <c r="D44" i="3" s="1"/>
  <c r="D47" i="3" s="1"/>
  <c r="D60" i="3"/>
  <c r="J24" i="7"/>
  <c r="J23" i="7"/>
  <c r="J26" i="7"/>
  <c r="D27" i="3"/>
  <c r="D82" i="7"/>
  <c r="D87" i="7" s="1"/>
  <c r="D88" i="7" s="1"/>
  <c r="D90" i="7" s="1"/>
  <c r="D64" i="7"/>
  <c r="D65" i="7" s="1"/>
  <c r="D68" i="3"/>
  <c r="H25" i="7"/>
  <c r="D70" i="7" l="1"/>
  <c r="D68" i="7"/>
  <c r="H24" i="7"/>
  <c r="D37" i="3"/>
  <c r="J22" i="7"/>
  <c r="D73" i="7"/>
  <c r="D78" i="7" s="1"/>
  <c r="D79" i="7" s="1"/>
  <c r="F79" i="7" s="1"/>
  <c r="H26" i="7"/>
  <c r="J25" i="7"/>
  <c r="H23" i="7"/>
  <c r="H22" i="7"/>
  <c r="D69" i="7"/>
  <c r="F88" i="7"/>
  <c r="F90" i="7"/>
  <c r="D93" i="7"/>
  <c r="F93" i="7" s="1"/>
</calcChain>
</file>

<file path=xl/sharedStrings.xml><?xml version="1.0" encoding="utf-8"?>
<sst xmlns="http://schemas.openxmlformats.org/spreadsheetml/2006/main" count="1470" uniqueCount="1207">
  <si>
    <t>Station Name:</t>
  </si>
  <si>
    <t>Line Haul Mode:</t>
  </si>
  <si>
    <t>New or Existing:</t>
  </si>
  <si>
    <t>Lists</t>
  </si>
  <si>
    <t>Step 1</t>
  </si>
  <si>
    <t>Existing or New</t>
  </si>
  <si>
    <t>Existing</t>
  </si>
  <si>
    <t>Choose Ridership Estimation Method:</t>
  </si>
  <si>
    <t>Ridership Estimation Method</t>
  </si>
  <si>
    <t>Actual</t>
  </si>
  <si>
    <t>Total Daily Boardings:</t>
  </si>
  <si>
    <t>Station Type:</t>
  </si>
  <si>
    <t>Predominant Land Use:</t>
  </si>
  <si>
    <t>Climate:</t>
  </si>
  <si>
    <t>Topography:</t>
  </si>
  <si>
    <t>Population:</t>
  </si>
  <si>
    <t>Jobs:</t>
  </si>
  <si>
    <t>Workers:</t>
  </si>
  <si>
    <t>Median Household Income:</t>
  </si>
  <si>
    <t>Percent Zero-Car Households:</t>
  </si>
  <si>
    <t>Vehicles per Worker:</t>
  </si>
  <si>
    <t>1. Station-area data are available from the Center for Neighborhood Technology’s TOD Database (toddata.cnt.org)</t>
  </si>
  <si>
    <t>Notes:</t>
  </si>
  <si>
    <t>Ridership Estimate:</t>
  </si>
  <si>
    <t>Spreadsheet Calculation</t>
  </si>
  <si>
    <t>Transit Agency:</t>
  </si>
  <si>
    <t>Analyst/User:</t>
  </si>
  <si>
    <t>Date:</t>
  </si>
  <si>
    <t>Commuter Rail</t>
  </si>
  <si>
    <t>Station Ridership:</t>
  </si>
  <si>
    <t>Choose Mode Split Estimation Method:</t>
  </si>
  <si>
    <t>Step 2</t>
  </si>
  <si>
    <t>Mode Split Estimation Method</t>
  </si>
  <si>
    <t>Station Type</t>
  </si>
  <si>
    <t>Boardings</t>
  </si>
  <si>
    <t>Percent</t>
  </si>
  <si>
    <t>Feeder Transit</t>
  </si>
  <si>
    <t>Bicycle</t>
  </si>
  <si>
    <t>Walk</t>
  </si>
  <si>
    <t>Heavy Rail</t>
  </si>
  <si>
    <t>Light Rail</t>
  </si>
  <si>
    <t>Commuter Bus</t>
  </si>
  <si>
    <t>Bus Rapid Transit</t>
  </si>
  <si>
    <t>Ferry</t>
  </si>
  <si>
    <t>Line-Haul Mode</t>
  </si>
  <si>
    <t>Station Typology</t>
  </si>
  <si>
    <t>Urban Commercial</t>
  </si>
  <si>
    <t>High-Density Urban Neighborhood</t>
  </si>
  <si>
    <t>Medium-Density Urban Neighborhood</t>
  </si>
  <si>
    <t>Urban Neighborhood with Parking</t>
  </si>
  <si>
    <t>Historic Transit Village</t>
  </si>
  <si>
    <t>Suburban TOD</t>
  </si>
  <si>
    <t>Suburban Village Center</t>
  </si>
  <si>
    <t>Suburban Neighborhood</t>
  </si>
  <si>
    <t>Suburban (Freeway)</t>
  </si>
  <si>
    <t>Suburban Employment Center</t>
  </si>
  <si>
    <t>Suburban Retail Center</t>
  </si>
  <si>
    <t>Intermodal Transit Center</t>
  </si>
  <si>
    <t>Busway</t>
  </si>
  <si>
    <t>Special Event/Campus</t>
  </si>
  <si>
    <t>Shuttle Station</t>
  </si>
  <si>
    <t>Satellite City</t>
  </si>
  <si>
    <t>TCRP B-38 Station Access Planning Tool</t>
  </si>
  <si>
    <t>Feeder Bus</t>
  </si>
  <si>
    <t>Walking</t>
  </si>
  <si>
    <t>Ridership</t>
  </si>
  <si>
    <t>Output</t>
  </si>
  <si>
    <r>
      <t xml:space="preserve">TCRP B-38 Station Access Planning Tool
</t>
    </r>
    <r>
      <rPr>
        <sz val="14"/>
        <color indexed="9"/>
        <rFont val="Calibri"/>
        <family val="2"/>
      </rPr>
      <t>Step 1: Estimate Station Ridership</t>
    </r>
  </si>
  <si>
    <t>Land Use</t>
  </si>
  <si>
    <t>Retail</t>
  </si>
  <si>
    <t>Residential</t>
  </si>
  <si>
    <t>Office</t>
  </si>
  <si>
    <t>Mix</t>
  </si>
  <si>
    <t>Climate</t>
  </si>
  <si>
    <t>Moderate</t>
  </si>
  <si>
    <t>Hot or humid summer</t>
  </si>
  <si>
    <t>Cold or icy winter</t>
  </si>
  <si>
    <t>Seasonal rain</t>
  </si>
  <si>
    <t>Topography</t>
  </si>
  <si>
    <t>Flat</t>
  </si>
  <si>
    <t>Rolling hills</t>
  </si>
  <si>
    <t>Flat center, hills/mountains in periphery</t>
  </si>
  <si>
    <t>Very hilly/mountainous</t>
  </si>
  <si>
    <r>
      <t xml:space="preserve">TCRP B-38 Station Access Planning Tool
</t>
    </r>
    <r>
      <rPr>
        <sz val="14"/>
        <color indexed="9"/>
        <rFont val="Calibri"/>
        <family val="2"/>
      </rPr>
      <t>Background Data Input</t>
    </r>
  </si>
  <si>
    <t>Station Characteristics</t>
  </si>
  <si>
    <t>City/Region:</t>
  </si>
  <si>
    <r>
      <t>Station-Area Demographics (within 1/2-mile radius)</t>
    </r>
    <r>
      <rPr>
        <vertAlign val="superscript"/>
        <sz val="12"/>
        <rFont val="Calibri"/>
        <family val="2"/>
      </rPr>
      <t>1</t>
    </r>
  </si>
  <si>
    <t>User Data Input Required</t>
  </si>
  <si>
    <t>Station-Area Demographics (within 1/2-mile)</t>
  </si>
  <si>
    <r>
      <t xml:space="preserve">TCRP B-38 Station Access Planning Tool
</t>
    </r>
    <r>
      <rPr>
        <sz val="14"/>
        <color indexed="9"/>
        <rFont val="Calibri"/>
        <family val="2"/>
      </rPr>
      <t>Step 2: Estimate Station Access Mode Split</t>
    </r>
  </si>
  <si>
    <t>Mode Split:</t>
  </si>
  <si>
    <t>Auto Boardings:</t>
  </si>
  <si>
    <t>Percent Park &amp; Ride:</t>
  </si>
  <si>
    <t>Percent Carpool:</t>
  </si>
  <si>
    <t>Parking Factor:</t>
  </si>
  <si>
    <t>Parking Spaces Needed:</t>
  </si>
  <si>
    <t>Price</t>
  </si>
  <si>
    <t>Parking</t>
  </si>
  <si>
    <t>Average Spaces</t>
  </si>
  <si>
    <t>Min</t>
  </si>
  <si>
    <t>Max</t>
  </si>
  <si>
    <t>Min Spaces</t>
  </si>
  <si>
    <t>Max Spaces</t>
  </si>
  <si>
    <t>StdDev</t>
  </si>
  <si>
    <t>Station Type Data</t>
  </si>
  <si>
    <t>Average Parking Spaces:</t>
  </si>
  <si>
    <t>High Range:</t>
  </si>
  <si>
    <t>Low Range:</t>
  </si>
  <si>
    <t>One standard deviation below average number of spaces</t>
  </si>
  <si>
    <t>One standard deviation above average number of spaces</t>
  </si>
  <si>
    <t>Average number of parking spaces</t>
  </si>
  <si>
    <t>Daily Car Parking Price:</t>
  </si>
  <si>
    <t>Bicycle Parking Spaces:</t>
  </si>
  <si>
    <t>Parking Spaces Available:</t>
  </si>
  <si>
    <t>Daily Parking Price:</t>
  </si>
  <si>
    <t>Parking Over/Under Supply:</t>
  </si>
  <si>
    <t>Number of New Spaces Needed:</t>
  </si>
  <si>
    <t>Average occupancy per vehicle</t>
  </si>
  <si>
    <t>Parking Costs</t>
  </si>
  <si>
    <t>Capital Cost per Surface Space</t>
  </si>
  <si>
    <t>Capital Cost per Structured Space</t>
  </si>
  <si>
    <t>2 Levels</t>
  </si>
  <si>
    <t>3-7 Levels</t>
  </si>
  <si>
    <t>Underground</t>
  </si>
  <si>
    <t>Reserved parking collection cost</t>
  </si>
  <si>
    <t>If unknown, assume $10 per square foot</t>
  </si>
  <si>
    <t>Default vehicle occupancy</t>
  </si>
  <si>
    <t>Carpool percentage (if known)</t>
  </si>
  <si>
    <t>Park &amp; Ride percentage (if known)</t>
  </si>
  <si>
    <t>Percent of Auto Access who Park and Ride</t>
  </si>
  <si>
    <t>Step 3</t>
  </si>
  <si>
    <t>Parking Type</t>
  </si>
  <si>
    <t>Surface</t>
  </si>
  <si>
    <t>Garage (2 levels)</t>
  </si>
  <si>
    <t>Garage (3-7 levels)</t>
  </si>
  <si>
    <t>Garage (Underground)</t>
  </si>
  <si>
    <t>Parking Type (number of levels):</t>
  </si>
  <si>
    <t>Land cost per square foot:</t>
  </si>
  <si>
    <t>Land cost per space:</t>
  </si>
  <si>
    <t>Construction cost per parking space:</t>
  </si>
  <si>
    <t>Annual maintenance cost per parking space:</t>
  </si>
  <si>
    <t>Financing charge:</t>
  </si>
  <si>
    <t>Capital Recovery Factor:</t>
  </si>
  <si>
    <t>Passengers arriving by automobile:</t>
  </si>
  <si>
    <t>Average occupancy per vehicle:</t>
  </si>
  <si>
    <t>Annual cost per parking space:</t>
  </si>
  <si>
    <t>Annual Cost of New Parking:</t>
  </si>
  <si>
    <t>Car Parking Utilization (9 am):</t>
  </si>
  <si>
    <t>Existing or Planned:</t>
  </si>
  <si>
    <t>Parking Utilization 90% or higher?:</t>
  </si>
  <si>
    <t>Planned</t>
  </si>
  <si>
    <t>Avg</t>
  </si>
  <si>
    <t>Percent Auto Access:</t>
  </si>
  <si>
    <t>Average Auto Percent Mode Split:</t>
  </si>
  <si>
    <t>Average auto access mode split</t>
  </si>
  <si>
    <t>One standard deviation below average auto mode split</t>
  </si>
  <si>
    <t>One standard deviation above average auto mode split</t>
  </si>
  <si>
    <t>Auto Mode Split:</t>
  </si>
  <si>
    <t>Parking Supply:</t>
  </si>
  <si>
    <t>Number of New Spaces to be Added:</t>
  </si>
  <si>
    <t>Estimate number of new spaces needed based on Station Type</t>
  </si>
  <si>
    <t>New Parking Spaces:</t>
  </si>
  <si>
    <t>Number of people per car:</t>
  </si>
  <si>
    <t>Space turnover (cars parked per day):</t>
  </si>
  <si>
    <t>Percent switch from Auto to Other</t>
  </si>
  <si>
    <t>Percent switch from Other to Auto</t>
  </si>
  <si>
    <t>Boardings maintained:</t>
  </si>
  <si>
    <t>Based on 2 trips per station boarding</t>
  </si>
  <si>
    <t>Default Value</t>
  </si>
  <si>
    <r>
      <t xml:space="preserve">TCRP B-38 Station Access Planning Tool
</t>
    </r>
    <r>
      <rPr>
        <sz val="14"/>
        <color indexed="9"/>
        <rFont val="Calibri"/>
        <family val="2"/>
      </rPr>
      <t>Step 4: Assess Impacts of Parking Change</t>
    </r>
  </si>
  <si>
    <t>Number of spaces added/removed:</t>
  </si>
  <si>
    <t>Additional Parking Demand:</t>
  </si>
  <si>
    <t>Ridership gain/loss:</t>
  </si>
  <si>
    <t>Net boardings gain/loss:</t>
  </si>
  <si>
    <t>Number of auto access boardings added/lost:</t>
  </si>
  <si>
    <t>Parking Impacts</t>
  </si>
  <si>
    <t>Cars parked per day</t>
  </si>
  <si>
    <t>Auto access boardings added/lost * switched access mode boardings</t>
  </si>
  <si>
    <t>Auto access boardings added/lost - boardings maintained</t>
  </si>
  <si>
    <r>
      <t xml:space="preserve">TCRP B-38 Station Access Planning Tool
</t>
    </r>
    <r>
      <rPr>
        <sz val="14"/>
        <color indexed="9"/>
        <rFont val="Calibri"/>
        <family val="2"/>
      </rPr>
      <t>Step 5: Assess Effects of Management Options</t>
    </r>
  </si>
  <si>
    <t>Parking Pricing</t>
  </si>
  <si>
    <t>Existing Parking Charge:</t>
  </si>
  <si>
    <t>Complete round trip expense (including existing parking pricing)</t>
  </si>
  <si>
    <t>Proposed Parking Charge:</t>
  </si>
  <si>
    <t>Number of spaces affected:</t>
  </si>
  <si>
    <t>Combined elasticity:</t>
  </si>
  <si>
    <t>Elasticity effect:</t>
  </si>
  <si>
    <t>Parking Elasticity</t>
  </si>
  <si>
    <t>Auto (Park &amp; Ride)</t>
  </si>
  <si>
    <t>Auto (Drop-off)</t>
  </si>
  <si>
    <t>Space Turnover * Vehicle occupancy * Number spaces added/removed</t>
  </si>
  <si>
    <t>Space Turnover * Vehicle Occupancy</t>
  </si>
  <si>
    <t>Round trip fare + Proposed parking charge</t>
  </si>
  <si>
    <t>Percent total cost due to Parking:</t>
  </si>
  <si>
    <t>Proposed Parking Fee / Total (Fare plus Parking)</t>
  </si>
  <si>
    <t>Parking share of total cost * Elasticity</t>
  </si>
  <si>
    <t>How many existing parking spaces will be affected?</t>
  </si>
  <si>
    <t>Connecting Transit Lines:</t>
  </si>
  <si>
    <t>Round Trip Fare:</t>
  </si>
  <si>
    <t>Total jobs in Census Blocks within 1/2-mile of station</t>
  </si>
  <si>
    <t>Total population in Census Blocks within 1/2-mile of station</t>
  </si>
  <si>
    <t>Feeder Transit Service</t>
  </si>
  <si>
    <t>Passengers arriving by feeder transit:</t>
  </si>
  <si>
    <t>Feeder Service Revenue Hours:</t>
  </si>
  <si>
    <t>Cost per Revenue Hour:</t>
  </si>
  <si>
    <t>Productivity:</t>
  </si>
  <si>
    <t>Elasticity:</t>
  </si>
  <si>
    <t>Percentage shift from other auto access</t>
  </si>
  <si>
    <t>Daily to annual conversion factor</t>
  </si>
  <si>
    <t>Fare discount factor</t>
  </si>
  <si>
    <t>Annualization Factor</t>
  </si>
  <si>
    <t>Capacity per Bus</t>
  </si>
  <si>
    <t>Bus Cost</t>
  </si>
  <si>
    <t>Capital Recovery Factor (12 yrs @ 6%)</t>
  </si>
  <si>
    <t>Annual Bus Cost</t>
  </si>
  <si>
    <t>Layover time per bus trip</t>
  </si>
  <si>
    <t>Number of operating days per year</t>
  </si>
  <si>
    <t>Operating cost per bus per mile</t>
  </si>
  <si>
    <t>Daily Operating Cost:</t>
  </si>
  <si>
    <t>Enter daily total revenue hours for feeder transit service</t>
  </si>
  <si>
    <t>Enter cost per revenue hour for feeder transit service</t>
  </si>
  <si>
    <t>Cost per Rider:</t>
  </si>
  <si>
    <t>New Service Hours:</t>
  </si>
  <si>
    <t>Choose increase in feeder transit service hours</t>
  </si>
  <si>
    <t>Percent shift from Auto access:</t>
  </si>
  <si>
    <t>Additional daily operating cost:</t>
  </si>
  <si>
    <t>Percent new service:</t>
  </si>
  <si>
    <t>Additional feeder bus ridership:</t>
  </si>
  <si>
    <t>Percent new service hours of total service hours</t>
  </si>
  <si>
    <t>Total ridership / Total service hours</t>
  </si>
  <si>
    <t>Percent new service * Elasticity</t>
  </si>
  <si>
    <t>Elasticity effect * Existing feeder bus ridership</t>
  </si>
  <si>
    <t>New Productivity:</t>
  </si>
  <si>
    <t>Total feeder bus passengers:</t>
  </si>
  <si>
    <t>New Passengers:</t>
  </si>
  <si>
    <t>Reduced parking space demand:</t>
  </si>
  <si>
    <t>Cost per rider:</t>
  </si>
  <si>
    <t>Cost per new rider:</t>
  </si>
  <si>
    <t>Station Type Comparison</t>
  </si>
  <si>
    <t>Low</t>
  </si>
  <si>
    <t>Average</t>
  </si>
  <si>
    <t>High</t>
  </si>
  <si>
    <t>Actual/Estimate</t>
  </si>
  <si>
    <t>Walk Access</t>
  </si>
  <si>
    <t>Walk Mode Share:</t>
  </si>
  <si>
    <t>Typology Standard:</t>
  </si>
  <si>
    <t>Bike/Ped</t>
  </si>
  <si>
    <t>Ped. Adj. Factor</t>
  </si>
  <si>
    <t>Bike Adj. Factor</t>
  </si>
  <si>
    <t>Climate Factor:</t>
  </si>
  <si>
    <t>Topography Factor:</t>
  </si>
  <si>
    <t>Adjusted Typology Standard:</t>
  </si>
  <si>
    <t>Effectiveness Ratio:</t>
  </si>
  <si>
    <t>Bicycle Access</t>
  </si>
  <si>
    <t>Bicycle Mode Share:</t>
  </si>
  <si>
    <t>Bicycle Improvements Likely to be Effective:</t>
  </si>
  <si>
    <t>Transit-Oriented Development</t>
  </si>
  <si>
    <t>Total development size:</t>
  </si>
  <si>
    <t>Enter total parcel size in square feet</t>
  </si>
  <si>
    <t>Propsed Development Characteristics</t>
  </si>
  <si>
    <t>Residential (units):</t>
  </si>
  <si>
    <t>Office (square feet):</t>
  </si>
  <si>
    <t>Retail (square feet):</t>
  </si>
  <si>
    <t>Trip Generation</t>
  </si>
  <si>
    <t>Residential (per unit)</t>
  </si>
  <si>
    <t>Office (per ksf)</t>
  </si>
  <si>
    <t>Residential Trip Split (Work)</t>
  </si>
  <si>
    <t>Residential Trip Split (Non-Work)</t>
  </si>
  <si>
    <t>Pedestrian Improvements Likely to be Effective:</t>
  </si>
  <si>
    <t>Residential Daily Trip Generation Rate (per unit):</t>
  </si>
  <si>
    <t>Office Daily Trip Generation Rate (per 1,000 sf):</t>
  </si>
  <si>
    <t>Retail Daily Trip Generation Rate (per 1,000 sf):</t>
  </si>
  <si>
    <t>Residential Trip Split (Work):</t>
  </si>
  <si>
    <t>Residential Trip Split (Non-Work):</t>
  </si>
  <si>
    <t>Residential (Work) Trips:</t>
  </si>
  <si>
    <t>Residential (Non-Work) Trips:</t>
  </si>
  <si>
    <t>Office Trips:</t>
  </si>
  <si>
    <t>Retail Trips:</t>
  </si>
  <si>
    <t>Transit Capture Details</t>
  </si>
  <si>
    <t>Percent Transit Capture - Residential (Work):</t>
  </si>
  <si>
    <t>Percent Transit Capture - Residential (Non-Work):</t>
  </si>
  <si>
    <t>Percent Transit Capture - Office:</t>
  </si>
  <si>
    <t>Percent Transit Capture - Retail:</t>
  </si>
  <si>
    <t>Res. Work</t>
  </si>
  <si>
    <t>Res. Non-Work</t>
  </si>
  <si>
    <t>Transit Capture</t>
  </si>
  <si>
    <t>Residential (Work) Transit Trips:</t>
  </si>
  <si>
    <t>Residential (Non-Work) Transit Trips:</t>
  </si>
  <si>
    <t>Office Transit Trips:</t>
  </si>
  <si>
    <t>Retail Transit Trips:</t>
  </si>
  <si>
    <t>Enter number of residential units planned</t>
  </si>
  <si>
    <t>Enter square footage of office planned</t>
  </si>
  <si>
    <t>Enter square footage of retail planned</t>
  </si>
  <si>
    <t>Ridership impact of  joint development</t>
  </si>
  <si>
    <t>Ridership impact of parking charge programs</t>
  </si>
  <si>
    <t>Ridership impact of feeder bus access programs</t>
  </si>
  <si>
    <t>Net change in daily ridership</t>
  </si>
  <si>
    <t>Average fare</t>
  </si>
  <si>
    <t>Monthly cost of reserved parking</t>
  </si>
  <si>
    <t>Cost of collection</t>
  </si>
  <si>
    <t>Net revenue from reserved parking</t>
  </si>
  <si>
    <t>Number of spaces under paid parking</t>
  </si>
  <si>
    <t>Daily parking price</t>
  </si>
  <si>
    <t>Net revenue from parking charges</t>
  </si>
  <si>
    <t>Fair market land value</t>
  </si>
  <si>
    <t>Parcel size</t>
  </si>
  <si>
    <t>Land value</t>
  </si>
  <si>
    <t>Cost of replacement parking</t>
  </si>
  <si>
    <t>Residual</t>
  </si>
  <si>
    <t>Annualization factor</t>
  </si>
  <si>
    <t>Ground rent after parking costs</t>
  </si>
  <si>
    <t>Amount</t>
  </si>
  <si>
    <t>New Feeder Bus Service</t>
  </si>
  <si>
    <t>Agency participation in other access operating costs</t>
  </si>
  <si>
    <t>Agency participation in other access capital costs</t>
  </si>
  <si>
    <t>One-time capital cost</t>
  </si>
  <si>
    <t>Revenue Factors</t>
  </si>
  <si>
    <t>Fare Revenue</t>
  </si>
  <si>
    <t>Fiscal</t>
  </si>
  <si>
    <t>Parking Revenue</t>
  </si>
  <si>
    <t>Daily Parking Spaces:</t>
  </si>
  <si>
    <t>Reserved Parking Spaces:</t>
  </si>
  <si>
    <t>Monthly Parking Price:</t>
  </si>
  <si>
    <t>Replacement Capital Cost per Space</t>
  </si>
  <si>
    <t>Number of Spaces Replaced</t>
  </si>
  <si>
    <t>Cost Factors</t>
  </si>
  <si>
    <t>Change in Parking Operating Costs</t>
  </si>
  <si>
    <t>Parking Operating Costs</t>
  </si>
  <si>
    <t>Operating Costs</t>
  </si>
  <si>
    <t>Annualized Capital Cost</t>
  </si>
  <si>
    <t>Land value per square foot</t>
  </si>
  <si>
    <t>Parcel size in square feet</t>
  </si>
  <si>
    <t>Cost of replacement parking per space</t>
  </si>
  <si>
    <t>Change in number of spaces under reserved parking</t>
  </si>
  <si>
    <r>
      <t xml:space="preserve">TCRP B-38 Station Access Planning Tool
</t>
    </r>
    <r>
      <rPr>
        <sz val="14"/>
        <color indexed="9"/>
        <rFont val="Calibri"/>
        <family val="2"/>
      </rPr>
      <t>Default Values</t>
    </r>
  </si>
  <si>
    <t>All</t>
  </si>
  <si>
    <t>Table Engine</t>
  </si>
  <si>
    <t>Annual Operating Cost per Surface Space</t>
  </si>
  <si>
    <t>Annual Operating Cost per Structured Space</t>
  </si>
  <si>
    <t>Retail (per ksf)</t>
  </si>
  <si>
    <t>Metro Regions</t>
  </si>
  <si>
    <t>Transit Commute Mode Share</t>
  </si>
  <si>
    <t>Abilene, TX</t>
  </si>
  <si>
    <t>Aguadilla-Isabela-San Sebastián, PR</t>
  </si>
  <si>
    <t>Akron, OH</t>
  </si>
  <si>
    <t>Albany, GA</t>
  </si>
  <si>
    <t>Albany-Schenectady-Troy, NY</t>
  </si>
  <si>
    <t>Albuquerque, NM</t>
  </si>
  <si>
    <t>Alexandria, LA</t>
  </si>
  <si>
    <t>Allentown-Bethlehem-Easton, PA-NJ</t>
  </si>
  <si>
    <t>Altoona, PA</t>
  </si>
  <si>
    <t>Amarillo, TX</t>
  </si>
  <si>
    <t>Ames, IA</t>
  </si>
  <si>
    <t>Anchorage, AK</t>
  </si>
  <si>
    <t>Anderson, IN</t>
  </si>
  <si>
    <t>Anderson, SC</t>
  </si>
  <si>
    <t>Ann Arbor, MI</t>
  </si>
  <si>
    <t>Anniston-Oxford, AL</t>
  </si>
  <si>
    <t>Appleton, WI</t>
  </si>
  <si>
    <t>Asheville, NC</t>
  </si>
  <si>
    <t>Athens-Clarke County, GA</t>
  </si>
  <si>
    <t>Atlanta-Sandy Springs-Marietta, GA</t>
  </si>
  <si>
    <t>Atlantic City-Hammonton, NJ</t>
  </si>
  <si>
    <t>Auburn-Opelika, AL</t>
  </si>
  <si>
    <t>Augusta-Richmond County, GA-SC</t>
  </si>
  <si>
    <t>Austin-Round Rock, TX</t>
  </si>
  <si>
    <t>Bakersfield, CA</t>
  </si>
  <si>
    <t>Baltimore-Towson, MD</t>
  </si>
  <si>
    <t>Bangor, ME</t>
  </si>
  <si>
    <t>Barnstable Town, MA</t>
  </si>
  <si>
    <t>Baton Rouge, LA</t>
  </si>
  <si>
    <t>Battle Creek, MI</t>
  </si>
  <si>
    <t>Bay City, MI</t>
  </si>
  <si>
    <t>Beaumont-Port Arthur, TX</t>
  </si>
  <si>
    <t>Bellingham, WA</t>
  </si>
  <si>
    <t>Bend, OR</t>
  </si>
  <si>
    <t>Billings, MT</t>
  </si>
  <si>
    <t>Binghamton, NY</t>
  </si>
  <si>
    <t>Birmingham-Hoover, AL</t>
  </si>
  <si>
    <t>Bismarck, ND</t>
  </si>
  <si>
    <t>Blacksburg-Christiansburg-Radford, VA</t>
  </si>
  <si>
    <t>Bloomington, IN</t>
  </si>
  <si>
    <t>Bloomington-Normal, IL</t>
  </si>
  <si>
    <t>Boise City-Nampa, ID</t>
  </si>
  <si>
    <t>Boston-Cambridge-Quincy, MA-NH</t>
  </si>
  <si>
    <t>Boulder, CO</t>
  </si>
  <si>
    <t>Bowling Green, KY</t>
  </si>
  <si>
    <t>Bradenton-Sarasota-Venice, FL</t>
  </si>
  <si>
    <t>Bremerton-Silverdale, WA</t>
  </si>
  <si>
    <t>Bridgeport-Stamford-Norwalk, CT</t>
  </si>
  <si>
    <t>Brownsville-Harlingen, TX</t>
  </si>
  <si>
    <t>Brunswick, GA</t>
  </si>
  <si>
    <t>Buffalo-Niagara Falls, NY</t>
  </si>
  <si>
    <t>Burlington, NC</t>
  </si>
  <si>
    <t>Burlington-South Burlington, VT</t>
  </si>
  <si>
    <t>Canton-Massillon, OH</t>
  </si>
  <si>
    <t>Cape Coral-Fort Myers, FL</t>
  </si>
  <si>
    <t>Cape Girardeau-Jackson, MO-IL</t>
  </si>
  <si>
    <t>Carson City, NV</t>
  </si>
  <si>
    <t>Casper, WY</t>
  </si>
  <si>
    <t>Cedar Rapids, IA</t>
  </si>
  <si>
    <t>Champaign-Urbana, IL</t>
  </si>
  <si>
    <t>Charleston, WV</t>
  </si>
  <si>
    <t>Charleston-North Charleston-Summerville, SC</t>
  </si>
  <si>
    <t>Charlotte-Gastonia-Concord, NC-SC</t>
  </si>
  <si>
    <t>Charlottesville, VA</t>
  </si>
  <si>
    <t>Chattanooga, TN-GA</t>
  </si>
  <si>
    <t>Cheyenne, WY</t>
  </si>
  <si>
    <t>Chicago-Naperville-Joliet, IL-IN-WI</t>
  </si>
  <si>
    <t>Chico, CA</t>
  </si>
  <si>
    <t>Cincinnati-Middletown, OH-KY-IN</t>
  </si>
  <si>
    <t>Clarksville, TN-KY</t>
  </si>
  <si>
    <t>Cleveland, TN</t>
  </si>
  <si>
    <t>Cleveland-Elyria-Mentor, OH</t>
  </si>
  <si>
    <t>Coeur d'Alene, ID</t>
  </si>
  <si>
    <t>College Station-Bryan, TX</t>
  </si>
  <si>
    <t>Colorado Springs, CO</t>
  </si>
  <si>
    <t>Columbia, MO</t>
  </si>
  <si>
    <t>Columbia, SC</t>
  </si>
  <si>
    <t>Columbus, GA-AL</t>
  </si>
  <si>
    <t>Columbus, IN</t>
  </si>
  <si>
    <t>Columbus, OH</t>
  </si>
  <si>
    <t>Corpus Christi, TX</t>
  </si>
  <si>
    <t>Corvallis, OR</t>
  </si>
  <si>
    <t>Cumberland, MD-WV</t>
  </si>
  <si>
    <t>Dallas-Fort Worth-Arlington, TX</t>
  </si>
  <si>
    <t>Dalton, GA</t>
  </si>
  <si>
    <t>Danville, IL</t>
  </si>
  <si>
    <t>Danville, VA</t>
  </si>
  <si>
    <t>Davenport-Moline-Rock Island, IA-IL</t>
  </si>
  <si>
    <t>Dayton, OH</t>
  </si>
  <si>
    <t>Decatur, AL</t>
  </si>
  <si>
    <t>Decatur, IL</t>
  </si>
  <si>
    <t>Deltona-Daytona Beach-Ormond Beach, FL</t>
  </si>
  <si>
    <t>Denver-Aurora-Broomfield, CO</t>
  </si>
  <si>
    <t>Des Moines-West Des Moines, IA</t>
  </si>
  <si>
    <t>Detroit-Warren-Livonia, MI</t>
  </si>
  <si>
    <t>Dothan, AL</t>
  </si>
  <si>
    <t>Dover, DE</t>
  </si>
  <si>
    <t>Dubuque, IA</t>
  </si>
  <si>
    <t>Duluth, MN-WI</t>
  </si>
  <si>
    <t>Durham-Chapel Hill, NC</t>
  </si>
  <si>
    <t>Eau Claire, WI</t>
  </si>
  <si>
    <t>El Centro, CA</t>
  </si>
  <si>
    <t>Elizabethtown, KY</t>
  </si>
  <si>
    <t>Elkhart-Goshen, IN</t>
  </si>
  <si>
    <t>Elmira, NY</t>
  </si>
  <si>
    <t>El Paso, TX</t>
  </si>
  <si>
    <t>Erie, PA</t>
  </si>
  <si>
    <t>Eugene-Springfield, OR</t>
  </si>
  <si>
    <t>Evansville, IN-KY</t>
  </si>
  <si>
    <t>Fairbanks, AK</t>
  </si>
  <si>
    <t>Fajardo, PR</t>
  </si>
  <si>
    <t>Fargo, ND-MN</t>
  </si>
  <si>
    <t>Farmington, NM</t>
  </si>
  <si>
    <t>Fayetteville, NC</t>
  </si>
  <si>
    <t>Fayetteville-Springdale-Rogers, AR-MO</t>
  </si>
  <si>
    <t>Flagstaff, AZ</t>
  </si>
  <si>
    <t>Flint, MI</t>
  </si>
  <si>
    <t>Florence, SC</t>
  </si>
  <si>
    <t>Florence-Muscle Shoals, AL</t>
  </si>
  <si>
    <t>Fond du Lac, WI</t>
  </si>
  <si>
    <t>Fort Collins-Loveland, CO</t>
  </si>
  <si>
    <t>Fort Smith, AR-OK</t>
  </si>
  <si>
    <t>Fort Walton Beach-Crestview-Destin, FL</t>
  </si>
  <si>
    <t>Fort Wayne, IN</t>
  </si>
  <si>
    <t>Fresno, CA</t>
  </si>
  <si>
    <t>Gadsden, AL</t>
  </si>
  <si>
    <t>Gainesville, FL</t>
  </si>
  <si>
    <t>Gainesville, GA</t>
  </si>
  <si>
    <t>Glens Falls, NY</t>
  </si>
  <si>
    <t>Goldsboro, NC</t>
  </si>
  <si>
    <t>Grand Forks, ND-MN</t>
  </si>
  <si>
    <t>Grand Junction, CO</t>
  </si>
  <si>
    <t>Grand Rapids-Wyoming, MI</t>
  </si>
  <si>
    <t>Great Falls, MT</t>
  </si>
  <si>
    <t>Greeley, CO</t>
  </si>
  <si>
    <t>Green Bay, WI</t>
  </si>
  <si>
    <t>Greensboro-High Point, NC</t>
  </si>
  <si>
    <t>Greenville, NC</t>
  </si>
  <si>
    <t>Greenville-Mauldin-Easley, SC</t>
  </si>
  <si>
    <t>Guayama, PR</t>
  </si>
  <si>
    <t>Gulfport-Biloxi, MS</t>
  </si>
  <si>
    <t>Hagerstown-Martinsburg, MD-WV</t>
  </si>
  <si>
    <t>Hanford-Corcoran, CA</t>
  </si>
  <si>
    <t>Harrisburg-Carlisle, PA</t>
  </si>
  <si>
    <t>Harrisonburg, VA</t>
  </si>
  <si>
    <t>Hartford-West Hartford-East Hartford, CT</t>
  </si>
  <si>
    <t>Hattiesburg, MS</t>
  </si>
  <si>
    <t>Hickory-Lenoir-Morganton, NC</t>
  </si>
  <si>
    <t>Hinesville-Fort Stewart, GA</t>
  </si>
  <si>
    <t>Holland-Grand Haven, MI</t>
  </si>
  <si>
    <t>Honolulu, HI</t>
  </si>
  <si>
    <t>Hot Springs, AR</t>
  </si>
  <si>
    <t>Houma-Bayou Cane-Thibodaux, LA</t>
  </si>
  <si>
    <t>Houston-Sugar Land-Baytown, TX</t>
  </si>
  <si>
    <t>Huntington-Ashland, WV-KY-OH</t>
  </si>
  <si>
    <t>Huntsville, AL</t>
  </si>
  <si>
    <t>Idaho Falls, ID</t>
  </si>
  <si>
    <t>Indianapolis-Carmel, IN</t>
  </si>
  <si>
    <t>Iowa City, IA</t>
  </si>
  <si>
    <t>Ithaca, NY</t>
  </si>
  <si>
    <t>Jackson, MI</t>
  </si>
  <si>
    <t>Jackson, MS</t>
  </si>
  <si>
    <t>Jackson, TN</t>
  </si>
  <si>
    <t>Jacksonville, FL</t>
  </si>
  <si>
    <t>Jacksonville, NC</t>
  </si>
  <si>
    <t>Janesville, WI</t>
  </si>
  <si>
    <t>Jefferson City, MO</t>
  </si>
  <si>
    <t>Johnson City, TN</t>
  </si>
  <si>
    <t>Johnstown, PA</t>
  </si>
  <si>
    <t>Jonesboro, AR</t>
  </si>
  <si>
    <t>Joplin, MO</t>
  </si>
  <si>
    <t>Kalamazoo-Portage, MI</t>
  </si>
  <si>
    <t>Kankakee-Bradley, IL</t>
  </si>
  <si>
    <t>Kansas City, MO-KS</t>
  </si>
  <si>
    <t>Kennewick-Pasco-Richland, WA</t>
  </si>
  <si>
    <t>Killeen-Temple-Fort Hood, TX</t>
  </si>
  <si>
    <t>Kingsport-Bristol-Bristol, TN-VA</t>
  </si>
  <si>
    <t>Kingston, NY</t>
  </si>
  <si>
    <t>Knoxville, TN</t>
  </si>
  <si>
    <t>Kokomo, IN</t>
  </si>
  <si>
    <t>La Crosse, WI-MN</t>
  </si>
  <si>
    <t>Lafayette, IN</t>
  </si>
  <si>
    <t>Lafayette, LA</t>
  </si>
  <si>
    <t>Lake Charles, LA</t>
  </si>
  <si>
    <t>Lake Havasu City-Kingman, AZ</t>
  </si>
  <si>
    <t>Lakeland-Winter Haven, FL</t>
  </si>
  <si>
    <t>Lancaster, PA</t>
  </si>
  <si>
    <t>Lansing-East Lansing, MI</t>
  </si>
  <si>
    <t>Laredo, TX</t>
  </si>
  <si>
    <t>Las Cruces, NM</t>
  </si>
  <si>
    <t>Las Vegas-Paradise, NV</t>
  </si>
  <si>
    <t>Lawrence, KS</t>
  </si>
  <si>
    <t>Lawton, OK</t>
  </si>
  <si>
    <t>Lebanon, PA</t>
  </si>
  <si>
    <t>Lewiston, ID-WA</t>
  </si>
  <si>
    <t>Lewiston-Auburn, ME</t>
  </si>
  <si>
    <t>Lexington-Fayette, KY</t>
  </si>
  <si>
    <t>Lima, OH</t>
  </si>
  <si>
    <t>Lincoln, NE</t>
  </si>
  <si>
    <t>Little Rock-North Little Rock-Conway, AR</t>
  </si>
  <si>
    <t>Logan, UT-ID</t>
  </si>
  <si>
    <t>Longview, TX</t>
  </si>
  <si>
    <t>Longview, WA</t>
  </si>
  <si>
    <t>Los Angeles-Long Beach-Santa Ana, CA</t>
  </si>
  <si>
    <t>Louisville-Jefferson County, KY-IN</t>
  </si>
  <si>
    <t>Lubbock, TX</t>
  </si>
  <si>
    <t>Lynchburg, VA</t>
  </si>
  <si>
    <t>Macon, GA</t>
  </si>
  <si>
    <t>Madera-Chowchilla, CA</t>
  </si>
  <si>
    <t>Madison, WI</t>
  </si>
  <si>
    <t>Manchester-Nashua, NH</t>
  </si>
  <si>
    <t>Manhattan, KS</t>
  </si>
  <si>
    <t>Mankato-North Mankato, MN</t>
  </si>
  <si>
    <t>Mansfield, OH</t>
  </si>
  <si>
    <t>Mayagüez, PR</t>
  </si>
  <si>
    <t>McAllen-Edinburg-Mission, TX</t>
  </si>
  <si>
    <t>Medford, OR</t>
  </si>
  <si>
    <t>Memphis, TN-MS-AR</t>
  </si>
  <si>
    <t>Merced, CA</t>
  </si>
  <si>
    <t>Miami-Fort Lauderdale-Pompano Beach, FL</t>
  </si>
  <si>
    <t>Michigan City-La Porte, IN</t>
  </si>
  <si>
    <t>Midland, TX</t>
  </si>
  <si>
    <t>Milwaukee-Waukesha-West Allis, WI</t>
  </si>
  <si>
    <t>Minneapolis-St. Paul-Bloomington, MN-WI</t>
  </si>
  <si>
    <t>Missoula, MT</t>
  </si>
  <si>
    <t>Mobile, AL</t>
  </si>
  <si>
    <t>Modesto, CA</t>
  </si>
  <si>
    <t>Monroe, LA</t>
  </si>
  <si>
    <t>Monroe, MI</t>
  </si>
  <si>
    <t>Montgomery, AL</t>
  </si>
  <si>
    <t>Morgantown, WV</t>
  </si>
  <si>
    <t>Morristown, TN</t>
  </si>
  <si>
    <t>Mount Vernon-Anacortes, WA</t>
  </si>
  <si>
    <t>Muncie, IN</t>
  </si>
  <si>
    <t>Muskegon-Norton Shores, MI</t>
  </si>
  <si>
    <t>Myrtle Beach-North Myrtle Beach-Conway, SC</t>
  </si>
  <si>
    <t>Napa, CA</t>
  </si>
  <si>
    <t>Naples-Marco Island, FL</t>
  </si>
  <si>
    <t>Nashville-Davidson--Murfreesboro--Franklin, TN</t>
  </si>
  <si>
    <t>New Haven-Milford, CT</t>
  </si>
  <si>
    <t>New Orleans-Metairie-Kenner, LA</t>
  </si>
  <si>
    <t>New York-Northern New Jersey-Long Island, NY-NJ-PA</t>
  </si>
  <si>
    <t>Niles-Benton Harbor, MI</t>
  </si>
  <si>
    <t>Norwich-New London, CT</t>
  </si>
  <si>
    <t>Ocala, FL</t>
  </si>
  <si>
    <t>Ocean City, NJ</t>
  </si>
  <si>
    <t>Odessa, TX</t>
  </si>
  <si>
    <t>Ogden-Clearfield, UT</t>
  </si>
  <si>
    <t>Oklahoma City, OK</t>
  </si>
  <si>
    <t>Olympia, WA</t>
  </si>
  <si>
    <t>Omaha-Council Bluffs, NE-IA</t>
  </si>
  <si>
    <t>Orlando-Kissimmee, FL</t>
  </si>
  <si>
    <t>Oshkosh-Neenah, WI</t>
  </si>
  <si>
    <t>Owensboro, KY</t>
  </si>
  <si>
    <t>Oxnard-Thousand Oaks-Ventura, CA</t>
  </si>
  <si>
    <t>Palm Bay-Melbourne-Titusville, FL</t>
  </si>
  <si>
    <t>Palm Coast, FL</t>
  </si>
  <si>
    <t>Panama City-Lynn Haven-Panama City Beach, FL</t>
  </si>
  <si>
    <t>Parkersburg-Marietta-Vienna, WV-OH</t>
  </si>
  <si>
    <t>Pascagoula, MS</t>
  </si>
  <si>
    <t>Pensacola-Ferry Pass-Brent, FL</t>
  </si>
  <si>
    <t>Peoria, IL</t>
  </si>
  <si>
    <t>Philadelphia-Camden-Wilmington, PA-NJ-DE-MD</t>
  </si>
  <si>
    <t>Phoenix-Mesa-Scottsdale, AZ</t>
  </si>
  <si>
    <t>Pine Bluff, AR</t>
  </si>
  <si>
    <t>Pittsburgh, PA</t>
  </si>
  <si>
    <t>Pittsfield, MA</t>
  </si>
  <si>
    <t>Pocatello, ID</t>
  </si>
  <si>
    <t>Ponce, PR</t>
  </si>
  <si>
    <t>Portland-South Portland-Biddeford, ME</t>
  </si>
  <si>
    <t>Portland-Vancouver-Beaverton, OR-WA</t>
  </si>
  <si>
    <t>Port St. Lucie, FL</t>
  </si>
  <si>
    <t>Poughkeepsie-Newburgh-Middletown, NY</t>
  </si>
  <si>
    <t>Prescott, AZ</t>
  </si>
  <si>
    <t>Providence-New Bedford-Fall River, RI-MA</t>
  </si>
  <si>
    <t>Provo-Orem, UT</t>
  </si>
  <si>
    <t>Pueblo, CO</t>
  </si>
  <si>
    <t>Punta Gorda, FL</t>
  </si>
  <si>
    <t>Racine, WI</t>
  </si>
  <si>
    <t>Raleigh-Cary, NC</t>
  </si>
  <si>
    <t>Rapid City, SD</t>
  </si>
  <si>
    <t>Reading, PA</t>
  </si>
  <si>
    <t>Redding, CA</t>
  </si>
  <si>
    <t>Reno-Sparks, NV</t>
  </si>
  <si>
    <t>Richmond, VA</t>
  </si>
  <si>
    <t>Riverside-San Bernardino-Ontario, CA</t>
  </si>
  <si>
    <t>Roanoke, VA</t>
  </si>
  <si>
    <t>Rochester, MN</t>
  </si>
  <si>
    <t>Rochester, NY</t>
  </si>
  <si>
    <t>Rockford, IL</t>
  </si>
  <si>
    <t>Rocky Mount, NC</t>
  </si>
  <si>
    <t>Rome, GA</t>
  </si>
  <si>
    <t>Sacramento--Arden-Arcade--Roseville, CA</t>
  </si>
  <si>
    <t>Saginaw-Saginaw Township North, MI</t>
  </si>
  <si>
    <t>St. Cloud, MN</t>
  </si>
  <si>
    <t>St. George, UT</t>
  </si>
  <si>
    <t>St. Joseph, MO-KS</t>
  </si>
  <si>
    <t>St. Louis, MO-IL</t>
  </si>
  <si>
    <t>Salem, OR</t>
  </si>
  <si>
    <t>Salinas, CA</t>
  </si>
  <si>
    <t>Salisbury, MD</t>
  </si>
  <si>
    <t>Salt Lake City, UT</t>
  </si>
  <si>
    <t>San Angelo, TX</t>
  </si>
  <si>
    <t>San Antonio, TX</t>
  </si>
  <si>
    <t>San Diego-Carlsbad-San Marcos, CA</t>
  </si>
  <si>
    <t>Sandusky, OH</t>
  </si>
  <si>
    <t>San Francisco-Oakland-Fremont, CA</t>
  </si>
  <si>
    <t>San Germán-Cabo Rojo, PR</t>
  </si>
  <si>
    <t>San Jose-Sunnyvale-Santa Clara, CA</t>
  </si>
  <si>
    <t>San Juan-Caguas-Guaynabo, PR</t>
  </si>
  <si>
    <t>San Luis Obispo-Paso Robles, CA</t>
  </si>
  <si>
    <t>Santa Barbara-Santa Maria-Goleta, CA</t>
  </si>
  <si>
    <t>Santa Cruz-Watsonville, CA</t>
  </si>
  <si>
    <t>Santa Fe, NM</t>
  </si>
  <si>
    <t>Santa Rosa-Petaluma, CA</t>
  </si>
  <si>
    <t>Savannah, GA</t>
  </si>
  <si>
    <t>Scranton--Wilkes-Barre, PA</t>
  </si>
  <si>
    <t>Seattle-Tacoma-Bellevue, WA</t>
  </si>
  <si>
    <t>Sebastian-Vero Beach, FL</t>
  </si>
  <si>
    <t>Sheboygan, WI</t>
  </si>
  <si>
    <t>Sherman-Denison, TX</t>
  </si>
  <si>
    <t>Shreveport-Bossier City, LA</t>
  </si>
  <si>
    <t>Sioux City, IA-NE-SD</t>
  </si>
  <si>
    <t>Sioux Falls, SD</t>
  </si>
  <si>
    <t>South Bend-Mishawaka, IN-MI</t>
  </si>
  <si>
    <t>Spartanburg, SC</t>
  </si>
  <si>
    <t>Spokane, WA</t>
  </si>
  <si>
    <t>Springfield, IL</t>
  </si>
  <si>
    <t>Springfield, MA</t>
  </si>
  <si>
    <t>Springfield, MO</t>
  </si>
  <si>
    <t>Springfield, OH</t>
  </si>
  <si>
    <t>State College, PA</t>
  </si>
  <si>
    <t>Stockton, CA</t>
  </si>
  <si>
    <t>Sumter, SC</t>
  </si>
  <si>
    <t>Syracuse, NY</t>
  </si>
  <si>
    <t>Tallahassee, FL</t>
  </si>
  <si>
    <t>Tampa-St. Petersburg-Clearwater, FL</t>
  </si>
  <si>
    <t>Terre Haute, IN</t>
  </si>
  <si>
    <t>Texarkana, TX-Texarkana, AR</t>
  </si>
  <si>
    <t>Toledo, OH</t>
  </si>
  <si>
    <t>Topeka, KS</t>
  </si>
  <si>
    <t>Trenton-Ewing, NJ</t>
  </si>
  <si>
    <t>Tucson, AZ</t>
  </si>
  <si>
    <t>Tulsa, OK</t>
  </si>
  <si>
    <t>Tuscaloosa, AL</t>
  </si>
  <si>
    <t>Tyler, TX</t>
  </si>
  <si>
    <t>Utica-Rome, NY</t>
  </si>
  <si>
    <t>Valdosta, GA</t>
  </si>
  <si>
    <t>Vallejo-Fairfield, CA</t>
  </si>
  <si>
    <t>Victoria, TX</t>
  </si>
  <si>
    <t>Vineland-Millville-Bridgeton, NJ</t>
  </si>
  <si>
    <t>Virginia Beach-Norfolk-Newport News, VA-NC</t>
  </si>
  <si>
    <t>Visalia-Porterville, CA</t>
  </si>
  <si>
    <t>Waco, TX</t>
  </si>
  <si>
    <t>Warner Robins, GA</t>
  </si>
  <si>
    <t>Washington-Arlington-Alexandria, DC-VA-MD-WV</t>
  </si>
  <si>
    <t>Waterloo-Cedar Falls, IA</t>
  </si>
  <si>
    <t>Wausau, WI</t>
  </si>
  <si>
    <t>Weirton-Steubenville, WV-OH</t>
  </si>
  <si>
    <t>Wenatchee-East Wenatchee, WA</t>
  </si>
  <si>
    <t>Wheeling, WV-OH</t>
  </si>
  <si>
    <t>Wichita, KS</t>
  </si>
  <si>
    <t>Wichita Falls, TX</t>
  </si>
  <si>
    <t>Williamsport, PA</t>
  </si>
  <si>
    <t>Wilmington, NC</t>
  </si>
  <si>
    <t>Winchester, VA-WV</t>
  </si>
  <si>
    <t>Winston-Salem, NC</t>
  </si>
  <si>
    <t>Worcester, MA</t>
  </si>
  <si>
    <t>Yakima, WA</t>
  </si>
  <si>
    <t>Yauco, PR</t>
  </si>
  <si>
    <t>York-Hanover, PA</t>
  </si>
  <si>
    <t>Youngstown-Warren-Boardman, OH-PA</t>
  </si>
  <si>
    <t>Yuba City, CA</t>
  </si>
  <si>
    <t>Yuma, AZ</t>
  </si>
  <si>
    <t>Metro Region:</t>
  </si>
  <si>
    <t>Parking Spaces:</t>
  </si>
  <si>
    <t>Bicycle Commute Mode Share:</t>
  </si>
  <si>
    <t>Existing Bicycle Parking Spaces:</t>
  </si>
  <si>
    <t>Target Bicycle Access Boardings:</t>
  </si>
  <si>
    <t>Daily Bicycle Space Turnover:</t>
  </si>
  <si>
    <t>Bicycle Parking Turnover (times per day)</t>
  </si>
  <si>
    <t>Minimum Spaces Needed:</t>
  </si>
  <si>
    <t>Additional Spaces Planned:</t>
  </si>
  <si>
    <t>New Bicycle Spaces Planned:</t>
  </si>
  <si>
    <t>Bicycle Parking Costs</t>
  </si>
  <si>
    <t>Additional spaces planned</t>
  </si>
  <si>
    <t>Tier</t>
  </si>
  <si>
    <t>Bicycle parking quantity tier (see Guidebook)</t>
  </si>
  <si>
    <t>Covererd Racks</t>
  </si>
  <si>
    <t>Racks</t>
  </si>
  <si>
    <t>Lockers</t>
  </si>
  <si>
    <t>Covered Rack Cost</t>
  </si>
  <si>
    <t>Rack Cost</t>
  </si>
  <si>
    <t>Locker Cost</t>
  </si>
  <si>
    <r>
      <t>Addition/Reduction of reserved parking spaces</t>
    </r>
    <r>
      <rPr>
        <vertAlign val="superscript"/>
        <sz val="10"/>
        <rFont val="Calibri"/>
        <family val="2"/>
      </rPr>
      <t>1</t>
    </r>
  </si>
  <si>
    <t>1. If TOD results in change in park-and-ride spaces, make sure to address Step 4</t>
  </si>
  <si>
    <t>Daily parking collection cost (per space)</t>
  </si>
  <si>
    <t>Cost of collection (per space)</t>
  </si>
  <si>
    <t>Net Annual Impact</t>
  </si>
  <si>
    <r>
      <t>Trip Generation Details</t>
    </r>
    <r>
      <rPr>
        <vertAlign val="superscript"/>
        <sz val="10"/>
        <rFont val="Calibri"/>
        <family val="2"/>
      </rPr>
      <t>1</t>
    </r>
  </si>
  <si>
    <t>Annualized Bike Parking Cost</t>
  </si>
  <si>
    <t>Elasticity with respect to service hours</t>
  </si>
  <si>
    <t>2. Bicycle commute mode share for Census Place (from American Community Survey)</t>
  </si>
  <si>
    <t xml:space="preserve">Residential trip generation from ITE 8th Edition rate for apartment </t>
  </si>
  <si>
    <t xml:space="preserve">Office trip generation from ITE 8th Edition rate for general office </t>
  </si>
  <si>
    <t xml:space="preserve">Retail trip generation from ITE 8th Edition rate for 80% specialty retail center and 20% high turnover sit down restaurant </t>
  </si>
  <si>
    <t>Choose parking change or enter from Step 3 (use positive value for added parking, negative for parking removed)</t>
  </si>
  <si>
    <t>Color Key:</t>
  </si>
  <si>
    <t>Step 3 helps to estimate auto parking demand at the station and provides a comparison to similar station types. If parking demand exceeds supply, this step will help calculate the number of additional spaces needed and the cost to build them.</t>
  </si>
  <si>
    <t>Step 4 tests the impacts of changing the supply of parking at the station.</t>
  </si>
  <si>
    <t>Step 5 helps to determine how well each access mode is performing relative to other stations of its type. It also evaluates the impact of changes to access provisions. Descriptions of each component are provided in further detail in the Tool Instructions.</t>
  </si>
  <si>
    <t>Provide basic background data about the station, transit agency, station-area demographics, and regional characteristics. Inputs entered on this tab will be used in subsequent steps of the access planning process. For a more detailed explanation of each of the inputs, refer to the Glossary of Inputs included with the Tool Instructions.</t>
  </si>
  <si>
    <t>per day</t>
  </si>
  <si>
    <t>sf</t>
  </si>
  <si>
    <t>units</t>
  </si>
  <si>
    <t>All Default values used in the Tool are contained on this worksheet. These values are generalized estimates and should be modified where local data are available.</t>
  </si>
  <si>
    <t>From Step 3 (for reference)</t>
  </si>
  <si>
    <t>Percent that switch to/from other mode:</t>
  </si>
  <si>
    <t>Percent of riders who will switch to or from auto access based on increase or decrease in parking supply</t>
  </si>
  <si>
    <t>Land cost per square foot * 350 square feet (average parking space)</t>
  </si>
  <si>
    <t>Auto</t>
  </si>
  <si>
    <t>Workers (walked to work):</t>
  </si>
  <si>
    <t>Total workers in Census Block Groups who walked to work within 1/2-mile of station</t>
  </si>
  <si>
    <t>Average of Median Household Income for Census Block Groups within 1/2-mile of station</t>
  </si>
  <si>
    <t>Average of Percent Households with zero cars for Census Block Groups within 1/2-mile of station</t>
  </si>
  <si>
    <t>Total Vehicles in Census Block Groups divided by Total Workers within 1/2-mile of station</t>
  </si>
  <si>
    <t>Sample Region</t>
  </si>
  <si>
    <t>Capital Recovery Factor (25 yrs @ 5%)</t>
  </si>
  <si>
    <r>
      <t>Local Bicycle Commute Mode Share</t>
    </r>
    <r>
      <rPr>
        <vertAlign val="superscript"/>
        <sz val="10"/>
        <color indexed="9"/>
        <rFont val="Calibri"/>
        <family val="2"/>
      </rPr>
      <t>2</t>
    </r>
  </si>
  <si>
    <t>Total workers (employed residents) in Census Block Groups within 1/2-mile of station</t>
  </si>
  <si>
    <t>Estimate number of new spaces needed based on over/under supply</t>
  </si>
  <si>
    <t>Choose new daily parking fare ($2 - $5 intervals recommended)</t>
  </si>
  <si>
    <t xml:space="preserve">Ridership impact of  change in parking supply </t>
  </si>
  <si>
    <t>Actual or External Model Data</t>
  </si>
  <si>
    <t>Actual or Estimated Mode Split</t>
  </si>
  <si>
    <t>Step 1 develops an estimate of total station ridership. If counts or external model data area available, station ridership can be entered directly. Otherwise, use the Spreadsheet Model method to estimate total station ridership.</t>
  </si>
  <si>
    <t>Spreadsheet Model</t>
  </si>
  <si>
    <t>Once an estimate of total station ridership is produced, Step 2 helps to estimate the station access mode split by each of the five primary access modes. If counts or an external model are available, they can be entered directly below. Otherwise, use the Station Type method to develop estimates for station access mode split.</t>
  </si>
  <si>
    <t>Estimate Parking Construction Costs</t>
  </si>
  <si>
    <r>
      <t xml:space="preserve">TCRP B-38 Station Access Planning Tool
</t>
    </r>
    <r>
      <rPr>
        <sz val="14"/>
        <color indexed="9"/>
        <rFont val="Calibri"/>
        <family val="2"/>
      </rPr>
      <t>Step 3: Estimate Auto Parking Demand and Costs</t>
    </r>
  </si>
  <si>
    <t>Daily cost per new parking space:</t>
  </si>
  <si>
    <t>Annual cost per parking space per rider:</t>
  </si>
  <si>
    <t>Current average round trip cost (parking &amp; fare):</t>
  </si>
  <si>
    <t>Proposed round trip cost (parking &amp; fare):</t>
  </si>
  <si>
    <t>Riders per space:</t>
  </si>
  <si>
    <t>Station riders affected by parking charges:</t>
  </si>
  <si>
    <t>Number of auto access ridres potentially lost:</t>
  </si>
  <si>
    <t>Percent riders that find another access mode:</t>
  </si>
  <si>
    <t>Net ridership loss:</t>
  </si>
  <si>
    <t>Boardings loss (at 2 trips per station boarding):</t>
  </si>
  <si>
    <t>Park &amp; Ride riders * Elasticity effect</t>
  </si>
  <si>
    <t>Riders retained (switch to other mode):</t>
  </si>
  <si>
    <t>Potentially lost riders * percent riders that find another access mode</t>
  </si>
  <si>
    <t>Potentially lost riders - retained riders</t>
  </si>
  <si>
    <t>Average Round-Trip Transfer Fee:</t>
  </si>
  <si>
    <t>Total New (Walk) Trips:</t>
  </si>
  <si>
    <r>
      <t xml:space="preserve">1. Trip Generation estimates based on the ITE </t>
    </r>
    <r>
      <rPr>
        <i/>
        <sz val="10"/>
        <rFont val="Calibri"/>
        <family val="2"/>
      </rPr>
      <t xml:space="preserve">Trip Generation Manual, 8th Edition, </t>
    </r>
    <r>
      <rPr>
        <sz val="10"/>
        <rFont val="Calibri"/>
        <family val="2"/>
      </rPr>
      <t>and are assumed to represent person-trips</t>
    </r>
  </si>
  <si>
    <t>The final step, which is optional, is to evaluate the fiscal impacts of the access management options calculated in Steps 1 through 5. This sheet calculates the impacts of various sources of revenue (fare, parking, rent, etc.) related to the transit station. Then, various costs (operations and captial) are subtracted to produce the Net Annual Impact of the access planning strategies contained in the analysis.</t>
  </si>
  <si>
    <t>Annual net change in fare revenue</t>
  </si>
  <si>
    <t>Combined net change in parking Revenue</t>
  </si>
  <si>
    <t>Total Net Change in Annual Revenue</t>
  </si>
  <si>
    <t>Total Net Change in Annual Cost</t>
  </si>
  <si>
    <t>Ground Rent from TOD after replacement parking</t>
  </si>
  <si>
    <r>
      <t xml:space="preserve">TCRP B-38 Station Access Planning Tool
</t>
    </r>
    <r>
      <rPr>
        <sz val="14"/>
        <color indexed="9"/>
        <rFont val="Calibri"/>
        <family val="2"/>
      </rPr>
      <t>Net Annual</t>
    </r>
    <r>
      <rPr>
        <sz val="10"/>
        <color indexed="9"/>
        <rFont val="Calibri"/>
        <family val="2"/>
      </rPr>
      <t xml:space="preserve"> </t>
    </r>
    <r>
      <rPr>
        <sz val="14"/>
        <color indexed="9"/>
        <rFont val="Calibri"/>
        <family val="2"/>
      </rPr>
      <t>Impacts on Revenues and Costs</t>
    </r>
  </si>
  <si>
    <t>Name</t>
  </si>
  <si>
    <t>Cell Reference</t>
  </si>
  <si>
    <t>ColAutoMax</t>
  </si>
  <si>
    <t>=Lists!$D$43:$D$59</t>
  </si>
  <si>
    <t>ColAutoMax_CR</t>
  </si>
  <si>
    <t>=Lists!$AY$43:$AY$59</t>
  </si>
  <si>
    <t>ColAutoMax_HR</t>
  </si>
  <si>
    <t>=Lists!$AD$43:$AD$59</t>
  </si>
  <si>
    <t>ColAutoMax_LR</t>
  </si>
  <si>
    <t>=Lists!$BT$43:$BT$59</t>
  </si>
  <si>
    <t>ColAutoMin</t>
  </si>
  <si>
    <t>=Lists!$C$43:$C$59</t>
  </si>
  <si>
    <t>ColAutoMin_CR</t>
  </si>
  <si>
    <t>=Lists!$AX$43:$AX$59</t>
  </si>
  <si>
    <t>ColAutoMin_HR</t>
  </si>
  <si>
    <t>=Lists!$AC$43:$AC$59</t>
  </si>
  <si>
    <t>ColAutoMin_LR</t>
  </si>
  <si>
    <t>=Lists!$BS$43:$BS$59</t>
  </si>
  <si>
    <t>ColAutoPercent</t>
  </si>
  <si>
    <t>=Lists!$B$43:$B$59</t>
  </si>
  <si>
    <t>ColAutoPercent_CR</t>
  </si>
  <si>
    <t>=Lists!$AW$43:$AW$59</t>
  </si>
  <si>
    <t>ColAutoPercent_HR</t>
  </si>
  <si>
    <t>=Lists!$AB$43:$AB$59</t>
  </si>
  <si>
    <t>ColAutoPercent_LR</t>
  </si>
  <si>
    <t>=Lists!$BR$43:$BR$59</t>
  </si>
  <si>
    <t>ColAutoStdDev</t>
  </si>
  <si>
    <t>=Lists!$E$43:$E$59</t>
  </si>
  <si>
    <t>ColAutoStDev_CR</t>
  </si>
  <si>
    <t>=Lists!$AZ$43:$AZ$59</t>
  </si>
  <si>
    <t>ColAutoStDev_HR</t>
  </si>
  <si>
    <t>=Lists!$AE$43:$AE$59</t>
  </si>
  <si>
    <t>ColAutoStDev_LR</t>
  </si>
  <si>
    <t>=Lists!$BU$43:$BU$59</t>
  </si>
  <si>
    <t>ColBicycleMax</t>
  </si>
  <si>
    <t>=Lists!$P$43:$P$59</t>
  </si>
  <si>
    <t>ColBicycleMax_CR</t>
  </si>
  <si>
    <t>=Lists!$BK$43:$BK$59</t>
  </si>
  <si>
    <t>ColBicycleMax_HR</t>
  </si>
  <si>
    <t>=Lists!$AP$43:$AP$59</t>
  </si>
  <si>
    <t>ColBicycleMax_LR</t>
  </si>
  <si>
    <t>=Lists!$CF$43:$CF$59</t>
  </si>
  <si>
    <t>ColBicycleMin</t>
  </si>
  <si>
    <t>=Lists!$O$43:$O$59</t>
  </si>
  <si>
    <t>ColBicycleMin_CR</t>
  </si>
  <si>
    <t>=Lists!$BJ$43:$BJ$59</t>
  </si>
  <si>
    <t>ColBicycleMin_HR</t>
  </si>
  <si>
    <t>=Lists!$AO$43:$AO$59</t>
  </si>
  <si>
    <t>ColBicycleMin_LR</t>
  </si>
  <si>
    <t>=Lists!$CE$43:$CE$59</t>
  </si>
  <si>
    <t>ColBicyclePercent</t>
  </si>
  <si>
    <t>=Lists!$N$43:$N$59</t>
  </si>
  <si>
    <t>ColBicyclePercent_CR</t>
  </si>
  <si>
    <t>=Lists!$BI$43:$BI$59</t>
  </si>
  <si>
    <t>ColBicyclePercent_HR</t>
  </si>
  <si>
    <t>=Lists!$AN$43:$AN$59</t>
  </si>
  <si>
    <t>ColBicyclePercent_LR</t>
  </si>
  <si>
    <t>=Lists!$CD$43:$CD$59</t>
  </si>
  <si>
    <t>ColBicycleStdDev</t>
  </si>
  <si>
    <t>=Lists!$Q$43:$Q$59</t>
  </si>
  <si>
    <t>ColBicycleStDev_CR</t>
  </si>
  <si>
    <t>=Lists!$BL$43:$BL$59</t>
  </si>
  <si>
    <t>ColBicycleStDev_HR</t>
  </si>
  <si>
    <t>=Lists!$AQ$43:$AQ$59</t>
  </si>
  <si>
    <t>ColBicycleStDev_LR</t>
  </si>
  <si>
    <t>=Lists!$CG$43:$CG$59</t>
  </si>
  <si>
    <t>ColClimateBike</t>
  </si>
  <si>
    <t>=Defaults!$C$45:$C$49</t>
  </si>
  <si>
    <t>ColClimatePed</t>
  </si>
  <si>
    <t>=Defaults!$B$45:$B$49</t>
  </si>
  <si>
    <t>ColDropOffMax</t>
  </si>
  <si>
    <t>=Lists!$H$43:$H$59</t>
  </si>
  <si>
    <t>ColDropOffMax_CR</t>
  </si>
  <si>
    <t>=Lists!$BC$43:$BC$59</t>
  </si>
  <si>
    <t>ColDropOffMax_HR</t>
  </si>
  <si>
    <t>=Lists!$AH$43:$AH$59</t>
  </si>
  <si>
    <t>ColDropOffMax_LR</t>
  </si>
  <si>
    <t>=Lists!$BX$43:$BX$59</t>
  </si>
  <si>
    <t>ColDropOffMin</t>
  </si>
  <si>
    <t>=Lists!$G$43:$G$59</t>
  </si>
  <si>
    <t>ColDropOffMin_CR</t>
  </si>
  <si>
    <t>=Lists!$BB$43:$BB$59</t>
  </si>
  <si>
    <t>ColDropOffMin_HR</t>
  </si>
  <si>
    <t>=Lists!$AG$43:$AG$59</t>
  </si>
  <si>
    <t>ColDropOffMin_LR</t>
  </si>
  <si>
    <t>=Lists!$BW$43:$BW$59</t>
  </si>
  <si>
    <t>ColDropOffPercent</t>
  </si>
  <si>
    <t>=Lists!$F$43:$F$59</t>
  </si>
  <si>
    <t>ColDropOffPercent_CR</t>
  </si>
  <si>
    <t>=Lists!$BA$43:$BA$59</t>
  </si>
  <si>
    <t>ColDropOffPercent_HR</t>
  </si>
  <si>
    <t>=Lists!$AF$43:$AF$59</t>
  </si>
  <si>
    <t>ColDropOffPercent_LR</t>
  </si>
  <si>
    <t>=Lists!$BV$43:$BV$59</t>
  </si>
  <si>
    <t>ColDropOffStdDev</t>
  </si>
  <si>
    <t>=Lists!$I$43:$I$59</t>
  </si>
  <si>
    <t>ColDropOffStdDev_CR</t>
  </si>
  <si>
    <t>=Lists!$BD$43:$BD$59</t>
  </si>
  <si>
    <t>ColDropOffStDev_CR</t>
  </si>
  <si>
    <t>ColDropOffStDev_HR</t>
  </si>
  <si>
    <t>=Lists!$AI$43:$AI$59</t>
  </si>
  <si>
    <t>ColDropOffStDev_LR</t>
  </si>
  <si>
    <t>=Lists!$BY$43:$BY$59</t>
  </si>
  <si>
    <t>ColFeederBusPercent</t>
  </si>
  <si>
    <t>=Lists!$J$43:$J$59</t>
  </si>
  <si>
    <t>ColFeederMax</t>
  </si>
  <si>
    <t>=Lists!$L$43:$L$59</t>
  </si>
  <si>
    <t>ColFeederMax_CR</t>
  </si>
  <si>
    <t>=Lists!$BG$43:$BG$59</t>
  </si>
  <si>
    <t>ColFeederMax_HR</t>
  </si>
  <si>
    <t>=Lists!$AL$43:$AL$59</t>
  </si>
  <si>
    <t>ColFeederMax_LR</t>
  </si>
  <si>
    <t>=Lists!$CB$43:$CB$59</t>
  </si>
  <si>
    <t>ColFeederMin</t>
  </si>
  <si>
    <t>=Lists!$K$43:$K$59</t>
  </si>
  <si>
    <t>ColFeederMin_CR</t>
  </si>
  <si>
    <t>=Lists!$BF$43:$BF$59</t>
  </si>
  <si>
    <t>ColFeederMin_HR</t>
  </si>
  <si>
    <t>=Lists!$AK$43:$AK$59</t>
  </si>
  <si>
    <t>ColFeederMin_LR</t>
  </si>
  <si>
    <t>=Lists!$CA$43:$CA$59</t>
  </si>
  <si>
    <t>ColFeederPercent_CR</t>
  </si>
  <si>
    <t>=Lists!$BE$43:$BE$59</t>
  </si>
  <si>
    <t>ColFeederPercent_HR</t>
  </si>
  <si>
    <t>=Lists!$AJ$43:$AJ$59</t>
  </si>
  <si>
    <t>ColFeederPercent_LR</t>
  </si>
  <si>
    <t>=Lists!$BZ$43:$BZ$59</t>
  </si>
  <si>
    <t>ColFeederStdDev</t>
  </si>
  <si>
    <t>=Lists!$M$43:$M$59</t>
  </si>
  <si>
    <t>ColFeederStDev_CR</t>
  </si>
  <si>
    <t>=Lists!$BH$43:$BH$59</t>
  </si>
  <si>
    <t>ColFeederStDev_HR</t>
  </si>
  <si>
    <t>=Lists!$AM$43:$AM$59</t>
  </si>
  <si>
    <t>ColFeederStDev_LR</t>
  </si>
  <si>
    <t>=Lists!$CC$43:$CC$59</t>
  </si>
  <si>
    <t>ColParkingAvg</t>
  </si>
  <si>
    <t>=Lists!$W$43:$W$59</t>
  </si>
  <si>
    <t>ColParkingMax</t>
  </si>
  <si>
    <t>=Lists!$Y$43:$Y$59</t>
  </si>
  <si>
    <t>ColParkingMin</t>
  </si>
  <si>
    <t>=Lists!$X$43:$X$59</t>
  </si>
  <si>
    <t>ColParkingPrice</t>
  </si>
  <si>
    <t>=Lists!$V$43:$V$59</t>
  </si>
  <si>
    <t>ColParkingStdDev</t>
  </si>
  <si>
    <t>=Lists!$Z$43:$Z$59</t>
  </si>
  <si>
    <t>ColTopographyBike</t>
  </si>
  <si>
    <t>=Defaults!$C$56:$C$60</t>
  </si>
  <si>
    <t>ColTopographyPed</t>
  </si>
  <si>
    <t>=Defaults!$B$56:$B$60</t>
  </si>
  <si>
    <t>ColWalkMax</t>
  </si>
  <si>
    <t>=Lists!$T$43:$T$59</t>
  </si>
  <si>
    <t>ColWalkMax_CR</t>
  </si>
  <si>
    <t>=Lists!$BO$43:$BO$59</t>
  </si>
  <si>
    <t>ColWalkMax_HR</t>
  </si>
  <si>
    <t>=Lists!$AT$43:$AT$59</t>
  </si>
  <si>
    <t>ColWalkMax_LR</t>
  </si>
  <si>
    <t>=Lists!$CJ$43:$CJ$59</t>
  </si>
  <si>
    <t>ColWalkMin</t>
  </si>
  <si>
    <t>=Lists!$S$43:$S$59</t>
  </si>
  <si>
    <t>ColWalkMin_CR</t>
  </si>
  <si>
    <t>=Lists!$BN$43:$BN$59</t>
  </si>
  <si>
    <t>ColWalkMin_HR</t>
  </si>
  <si>
    <t>=Lists!$AS$43:$AS$59</t>
  </si>
  <si>
    <t>ColWalkMin_LR</t>
  </si>
  <si>
    <t>=Lists!$CI$43:$CI$59</t>
  </si>
  <si>
    <t>ColWalkPercent</t>
  </si>
  <si>
    <t>=Lists!$R$43:$R$59</t>
  </si>
  <si>
    <t>ColWalkPercent_CR</t>
  </si>
  <si>
    <t>=Lists!$BM$43:$BM$59</t>
  </si>
  <si>
    <t>ColWalkPercent_HR</t>
  </si>
  <si>
    <t>=Lists!$AR$43:$AR$59</t>
  </si>
  <si>
    <t>ColWalkPercent_LR</t>
  </si>
  <si>
    <t>=Lists!$CH$43:$CH$59</t>
  </si>
  <si>
    <t>ColWalkStdDev</t>
  </si>
  <si>
    <t>=Lists!$U$43:$U$59</t>
  </si>
  <si>
    <t>ColWalkStDev_CR</t>
  </si>
  <si>
    <t>=Lists!$BP$43:$BP$59</t>
  </si>
  <si>
    <t>ColWalkStDev_HR</t>
  </si>
  <si>
    <t>=Lists!$AU$43:$AU$59</t>
  </si>
  <si>
    <t>ColWalkStDev_LR</t>
  </si>
  <si>
    <t>=Lists!$CK$43:$CK$59</t>
  </si>
  <si>
    <t>DefaultAnnualization</t>
  </si>
  <si>
    <t>=Defaults!$B$78</t>
  </si>
  <si>
    <t>DefaultAutotoFeeder</t>
  </si>
  <si>
    <t>=Defaults!$B$30</t>
  </si>
  <si>
    <t>DefaultAutotoOther</t>
  </si>
  <si>
    <t>=Defaults!$B$24</t>
  </si>
  <si>
    <t>DefaultBikeParkingTurnover</t>
  </si>
  <si>
    <t>=Defaults!$B$51</t>
  </si>
  <si>
    <t>DefaultCapRecoveryFactor</t>
  </si>
  <si>
    <t>=Defaults!$B$18</t>
  </si>
  <si>
    <t>DefaultCoveredRackCost</t>
  </si>
  <si>
    <t>=Defaults!$B$52</t>
  </si>
  <si>
    <t>DefaultDailyParkingCollectionCost</t>
  </si>
  <si>
    <t>=Defaults!$B$17</t>
  </si>
  <si>
    <t>DefaultDailytoAnnual</t>
  </si>
  <si>
    <t>=Defaults!$B$76</t>
  </si>
  <si>
    <t>DefaultFareDiscount</t>
  </si>
  <si>
    <t>=Defaults!$B$77</t>
  </si>
  <si>
    <t>DefaultFeederElasticity</t>
  </si>
  <si>
    <t>=Defaults!$B$29</t>
  </si>
  <si>
    <t>DefaultLockerCost</t>
  </si>
  <si>
    <t>=Defaults!$B$54</t>
  </si>
  <si>
    <t>DefaultOthertoAuto</t>
  </si>
  <si>
    <t>=Defaults!$B$23</t>
  </si>
  <si>
    <t>DefaultParkandRidePercentage</t>
  </si>
  <si>
    <t>=Defaults!$B$20</t>
  </si>
  <si>
    <t>DefaultParkingCapCost2Levels</t>
  </si>
  <si>
    <t>=Defaults!$B$13</t>
  </si>
  <si>
    <t>DefaultParkingCapCost3to7Levels</t>
  </si>
  <si>
    <t>=Defaults!$B$14</t>
  </si>
  <si>
    <t>DefaultParkingCapCostSurface</t>
  </si>
  <si>
    <t>=Defaults!$B$10</t>
  </si>
  <si>
    <t>DefaultParkingCapCostUnderground</t>
  </si>
  <si>
    <t>=Defaults!$B$15</t>
  </si>
  <si>
    <t>DefaultParkingElasticity</t>
  </si>
  <si>
    <t>=Defaults!$B$26</t>
  </si>
  <si>
    <t>DefaultParkingOpCostStructure</t>
  </si>
  <si>
    <t>=Defaults!$B$11</t>
  </si>
  <si>
    <t>DefaultParkingOpCostSurface</t>
  </si>
  <si>
    <t>=Defaults!$B$9</t>
  </si>
  <si>
    <t>DefaultRackCost</t>
  </si>
  <si>
    <t>=Defaults!$B$53</t>
  </si>
  <si>
    <t>DefaultReservedParkingCollectionCost</t>
  </si>
  <si>
    <t>=Defaults!$B$16</t>
  </si>
  <si>
    <t>DefaultResTripSplitNonWork</t>
  </si>
  <si>
    <t>=Defaults!$B$67</t>
  </si>
  <si>
    <t>DefaultResTripSplitWork</t>
  </si>
  <si>
    <t>=Defaults!$B$66</t>
  </si>
  <si>
    <t>DefaultSpaceTurnover</t>
  </si>
  <si>
    <t>=Defaults!$B$25</t>
  </si>
  <si>
    <t>DefaultTransitCaptureOffice</t>
  </si>
  <si>
    <t>=Defaults!$B$72</t>
  </si>
  <si>
    <t>DefaultTransitCaptureResNonWork</t>
  </si>
  <si>
    <t>=Defaults!$B$71</t>
  </si>
  <si>
    <t>DefaultTransitCaptureResWork</t>
  </si>
  <si>
    <t>=Defaults!$B$70</t>
  </si>
  <si>
    <t>DefaultTransitCaptureRetail</t>
  </si>
  <si>
    <t>=Defaults!$B$73</t>
  </si>
  <si>
    <t>DefaultTripGenOffice</t>
  </si>
  <si>
    <t>=Defaults!$B$64</t>
  </si>
  <si>
    <t>DefaultTripGenRes</t>
  </si>
  <si>
    <t>=Defaults!$B$63</t>
  </si>
  <si>
    <t>DefaultTripGenRetail</t>
  </si>
  <si>
    <t>=Defaults!$B$65</t>
  </si>
  <si>
    <t>DefaultVehOcc</t>
  </si>
  <si>
    <t>=Defaults!$B$19</t>
  </si>
  <si>
    <t>FiscalAnnualCost</t>
  </si>
  <si>
    <t>=Fiscal!$D$79</t>
  </si>
  <si>
    <t>FiscalAnnualFareRevenue</t>
  </si>
  <si>
    <t>=Fiscal!$D$28</t>
  </si>
  <si>
    <t>FiscalAnnualRevenue</t>
  </si>
  <si>
    <t>=Fiscal!$D$52</t>
  </si>
  <si>
    <t>FiscalCombinedParkingRevenue</t>
  </si>
  <si>
    <t>=Fiscal!$D$39</t>
  </si>
  <si>
    <t>FiscalFeederBusCosts</t>
  </si>
  <si>
    <t>=Fiscal!$D$59</t>
  </si>
  <si>
    <t>FiscalGroundRent</t>
  </si>
  <si>
    <t>=Fiscal!$D$50</t>
  </si>
  <si>
    <t>FiscalOtherCapitalCosts</t>
  </si>
  <si>
    <t>=Fiscal!$D$67</t>
  </si>
  <si>
    <t>FiscalOtherOperatingCosts</t>
  </si>
  <si>
    <t>=Fiscal!$D$62</t>
  </si>
  <si>
    <t>FiscalParkingOperatingCosts</t>
  </si>
  <si>
    <t>=Fiscal!$D$56</t>
  </si>
  <si>
    <t>InputAnalyst</t>
  </si>
  <si>
    <t>=Input!$G$11</t>
  </si>
  <si>
    <t>InputBicycleCommuteShare</t>
  </si>
  <si>
    <t>=Input!$G$23</t>
  </si>
  <si>
    <t>InputBicycleParkingSpaces</t>
  </si>
  <si>
    <t>=Input!$G$19</t>
  </si>
  <si>
    <t>InputCarParkingPrice</t>
  </si>
  <si>
    <t>=Input!$G$16</t>
  </si>
  <si>
    <t>InputCarParkingSpaces</t>
  </si>
  <si>
    <t>=Input!$G$14</t>
  </si>
  <si>
    <t>InputCityRegion</t>
  </si>
  <si>
    <t>=Input!$D$11</t>
  </si>
  <si>
    <t>InputClimate</t>
  </si>
  <si>
    <t>=Input!$D$19</t>
  </si>
  <si>
    <t>InputConnectingTransit</t>
  </si>
  <si>
    <t>=Input!$G$21</t>
  </si>
  <si>
    <t>InputDate</t>
  </si>
  <si>
    <t>=Input!$G$10</t>
  </si>
  <si>
    <t>InputFare</t>
  </si>
  <si>
    <t>=Input!$G$20</t>
  </si>
  <si>
    <t>InputJobs</t>
  </si>
  <si>
    <t>=Input!$D$27</t>
  </si>
  <si>
    <t>InputLandUse</t>
  </si>
  <si>
    <t>=Input!$D$18</t>
  </si>
  <si>
    <t>InputLineHaulMode</t>
  </si>
  <si>
    <t>=Input!$D$16</t>
  </si>
  <si>
    <t>InputMedianIncome</t>
  </si>
  <si>
    <t>=Input!$D$30</t>
  </si>
  <si>
    <t>InputModeSplitMethod</t>
  </si>
  <si>
    <t>='Step 2'!$D$22</t>
  </si>
  <si>
    <t>InputMonthlyCarParkingPrice</t>
  </si>
  <si>
    <t>=Input!$G$17</t>
  </si>
  <si>
    <t>InputNewExisting</t>
  </si>
  <si>
    <t>=Input!$D$15</t>
  </si>
  <si>
    <t>InputParcelSize</t>
  </si>
  <si>
    <t>='Step 5'!$D$99</t>
  </si>
  <si>
    <t>InputParkingChange</t>
  </si>
  <si>
    <t>='Step 4'!$D$26</t>
  </si>
  <si>
    <t>InputParkingType</t>
  </si>
  <si>
    <t>='Step 3'!$D$52</t>
  </si>
  <si>
    <t>InputPercentZeroCar</t>
  </si>
  <si>
    <t>=Input!$D$31</t>
  </si>
  <si>
    <t>InputPopulation</t>
  </si>
  <si>
    <t>=Input!$D$26</t>
  </si>
  <si>
    <t>InputReservedCarParkingSpaces</t>
  </si>
  <si>
    <t>=Input!$G$15</t>
  </si>
  <si>
    <t>InputRidershipMethod</t>
  </si>
  <si>
    <t>='Step 1'!$D$20</t>
  </si>
  <si>
    <t>InputStationName</t>
  </si>
  <si>
    <t>=Input!$D$14</t>
  </si>
  <si>
    <t>InputStationType</t>
  </si>
  <si>
    <t>=Input!$D$17</t>
  </si>
  <si>
    <t>InputTopography</t>
  </si>
  <si>
    <t>=Input!$D$20</t>
  </si>
  <si>
    <t>InputTransferFee</t>
  </si>
  <si>
    <t>=Input!$G$22</t>
  </si>
  <si>
    <t>InputTransitAgency</t>
  </si>
  <si>
    <t>=Input!$D$10</t>
  </si>
  <si>
    <t>InputUtilization</t>
  </si>
  <si>
    <t>=Input!$G$18</t>
  </si>
  <si>
    <t>InputVehPerWorker</t>
  </si>
  <si>
    <t>=Input!$D$32</t>
  </si>
  <si>
    <t>InputWalkedtoWork</t>
  </si>
  <si>
    <t>=Input!$D$29</t>
  </si>
  <si>
    <t>InputWorkers</t>
  </si>
  <si>
    <t>=Input!$D$28</t>
  </si>
  <si>
    <t>LClimate</t>
  </si>
  <si>
    <t>=Lists!$C$19:$C$22</t>
  </si>
  <si>
    <t>LExist</t>
  </si>
  <si>
    <t>=Lists!$A$7:$A$8</t>
  </si>
  <si>
    <t>LLandUse</t>
  </si>
  <si>
    <t>=Lists!$C$13:$C$16</t>
  </si>
  <si>
    <t>LLineHaulMode</t>
  </si>
  <si>
    <t>=Lists!$A$11:$A$16</t>
  </si>
  <si>
    <t>LMetroRegion</t>
  </si>
  <si>
    <t>=Lists!$A$63:$A$437</t>
  </si>
  <si>
    <t>LModeSplitMethod</t>
  </si>
  <si>
    <t>=Lists!$C$7:$C$8</t>
  </si>
  <si>
    <t>LParkingType</t>
  </si>
  <si>
    <t>=Lists!$D$7:$D$10</t>
  </si>
  <si>
    <t>LRidershipMethod</t>
  </si>
  <si>
    <t>=Lists!$A$19:$A$20</t>
  </si>
  <si>
    <t>LTopography</t>
  </si>
  <si>
    <t>=Lists!$C$25:$C$28</t>
  </si>
  <si>
    <t>LTypology</t>
  </si>
  <si>
    <t>=Lists!$A$24:$A$39</t>
  </si>
  <si>
    <t>OutputAutoBoardings</t>
  </si>
  <si>
    <t>='Step 2'!$E$38</t>
  </si>
  <si>
    <t>OutputAutoPercent</t>
  </si>
  <si>
    <t>='Step 2'!$F$38</t>
  </si>
  <si>
    <t>OutputBicycleBoardings</t>
  </si>
  <si>
    <t>='Step 2'!$E$41</t>
  </si>
  <si>
    <t>OutputBicyclePercent</t>
  </si>
  <si>
    <t>='Step 2'!$F$41</t>
  </si>
  <si>
    <t>OutputBikeParkingSpaces</t>
  </si>
  <si>
    <t>='Step 5'!$D$95</t>
  </si>
  <si>
    <t>OutputDailyFeederCost</t>
  </si>
  <si>
    <t>='Step 5'!$D$60</t>
  </si>
  <si>
    <t>OutputDropOffBoardings</t>
  </si>
  <si>
    <t>='Step 2'!$E$39</t>
  </si>
  <si>
    <t>OutputDropOffPercent</t>
  </si>
  <si>
    <t>='Step 2'!$F$39</t>
  </si>
  <si>
    <t>OutputFeederBoardings</t>
  </si>
  <si>
    <t>='Step 2'!$E$40</t>
  </si>
  <si>
    <t>OutputFeederPercent</t>
  </si>
  <si>
    <t>='Step 2'!$F$40</t>
  </si>
  <si>
    <t>OutputNewParking</t>
  </si>
  <si>
    <t>='Step 3'!$D$66</t>
  </si>
  <si>
    <t>OutputNewParkingCost</t>
  </si>
  <si>
    <t>='Step 3'!$D$67</t>
  </si>
  <si>
    <t>OutputProposedCarParkingPrice</t>
  </si>
  <si>
    <t>='Step 5'!$D$30</t>
  </si>
  <si>
    <t>OutputRidership</t>
  </si>
  <si>
    <t>='Step 1'!$D$41</t>
  </si>
  <si>
    <t>OutputRidershipFeederBus</t>
  </si>
  <si>
    <t>='Step 5'!$D$67</t>
  </si>
  <si>
    <t>OutputRidershipParkingPricing</t>
  </si>
  <si>
    <t>='Step 5'!$D$45</t>
  </si>
  <si>
    <t>OutputStep4RidershipChange</t>
  </si>
  <si>
    <t>='Step 4'!$D$33</t>
  </si>
  <si>
    <t>OutputTODTrips</t>
  </si>
  <si>
    <t>='Step 5'!$D$127</t>
  </si>
  <si>
    <t>OutputWalkBoardings</t>
  </si>
  <si>
    <t>='Step 2'!$E$42</t>
  </si>
  <si>
    <t>OutputWalkPercent</t>
  </si>
  <si>
    <t>='Step 2'!$F$42</t>
  </si>
  <si>
    <t>RefColumn</t>
  </si>
  <si>
    <t>=Lists!$B$60</t>
  </si>
  <si>
    <t>TableClimate</t>
  </si>
  <si>
    <t>=Defaults!$A$45:$C$49</t>
  </si>
  <si>
    <t>TableTopography</t>
  </si>
  <si>
    <t>=Defaults!$A$56:$C$60</t>
  </si>
  <si>
    <t>TableTransitCommuteShare</t>
  </si>
  <si>
    <t>=Lists!$A$62:$B$437</t>
  </si>
  <si>
    <t>TableTypologyAll</t>
  </si>
  <si>
    <t>=Lists!$A$42:$CK$59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</si>
</sst>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164" formatCode="[$-409]mmmm\ d\,\ yyyy;@"/>
    <numFmt numFmtId="165" formatCode="0.0%"/>
    <numFmt numFmtId="166" formatCode="0.0"/>
    <numFmt numFmtId="167" formatCode="0.000"/>
    <numFmt numFmtId="168" formatCode="&quot;$&quot;#,##0.00"/>
    <numFmt numFmtId="169" formatCode="&quot;$&quot;#,##0"/>
    <numFmt numFmtId="170" formatCode="&quot;$&quot;#,##0;[Red]\-&quot;$&quot;#,##0"/>
  </numFmts>
  <fonts count="21" x14ac:knownFonts="1">
    <font>
      <sz val="10"/>
      <name val="Calibri"/>
    </font>
    <font>
      <sz val="10"/>
      <name val="Calibri"/>
      <family val="2"/>
    </font>
    <font>
      <sz val="14"/>
      <name val="Calibri"/>
      <family val="2"/>
    </font>
    <font>
      <b/>
      <sz val="10"/>
      <name val="Calibri"/>
      <family val="2"/>
    </font>
    <font>
      <i/>
      <sz val="10"/>
      <name val="Calibri"/>
      <family val="2"/>
    </font>
    <font>
      <sz val="8"/>
      <name val="Calibri"/>
      <family val="2"/>
    </font>
    <font>
      <sz val="10"/>
      <color indexed="22"/>
      <name val="Calibri"/>
      <family val="2"/>
    </font>
    <font>
      <sz val="10"/>
      <color indexed="22"/>
      <name val="Calibri"/>
      <family val="2"/>
    </font>
    <font>
      <b/>
      <sz val="10"/>
      <name val="Arial"/>
      <family val="2"/>
    </font>
    <font>
      <sz val="10"/>
      <color indexed="9"/>
      <name val="Calibri"/>
      <family val="2"/>
    </font>
    <font>
      <sz val="14"/>
      <color indexed="9"/>
      <name val="Calibri"/>
      <family val="2"/>
    </font>
    <font>
      <sz val="12"/>
      <name val="Calibri"/>
      <family val="2"/>
    </font>
    <font>
      <b/>
      <sz val="10"/>
      <color indexed="9"/>
      <name val="Calibri"/>
      <family val="2"/>
    </font>
    <font>
      <vertAlign val="superscript"/>
      <sz val="12"/>
      <name val="Calibri"/>
      <family val="2"/>
    </font>
    <font>
      <sz val="10"/>
      <color indexed="9"/>
      <name val="Calibri"/>
      <family val="2"/>
    </font>
    <font>
      <sz val="10"/>
      <name val="Calibri"/>
      <family val="2"/>
    </font>
    <font>
      <sz val="10"/>
      <color indexed="26"/>
      <name val="Calibri"/>
      <family val="2"/>
    </font>
    <font>
      <b/>
      <sz val="10"/>
      <color indexed="26"/>
      <name val="Calibri"/>
      <family val="2"/>
    </font>
    <font>
      <b/>
      <sz val="10"/>
      <color indexed="26"/>
      <name val="Calibri"/>
      <family val="2"/>
    </font>
    <font>
      <vertAlign val="superscript"/>
      <sz val="10"/>
      <color indexed="9"/>
      <name val="Calibri"/>
      <family val="2"/>
    </font>
    <font>
      <vertAlign val="superscript"/>
      <sz val="10"/>
      <name val="Calibri"/>
      <family val="2"/>
    </font>
  </fonts>
  <fills count="18">
    <fill>
      <patternFill patternType="none"/>
    </fill>
    <fill>
      <patternFill patternType="gray125"/>
    </fill>
    <fill>
      <patternFill patternType="solid">
        <fgColor indexed="35"/>
        <bgColor indexed="64"/>
      </patternFill>
    </fill>
    <fill>
      <patternFill patternType="solid">
        <fgColor indexed="32"/>
        <bgColor indexed="64"/>
      </patternFill>
    </fill>
    <fill>
      <patternFill patternType="solid">
        <fgColor indexed="9"/>
        <bgColor indexed="64"/>
      </patternFill>
    </fill>
    <fill>
      <patternFill patternType="solid">
        <fgColor indexed="26"/>
        <bgColor indexed="64"/>
      </patternFill>
    </fill>
    <fill>
      <patternFill patternType="solid">
        <fgColor indexed="34"/>
        <bgColor indexed="64"/>
      </patternFill>
    </fill>
    <fill>
      <patternFill patternType="solid">
        <fgColor indexed="24"/>
        <bgColor indexed="64"/>
      </patternFill>
    </fill>
    <fill>
      <patternFill patternType="solid">
        <fgColor indexed="33"/>
        <bgColor indexed="64"/>
      </patternFill>
    </fill>
    <fill>
      <patternFill patternType="solid">
        <fgColor indexed="28"/>
        <bgColor indexed="64"/>
      </patternFill>
    </fill>
    <fill>
      <patternFill patternType="solid">
        <fgColor indexed="36"/>
        <bgColor indexed="64"/>
      </patternFill>
    </fill>
    <fill>
      <patternFill patternType="solid">
        <fgColor indexed="39"/>
        <bgColor indexed="64"/>
      </patternFill>
    </fill>
    <fill>
      <patternFill patternType="solid">
        <fgColor theme="0"/>
        <bgColor indexed="64"/>
      </patternFill>
    </fill>
    <fill>
      <patternFill patternType="solid">
        <fgColor rgb="FFB4C39F"/>
        <bgColor indexed="64"/>
      </patternFill>
    </fill>
    <fill>
      <patternFill patternType="solid">
        <fgColor rgb="FF8FB1C6"/>
        <bgColor indexed="64"/>
      </patternFill>
    </fill>
    <fill>
      <patternFill patternType="solid">
        <fgColor rgb="FFC5A9D2"/>
        <bgColor indexed="64"/>
      </patternFill>
    </fill>
    <fill>
      <patternFill patternType="solid">
        <fgColor rgb="FFCF7573"/>
        <bgColor indexed="64"/>
      </patternFill>
    </fill>
    <fill>
      <patternFill patternType="solid">
        <fgColor rgb="FF7C3C41"/>
        <bgColor indexed="64"/>
      </patternFill>
    </fill>
  </fills>
  <borders count="27">
    <border>
      <left/>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58">
    <xf numFmtId="0" fontId="0" fillId="0" borderId="0" xfId="0"/>
    <xf numFmtId="0" fontId="2" fillId="0" borderId="0" xfId="0" applyFont="1"/>
    <xf numFmtId="0" fontId="3" fillId="0" borderId="0" xfId="0" applyFont="1"/>
    <xf numFmtId="0" fontId="4" fillId="0" borderId="0" xfId="0" applyFont="1"/>
    <xf numFmtId="0" fontId="0" fillId="2" borderId="0" xfId="0" applyFill="1" applyBorder="1"/>
    <xf numFmtId="0" fontId="0" fillId="3" borderId="0" xfId="0" applyFill="1" applyBorder="1"/>
    <xf numFmtId="0" fontId="0" fillId="4" borderId="0" xfId="0" applyFill="1"/>
    <xf numFmtId="0" fontId="0" fillId="4" borderId="1" xfId="0" applyFill="1" applyBorder="1"/>
    <xf numFmtId="0" fontId="0" fillId="4" borderId="2" xfId="0" applyFill="1" applyBorder="1"/>
    <xf numFmtId="0" fontId="0" fillId="4" borderId="3" xfId="0" applyFill="1" applyBorder="1"/>
    <xf numFmtId="0" fontId="9" fillId="5" borderId="4" xfId="0" applyFont="1" applyFill="1" applyBorder="1" applyAlignment="1">
      <alignment horizontal="center" vertical="center"/>
    </xf>
    <xf numFmtId="0" fontId="0" fillId="4" borderId="1" xfId="0" applyFill="1" applyBorder="1" applyAlignment="1">
      <alignment vertical="center"/>
    </xf>
    <xf numFmtId="0" fontId="9" fillId="5" borderId="5" xfId="0" applyFont="1" applyFill="1" applyBorder="1" applyAlignment="1">
      <alignment horizontal="center" vertical="center"/>
    </xf>
    <xf numFmtId="0" fontId="0" fillId="4" borderId="2" xfId="0" applyFill="1" applyBorder="1" applyAlignment="1">
      <alignment vertical="center"/>
    </xf>
    <xf numFmtId="0" fontId="0" fillId="2" borderId="2" xfId="0" applyFill="1" applyBorder="1" applyAlignment="1">
      <alignment horizontal="center" vertical="center"/>
    </xf>
    <xf numFmtId="0" fontId="9" fillId="5" borderId="1" xfId="0" applyFont="1" applyFill="1" applyBorder="1" applyAlignment="1">
      <alignment horizontal="center" vertical="center"/>
    </xf>
    <xf numFmtId="164" fontId="0" fillId="2" borderId="6" xfId="0" applyNumberFormat="1" applyFill="1" applyBorder="1" applyAlignment="1">
      <alignment horizontal="center" vertical="center"/>
    </xf>
    <xf numFmtId="0" fontId="0" fillId="4" borderId="4" xfId="0" applyFill="1" applyBorder="1"/>
    <xf numFmtId="0" fontId="0" fillId="4" borderId="6" xfId="0" applyFill="1" applyBorder="1"/>
    <xf numFmtId="0" fontId="0" fillId="4" borderId="7" xfId="0" applyFill="1" applyBorder="1"/>
    <xf numFmtId="0" fontId="0" fillId="4" borderId="8" xfId="0" applyFill="1" applyBorder="1"/>
    <xf numFmtId="0" fontId="0" fillId="4" borderId="0" xfId="0" applyFill="1" applyBorder="1"/>
    <xf numFmtId="0" fontId="0" fillId="4" borderId="5" xfId="0" applyFill="1" applyBorder="1"/>
    <xf numFmtId="0" fontId="0" fillId="4" borderId="9" xfId="0" applyFill="1" applyBorder="1"/>
    <xf numFmtId="0" fontId="0" fillId="4" borderId="0" xfId="0" applyFill="1" applyBorder="1" applyAlignment="1">
      <alignment vertical="center"/>
    </xf>
    <xf numFmtId="0" fontId="11" fillId="4" borderId="0" xfId="0" applyFont="1" applyFill="1" applyBorder="1" applyAlignment="1">
      <alignment vertical="center"/>
    </xf>
    <xf numFmtId="0" fontId="9" fillId="5" borderId="7" xfId="0" applyFont="1"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3" xfId="0" applyFill="1" applyBorder="1" applyAlignment="1">
      <alignment horizontal="center" vertical="center"/>
    </xf>
    <xf numFmtId="0" fontId="9" fillId="5" borderId="2" xfId="0" applyFont="1" applyFill="1" applyBorder="1" applyAlignment="1">
      <alignment horizontal="center" vertical="center"/>
    </xf>
    <xf numFmtId="0" fontId="0" fillId="2" borderId="0" xfId="0" applyFill="1" applyBorder="1" applyAlignment="1">
      <alignment vertical="center"/>
    </xf>
    <xf numFmtId="0" fontId="0" fillId="4" borderId="10" xfId="0" applyFill="1" applyBorder="1"/>
    <xf numFmtId="0" fontId="0" fillId="4" borderId="0" xfId="0" applyFill="1" applyBorder="1" applyAlignment="1">
      <alignment horizontal="right"/>
    </xf>
    <xf numFmtId="0" fontId="7" fillId="4" borderId="0" xfId="0" applyFont="1" applyFill="1" applyBorder="1"/>
    <xf numFmtId="0" fontId="6" fillId="4" borderId="7" xfId="0" applyFont="1" applyFill="1" applyBorder="1"/>
    <xf numFmtId="0" fontId="3" fillId="4" borderId="0" xfId="0" applyFont="1" applyFill="1" applyBorder="1" applyAlignment="1">
      <alignment horizontal="left"/>
    </xf>
    <xf numFmtId="0" fontId="0" fillId="6" borderId="0" xfId="0" applyFill="1" applyBorder="1"/>
    <xf numFmtId="0" fontId="9" fillId="7" borderId="0" xfId="0" applyFont="1" applyFill="1" applyBorder="1" applyAlignment="1">
      <alignment horizontal="right"/>
    </xf>
    <xf numFmtId="0" fontId="0" fillId="3" borderId="10" xfId="0" applyFill="1" applyBorder="1"/>
    <xf numFmtId="0" fontId="14" fillId="4" borderId="0" xfId="0" applyFont="1" applyFill="1" applyBorder="1" applyAlignment="1">
      <alignment horizontal="right"/>
    </xf>
    <xf numFmtId="0" fontId="12" fillId="4" borderId="7" xfId="0" applyFont="1" applyFill="1" applyBorder="1" applyAlignment="1">
      <alignment horizontal="center"/>
    </xf>
    <xf numFmtId="3" fontId="14" fillId="4" borderId="0" xfId="0" applyNumberFormat="1" applyFont="1" applyFill="1" applyBorder="1"/>
    <xf numFmtId="3" fontId="0" fillId="6" borderId="0" xfId="0" applyNumberFormat="1" applyFill="1" applyBorder="1"/>
    <xf numFmtId="0" fontId="7" fillId="4" borderId="0" xfId="0" applyFont="1" applyFill="1" applyBorder="1" applyAlignment="1">
      <alignment horizontal="center"/>
    </xf>
    <xf numFmtId="0" fontId="14" fillId="4" borderId="0" xfId="0" applyFont="1" applyFill="1" applyBorder="1" applyAlignment="1"/>
    <xf numFmtId="0" fontId="9" fillId="4" borderId="0" xfId="0" applyFont="1" applyFill="1" applyBorder="1" applyAlignment="1">
      <alignment horizontal="right"/>
    </xf>
    <xf numFmtId="0" fontId="9" fillId="7" borderId="11" xfId="0" applyFont="1" applyFill="1" applyBorder="1" applyAlignment="1">
      <alignment horizontal="right"/>
    </xf>
    <xf numFmtId="0" fontId="0" fillId="3" borderId="12" xfId="0" applyFill="1" applyBorder="1"/>
    <xf numFmtId="0" fontId="9" fillId="7" borderId="13" xfId="0" applyFont="1" applyFill="1" applyBorder="1" applyAlignment="1">
      <alignment horizontal="right"/>
    </xf>
    <xf numFmtId="0" fontId="0" fillId="3" borderId="14" xfId="0" applyFill="1" applyBorder="1"/>
    <xf numFmtId="0" fontId="9" fillId="7" borderId="15" xfId="0" applyFont="1" applyFill="1" applyBorder="1" applyAlignment="1">
      <alignment horizontal="right"/>
    </xf>
    <xf numFmtId="0" fontId="0" fillId="3" borderId="16" xfId="0" applyFill="1" applyBorder="1"/>
    <xf numFmtId="0" fontId="0" fillId="3" borderId="17" xfId="0" applyFill="1" applyBorder="1"/>
    <xf numFmtId="0" fontId="0" fillId="4" borderId="17" xfId="0" applyFill="1" applyBorder="1"/>
    <xf numFmtId="0" fontId="9" fillId="7" borderId="17" xfId="0" applyFont="1" applyFill="1" applyBorder="1" applyAlignment="1">
      <alignment horizontal="right"/>
    </xf>
    <xf numFmtId="0" fontId="9" fillId="7" borderId="10" xfId="0" applyFont="1" applyFill="1" applyBorder="1" applyAlignment="1">
      <alignment horizontal="right"/>
    </xf>
    <xf numFmtId="164" fontId="0" fillId="3" borderId="12" xfId="0" applyNumberFormat="1" applyFill="1" applyBorder="1" applyAlignment="1">
      <alignment horizontal="left"/>
    </xf>
    <xf numFmtId="0" fontId="14" fillId="5" borderId="0" xfId="0" applyFont="1" applyFill="1" applyBorder="1" applyAlignment="1">
      <alignment horizontal="right"/>
    </xf>
    <xf numFmtId="0" fontId="2" fillId="4" borderId="7" xfId="0" applyFont="1" applyFill="1" applyBorder="1"/>
    <xf numFmtId="0" fontId="9" fillId="4" borderId="8" xfId="0" applyFont="1" applyFill="1" applyBorder="1" applyAlignment="1">
      <alignment wrapText="1"/>
    </xf>
    <xf numFmtId="3" fontId="0" fillId="3" borderId="0" xfId="0" applyNumberFormat="1" applyFill="1" applyBorder="1"/>
    <xf numFmtId="0" fontId="12" fillId="4" borderId="0" xfId="0" applyFont="1" applyFill="1" applyBorder="1" applyAlignment="1">
      <alignment horizontal="right"/>
    </xf>
    <xf numFmtId="0" fontId="9" fillId="4" borderId="0" xfId="0" applyFont="1" applyFill="1" applyBorder="1" applyAlignment="1">
      <alignment horizontal="center"/>
    </xf>
    <xf numFmtId="9" fontId="9" fillId="4" borderId="0" xfId="0" applyNumberFormat="1" applyFont="1" applyFill="1" applyBorder="1" applyAlignment="1">
      <alignment horizontal="center"/>
    </xf>
    <xf numFmtId="1" fontId="9" fillId="4" borderId="0" xfId="0" applyNumberFormat="1" applyFont="1" applyFill="1" applyBorder="1" applyAlignment="1">
      <alignment horizontal="center"/>
    </xf>
    <xf numFmtId="165" fontId="9" fillId="4" borderId="0" xfId="0" applyNumberFormat="1" applyFont="1" applyFill="1" applyBorder="1" applyAlignment="1">
      <alignment horizontal="center"/>
    </xf>
    <xf numFmtId="0" fontId="0" fillId="4" borderId="0" xfId="0" applyFill="1" applyBorder="1" applyAlignment="1">
      <alignment horizontal="center"/>
    </xf>
    <xf numFmtId="0" fontId="9" fillId="5" borderId="0" xfId="0" applyFont="1" applyFill="1" applyBorder="1" applyAlignment="1">
      <alignment horizontal="right"/>
    </xf>
    <xf numFmtId="0" fontId="9" fillId="5" borderId="0" xfId="0" applyFont="1" applyFill="1" applyBorder="1" applyAlignment="1">
      <alignment horizontal="center"/>
    </xf>
    <xf numFmtId="0" fontId="0" fillId="6" borderId="0" xfId="0" applyFill="1" applyBorder="1" applyAlignment="1">
      <alignment horizontal="center"/>
    </xf>
    <xf numFmtId="1" fontId="0" fillId="6" borderId="0" xfId="0" applyNumberFormat="1" applyFill="1" applyBorder="1" applyAlignment="1">
      <alignment horizontal="center"/>
    </xf>
    <xf numFmtId="165" fontId="0" fillId="6" borderId="0" xfId="0" applyNumberFormat="1" applyFill="1" applyBorder="1" applyAlignment="1">
      <alignment horizontal="center"/>
    </xf>
    <xf numFmtId="1" fontId="0" fillId="3" borderId="0" xfId="0" applyNumberFormat="1" applyFill="1" applyBorder="1"/>
    <xf numFmtId="0" fontId="3" fillId="4" borderId="0" xfId="0" applyFont="1" applyFill="1"/>
    <xf numFmtId="0" fontId="14" fillId="7" borderId="0" xfId="0" applyFont="1" applyFill="1" applyBorder="1" applyAlignment="1">
      <alignment horizontal="right"/>
    </xf>
    <xf numFmtId="168" fontId="0" fillId="2" borderId="8" xfId="0" applyNumberFormat="1" applyFill="1" applyBorder="1" applyAlignment="1">
      <alignment horizontal="center" vertical="center"/>
    </xf>
    <xf numFmtId="169" fontId="0" fillId="4" borderId="0" xfId="0" applyNumberFormat="1" applyFill="1"/>
    <xf numFmtId="9" fontId="0" fillId="2" borderId="0" xfId="0" applyNumberFormat="1" applyFill="1" applyBorder="1"/>
    <xf numFmtId="168" fontId="0" fillId="3" borderId="0" xfId="0" applyNumberFormat="1" applyFill="1" applyBorder="1"/>
    <xf numFmtId="1" fontId="0" fillId="6" borderId="0" xfId="0" applyNumberFormat="1" applyFill="1" applyBorder="1"/>
    <xf numFmtId="0" fontId="3" fillId="4" borderId="0" xfId="0" applyFont="1" applyFill="1" applyBorder="1"/>
    <xf numFmtId="168" fontId="0" fillId="2" borderId="0" xfId="0" applyNumberFormat="1" applyFill="1" applyBorder="1"/>
    <xf numFmtId="169" fontId="0" fillId="3" borderId="0" xfId="0" applyNumberFormat="1" applyFill="1" applyBorder="1"/>
    <xf numFmtId="168" fontId="0" fillId="6" borderId="0" xfId="0" applyNumberFormat="1" applyFill="1" applyBorder="1"/>
    <xf numFmtId="9" fontId="0" fillId="2" borderId="8" xfId="0" applyNumberFormat="1" applyFill="1" applyBorder="1" applyAlignment="1">
      <alignment horizontal="center" vertical="center"/>
    </xf>
    <xf numFmtId="0" fontId="17" fillId="4" borderId="0" xfId="0" applyFont="1" applyFill="1" applyBorder="1"/>
    <xf numFmtId="165" fontId="0" fillId="3" borderId="0" xfId="1" applyNumberFormat="1" applyFont="1" applyFill="1" applyBorder="1"/>
    <xf numFmtId="165" fontId="0" fillId="4" borderId="0" xfId="1" applyNumberFormat="1" applyFont="1" applyFill="1" applyBorder="1"/>
    <xf numFmtId="9" fontId="0" fillId="6" borderId="0" xfId="0" applyNumberFormat="1" applyFill="1" applyBorder="1" applyAlignment="1">
      <alignment horizontal="center"/>
    </xf>
    <xf numFmtId="1" fontId="0" fillId="4" borderId="0" xfId="0" applyNumberFormat="1" applyFill="1" applyBorder="1"/>
    <xf numFmtId="1" fontId="0" fillId="2" borderId="0" xfId="0" applyNumberFormat="1" applyFill="1" applyBorder="1"/>
    <xf numFmtId="0" fontId="0" fillId="6" borderId="0" xfId="0" applyNumberFormat="1" applyFill="1" applyBorder="1"/>
    <xf numFmtId="0" fontId="9" fillId="4" borderId="0" xfId="0" applyFont="1" applyFill="1" applyAlignment="1">
      <alignment horizontal="right"/>
    </xf>
    <xf numFmtId="0" fontId="0" fillId="4" borderId="0" xfId="0" applyFill="1" applyAlignment="1">
      <alignment vertical="center"/>
    </xf>
    <xf numFmtId="0" fontId="9" fillId="7" borderId="0" xfId="0" applyFont="1" applyFill="1" applyBorder="1" applyAlignment="1">
      <alignment horizontal="center"/>
    </xf>
    <xf numFmtId="0" fontId="15" fillId="4" borderId="0" xfId="0" applyFont="1" applyFill="1"/>
    <xf numFmtId="165" fontId="0" fillId="3" borderId="0" xfId="1" applyNumberFormat="1" applyFont="1" applyFill="1" applyBorder="1" applyAlignment="1">
      <alignment horizontal="center"/>
    </xf>
    <xf numFmtId="3" fontId="0" fillId="2" borderId="6" xfId="0" applyNumberFormat="1" applyFill="1" applyBorder="1" applyAlignment="1">
      <alignment horizontal="center" vertical="center"/>
    </xf>
    <xf numFmtId="3" fontId="0" fillId="2" borderId="8" xfId="0" applyNumberFormat="1" applyFill="1" applyBorder="1" applyAlignment="1">
      <alignment horizontal="center" vertical="center"/>
    </xf>
    <xf numFmtId="169" fontId="0" fillId="2" borderId="8" xfId="0" applyNumberFormat="1" applyFill="1" applyBorder="1" applyAlignment="1">
      <alignment horizontal="center" vertical="center"/>
    </xf>
    <xf numFmtId="0" fontId="8" fillId="4" borderId="0" xfId="0" applyFont="1" applyFill="1" applyAlignment="1">
      <alignment horizontal="center"/>
    </xf>
    <xf numFmtId="0" fontId="9" fillId="9" borderId="11" xfId="0" applyFont="1" applyFill="1" applyBorder="1" applyAlignment="1">
      <alignment horizontal="right"/>
    </xf>
    <xf numFmtId="0" fontId="9" fillId="9" borderId="15" xfId="0" applyFont="1" applyFill="1" applyBorder="1" applyAlignment="1">
      <alignment horizontal="right"/>
    </xf>
    <xf numFmtId="0" fontId="9" fillId="9" borderId="13" xfId="0" applyFont="1" applyFill="1" applyBorder="1" applyAlignment="1">
      <alignment horizontal="right"/>
    </xf>
    <xf numFmtId="0" fontId="9" fillId="9" borderId="17" xfId="0" applyFont="1" applyFill="1" applyBorder="1" applyAlignment="1">
      <alignment horizontal="right"/>
    </xf>
    <xf numFmtId="0" fontId="9" fillId="9" borderId="10" xfId="0" applyFont="1" applyFill="1" applyBorder="1" applyAlignment="1">
      <alignment horizontal="right"/>
    </xf>
    <xf numFmtId="0" fontId="0" fillId="10" borderId="17" xfId="0" applyFill="1" applyBorder="1"/>
    <xf numFmtId="0" fontId="0" fillId="10" borderId="10" xfId="0" applyFill="1" applyBorder="1"/>
    <xf numFmtId="0" fontId="0" fillId="10" borderId="12" xfId="0" applyFill="1" applyBorder="1"/>
    <xf numFmtId="0" fontId="0" fillId="10" borderId="14" xfId="0" applyFill="1" applyBorder="1"/>
    <xf numFmtId="0" fontId="0" fillId="10" borderId="16" xfId="0" applyFill="1" applyBorder="1"/>
    <xf numFmtId="164" fontId="0" fillId="10" borderId="12" xfId="0" applyNumberFormat="1" applyFill="1" applyBorder="1" applyAlignment="1">
      <alignment horizontal="left"/>
    </xf>
    <xf numFmtId="0" fontId="3" fillId="4" borderId="0" xfId="0" applyFont="1" applyFill="1" applyAlignment="1">
      <alignment horizontal="left"/>
    </xf>
    <xf numFmtId="0" fontId="8" fillId="4" borderId="0" xfId="0" applyFont="1" applyFill="1" applyAlignment="1"/>
    <xf numFmtId="0" fontId="0" fillId="4" borderId="0" xfId="0" applyFill="1" applyAlignment="1"/>
    <xf numFmtId="0" fontId="9" fillId="9" borderId="18" xfId="0" applyFont="1" applyFill="1" applyBorder="1" applyAlignment="1">
      <alignment horizontal="right"/>
    </xf>
    <xf numFmtId="169" fontId="0" fillId="10" borderId="19" xfId="0" applyNumberFormat="1" applyFill="1" applyBorder="1" applyAlignment="1">
      <alignment horizontal="center"/>
    </xf>
    <xf numFmtId="0" fontId="9" fillId="5" borderId="18" xfId="0" applyFont="1" applyFill="1" applyBorder="1" applyAlignment="1">
      <alignment horizontal="right"/>
    </xf>
    <xf numFmtId="169" fontId="0" fillId="6" borderId="19" xfId="0" applyNumberFormat="1" applyFill="1" applyBorder="1" applyAlignment="1">
      <alignment horizontal="center"/>
    </xf>
    <xf numFmtId="0" fontId="0" fillId="4" borderId="4" xfId="0" applyFill="1" applyBorder="1" applyAlignment="1">
      <alignment horizontal="center"/>
    </xf>
    <xf numFmtId="0" fontId="0" fillId="4" borderId="1" xfId="0" applyFill="1" applyBorder="1" applyAlignment="1">
      <alignment horizontal="center"/>
    </xf>
    <xf numFmtId="0" fontId="0" fillId="4" borderId="7" xfId="0" applyFill="1" applyBorder="1" applyAlignment="1">
      <alignment horizontal="center"/>
    </xf>
    <xf numFmtId="0" fontId="0" fillId="4" borderId="0" xfId="0" applyFill="1" applyBorder="1" applyAlignment="1">
      <alignment horizontal="left"/>
    </xf>
    <xf numFmtId="0" fontId="9" fillId="9" borderId="0" xfId="0" applyFont="1" applyFill="1" applyBorder="1" applyAlignment="1">
      <alignment horizontal="right"/>
    </xf>
    <xf numFmtId="1" fontId="0" fillId="10" borderId="0" xfId="0" applyNumberFormat="1" applyFill="1" applyBorder="1" applyAlignment="1">
      <alignment horizontal="center"/>
    </xf>
    <xf numFmtId="168" fontId="0" fillId="10" borderId="0" xfId="0" applyNumberFormat="1" applyFill="1" applyBorder="1" applyAlignment="1">
      <alignment horizontal="center"/>
    </xf>
    <xf numFmtId="0" fontId="0" fillId="2" borderId="0" xfId="0" applyFill="1" applyBorder="1" applyAlignment="1">
      <alignment horizontal="center"/>
    </xf>
    <xf numFmtId="169" fontId="0" fillId="10" borderId="0" xfId="0" applyNumberFormat="1" applyFill="1" applyBorder="1" applyAlignment="1">
      <alignment horizontal="center"/>
    </xf>
    <xf numFmtId="0" fontId="0" fillId="10" borderId="0" xfId="0" applyFill="1" applyBorder="1" applyAlignment="1">
      <alignment horizontal="center"/>
    </xf>
    <xf numFmtId="168" fontId="0" fillId="2" borderId="0" xfId="0" applyNumberFormat="1" applyFill="1" applyBorder="1" applyAlignment="1">
      <alignment horizontal="center"/>
    </xf>
    <xf numFmtId="169" fontId="0" fillId="2" borderId="0" xfId="0" applyNumberFormat="1" applyFill="1" applyBorder="1" applyAlignment="1">
      <alignment horizontal="center"/>
    </xf>
    <xf numFmtId="0" fontId="0" fillId="4" borderId="13" xfId="0" applyFill="1" applyBorder="1"/>
    <xf numFmtId="0" fontId="3" fillId="4" borderId="20" xfId="0" applyFont="1" applyFill="1" applyBorder="1"/>
    <xf numFmtId="0" fontId="3" fillId="4" borderId="15" xfId="0" applyFont="1" applyFill="1" applyBorder="1" applyAlignment="1">
      <alignment horizontal="center"/>
    </xf>
    <xf numFmtId="0" fontId="0" fillId="4" borderId="0" xfId="0" applyFill="1" applyAlignment="1">
      <alignment horizontal="right"/>
    </xf>
    <xf numFmtId="0" fontId="0" fillId="4" borderId="14" xfId="0" applyFill="1" applyBorder="1"/>
    <xf numFmtId="0" fontId="3" fillId="4" borderId="10" xfId="0" applyFont="1" applyFill="1" applyBorder="1" applyAlignment="1">
      <alignment horizontal="center"/>
    </xf>
    <xf numFmtId="0" fontId="3" fillId="4" borderId="16" xfId="0" applyFont="1" applyFill="1" applyBorder="1" applyAlignment="1">
      <alignment horizontal="center"/>
    </xf>
    <xf numFmtId="0" fontId="3" fillId="4" borderId="20" xfId="0" applyFont="1" applyFill="1" applyBorder="1" applyAlignment="1">
      <alignment horizontal="center"/>
    </xf>
    <xf numFmtId="0" fontId="3" fillId="4" borderId="0" xfId="0" applyFont="1" applyFill="1" applyBorder="1" applyAlignment="1">
      <alignment horizontal="center"/>
    </xf>
    <xf numFmtId="2" fontId="0" fillId="4" borderId="21" xfId="0" applyNumberFormat="1" applyFill="1" applyBorder="1" applyAlignment="1">
      <alignment horizontal="center"/>
    </xf>
    <xf numFmtId="2" fontId="0" fillId="4" borderId="0" xfId="0" applyNumberFormat="1" applyFill="1" applyAlignment="1">
      <alignment horizontal="center"/>
    </xf>
    <xf numFmtId="168" fontId="0" fillId="4" borderId="7" xfId="0" applyNumberFormat="1" applyFill="1" applyBorder="1" applyAlignment="1">
      <alignment horizontal="center"/>
    </xf>
    <xf numFmtId="3" fontId="0" fillId="4" borderId="0" xfId="0" applyNumberFormat="1" applyFill="1" applyAlignment="1">
      <alignment horizontal="center"/>
    </xf>
    <xf numFmtId="0" fontId="0" fillId="4" borderId="21" xfId="0" applyNumberFormat="1" applyFill="1" applyBorder="1" applyAlignment="1">
      <alignment horizontal="center"/>
    </xf>
    <xf numFmtId="1" fontId="0" fillId="4" borderId="22" xfId="0" applyNumberFormat="1" applyFill="1" applyBorder="1" applyAlignment="1">
      <alignment horizontal="center"/>
    </xf>
    <xf numFmtId="0" fontId="0" fillId="4" borderId="0" xfId="0" applyNumberFormat="1" applyFill="1" applyAlignment="1">
      <alignment horizontal="center"/>
    </xf>
    <xf numFmtId="1" fontId="0" fillId="4" borderId="23" xfId="0" applyNumberFormat="1" applyFill="1" applyBorder="1" applyAlignment="1">
      <alignment horizontal="center"/>
    </xf>
    <xf numFmtId="3" fontId="0" fillId="4" borderId="0" xfId="0" applyNumberFormat="1" applyFill="1" applyBorder="1" applyAlignment="1">
      <alignment horizontal="center"/>
    </xf>
    <xf numFmtId="0" fontId="9" fillId="4" borderId="0" xfId="0" applyFont="1" applyFill="1" applyBorder="1" applyAlignment="1">
      <alignment wrapText="1"/>
    </xf>
    <xf numFmtId="0" fontId="3" fillId="4" borderId="0" xfId="0" applyFont="1" applyFill="1" applyAlignment="1">
      <alignment horizontal="center"/>
    </xf>
    <xf numFmtId="2" fontId="0" fillId="11" borderId="24" xfId="0" applyNumberFormat="1" applyFill="1" applyBorder="1" applyAlignment="1">
      <alignment horizontal="center"/>
    </xf>
    <xf numFmtId="2" fontId="0" fillId="11" borderId="2" xfId="0" applyNumberFormat="1" applyFill="1" applyBorder="1" applyAlignment="1">
      <alignment horizontal="center"/>
    </xf>
    <xf numFmtId="2" fontId="0" fillId="11" borderId="25" xfId="0" applyNumberFormat="1" applyFill="1" applyBorder="1" applyAlignment="1">
      <alignment horizontal="center"/>
    </xf>
    <xf numFmtId="168" fontId="0" fillId="11" borderId="5" xfId="0" applyNumberFormat="1" applyFill="1" applyBorder="1" applyAlignment="1">
      <alignment horizontal="center"/>
    </xf>
    <xf numFmtId="3" fontId="0" fillId="11" borderId="2" xfId="0" applyNumberFormat="1" applyFill="1" applyBorder="1" applyAlignment="1">
      <alignment horizontal="center"/>
    </xf>
    <xf numFmtId="0" fontId="0" fillId="11" borderId="0" xfId="0" applyFill="1" applyBorder="1" applyAlignment="1">
      <alignment horizontal="center"/>
    </xf>
    <xf numFmtId="0" fontId="0" fillId="11" borderId="0" xfId="0" applyFill="1" applyAlignment="1">
      <alignment horizontal="center"/>
    </xf>
    <xf numFmtId="0" fontId="0" fillId="11" borderId="2" xfId="0" applyFill="1" applyBorder="1" applyAlignment="1">
      <alignment horizontal="center"/>
    </xf>
    <xf numFmtId="0" fontId="4" fillId="4" borderId="0" xfId="0" applyFont="1" applyFill="1"/>
    <xf numFmtId="2" fontId="0" fillId="4" borderId="22" xfId="0" applyNumberFormat="1" applyFill="1" applyBorder="1" applyAlignment="1">
      <alignment horizontal="center"/>
    </xf>
    <xf numFmtId="2" fontId="0" fillId="4" borderId="23" xfId="0" applyNumberFormat="1" applyFill="1" applyBorder="1" applyAlignment="1">
      <alignment horizontal="center"/>
    </xf>
    <xf numFmtId="0" fontId="4" fillId="4" borderId="26" xfId="0" applyFont="1" applyFill="1" applyBorder="1"/>
    <xf numFmtId="0" fontId="15" fillId="0" borderId="0" xfId="0" applyFont="1"/>
    <xf numFmtId="167" fontId="0" fillId="0" borderId="0" xfId="0" applyNumberFormat="1"/>
    <xf numFmtId="0" fontId="14" fillId="5" borderId="5" xfId="0" applyFont="1" applyFill="1" applyBorder="1" applyAlignment="1">
      <alignment horizontal="center" vertical="center"/>
    </xf>
    <xf numFmtId="3" fontId="7" fillId="4" borderId="0" xfId="0" applyNumberFormat="1" applyFont="1" applyFill="1" applyBorder="1"/>
    <xf numFmtId="169" fontId="7" fillId="4" borderId="0" xfId="0" applyNumberFormat="1" applyFont="1" applyFill="1" applyBorder="1"/>
    <xf numFmtId="0" fontId="15" fillId="4" borderId="0" xfId="0" applyFont="1" applyFill="1" applyBorder="1" applyAlignment="1">
      <alignment vertical="center"/>
    </xf>
    <xf numFmtId="165" fontId="0" fillId="2" borderId="3" xfId="0" applyNumberFormat="1" applyFill="1" applyBorder="1" applyAlignment="1">
      <alignment horizontal="center" vertical="center"/>
    </xf>
    <xf numFmtId="0" fontId="14" fillId="12" borderId="0" xfId="0" applyFont="1" applyFill="1" applyAlignment="1">
      <alignment horizontal="right"/>
    </xf>
    <xf numFmtId="0" fontId="15" fillId="12" borderId="0" xfId="0" applyFont="1" applyFill="1" applyAlignment="1">
      <alignment horizontal="center"/>
    </xf>
    <xf numFmtId="0" fontId="0" fillId="12" borderId="0" xfId="0" applyFill="1"/>
    <xf numFmtId="0" fontId="9" fillId="12" borderId="0" xfId="0" applyFont="1" applyFill="1" applyBorder="1" applyAlignment="1">
      <alignment horizontal="right"/>
    </xf>
    <xf numFmtId="169" fontId="0" fillId="12" borderId="0" xfId="0" applyNumberFormat="1" applyFill="1" applyBorder="1" applyAlignment="1">
      <alignment horizontal="center"/>
    </xf>
    <xf numFmtId="0" fontId="14" fillId="9" borderId="0" xfId="0" applyFont="1" applyFill="1" applyBorder="1" applyAlignment="1">
      <alignment horizontal="right"/>
    </xf>
    <xf numFmtId="0" fontId="0" fillId="10" borderId="0" xfId="0" applyNumberFormat="1" applyFill="1" applyBorder="1" applyAlignment="1">
      <alignment horizontal="center"/>
    </xf>
    <xf numFmtId="0" fontId="15" fillId="4" borderId="0" xfId="0" applyFont="1" applyFill="1" applyBorder="1"/>
    <xf numFmtId="0" fontId="14" fillId="9" borderId="18" xfId="0" applyFont="1" applyFill="1" applyBorder="1" applyAlignment="1">
      <alignment horizontal="right"/>
    </xf>
    <xf numFmtId="0" fontId="9" fillId="12" borderId="1" xfId="0" applyFont="1" applyFill="1" applyBorder="1" applyAlignment="1">
      <alignment horizontal="right"/>
    </xf>
    <xf numFmtId="169" fontId="0" fillId="12" borderId="1" xfId="0" applyNumberFormat="1" applyFill="1" applyBorder="1" applyAlignment="1">
      <alignment horizontal="center"/>
    </xf>
    <xf numFmtId="0" fontId="15" fillId="12" borderId="0" xfId="0" applyFont="1" applyFill="1" applyBorder="1" applyAlignment="1">
      <alignment horizontal="left"/>
    </xf>
    <xf numFmtId="0" fontId="14" fillId="5" borderId="18" xfId="0" applyFont="1" applyFill="1" applyBorder="1" applyAlignment="1">
      <alignment horizontal="right"/>
    </xf>
    <xf numFmtId="2" fontId="0" fillId="12" borderId="21" xfId="0" applyNumberFormat="1" applyFill="1" applyBorder="1" applyAlignment="1">
      <alignment horizontal="center"/>
    </xf>
    <xf numFmtId="2" fontId="0" fillId="12" borderId="22" xfId="0" applyNumberFormat="1" applyFill="1" applyBorder="1" applyAlignment="1">
      <alignment horizontal="center"/>
    </xf>
    <xf numFmtId="2" fontId="0" fillId="12" borderId="0" xfId="0" applyNumberFormat="1" applyFill="1" applyAlignment="1">
      <alignment horizontal="center"/>
    </xf>
    <xf numFmtId="2" fontId="0" fillId="12" borderId="23" xfId="0" applyNumberFormat="1" applyFill="1" applyBorder="1" applyAlignment="1">
      <alignment horizontal="center"/>
    </xf>
    <xf numFmtId="2" fontId="0" fillId="11" borderId="13" xfId="0" applyNumberFormat="1" applyFill="1" applyBorder="1" applyAlignment="1">
      <alignment horizontal="center"/>
    </xf>
    <xf numFmtId="2" fontId="0" fillId="11" borderId="0" xfId="0" applyNumberFormat="1" applyFill="1" applyBorder="1" applyAlignment="1">
      <alignment horizontal="center"/>
    </xf>
    <xf numFmtId="2" fontId="0" fillId="11" borderId="14" xfId="0" applyNumberFormat="1" applyFill="1" applyBorder="1" applyAlignment="1">
      <alignment horizontal="center"/>
    </xf>
    <xf numFmtId="168" fontId="0" fillId="11" borderId="7" xfId="0" applyNumberFormat="1" applyFill="1" applyBorder="1" applyAlignment="1">
      <alignment horizontal="center"/>
    </xf>
    <xf numFmtId="3" fontId="0" fillId="11" borderId="0" xfId="0" applyNumberFormat="1" applyFill="1" applyBorder="1" applyAlignment="1">
      <alignment horizontal="center"/>
    </xf>
    <xf numFmtId="1" fontId="0" fillId="11" borderId="0" xfId="0" applyNumberFormat="1" applyFill="1" applyAlignment="1">
      <alignment horizontal="center"/>
    </xf>
    <xf numFmtId="2" fontId="0" fillId="4" borderId="0" xfId="0" applyNumberFormat="1" applyFill="1"/>
    <xf numFmtId="0" fontId="16" fillId="4" borderId="0" xfId="0" applyFont="1" applyFill="1" applyBorder="1"/>
    <xf numFmtId="3" fontId="0" fillId="2" borderId="0" xfId="0" applyNumberFormat="1" applyFill="1" applyBorder="1"/>
    <xf numFmtId="167" fontId="0" fillId="3" borderId="0" xfId="0" applyNumberFormat="1" applyFill="1" applyBorder="1"/>
    <xf numFmtId="0" fontId="0" fillId="3" borderId="0" xfId="0" applyNumberFormat="1" applyFill="1" applyBorder="1"/>
    <xf numFmtId="166" fontId="0" fillId="3" borderId="0" xfId="0" applyNumberFormat="1" applyFill="1" applyBorder="1"/>
    <xf numFmtId="165" fontId="0" fillId="3" borderId="0" xfId="0" applyNumberFormat="1" applyFill="1" applyBorder="1"/>
    <xf numFmtId="2" fontId="0" fillId="8" borderId="0" xfId="0" applyNumberFormat="1" applyFill="1" applyBorder="1"/>
    <xf numFmtId="2" fontId="0" fillId="3" borderId="0" xfId="0" applyNumberFormat="1" applyFill="1" applyBorder="1"/>
    <xf numFmtId="0" fontId="18" fillId="4" borderId="0" xfId="0" applyFont="1" applyFill="1" applyBorder="1"/>
    <xf numFmtId="1" fontId="0" fillId="12" borderId="0" xfId="0" applyNumberFormat="1" applyFill="1" applyBorder="1" applyAlignment="1">
      <alignment horizontal="center"/>
    </xf>
    <xf numFmtId="1" fontId="0" fillId="6" borderId="0" xfId="0" applyNumberFormat="1" applyFill="1" applyBorder="1" applyAlignment="1">
      <alignment horizontal="right"/>
    </xf>
    <xf numFmtId="3" fontId="0" fillId="4" borderId="0" xfId="0" applyNumberFormat="1" applyFill="1" applyBorder="1"/>
    <xf numFmtId="0" fontId="15" fillId="4" borderId="0" xfId="0" applyFont="1" applyFill="1" applyBorder="1" applyAlignment="1">
      <alignment horizontal="left"/>
    </xf>
    <xf numFmtId="1" fontId="0" fillId="6" borderId="0" xfId="0" applyNumberFormat="1" applyFill="1" applyBorder="1" applyAlignment="1"/>
    <xf numFmtId="0" fontId="0" fillId="12" borderId="0" xfId="0" applyFill="1" applyAlignment="1">
      <alignment horizontal="left" wrapText="1"/>
    </xf>
    <xf numFmtId="0" fontId="9" fillId="12" borderId="0" xfId="0" applyFont="1" applyFill="1" applyBorder="1" applyAlignment="1">
      <alignment horizontal="center" wrapText="1"/>
    </xf>
    <xf numFmtId="0" fontId="0" fillId="12" borderId="0" xfId="0" applyFill="1" applyBorder="1"/>
    <xf numFmtId="0" fontId="0" fillId="12" borderId="9" xfId="0" applyFill="1" applyBorder="1"/>
    <xf numFmtId="0" fontId="3" fillId="12" borderId="0" xfId="0" applyFont="1" applyFill="1" applyAlignment="1">
      <alignment horizontal="right" wrapText="1"/>
    </xf>
    <xf numFmtId="0" fontId="3" fillId="12" borderId="0" xfId="0" applyFont="1" applyFill="1" applyAlignment="1">
      <alignment horizontal="right" vertical="top" wrapText="1"/>
    </xf>
    <xf numFmtId="0" fontId="9" fillId="12" borderId="9" xfId="0" applyFont="1" applyFill="1" applyBorder="1" applyAlignment="1">
      <alignment horizontal="center" wrapText="1"/>
    </xf>
    <xf numFmtId="0" fontId="15" fillId="2" borderId="1"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6" xfId="0" applyFont="1" applyFill="1" applyBorder="1" applyAlignment="1">
      <alignment horizontal="center" vertical="center"/>
    </xf>
    <xf numFmtId="166" fontId="0" fillId="16" borderId="0" xfId="0" applyNumberFormat="1" applyFill="1" applyBorder="1"/>
    <xf numFmtId="0" fontId="0" fillId="16" borderId="0" xfId="0" applyFill="1" applyBorder="1"/>
    <xf numFmtId="169" fontId="0" fillId="16" borderId="0" xfId="0" applyNumberFormat="1" applyFill="1" applyBorder="1"/>
    <xf numFmtId="167" fontId="0" fillId="16" borderId="0" xfId="0" applyNumberFormat="1" applyFill="1" applyBorder="1"/>
    <xf numFmtId="2" fontId="0" fillId="16" borderId="0" xfId="0" applyNumberFormat="1" applyFill="1" applyBorder="1"/>
    <xf numFmtId="4" fontId="0" fillId="16" borderId="0" xfId="0" applyNumberFormat="1" applyFill="1" applyBorder="1"/>
    <xf numFmtId="165" fontId="0" fillId="16" borderId="0" xfId="1" applyNumberFormat="1" applyFont="1" applyFill="1" applyBorder="1"/>
    <xf numFmtId="9" fontId="0" fillId="16" borderId="0" xfId="1" applyFont="1" applyFill="1" applyBorder="1" applyAlignment="1">
      <alignment horizontal="center"/>
    </xf>
    <xf numFmtId="168" fontId="0" fillId="16" borderId="0" xfId="1" applyNumberFormat="1" applyFont="1" applyFill="1" applyBorder="1" applyAlignment="1">
      <alignment horizontal="center"/>
    </xf>
    <xf numFmtId="0" fontId="0" fillId="16" borderId="0" xfId="0" applyFill="1" applyBorder="1" applyAlignment="1">
      <alignment horizontal="center"/>
    </xf>
    <xf numFmtId="169" fontId="0" fillId="16" borderId="0" xfId="0" applyNumberFormat="1" applyFill="1"/>
    <xf numFmtId="9" fontId="0" fillId="16" borderId="0" xfId="1" applyFont="1" applyFill="1"/>
    <xf numFmtId="168" fontId="0" fillId="16" borderId="0" xfId="1" applyNumberFormat="1" applyFont="1" applyFill="1"/>
    <xf numFmtId="0" fontId="0" fillId="16" borderId="0" xfId="0" applyNumberFormat="1" applyFill="1"/>
    <xf numFmtId="0" fontId="0" fillId="16" borderId="0" xfId="0" applyFill="1"/>
    <xf numFmtId="166" fontId="0" fillId="16" borderId="0" xfId="0" applyNumberFormat="1" applyFill="1"/>
    <xf numFmtId="9" fontId="0" fillId="16" borderId="0" xfId="0" applyNumberFormat="1" applyFill="1"/>
    <xf numFmtId="170" fontId="0" fillId="16" borderId="0" xfId="0" applyNumberFormat="1" applyFill="1"/>
    <xf numFmtId="166" fontId="15" fillId="16" borderId="0" xfId="0" applyNumberFormat="1" applyFont="1" applyFill="1" applyAlignment="1">
      <alignment horizontal="center"/>
    </xf>
    <xf numFmtId="0" fontId="15" fillId="16" borderId="0" xfId="0" applyFont="1" applyFill="1" applyAlignment="1">
      <alignment horizontal="center"/>
    </xf>
    <xf numFmtId="6" fontId="15" fillId="16" borderId="0" xfId="0" applyNumberFormat="1" applyFont="1" applyFill="1" applyAlignment="1">
      <alignment horizontal="center"/>
    </xf>
    <xf numFmtId="0" fontId="15" fillId="16" borderId="0" xfId="0" applyFont="1" applyFill="1"/>
    <xf numFmtId="0" fontId="15" fillId="16" borderId="0" xfId="0" applyFont="1" applyFill="1" applyBorder="1"/>
    <xf numFmtId="0" fontId="9" fillId="17" borderId="0" xfId="0" applyFont="1" applyFill="1" applyAlignment="1">
      <alignment horizontal="right"/>
    </xf>
    <xf numFmtId="0" fontId="14" fillId="17" borderId="0" xfId="0" applyFont="1" applyFill="1" applyAlignment="1">
      <alignment horizontal="right"/>
    </xf>
    <xf numFmtId="0" fontId="4" fillId="4" borderId="0" xfId="0" applyFont="1" applyFill="1" applyBorder="1" applyAlignment="1">
      <alignment horizontal="center"/>
    </xf>
    <xf numFmtId="9" fontId="0" fillId="6" borderId="0" xfId="1" applyFont="1" applyFill="1" applyBorder="1" applyAlignment="1">
      <alignment horizontal="center"/>
    </xf>
    <xf numFmtId="0" fontId="0" fillId="13" borderId="0" xfId="0" applyFill="1" applyBorder="1"/>
    <xf numFmtId="0" fontId="9" fillId="5" borderId="0" xfId="0" applyFont="1" applyFill="1" applyBorder="1" applyAlignment="1">
      <alignment horizontal="center" wrapText="1"/>
    </xf>
    <xf numFmtId="0" fontId="15" fillId="14" borderId="0" xfId="0" applyFont="1" applyFill="1" applyAlignment="1">
      <alignment horizontal="left" wrapText="1"/>
    </xf>
    <xf numFmtId="0" fontId="0" fillId="14" borderId="0" xfId="0" applyFill="1" applyAlignment="1">
      <alignment horizontal="left" wrapText="1"/>
    </xf>
    <xf numFmtId="0" fontId="9" fillId="7" borderId="0" xfId="0" applyFont="1" applyFill="1" applyBorder="1" applyAlignment="1">
      <alignment horizontal="center" wrapText="1"/>
    </xf>
    <xf numFmtId="0" fontId="15" fillId="13" borderId="0" xfId="0" applyFont="1" applyFill="1" applyBorder="1" applyAlignment="1">
      <alignment horizontal="left" vertical="top" wrapText="1"/>
    </xf>
    <xf numFmtId="0" fontId="0" fillId="13" borderId="0" xfId="0" applyFill="1" applyAlignment="1">
      <alignment horizontal="left" vertical="top" wrapText="1"/>
    </xf>
    <xf numFmtId="0" fontId="9" fillId="9" borderId="0" xfId="0" applyFont="1" applyFill="1" applyBorder="1" applyAlignment="1">
      <alignment horizontal="center" wrapText="1"/>
    </xf>
    <xf numFmtId="0" fontId="15" fillId="15" borderId="0" xfId="0" applyFont="1" applyFill="1" applyBorder="1" applyAlignment="1">
      <alignment horizontal="left" vertical="top" wrapText="1"/>
    </xf>
    <xf numFmtId="0" fontId="15" fillId="15" borderId="0" xfId="0" applyFont="1" applyFill="1" applyAlignment="1">
      <alignment horizontal="left" vertical="top" wrapText="1"/>
    </xf>
    <xf numFmtId="0" fontId="9" fillId="17" borderId="0" xfId="0" applyFont="1" applyFill="1" applyBorder="1" applyAlignment="1">
      <alignment horizontal="center" wrapText="1"/>
    </xf>
    <xf numFmtId="0" fontId="15" fillId="16" borderId="0" xfId="0" applyFont="1" applyFill="1" applyBorder="1" applyAlignment="1">
      <alignment horizontal="left" vertical="top" wrapText="1"/>
    </xf>
  </cellXfs>
  <cellStyles count="2">
    <cellStyle name="Normal" xfId="0" builtinId="0"/>
    <cellStyle name="Percent" xfId="1" builtinId="5"/>
  </cellStyles>
  <dxfs count="29">
    <dxf>
      <font>
        <condense val="0"/>
        <extend val="0"/>
        <color indexed="9"/>
      </font>
      <fill>
        <patternFill>
          <bgColor indexed="9"/>
        </patternFill>
      </fill>
    </dxf>
    <dxf>
      <font>
        <color theme="0"/>
      </font>
    </dxf>
    <dxf>
      <font>
        <condense val="0"/>
        <extend val="0"/>
        <color indexed="9"/>
      </font>
      <fill>
        <patternFill>
          <bgColor indexed="9"/>
        </patternFill>
      </fill>
    </dxf>
    <dxf>
      <fill>
        <patternFill>
          <bgColor indexed="9"/>
        </patternFill>
      </fill>
    </dxf>
    <dxf>
      <font>
        <condense val="0"/>
        <extend val="0"/>
        <color indexed="9"/>
      </font>
    </dxf>
    <dxf>
      <font>
        <condense val="0"/>
        <extend val="0"/>
        <color indexed="9"/>
      </font>
      <fill>
        <patternFill>
          <bgColor indexed="9"/>
        </patternFill>
      </fill>
    </dxf>
    <dxf>
      <font>
        <condense val="0"/>
        <extend val="0"/>
        <color indexed="9"/>
      </font>
    </dxf>
    <dxf>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dxf>
    <dxf>
      <fill>
        <patternFill>
          <bgColor indexed="9"/>
        </patternFill>
      </fill>
    </dxf>
    <dxf>
      <font>
        <condense val="0"/>
        <extend val="0"/>
        <color auto="1"/>
      </font>
      <fill>
        <patternFill>
          <bgColor indexed="35"/>
        </patternFill>
      </fill>
    </dxf>
    <dxf>
      <font>
        <condense val="0"/>
        <extend val="0"/>
        <color auto="1"/>
      </font>
      <border>
        <bottom/>
      </border>
    </dxf>
    <dxf>
      <fill>
        <patternFill>
          <bgColor indexed="24"/>
        </patternFill>
      </fill>
    </dxf>
    <dxf>
      <font>
        <condense val="0"/>
        <extend val="0"/>
        <color auto="1"/>
      </font>
      <fill>
        <patternFill patternType="solid">
          <bgColor indexed="9"/>
        </patternFill>
      </fill>
    </dxf>
    <dxf>
      <font>
        <condense val="0"/>
        <extend val="0"/>
        <color auto="1"/>
      </font>
      <fill>
        <patternFill>
          <bgColor indexed="32"/>
        </patternFill>
      </fill>
      <border>
        <left/>
        <right/>
        <top/>
        <bottom/>
      </border>
    </dxf>
    <dxf>
      <fill>
        <patternFill>
          <bgColor indexed="24"/>
        </patternFill>
      </fill>
    </dxf>
    <dxf>
      <font>
        <condense val="0"/>
        <extend val="0"/>
        <color auto="1"/>
      </font>
      <fill>
        <patternFill>
          <bgColor indexed="32"/>
        </patternFill>
      </fill>
    </dxf>
    <dxf>
      <font>
        <condense val="0"/>
        <extend val="0"/>
        <color auto="1"/>
      </font>
    </dxf>
    <dxf>
      <font>
        <condense val="0"/>
        <extend val="0"/>
        <color auto="1"/>
      </font>
      <border>
        <left/>
        <right/>
        <top/>
        <bottom/>
      </border>
    </dxf>
    <dxf>
      <font>
        <condense val="0"/>
        <extend val="0"/>
        <color auto="1"/>
      </font>
      <fill>
        <patternFill>
          <bgColor rgb="FFB4C39F"/>
        </patternFill>
      </fill>
    </dxf>
    <dxf>
      <font>
        <condense val="0"/>
        <extend val="0"/>
        <color auto="1"/>
      </font>
      <fill>
        <patternFill>
          <bgColor rgb="FFB4C39F"/>
        </patternFill>
      </fill>
    </dxf>
    <dxf>
      <fill>
        <patternFill>
          <bgColor indexed="24"/>
        </patternFill>
      </fill>
    </dxf>
    <dxf>
      <font>
        <condense val="0"/>
        <extend val="0"/>
        <color auto="1"/>
      </font>
      <fill>
        <patternFill>
          <bgColor indexed="35"/>
        </patternFill>
      </fill>
      <border>
        <bottom/>
      </border>
    </dxf>
    <dxf>
      <font>
        <condense val="0"/>
        <extend val="0"/>
        <color indexed="9"/>
      </font>
      <fill>
        <patternFill>
          <bgColor indexed="24"/>
        </patternFill>
      </fill>
    </dxf>
    <dxf>
      <font>
        <condense val="0"/>
        <extend val="0"/>
        <color auto="1"/>
      </font>
    </dxf>
    <dxf>
      <font>
        <condense val="0"/>
        <extend val="0"/>
        <color auto="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9873F"/>
      <rgbColor rgb="009E4D52"/>
      <rgbColor rgb="0020638E"/>
      <rgbColor rgb="00F5DE73"/>
      <rgbColor rgb="008C54A6"/>
      <rgbColor rgb="00F1B053"/>
      <rgbColor rgb="002E8FD6"/>
      <rgbColor rgb="00F8EFB6"/>
      <rgbColor rgb="00B4C39F"/>
      <rgbColor rgb="00CEA6A8"/>
      <rgbColor rgb="008FB1C6"/>
      <rgbColor rgb="00FAEEB9"/>
      <rgbColor rgb="00C5A9D2"/>
      <rgbColor rgb="00FDF8E3"/>
      <rgbColor rgb="00DEE8EE"/>
      <rgbColor rgb="0097C7EB"/>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4C39F"/>
      <color rgb="FFCF7573"/>
      <color rgb="FF7C3C41"/>
      <color rgb="FFD68886"/>
      <color rgb="FFC45754"/>
      <color rgb="FFFF8B8B"/>
      <color rgb="FFF1B053"/>
      <color rgb="FFC5A9D2"/>
      <color rgb="FFCEA6A8"/>
      <color rgb="FFB4C39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27"/>
  </sheetPr>
  <dimension ref="B1:H37"/>
  <sheetViews>
    <sheetView tabSelected="1" zoomScaleNormal="100" workbookViewId="0">
      <selection activeCell="C5" sqref="C5:G5"/>
    </sheetView>
  </sheetViews>
  <sheetFormatPr defaultRowHeight="12.75" x14ac:dyDescent="0.2"/>
  <cols>
    <col min="1" max="1" width="3.28515625" style="6" customWidth="1"/>
    <col min="2" max="2" width="4.42578125" style="6" customWidth="1"/>
    <col min="3" max="3" width="24.7109375" style="6" customWidth="1"/>
    <col min="4" max="4" width="44" style="6" customWidth="1"/>
    <col min="5" max="5" width="4.7109375" style="6" customWidth="1"/>
    <col min="6" max="6" width="31" style="6" customWidth="1"/>
    <col min="7" max="7" width="43.28515625" style="6" customWidth="1"/>
    <col min="8" max="9" width="4.42578125" style="6" customWidth="1"/>
    <col min="10" max="10" width="21.7109375" style="6" customWidth="1"/>
    <col min="11" max="16384" width="9.140625" style="6"/>
  </cols>
  <sheetData>
    <row r="1" spans="2:8" ht="12" customHeight="1" thickBot="1" x14ac:dyDescent="0.25"/>
    <row r="2" spans="2:8" x14ac:dyDescent="0.2">
      <c r="B2" s="17"/>
      <c r="C2" s="7"/>
      <c r="D2" s="7"/>
      <c r="E2" s="7"/>
      <c r="F2" s="7"/>
      <c r="G2" s="7"/>
      <c r="H2" s="18"/>
    </row>
    <row r="3" spans="2:8" ht="33.75" customHeight="1" x14ac:dyDescent="0.3">
      <c r="B3" s="19"/>
      <c r="C3" s="247" t="s">
        <v>83</v>
      </c>
      <c r="D3" s="247"/>
      <c r="E3" s="247"/>
      <c r="F3" s="247"/>
      <c r="G3" s="247"/>
      <c r="H3" s="20"/>
    </row>
    <row r="4" spans="2:8" x14ac:dyDescent="0.2">
      <c r="B4" s="19"/>
      <c r="H4" s="20"/>
    </row>
    <row r="5" spans="2:8" ht="26.25" customHeight="1" x14ac:dyDescent="0.2">
      <c r="B5" s="19"/>
      <c r="C5" s="248" t="s">
        <v>753</v>
      </c>
      <c r="D5" s="249"/>
      <c r="E5" s="249"/>
      <c r="F5" s="249"/>
      <c r="G5" s="249"/>
      <c r="H5" s="20"/>
    </row>
    <row r="6" spans="2:8" ht="12.75" customHeight="1" x14ac:dyDescent="0.2">
      <c r="B6" s="19"/>
      <c r="C6" s="209"/>
      <c r="D6" s="209"/>
      <c r="E6" s="209"/>
      <c r="F6" s="209"/>
      <c r="G6" s="209"/>
      <c r="H6" s="20"/>
    </row>
    <row r="7" spans="2:8" ht="12.75" customHeight="1" x14ac:dyDescent="0.2">
      <c r="B7" s="19"/>
      <c r="C7" s="213" t="s">
        <v>749</v>
      </c>
      <c r="D7" s="31" t="s">
        <v>87</v>
      </c>
      <c r="E7" s="209"/>
      <c r="F7" s="209"/>
      <c r="G7" s="209"/>
      <c r="H7" s="20"/>
    </row>
    <row r="8" spans="2:8" ht="13.5" thickBot="1" x14ac:dyDescent="0.25">
      <c r="B8" s="19"/>
      <c r="C8" s="23"/>
      <c r="D8" s="23"/>
      <c r="E8" s="23"/>
      <c r="F8" s="23"/>
      <c r="G8" s="23"/>
      <c r="H8" s="20"/>
    </row>
    <row r="9" spans="2:8" ht="14.25" thickTop="1" thickBot="1" x14ac:dyDescent="0.25">
      <c r="B9" s="19"/>
      <c r="C9" s="21"/>
      <c r="D9" s="21"/>
      <c r="E9" s="21"/>
      <c r="F9" s="21"/>
      <c r="G9" s="21"/>
      <c r="H9" s="20"/>
    </row>
    <row r="10" spans="2:8" ht="18" customHeight="1" x14ac:dyDescent="0.2">
      <c r="B10" s="19"/>
      <c r="C10" s="10" t="s">
        <v>25</v>
      </c>
      <c r="D10" s="216"/>
      <c r="E10" s="11"/>
      <c r="F10" s="15" t="s">
        <v>27</v>
      </c>
      <c r="G10" s="16"/>
      <c r="H10" s="20"/>
    </row>
    <row r="11" spans="2:8" ht="18" customHeight="1" thickBot="1" x14ac:dyDescent="0.25">
      <c r="B11" s="19"/>
      <c r="C11" s="166" t="s">
        <v>716</v>
      </c>
      <c r="D11" s="14"/>
      <c r="E11" s="13"/>
      <c r="F11" s="30" t="s">
        <v>26</v>
      </c>
      <c r="G11" s="217"/>
      <c r="H11" s="20"/>
    </row>
    <row r="12" spans="2:8" ht="18" customHeight="1" x14ac:dyDescent="0.2">
      <c r="B12" s="19"/>
      <c r="C12" s="21"/>
      <c r="D12" s="21"/>
      <c r="E12" s="21"/>
      <c r="F12" s="21"/>
      <c r="G12" s="21"/>
      <c r="H12" s="20"/>
    </row>
    <row r="13" spans="2:8" ht="18" customHeight="1" thickBot="1" x14ac:dyDescent="0.25">
      <c r="B13" s="19"/>
      <c r="C13" s="25" t="s">
        <v>84</v>
      </c>
      <c r="D13" s="24"/>
      <c r="E13" s="21"/>
      <c r="G13" s="244" t="str">
        <f>IF(InputNewExisting="Planned","Estimate values for future station","Enter values for existing station")</f>
        <v>Enter values for existing station</v>
      </c>
      <c r="H13" s="20"/>
    </row>
    <row r="14" spans="2:8" ht="18" customHeight="1" x14ac:dyDescent="0.2">
      <c r="B14" s="19"/>
      <c r="C14" s="10" t="s">
        <v>0</v>
      </c>
      <c r="D14" s="218"/>
      <c r="E14" s="21"/>
      <c r="F14" s="10" t="s">
        <v>320</v>
      </c>
      <c r="G14" s="27"/>
      <c r="H14" s="20"/>
    </row>
    <row r="15" spans="2:8" ht="18" customHeight="1" x14ac:dyDescent="0.2">
      <c r="B15" s="19"/>
      <c r="C15" s="26" t="s">
        <v>148</v>
      </c>
      <c r="D15" s="28"/>
      <c r="E15" s="21"/>
      <c r="F15" s="26" t="s">
        <v>321</v>
      </c>
      <c r="G15" s="28"/>
      <c r="H15" s="20"/>
    </row>
    <row r="16" spans="2:8" ht="18" customHeight="1" x14ac:dyDescent="0.2">
      <c r="B16" s="19"/>
      <c r="C16" s="26" t="s">
        <v>1</v>
      </c>
      <c r="D16" s="28"/>
      <c r="E16" s="21"/>
      <c r="F16" s="26" t="s">
        <v>111</v>
      </c>
      <c r="G16" s="76"/>
      <c r="H16" s="20"/>
    </row>
    <row r="17" spans="2:8" ht="18" customHeight="1" x14ac:dyDescent="0.2">
      <c r="B17" s="19"/>
      <c r="C17" s="26" t="s">
        <v>11</v>
      </c>
      <c r="D17" s="28"/>
      <c r="E17" s="24"/>
      <c r="F17" s="26" t="s">
        <v>322</v>
      </c>
      <c r="G17" s="76"/>
      <c r="H17" s="20"/>
    </row>
    <row r="18" spans="2:8" ht="18" customHeight="1" x14ac:dyDescent="0.2">
      <c r="B18" s="19"/>
      <c r="C18" s="26" t="s">
        <v>12</v>
      </c>
      <c r="D18" s="28"/>
      <c r="E18" s="24"/>
      <c r="F18" s="26" t="s">
        <v>147</v>
      </c>
      <c r="G18" s="85"/>
      <c r="H18" s="20"/>
    </row>
    <row r="19" spans="2:8" ht="18" customHeight="1" x14ac:dyDescent="0.2">
      <c r="B19" s="19"/>
      <c r="C19" s="26" t="s">
        <v>13</v>
      </c>
      <c r="D19" s="28"/>
      <c r="E19" s="24"/>
      <c r="F19" s="26" t="s">
        <v>112</v>
      </c>
      <c r="G19" s="28"/>
      <c r="H19" s="20"/>
    </row>
    <row r="20" spans="2:8" ht="18" customHeight="1" thickBot="1" x14ac:dyDescent="0.25">
      <c r="B20" s="19"/>
      <c r="C20" s="12" t="s">
        <v>14</v>
      </c>
      <c r="D20" s="29"/>
      <c r="E20" s="24"/>
      <c r="F20" s="26" t="s">
        <v>198</v>
      </c>
      <c r="G20" s="76"/>
      <c r="H20" s="20"/>
    </row>
    <row r="21" spans="2:8" ht="18" customHeight="1" x14ac:dyDescent="0.2">
      <c r="B21" s="19"/>
      <c r="E21" s="24"/>
      <c r="F21" s="26" t="s">
        <v>197</v>
      </c>
      <c r="G21" s="28"/>
      <c r="H21" s="20"/>
    </row>
    <row r="22" spans="2:8" ht="18" customHeight="1" x14ac:dyDescent="0.2">
      <c r="B22" s="19"/>
      <c r="E22" s="24"/>
      <c r="F22" s="26" t="s">
        <v>796</v>
      </c>
      <c r="G22" s="76"/>
      <c r="H22" s="20"/>
    </row>
    <row r="23" spans="2:8" ht="18" customHeight="1" thickBot="1" x14ac:dyDescent="0.25">
      <c r="B23" s="19"/>
      <c r="E23" s="24"/>
      <c r="F23" s="12" t="s">
        <v>770</v>
      </c>
      <c r="G23" s="170"/>
      <c r="H23" s="20"/>
    </row>
    <row r="24" spans="2:8" ht="18" customHeight="1" x14ac:dyDescent="0.2">
      <c r="B24" s="19"/>
      <c r="E24" s="24"/>
      <c r="H24" s="20"/>
    </row>
    <row r="25" spans="2:8" ht="18" customHeight="1" thickBot="1" x14ac:dyDescent="0.25">
      <c r="B25" s="19"/>
      <c r="C25" s="25" t="s">
        <v>86</v>
      </c>
      <c r="D25" s="24"/>
      <c r="E25" s="24"/>
      <c r="F25" s="24"/>
      <c r="G25" s="24"/>
      <c r="H25" s="20"/>
    </row>
    <row r="26" spans="2:8" ht="18" customHeight="1" x14ac:dyDescent="0.2">
      <c r="B26" s="19"/>
      <c r="C26" s="10" t="s">
        <v>15</v>
      </c>
      <c r="D26" s="98"/>
      <c r="E26" s="24"/>
      <c r="F26" s="94" t="s">
        <v>200</v>
      </c>
      <c r="H26" s="20"/>
    </row>
    <row r="27" spans="2:8" ht="18" customHeight="1" x14ac:dyDescent="0.2">
      <c r="B27" s="19"/>
      <c r="C27" s="26" t="s">
        <v>16</v>
      </c>
      <c r="D27" s="99"/>
      <c r="E27" s="24"/>
      <c r="F27" s="94" t="s">
        <v>199</v>
      </c>
      <c r="G27" s="24"/>
      <c r="H27" s="20"/>
    </row>
    <row r="28" spans="2:8" ht="18" customHeight="1" x14ac:dyDescent="0.2">
      <c r="B28" s="19"/>
      <c r="C28" s="26" t="s">
        <v>17</v>
      </c>
      <c r="D28" s="99"/>
      <c r="E28" s="24"/>
      <c r="F28" s="169" t="s">
        <v>771</v>
      </c>
      <c r="G28" s="24"/>
      <c r="H28" s="20"/>
    </row>
    <row r="29" spans="2:8" ht="18" customHeight="1" x14ac:dyDescent="0.2">
      <c r="B29" s="19"/>
      <c r="C29" s="26" t="s">
        <v>763</v>
      </c>
      <c r="D29" s="99"/>
      <c r="E29" s="24"/>
      <c r="F29" s="169" t="s">
        <v>764</v>
      </c>
      <c r="G29" s="24"/>
      <c r="H29" s="20"/>
    </row>
    <row r="30" spans="2:8" ht="18" customHeight="1" x14ac:dyDescent="0.2">
      <c r="B30" s="19"/>
      <c r="C30" s="26" t="s">
        <v>18</v>
      </c>
      <c r="D30" s="100"/>
      <c r="E30" s="24"/>
      <c r="F30" s="169" t="s">
        <v>765</v>
      </c>
      <c r="G30" s="24"/>
      <c r="H30" s="20"/>
    </row>
    <row r="31" spans="2:8" ht="18" customHeight="1" x14ac:dyDescent="0.2">
      <c r="B31" s="19"/>
      <c r="C31" s="26" t="s">
        <v>19</v>
      </c>
      <c r="D31" s="28"/>
      <c r="E31" s="24"/>
      <c r="F31" s="169" t="s">
        <v>766</v>
      </c>
      <c r="G31" s="24"/>
      <c r="H31" s="20"/>
    </row>
    <row r="32" spans="2:8" ht="18" customHeight="1" thickBot="1" x14ac:dyDescent="0.25">
      <c r="B32" s="19"/>
      <c r="C32" s="12" t="s">
        <v>20</v>
      </c>
      <c r="D32" s="29"/>
      <c r="E32" s="24"/>
      <c r="F32" s="169" t="s">
        <v>767</v>
      </c>
      <c r="G32" s="24"/>
      <c r="H32" s="20"/>
    </row>
    <row r="33" spans="2:8" ht="18" customHeight="1" x14ac:dyDescent="0.2">
      <c r="B33" s="19"/>
      <c r="C33" s="21"/>
      <c r="D33" s="21"/>
      <c r="E33" s="21"/>
      <c r="F33" s="21"/>
      <c r="G33" s="21"/>
      <c r="H33" s="20"/>
    </row>
    <row r="34" spans="2:8" x14ac:dyDescent="0.2">
      <c r="B34" s="19"/>
      <c r="C34" s="24" t="s">
        <v>22</v>
      </c>
      <c r="D34" s="21"/>
      <c r="E34" s="21"/>
      <c r="F34" s="21"/>
      <c r="G34" s="21"/>
      <c r="H34" s="20"/>
    </row>
    <row r="35" spans="2:8" x14ac:dyDescent="0.2">
      <c r="B35" s="19"/>
      <c r="C35" s="24" t="s">
        <v>21</v>
      </c>
      <c r="D35" s="21"/>
      <c r="E35" s="21"/>
      <c r="F35" s="21"/>
      <c r="G35" s="21"/>
      <c r="H35" s="20"/>
    </row>
    <row r="36" spans="2:8" x14ac:dyDescent="0.2">
      <c r="B36" s="19"/>
      <c r="C36" s="169" t="s">
        <v>744</v>
      </c>
      <c r="D36" s="21"/>
      <c r="E36" s="21"/>
      <c r="F36" s="21"/>
      <c r="G36" s="21"/>
      <c r="H36" s="20"/>
    </row>
    <row r="37" spans="2:8" ht="13.5" thickBot="1" x14ac:dyDescent="0.25">
      <c r="B37" s="22"/>
      <c r="C37" s="8"/>
      <c r="D37" s="8"/>
      <c r="E37" s="8"/>
      <c r="F37" s="8"/>
      <c r="G37" s="8"/>
      <c r="H37" s="9"/>
    </row>
  </sheetData>
  <mergeCells count="2">
    <mergeCell ref="C3:G3"/>
    <mergeCell ref="C5:G5"/>
  </mergeCells>
  <phoneticPr fontId="5" type="noConversion"/>
  <dataValidations xWindow="348" yWindow="519" count="7">
    <dataValidation type="list" allowBlank="1" showInputMessage="1" showErrorMessage="1" promptTitle="Station Type" prompt="For Station Type descriptions, refer to Station Typology table in Tool Instructions" sqref="D17">
      <formula1>LTypology</formula1>
    </dataValidation>
    <dataValidation type="list" allowBlank="1" showInputMessage="1" showErrorMessage="1" sqref="D16">
      <formula1>LLineHaulMode</formula1>
    </dataValidation>
    <dataValidation type="list" allowBlank="1" showInputMessage="1" showErrorMessage="1" promptTitle="Land Use" prompt="Identify predominant land use type within 1/2-mile station-area" sqref="D18">
      <formula1>LLandUse</formula1>
    </dataValidation>
    <dataValidation type="list" allowBlank="1" showInputMessage="1" showErrorMessage="1" promptTitle="Climate" prompt="Identify regional climate category" sqref="D19">
      <formula1>LClimate</formula1>
    </dataValidation>
    <dataValidation type="list" allowBlank="1" showInputMessage="1" showErrorMessage="1" promptTitle="Topography" prompt="Identify regional topography type" sqref="D20">
      <formula1>LTopography</formula1>
    </dataValidation>
    <dataValidation type="list" allowBlank="1" showInputMessage="1" showErrorMessage="1" promptTitle="New or Existing" prompt="Choose whether the station is existing or planned (new)" sqref="D15">
      <formula1>LExist</formula1>
    </dataValidation>
    <dataValidation type="list" allowBlank="1" showInputMessage="1" showErrorMessage="1" sqref="D11">
      <formula1>LMetroRegion</formula1>
    </dataValidation>
  </dataValidation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1"/>
  <sheetViews>
    <sheetView workbookViewId="0"/>
  </sheetViews>
  <sheetFormatPr defaultRowHeight="12.75" x14ac:dyDescent="0.2"/>
  <cols>
    <col min="1" max="1" width="31.85546875" bestFit="1" customWidth="1"/>
    <col min="2" max="2" width="20.140625" bestFit="1" customWidth="1"/>
  </cols>
  <sheetData>
    <row r="1" spans="1:2" x14ac:dyDescent="0.2">
      <c r="A1" s="2" t="s">
        <v>806</v>
      </c>
      <c r="B1" s="2" t="s">
        <v>807</v>
      </c>
    </row>
    <row r="2" spans="1:2" x14ac:dyDescent="0.2">
      <c r="A2" t="s">
        <v>808</v>
      </c>
      <c r="B2" t="s">
        <v>809</v>
      </c>
    </row>
    <row r="3" spans="1:2" x14ac:dyDescent="0.2">
      <c r="A3" t="s">
        <v>810</v>
      </c>
      <c r="B3" t="s">
        <v>811</v>
      </c>
    </row>
    <row r="4" spans="1:2" x14ac:dyDescent="0.2">
      <c r="A4" t="s">
        <v>812</v>
      </c>
      <c r="B4" t="s">
        <v>813</v>
      </c>
    </row>
    <row r="5" spans="1:2" x14ac:dyDescent="0.2">
      <c r="A5" t="s">
        <v>814</v>
      </c>
      <c r="B5" t="s">
        <v>815</v>
      </c>
    </row>
    <row r="6" spans="1:2" x14ac:dyDescent="0.2">
      <c r="A6" t="s">
        <v>816</v>
      </c>
      <c r="B6" t="s">
        <v>817</v>
      </c>
    </row>
    <row r="7" spans="1:2" x14ac:dyDescent="0.2">
      <c r="A7" t="s">
        <v>818</v>
      </c>
      <c r="B7" t="s">
        <v>819</v>
      </c>
    </row>
    <row r="8" spans="1:2" x14ac:dyDescent="0.2">
      <c r="A8" t="s">
        <v>820</v>
      </c>
      <c r="B8" t="s">
        <v>821</v>
      </c>
    </row>
    <row r="9" spans="1:2" x14ac:dyDescent="0.2">
      <c r="A9" t="s">
        <v>822</v>
      </c>
      <c r="B9" t="s">
        <v>823</v>
      </c>
    </row>
    <row r="10" spans="1:2" x14ac:dyDescent="0.2">
      <c r="A10" t="s">
        <v>824</v>
      </c>
      <c r="B10" t="s">
        <v>825</v>
      </c>
    </row>
    <row r="11" spans="1:2" x14ac:dyDescent="0.2">
      <c r="A11" t="s">
        <v>826</v>
      </c>
      <c r="B11" t="s">
        <v>827</v>
      </c>
    </row>
    <row r="12" spans="1:2" x14ac:dyDescent="0.2">
      <c r="A12" t="s">
        <v>828</v>
      </c>
      <c r="B12" t="s">
        <v>829</v>
      </c>
    </row>
    <row r="13" spans="1:2" x14ac:dyDescent="0.2">
      <c r="A13" t="s">
        <v>830</v>
      </c>
      <c r="B13" t="s">
        <v>831</v>
      </c>
    </row>
    <row r="14" spans="1:2" x14ac:dyDescent="0.2">
      <c r="A14" t="s">
        <v>832</v>
      </c>
      <c r="B14" t="s">
        <v>833</v>
      </c>
    </row>
    <row r="15" spans="1:2" x14ac:dyDescent="0.2">
      <c r="A15" t="s">
        <v>834</v>
      </c>
      <c r="B15" t="s">
        <v>835</v>
      </c>
    </row>
    <row r="16" spans="1:2" x14ac:dyDescent="0.2">
      <c r="A16" t="s">
        <v>836</v>
      </c>
      <c r="B16" t="s">
        <v>837</v>
      </c>
    </row>
    <row r="17" spans="1:2" x14ac:dyDescent="0.2">
      <c r="A17" t="s">
        <v>838</v>
      </c>
      <c r="B17" t="s">
        <v>839</v>
      </c>
    </row>
    <row r="18" spans="1:2" x14ac:dyDescent="0.2">
      <c r="A18" t="s">
        <v>840</v>
      </c>
      <c r="B18" t="s">
        <v>841</v>
      </c>
    </row>
    <row r="19" spans="1:2" x14ac:dyDescent="0.2">
      <c r="A19" t="s">
        <v>842</v>
      </c>
      <c r="B19" t="s">
        <v>843</v>
      </c>
    </row>
    <row r="20" spans="1:2" x14ac:dyDescent="0.2">
      <c r="A20" t="s">
        <v>844</v>
      </c>
      <c r="B20" t="s">
        <v>845</v>
      </c>
    </row>
    <row r="21" spans="1:2" x14ac:dyDescent="0.2">
      <c r="A21" t="s">
        <v>846</v>
      </c>
      <c r="B21" t="s">
        <v>847</v>
      </c>
    </row>
    <row r="22" spans="1:2" x14ac:dyDescent="0.2">
      <c r="A22" t="s">
        <v>848</v>
      </c>
      <c r="B22" t="s">
        <v>849</v>
      </c>
    </row>
    <row r="23" spans="1:2" x14ac:dyDescent="0.2">
      <c r="A23" t="s">
        <v>850</v>
      </c>
      <c r="B23" t="s">
        <v>851</v>
      </c>
    </row>
    <row r="24" spans="1:2" x14ac:dyDescent="0.2">
      <c r="A24" t="s">
        <v>852</v>
      </c>
      <c r="B24" t="s">
        <v>853</v>
      </c>
    </row>
    <row r="25" spans="1:2" x14ac:dyDescent="0.2">
      <c r="A25" t="s">
        <v>854</v>
      </c>
      <c r="B25" t="s">
        <v>855</v>
      </c>
    </row>
    <row r="26" spans="1:2" x14ac:dyDescent="0.2">
      <c r="A26" t="s">
        <v>856</v>
      </c>
      <c r="B26" t="s">
        <v>857</v>
      </c>
    </row>
    <row r="27" spans="1:2" x14ac:dyDescent="0.2">
      <c r="A27" t="s">
        <v>858</v>
      </c>
      <c r="B27" t="s">
        <v>859</v>
      </c>
    </row>
    <row r="28" spans="1:2" x14ac:dyDescent="0.2">
      <c r="A28" t="s">
        <v>860</v>
      </c>
      <c r="B28" t="s">
        <v>861</v>
      </c>
    </row>
    <row r="29" spans="1:2" x14ac:dyDescent="0.2">
      <c r="A29" t="s">
        <v>862</v>
      </c>
      <c r="B29" t="s">
        <v>863</v>
      </c>
    </row>
    <row r="30" spans="1:2" x14ac:dyDescent="0.2">
      <c r="A30" t="s">
        <v>864</v>
      </c>
      <c r="B30" t="s">
        <v>865</v>
      </c>
    </row>
    <row r="31" spans="1:2" x14ac:dyDescent="0.2">
      <c r="A31" t="s">
        <v>866</v>
      </c>
      <c r="B31" t="s">
        <v>867</v>
      </c>
    </row>
    <row r="32" spans="1:2" x14ac:dyDescent="0.2">
      <c r="A32" t="s">
        <v>868</v>
      </c>
      <c r="B32" t="s">
        <v>869</v>
      </c>
    </row>
    <row r="33" spans="1:2" x14ac:dyDescent="0.2">
      <c r="A33" t="s">
        <v>870</v>
      </c>
      <c r="B33" t="s">
        <v>871</v>
      </c>
    </row>
    <row r="34" spans="1:2" x14ac:dyDescent="0.2">
      <c r="A34" t="s">
        <v>872</v>
      </c>
      <c r="B34" t="s">
        <v>873</v>
      </c>
    </row>
    <row r="35" spans="1:2" x14ac:dyDescent="0.2">
      <c r="A35" t="s">
        <v>874</v>
      </c>
      <c r="B35" t="s">
        <v>875</v>
      </c>
    </row>
    <row r="36" spans="1:2" x14ac:dyDescent="0.2">
      <c r="A36" t="s">
        <v>876</v>
      </c>
      <c r="B36" t="s">
        <v>877</v>
      </c>
    </row>
    <row r="37" spans="1:2" x14ac:dyDescent="0.2">
      <c r="A37" t="s">
        <v>878</v>
      </c>
      <c r="B37" t="s">
        <v>879</v>
      </c>
    </row>
    <row r="38" spans="1:2" x14ac:dyDescent="0.2">
      <c r="A38" t="s">
        <v>880</v>
      </c>
      <c r="B38" t="s">
        <v>881</v>
      </c>
    </row>
    <row r="39" spans="1:2" x14ac:dyDescent="0.2">
      <c r="A39" t="s">
        <v>882</v>
      </c>
      <c r="B39" t="s">
        <v>883</v>
      </c>
    </row>
    <row r="40" spans="1:2" x14ac:dyDescent="0.2">
      <c r="A40" t="s">
        <v>884</v>
      </c>
      <c r="B40" t="s">
        <v>885</v>
      </c>
    </row>
    <row r="41" spans="1:2" x14ac:dyDescent="0.2">
      <c r="A41" t="s">
        <v>886</v>
      </c>
      <c r="B41" t="s">
        <v>887</v>
      </c>
    </row>
    <row r="42" spans="1:2" x14ac:dyDescent="0.2">
      <c r="A42" t="s">
        <v>888</v>
      </c>
      <c r="B42" t="s">
        <v>889</v>
      </c>
    </row>
    <row r="43" spans="1:2" x14ac:dyDescent="0.2">
      <c r="A43" t="s">
        <v>890</v>
      </c>
      <c r="B43" t="s">
        <v>891</v>
      </c>
    </row>
    <row r="44" spans="1:2" x14ac:dyDescent="0.2">
      <c r="A44" t="s">
        <v>892</v>
      </c>
      <c r="B44" t="s">
        <v>893</v>
      </c>
    </row>
    <row r="45" spans="1:2" x14ac:dyDescent="0.2">
      <c r="A45" t="s">
        <v>894</v>
      </c>
      <c r="B45" t="s">
        <v>895</v>
      </c>
    </row>
    <row r="46" spans="1:2" x14ac:dyDescent="0.2">
      <c r="A46" t="s">
        <v>896</v>
      </c>
      <c r="B46" t="s">
        <v>897</v>
      </c>
    </row>
    <row r="47" spans="1:2" x14ac:dyDescent="0.2">
      <c r="A47" t="s">
        <v>898</v>
      </c>
      <c r="B47" t="s">
        <v>899</v>
      </c>
    </row>
    <row r="48" spans="1:2" x14ac:dyDescent="0.2">
      <c r="A48" t="s">
        <v>900</v>
      </c>
      <c r="B48" t="s">
        <v>901</v>
      </c>
    </row>
    <row r="49" spans="1:2" x14ac:dyDescent="0.2">
      <c r="A49" t="s">
        <v>902</v>
      </c>
      <c r="B49" t="s">
        <v>903</v>
      </c>
    </row>
    <row r="50" spans="1:2" x14ac:dyDescent="0.2">
      <c r="A50" t="s">
        <v>904</v>
      </c>
      <c r="B50" t="s">
        <v>903</v>
      </c>
    </row>
    <row r="51" spans="1:2" x14ac:dyDescent="0.2">
      <c r="A51" t="s">
        <v>905</v>
      </c>
      <c r="B51" t="s">
        <v>906</v>
      </c>
    </row>
    <row r="52" spans="1:2" x14ac:dyDescent="0.2">
      <c r="A52" t="s">
        <v>907</v>
      </c>
      <c r="B52" t="s">
        <v>908</v>
      </c>
    </row>
    <row r="53" spans="1:2" x14ac:dyDescent="0.2">
      <c r="A53" t="s">
        <v>909</v>
      </c>
      <c r="B53" t="s">
        <v>910</v>
      </c>
    </row>
    <row r="54" spans="1:2" x14ac:dyDescent="0.2">
      <c r="A54" t="s">
        <v>911</v>
      </c>
      <c r="B54" t="s">
        <v>912</v>
      </c>
    </row>
    <row r="55" spans="1:2" x14ac:dyDescent="0.2">
      <c r="A55" t="s">
        <v>913</v>
      </c>
      <c r="B55" t="s">
        <v>914</v>
      </c>
    </row>
    <row r="56" spans="1:2" x14ac:dyDescent="0.2">
      <c r="A56" t="s">
        <v>915</v>
      </c>
      <c r="B56" t="s">
        <v>916</v>
      </c>
    </row>
    <row r="57" spans="1:2" x14ac:dyDescent="0.2">
      <c r="A57" t="s">
        <v>917</v>
      </c>
      <c r="B57" t="s">
        <v>918</v>
      </c>
    </row>
    <row r="58" spans="1:2" x14ac:dyDescent="0.2">
      <c r="A58" t="s">
        <v>919</v>
      </c>
      <c r="B58" t="s">
        <v>920</v>
      </c>
    </row>
    <row r="59" spans="1:2" x14ac:dyDescent="0.2">
      <c r="A59" t="s">
        <v>921</v>
      </c>
      <c r="B59" t="s">
        <v>922</v>
      </c>
    </row>
    <row r="60" spans="1:2" x14ac:dyDescent="0.2">
      <c r="A60" t="s">
        <v>923</v>
      </c>
      <c r="B60" t="s">
        <v>924</v>
      </c>
    </row>
    <row r="61" spans="1:2" x14ac:dyDescent="0.2">
      <c r="A61" t="s">
        <v>925</v>
      </c>
      <c r="B61" t="s">
        <v>926</v>
      </c>
    </row>
    <row r="62" spans="1:2" x14ac:dyDescent="0.2">
      <c r="A62" t="s">
        <v>927</v>
      </c>
      <c r="B62" t="s">
        <v>928</v>
      </c>
    </row>
    <row r="63" spans="1:2" x14ac:dyDescent="0.2">
      <c r="A63" t="s">
        <v>929</v>
      </c>
      <c r="B63" t="s">
        <v>930</v>
      </c>
    </row>
    <row r="64" spans="1:2" x14ac:dyDescent="0.2">
      <c r="A64" t="s">
        <v>931</v>
      </c>
      <c r="B64" t="s">
        <v>932</v>
      </c>
    </row>
    <row r="65" spans="1:2" x14ac:dyDescent="0.2">
      <c r="A65" t="s">
        <v>933</v>
      </c>
      <c r="B65" t="s">
        <v>934</v>
      </c>
    </row>
    <row r="66" spans="1:2" x14ac:dyDescent="0.2">
      <c r="A66" t="s">
        <v>935</v>
      </c>
      <c r="B66" t="s">
        <v>936</v>
      </c>
    </row>
    <row r="67" spans="1:2" x14ac:dyDescent="0.2">
      <c r="A67" t="s">
        <v>937</v>
      </c>
      <c r="B67" t="s">
        <v>938</v>
      </c>
    </row>
    <row r="68" spans="1:2" x14ac:dyDescent="0.2">
      <c r="A68" t="s">
        <v>939</v>
      </c>
      <c r="B68" t="s">
        <v>940</v>
      </c>
    </row>
    <row r="69" spans="1:2" x14ac:dyDescent="0.2">
      <c r="A69" t="s">
        <v>941</v>
      </c>
      <c r="B69" t="s">
        <v>942</v>
      </c>
    </row>
    <row r="70" spans="1:2" x14ac:dyDescent="0.2">
      <c r="A70" t="s">
        <v>943</v>
      </c>
      <c r="B70" t="s">
        <v>944</v>
      </c>
    </row>
    <row r="71" spans="1:2" x14ac:dyDescent="0.2">
      <c r="A71" t="s">
        <v>945</v>
      </c>
      <c r="B71" t="s">
        <v>946</v>
      </c>
    </row>
    <row r="72" spans="1:2" x14ac:dyDescent="0.2">
      <c r="A72" t="s">
        <v>947</v>
      </c>
      <c r="B72" t="s">
        <v>948</v>
      </c>
    </row>
    <row r="73" spans="1:2" x14ac:dyDescent="0.2">
      <c r="A73" t="s">
        <v>949</v>
      </c>
      <c r="B73" t="s">
        <v>950</v>
      </c>
    </row>
    <row r="74" spans="1:2" x14ac:dyDescent="0.2">
      <c r="A74" t="s">
        <v>951</v>
      </c>
      <c r="B74" t="s">
        <v>952</v>
      </c>
    </row>
    <row r="75" spans="1:2" x14ac:dyDescent="0.2">
      <c r="A75" t="s">
        <v>953</v>
      </c>
      <c r="B75" t="s">
        <v>954</v>
      </c>
    </row>
    <row r="76" spans="1:2" x14ac:dyDescent="0.2">
      <c r="A76" t="s">
        <v>955</v>
      </c>
      <c r="B76" t="s">
        <v>956</v>
      </c>
    </row>
    <row r="77" spans="1:2" x14ac:dyDescent="0.2">
      <c r="A77" t="s">
        <v>957</v>
      </c>
      <c r="B77" t="s">
        <v>958</v>
      </c>
    </row>
    <row r="78" spans="1:2" x14ac:dyDescent="0.2">
      <c r="A78" t="s">
        <v>959</v>
      </c>
      <c r="B78" t="s">
        <v>960</v>
      </c>
    </row>
    <row r="79" spans="1:2" x14ac:dyDescent="0.2">
      <c r="A79" t="s">
        <v>961</v>
      </c>
      <c r="B79" t="s">
        <v>962</v>
      </c>
    </row>
    <row r="80" spans="1:2" x14ac:dyDescent="0.2">
      <c r="A80" t="s">
        <v>963</v>
      </c>
      <c r="B80" t="s">
        <v>964</v>
      </c>
    </row>
    <row r="81" spans="1:2" x14ac:dyDescent="0.2">
      <c r="A81" t="s">
        <v>965</v>
      </c>
      <c r="B81" t="s">
        <v>966</v>
      </c>
    </row>
    <row r="82" spans="1:2" x14ac:dyDescent="0.2">
      <c r="A82" t="s">
        <v>967</v>
      </c>
      <c r="B82" t="s">
        <v>968</v>
      </c>
    </row>
    <row r="83" spans="1:2" x14ac:dyDescent="0.2">
      <c r="A83" t="s">
        <v>969</v>
      </c>
      <c r="B83" t="s">
        <v>970</v>
      </c>
    </row>
    <row r="84" spans="1:2" x14ac:dyDescent="0.2">
      <c r="A84" t="s">
        <v>971</v>
      </c>
      <c r="B84" t="s">
        <v>972</v>
      </c>
    </row>
    <row r="85" spans="1:2" x14ac:dyDescent="0.2">
      <c r="A85" t="s">
        <v>973</v>
      </c>
      <c r="B85" t="s">
        <v>974</v>
      </c>
    </row>
    <row r="86" spans="1:2" x14ac:dyDescent="0.2">
      <c r="A86" t="s">
        <v>975</v>
      </c>
      <c r="B86" t="s">
        <v>976</v>
      </c>
    </row>
    <row r="87" spans="1:2" x14ac:dyDescent="0.2">
      <c r="A87" t="s">
        <v>977</v>
      </c>
      <c r="B87" t="s">
        <v>978</v>
      </c>
    </row>
    <row r="88" spans="1:2" x14ac:dyDescent="0.2">
      <c r="A88" t="s">
        <v>979</v>
      </c>
      <c r="B88" t="s">
        <v>980</v>
      </c>
    </row>
    <row r="89" spans="1:2" x14ac:dyDescent="0.2">
      <c r="A89" t="s">
        <v>981</v>
      </c>
      <c r="B89" t="s">
        <v>982</v>
      </c>
    </row>
    <row r="90" spans="1:2" x14ac:dyDescent="0.2">
      <c r="A90" t="s">
        <v>983</v>
      </c>
      <c r="B90" t="s">
        <v>984</v>
      </c>
    </row>
    <row r="91" spans="1:2" x14ac:dyDescent="0.2">
      <c r="A91" t="s">
        <v>985</v>
      </c>
      <c r="B91" t="s">
        <v>986</v>
      </c>
    </row>
    <row r="92" spans="1:2" x14ac:dyDescent="0.2">
      <c r="A92" t="s">
        <v>987</v>
      </c>
      <c r="B92" t="s">
        <v>988</v>
      </c>
    </row>
    <row r="93" spans="1:2" x14ac:dyDescent="0.2">
      <c r="A93" t="s">
        <v>989</v>
      </c>
      <c r="B93" t="s">
        <v>990</v>
      </c>
    </row>
    <row r="94" spans="1:2" x14ac:dyDescent="0.2">
      <c r="A94" t="s">
        <v>991</v>
      </c>
      <c r="B94" t="s">
        <v>992</v>
      </c>
    </row>
    <row r="95" spans="1:2" x14ac:dyDescent="0.2">
      <c r="A95" t="s">
        <v>993</v>
      </c>
      <c r="B95" t="s">
        <v>994</v>
      </c>
    </row>
    <row r="96" spans="1:2" x14ac:dyDescent="0.2">
      <c r="A96" t="s">
        <v>995</v>
      </c>
      <c r="B96" t="s">
        <v>996</v>
      </c>
    </row>
    <row r="97" spans="1:2" x14ac:dyDescent="0.2">
      <c r="A97" t="s">
        <v>997</v>
      </c>
      <c r="B97" t="s">
        <v>998</v>
      </c>
    </row>
    <row r="98" spans="1:2" x14ac:dyDescent="0.2">
      <c r="A98" t="s">
        <v>999</v>
      </c>
      <c r="B98" t="s">
        <v>1000</v>
      </c>
    </row>
    <row r="99" spans="1:2" x14ac:dyDescent="0.2">
      <c r="A99" t="s">
        <v>1001</v>
      </c>
      <c r="B99" t="s">
        <v>1002</v>
      </c>
    </row>
    <row r="100" spans="1:2" x14ac:dyDescent="0.2">
      <c r="A100" t="s">
        <v>1003</v>
      </c>
      <c r="B100" t="s">
        <v>1004</v>
      </c>
    </row>
    <row r="101" spans="1:2" x14ac:dyDescent="0.2">
      <c r="A101" t="s">
        <v>1005</v>
      </c>
      <c r="B101" t="s">
        <v>1006</v>
      </c>
    </row>
    <row r="102" spans="1:2" x14ac:dyDescent="0.2">
      <c r="A102" t="s">
        <v>1007</v>
      </c>
      <c r="B102" t="s">
        <v>1008</v>
      </c>
    </row>
    <row r="103" spans="1:2" x14ac:dyDescent="0.2">
      <c r="A103" t="s">
        <v>1009</v>
      </c>
      <c r="B103" t="s">
        <v>1010</v>
      </c>
    </row>
    <row r="104" spans="1:2" x14ac:dyDescent="0.2">
      <c r="A104" t="s">
        <v>1011</v>
      </c>
      <c r="B104" t="s">
        <v>1012</v>
      </c>
    </row>
    <row r="105" spans="1:2" x14ac:dyDescent="0.2">
      <c r="A105" t="s">
        <v>1013</v>
      </c>
      <c r="B105" t="s">
        <v>1014</v>
      </c>
    </row>
    <row r="106" spans="1:2" x14ac:dyDescent="0.2">
      <c r="A106" t="s">
        <v>1015</v>
      </c>
      <c r="B106" t="s">
        <v>1016</v>
      </c>
    </row>
    <row r="107" spans="1:2" x14ac:dyDescent="0.2">
      <c r="A107" t="s">
        <v>1017</v>
      </c>
      <c r="B107" t="s">
        <v>1018</v>
      </c>
    </row>
    <row r="108" spans="1:2" x14ac:dyDescent="0.2">
      <c r="A108" t="s">
        <v>1019</v>
      </c>
      <c r="B108" t="s">
        <v>1020</v>
      </c>
    </row>
    <row r="109" spans="1:2" x14ac:dyDescent="0.2">
      <c r="A109" t="s">
        <v>1021</v>
      </c>
      <c r="B109" t="s">
        <v>1022</v>
      </c>
    </row>
    <row r="110" spans="1:2" x14ac:dyDescent="0.2">
      <c r="A110" t="s">
        <v>1023</v>
      </c>
      <c r="B110" t="s">
        <v>1024</v>
      </c>
    </row>
    <row r="111" spans="1:2" x14ac:dyDescent="0.2">
      <c r="A111" t="s">
        <v>1025</v>
      </c>
      <c r="B111" t="s">
        <v>1026</v>
      </c>
    </row>
    <row r="112" spans="1:2" x14ac:dyDescent="0.2">
      <c r="A112" t="s">
        <v>1027</v>
      </c>
      <c r="B112" t="s">
        <v>1028</v>
      </c>
    </row>
    <row r="113" spans="1:2" x14ac:dyDescent="0.2">
      <c r="A113" t="s">
        <v>1029</v>
      </c>
      <c r="B113" t="s">
        <v>1030</v>
      </c>
    </row>
    <row r="114" spans="1:2" x14ac:dyDescent="0.2">
      <c r="A114" t="s">
        <v>1031</v>
      </c>
      <c r="B114" t="s">
        <v>1032</v>
      </c>
    </row>
    <row r="115" spans="1:2" x14ac:dyDescent="0.2">
      <c r="A115" t="s">
        <v>1033</v>
      </c>
      <c r="B115" t="s">
        <v>1034</v>
      </c>
    </row>
    <row r="116" spans="1:2" x14ac:dyDescent="0.2">
      <c r="A116" t="s">
        <v>1035</v>
      </c>
      <c r="B116" t="s">
        <v>1036</v>
      </c>
    </row>
    <row r="117" spans="1:2" x14ac:dyDescent="0.2">
      <c r="A117" t="s">
        <v>1037</v>
      </c>
      <c r="B117" t="s">
        <v>1038</v>
      </c>
    </row>
    <row r="118" spans="1:2" x14ac:dyDescent="0.2">
      <c r="A118" t="s">
        <v>1039</v>
      </c>
      <c r="B118" t="s">
        <v>1040</v>
      </c>
    </row>
    <row r="119" spans="1:2" x14ac:dyDescent="0.2">
      <c r="A119" t="s">
        <v>1041</v>
      </c>
      <c r="B119" t="s">
        <v>1042</v>
      </c>
    </row>
    <row r="120" spans="1:2" x14ac:dyDescent="0.2">
      <c r="A120" t="s">
        <v>1043</v>
      </c>
      <c r="B120" t="s">
        <v>1044</v>
      </c>
    </row>
    <row r="121" spans="1:2" x14ac:dyDescent="0.2">
      <c r="A121" t="s">
        <v>1045</v>
      </c>
      <c r="B121" t="s">
        <v>1046</v>
      </c>
    </row>
    <row r="122" spans="1:2" x14ac:dyDescent="0.2">
      <c r="A122" t="s">
        <v>1047</v>
      </c>
      <c r="B122" t="s">
        <v>1048</v>
      </c>
    </row>
    <row r="123" spans="1:2" x14ac:dyDescent="0.2">
      <c r="A123" t="s">
        <v>1049</v>
      </c>
      <c r="B123" t="s">
        <v>1050</v>
      </c>
    </row>
    <row r="124" spans="1:2" x14ac:dyDescent="0.2">
      <c r="A124" t="s">
        <v>1051</v>
      </c>
      <c r="B124" t="s">
        <v>1052</v>
      </c>
    </row>
    <row r="125" spans="1:2" x14ac:dyDescent="0.2">
      <c r="A125" t="s">
        <v>1053</v>
      </c>
      <c r="B125" t="s">
        <v>1054</v>
      </c>
    </row>
    <row r="126" spans="1:2" x14ac:dyDescent="0.2">
      <c r="A126" t="s">
        <v>1055</v>
      </c>
      <c r="B126" t="s">
        <v>1056</v>
      </c>
    </row>
    <row r="127" spans="1:2" x14ac:dyDescent="0.2">
      <c r="A127" t="s">
        <v>1057</v>
      </c>
      <c r="B127" t="s">
        <v>1058</v>
      </c>
    </row>
    <row r="128" spans="1:2" x14ac:dyDescent="0.2">
      <c r="A128" t="s">
        <v>1059</v>
      </c>
      <c r="B128" t="s">
        <v>1060</v>
      </c>
    </row>
    <row r="129" spans="1:2" x14ac:dyDescent="0.2">
      <c r="A129" t="s">
        <v>1061</v>
      </c>
      <c r="B129" t="s">
        <v>1062</v>
      </c>
    </row>
    <row r="130" spans="1:2" x14ac:dyDescent="0.2">
      <c r="A130" t="s">
        <v>1063</v>
      </c>
      <c r="B130" t="s">
        <v>1064</v>
      </c>
    </row>
    <row r="131" spans="1:2" x14ac:dyDescent="0.2">
      <c r="A131" t="s">
        <v>1065</v>
      </c>
      <c r="B131" t="s">
        <v>1066</v>
      </c>
    </row>
    <row r="132" spans="1:2" x14ac:dyDescent="0.2">
      <c r="A132" t="s">
        <v>1067</v>
      </c>
      <c r="B132" t="s">
        <v>1068</v>
      </c>
    </row>
    <row r="133" spans="1:2" x14ac:dyDescent="0.2">
      <c r="A133" t="s">
        <v>1069</v>
      </c>
      <c r="B133" t="s">
        <v>1070</v>
      </c>
    </row>
    <row r="134" spans="1:2" x14ac:dyDescent="0.2">
      <c r="A134" t="s">
        <v>1071</v>
      </c>
      <c r="B134" t="s">
        <v>1072</v>
      </c>
    </row>
    <row r="135" spans="1:2" x14ac:dyDescent="0.2">
      <c r="A135" t="s">
        <v>1073</v>
      </c>
      <c r="B135" t="s">
        <v>1074</v>
      </c>
    </row>
    <row r="136" spans="1:2" x14ac:dyDescent="0.2">
      <c r="A136" t="s">
        <v>1075</v>
      </c>
      <c r="B136" t="s">
        <v>1076</v>
      </c>
    </row>
    <row r="137" spans="1:2" x14ac:dyDescent="0.2">
      <c r="A137" t="s">
        <v>1077</v>
      </c>
      <c r="B137" t="s">
        <v>1078</v>
      </c>
    </row>
    <row r="138" spans="1:2" x14ac:dyDescent="0.2">
      <c r="A138" t="s">
        <v>1079</v>
      </c>
      <c r="B138" t="s">
        <v>1080</v>
      </c>
    </row>
    <row r="139" spans="1:2" x14ac:dyDescent="0.2">
      <c r="A139" t="s">
        <v>1081</v>
      </c>
      <c r="B139" t="s">
        <v>1082</v>
      </c>
    </row>
    <row r="140" spans="1:2" x14ac:dyDescent="0.2">
      <c r="A140" t="s">
        <v>1083</v>
      </c>
      <c r="B140" t="s">
        <v>1084</v>
      </c>
    </row>
    <row r="141" spans="1:2" x14ac:dyDescent="0.2">
      <c r="A141" t="s">
        <v>1085</v>
      </c>
      <c r="B141" t="s">
        <v>1086</v>
      </c>
    </row>
    <row r="142" spans="1:2" x14ac:dyDescent="0.2">
      <c r="A142" t="s">
        <v>1087</v>
      </c>
      <c r="B142" t="s">
        <v>1088</v>
      </c>
    </row>
    <row r="143" spans="1:2" x14ac:dyDescent="0.2">
      <c r="A143" t="s">
        <v>1089</v>
      </c>
      <c r="B143" t="s">
        <v>1090</v>
      </c>
    </row>
    <row r="144" spans="1:2" x14ac:dyDescent="0.2">
      <c r="A144" t="s">
        <v>1091</v>
      </c>
      <c r="B144" t="s">
        <v>1092</v>
      </c>
    </row>
    <row r="145" spans="1:2" x14ac:dyDescent="0.2">
      <c r="A145" t="s">
        <v>1093</v>
      </c>
      <c r="B145" t="s">
        <v>1094</v>
      </c>
    </row>
    <row r="146" spans="1:2" x14ac:dyDescent="0.2">
      <c r="A146" t="s">
        <v>1095</v>
      </c>
      <c r="B146" t="s">
        <v>1096</v>
      </c>
    </row>
    <row r="147" spans="1:2" x14ac:dyDescent="0.2">
      <c r="A147" t="s">
        <v>1097</v>
      </c>
      <c r="B147" t="s">
        <v>1098</v>
      </c>
    </row>
    <row r="148" spans="1:2" x14ac:dyDescent="0.2">
      <c r="A148" t="s">
        <v>1099</v>
      </c>
      <c r="B148" t="s">
        <v>1100</v>
      </c>
    </row>
    <row r="149" spans="1:2" x14ac:dyDescent="0.2">
      <c r="A149" t="s">
        <v>1101</v>
      </c>
      <c r="B149" t="s">
        <v>1102</v>
      </c>
    </row>
    <row r="150" spans="1:2" x14ac:dyDescent="0.2">
      <c r="A150" t="s">
        <v>1103</v>
      </c>
      <c r="B150" t="s">
        <v>1104</v>
      </c>
    </row>
    <row r="151" spans="1:2" x14ac:dyDescent="0.2">
      <c r="A151" t="s">
        <v>1105</v>
      </c>
      <c r="B151" t="s">
        <v>1106</v>
      </c>
    </row>
    <row r="152" spans="1:2" x14ac:dyDescent="0.2">
      <c r="A152" t="s">
        <v>1107</v>
      </c>
      <c r="B152" t="s">
        <v>1108</v>
      </c>
    </row>
    <row r="153" spans="1:2" x14ac:dyDescent="0.2">
      <c r="A153" t="s">
        <v>1109</v>
      </c>
      <c r="B153" t="s">
        <v>1110</v>
      </c>
    </row>
    <row r="154" spans="1:2" x14ac:dyDescent="0.2">
      <c r="A154" t="s">
        <v>1111</v>
      </c>
      <c r="B154" t="s">
        <v>1112</v>
      </c>
    </row>
    <row r="155" spans="1:2" x14ac:dyDescent="0.2">
      <c r="A155" t="s">
        <v>1113</v>
      </c>
      <c r="B155" t="s">
        <v>1114</v>
      </c>
    </row>
    <row r="156" spans="1:2" x14ac:dyDescent="0.2">
      <c r="A156" t="s">
        <v>1115</v>
      </c>
      <c r="B156" t="s">
        <v>1116</v>
      </c>
    </row>
    <row r="157" spans="1:2" x14ac:dyDescent="0.2">
      <c r="A157" t="s">
        <v>1117</v>
      </c>
      <c r="B157" t="s">
        <v>1118</v>
      </c>
    </row>
    <row r="158" spans="1:2" x14ac:dyDescent="0.2">
      <c r="A158" t="s">
        <v>1119</v>
      </c>
      <c r="B158" t="s">
        <v>1120</v>
      </c>
    </row>
    <row r="159" spans="1:2" x14ac:dyDescent="0.2">
      <c r="A159" t="s">
        <v>1121</v>
      </c>
      <c r="B159" t="s">
        <v>1122</v>
      </c>
    </row>
    <row r="160" spans="1:2" x14ac:dyDescent="0.2">
      <c r="A160" t="s">
        <v>1123</v>
      </c>
      <c r="B160" t="s">
        <v>1124</v>
      </c>
    </row>
    <row r="161" spans="1:2" x14ac:dyDescent="0.2">
      <c r="A161" t="s">
        <v>1125</v>
      </c>
      <c r="B161" t="s">
        <v>1126</v>
      </c>
    </row>
    <row r="162" spans="1:2" x14ac:dyDescent="0.2">
      <c r="A162" t="s">
        <v>1127</v>
      </c>
      <c r="B162" t="s">
        <v>1128</v>
      </c>
    </row>
    <row r="163" spans="1:2" x14ac:dyDescent="0.2">
      <c r="A163" t="s">
        <v>1129</v>
      </c>
      <c r="B163" t="s">
        <v>1130</v>
      </c>
    </row>
    <row r="164" spans="1:2" x14ac:dyDescent="0.2">
      <c r="A164" t="s">
        <v>1131</v>
      </c>
      <c r="B164" t="s">
        <v>1132</v>
      </c>
    </row>
    <row r="165" spans="1:2" x14ac:dyDescent="0.2">
      <c r="A165" t="s">
        <v>1133</v>
      </c>
      <c r="B165" t="s">
        <v>1134</v>
      </c>
    </row>
    <row r="166" spans="1:2" x14ac:dyDescent="0.2">
      <c r="A166" t="s">
        <v>1135</v>
      </c>
      <c r="B166" t="s">
        <v>1136</v>
      </c>
    </row>
    <row r="167" spans="1:2" x14ac:dyDescent="0.2">
      <c r="A167" t="s">
        <v>1137</v>
      </c>
      <c r="B167" t="s">
        <v>1138</v>
      </c>
    </row>
    <row r="168" spans="1:2" x14ac:dyDescent="0.2">
      <c r="A168" t="s">
        <v>1139</v>
      </c>
      <c r="B168" t="s">
        <v>1140</v>
      </c>
    </row>
    <row r="169" spans="1:2" x14ac:dyDescent="0.2">
      <c r="A169" t="s">
        <v>1141</v>
      </c>
      <c r="B169" t="s">
        <v>1142</v>
      </c>
    </row>
    <row r="170" spans="1:2" x14ac:dyDescent="0.2">
      <c r="A170" t="s">
        <v>1143</v>
      </c>
      <c r="B170" t="s">
        <v>1144</v>
      </c>
    </row>
    <row r="171" spans="1:2" x14ac:dyDescent="0.2">
      <c r="A171" t="s">
        <v>1145</v>
      </c>
      <c r="B171" t="s">
        <v>1146</v>
      </c>
    </row>
    <row r="172" spans="1:2" x14ac:dyDescent="0.2">
      <c r="A172" t="s">
        <v>1147</v>
      </c>
      <c r="B172" t="s">
        <v>1148</v>
      </c>
    </row>
    <row r="173" spans="1:2" x14ac:dyDescent="0.2">
      <c r="A173" t="s">
        <v>1149</v>
      </c>
      <c r="B173" t="s">
        <v>1150</v>
      </c>
    </row>
    <row r="174" spans="1:2" x14ac:dyDescent="0.2">
      <c r="A174" t="s">
        <v>1151</v>
      </c>
      <c r="B174" t="s">
        <v>1152</v>
      </c>
    </row>
    <row r="175" spans="1:2" x14ac:dyDescent="0.2">
      <c r="A175" t="s">
        <v>1153</v>
      </c>
      <c r="B175" t="s">
        <v>1154</v>
      </c>
    </row>
    <row r="176" spans="1:2" x14ac:dyDescent="0.2">
      <c r="A176" t="s">
        <v>1155</v>
      </c>
      <c r="B176" t="s">
        <v>1156</v>
      </c>
    </row>
    <row r="177" spans="1:2" x14ac:dyDescent="0.2">
      <c r="A177" t="s">
        <v>1157</v>
      </c>
      <c r="B177" t="s">
        <v>1158</v>
      </c>
    </row>
    <row r="178" spans="1:2" x14ac:dyDescent="0.2">
      <c r="A178" t="s">
        <v>1159</v>
      </c>
      <c r="B178" t="s">
        <v>1160</v>
      </c>
    </row>
    <row r="179" spans="1:2" x14ac:dyDescent="0.2">
      <c r="A179" t="s">
        <v>1161</v>
      </c>
      <c r="B179" t="s">
        <v>1162</v>
      </c>
    </row>
    <row r="180" spans="1:2" x14ac:dyDescent="0.2">
      <c r="A180" t="s">
        <v>1163</v>
      </c>
      <c r="B180" t="s">
        <v>1164</v>
      </c>
    </row>
    <row r="181" spans="1:2" x14ac:dyDescent="0.2">
      <c r="A181" t="s">
        <v>1165</v>
      </c>
      <c r="B181" t="s">
        <v>1166</v>
      </c>
    </row>
    <row r="182" spans="1:2" x14ac:dyDescent="0.2">
      <c r="A182" t="s">
        <v>1167</v>
      </c>
      <c r="B182" t="s">
        <v>1168</v>
      </c>
    </row>
    <row r="183" spans="1:2" x14ac:dyDescent="0.2">
      <c r="A183" t="s">
        <v>1169</v>
      </c>
      <c r="B183" t="s">
        <v>1170</v>
      </c>
    </row>
    <row r="184" spans="1:2" x14ac:dyDescent="0.2">
      <c r="A184" t="s">
        <v>1171</v>
      </c>
      <c r="B184" t="s">
        <v>1172</v>
      </c>
    </row>
    <row r="185" spans="1:2" x14ac:dyDescent="0.2">
      <c r="A185" t="s">
        <v>1173</v>
      </c>
      <c r="B185" t="s">
        <v>1174</v>
      </c>
    </row>
    <row r="186" spans="1:2" x14ac:dyDescent="0.2">
      <c r="A186" t="s">
        <v>1175</v>
      </c>
      <c r="B186" t="s">
        <v>1176</v>
      </c>
    </row>
    <row r="187" spans="1:2" x14ac:dyDescent="0.2">
      <c r="A187" t="s">
        <v>1177</v>
      </c>
      <c r="B187" t="s">
        <v>1178</v>
      </c>
    </row>
    <row r="188" spans="1:2" x14ac:dyDescent="0.2">
      <c r="A188" t="s">
        <v>1179</v>
      </c>
      <c r="B188" t="s">
        <v>1180</v>
      </c>
    </row>
    <row r="189" spans="1:2" x14ac:dyDescent="0.2">
      <c r="A189" t="s">
        <v>1181</v>
      </c>
      <c r="B189" t="s">
        <v>1182</v>
      </c>
    </row>
    <row r="190" spans="1:2" x14ac:dyDescent="0.2">
      <c r="A190" t="s">
        <v>1183</v>
      </c>
      <c r="B190" t="s">
        <v>1184</v>
      </c>
    </row>
    <row r="191" spans="1:2" x14ac:dyDescent="0.2">
      <c r="A191" t="s">
        <v>1185</v>
      </c>
      <c r="B191" t="s">
        <v>1186</v>
      </c>
    </row>
    <row r="192" spans="1:2" x14ac:dyDescent="0.2">
      <c r="A192" t="s">
        <v>1187</v>
      </c>
      <c r="B192" t="s">
        <v>1188</v>
      </c>
    </row>
    <row r="193" spans="1:2" x14ac:dyDescent="0.2">
      <c r="A193" t="s">
        <v>1189</v>
      </c>
      <c r="B193" t="s">
        <v>1190</v>
      </c>
    </row>
    <row r="194" spans="1:2" x14ac:dyDescent="0.2">
      <c r="A194" t="s">
        <v>1191</v>
      </c>
      <c r="B194" t="s">
        <v>1192</v>
      </c>
    </row>
    <row r="195" spans="1:2" x14ac:dyDescent="0.2">
      <c r="A195" t="s">
        <v>1193</v>
      </c>
      <c r="B195" t="s">
        <v>1194</v>
      </c>
    </row>
    <row r="196" spans="1:2" x14ac:dyDescent="0.2">
      <c r="A196" t="s">
        <v>1195</v>
      </c>
      <c r="B196" t="s">
        <v>1196</v>
      </c>
    </row>
    <row r="197" spans="1:2" x14ac:dyDescent="0.2">
      <c r="A197" t="s">
        <v>1197</v>
      </c>
      <c r="B197" t="s">
        <v>1198</v>
      </c>
    </row>
    <row r="198" spans="1:2" x14ac:dyDescent="0.2">
      <c r="A198" t="s">
        <v>1199</v>
      </c>
      <c r="B198" t="s">
        <v>1200</v>
      </c>
    </row>
    <row r="199" spans="1:2" x14ac:dyDescent="0.2">
      <c r="A199" t="s">
        <v>1201</v>
      </c>
      <c r="B199" t="s">
        <v>1202</v>
      </c>
    </row>
    <row r="200" spans="1:2" x14ac:dyDescent="0.2">
      <c r="A200" t="s">
        <v>1203</v>
      </c>
      <c r="B200" t="s">
        <v>1204</v>
      </c>
    </row>
    <row r="201" spans="1:2" x14ac:dyDescent="0.2">
      <c r="A201" t="s">
        <v>1205</v>
      </c>
      <c r="B201" t="s">
        <v>1206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24"/>
  </sheetPr>
  <dimension ref="B1:J47"/>
  <sheetViews>
    <sheetView zoomScaleNormal="100" workbookViewId="0">
      <selection activeCell="D20" sqref="D20"/>
    </sheetView>
  </sheetViews>
  <sheetFormatPr defaultRowHeight="12.75" x14ac:dyDescent="0.2"/>
  <cols>
    <col min="1" max="1" width="3.85546875" style="6" customWidth="1"/>
    <col min="2" max="2" width="16.85546875" style="6" customWidth="1"/>
    <col min="3" max="3" width="30.7109375" style="6" customWidth="1"/>
    <col min="4" max="4" width="38.28515625" style="6" customWidth="1"/>
    <col min="5" max="5" width="2.5703125" style="6" customWidth="1"/>
    <col min="6" max="6" width="13.42578125" style="6" customWidth="1"/>
    <col min="7" max="7" width="13.5703125" style="6" bestFit="1" customWidth="1"/>
    <col min="8" max="8" width="10.7109375" style="6" customWidth="1"/>
    <col min="9" max="9" width="3.28515625" style="6" customWidth="1"/>
    <col min="10" max="10" width="24.28515625" style="6" customWidth="1"/>
    <col min="11" max="16384" width="9.140625" style="6"/>
  </cols>
  <sheetData>
    <row r="1" spans="2:10" ht="12.75" customHeight="1" thickBot="1" x14ac:dyDescent="0.25"/>
    <row r="2" spans="2:10" x14ac:dyDescent="0.2">
      <c r="B2" s="17"/>
      <c r="C2" s="7"/>
      <c r="D2" s="7"/>
      <c r="E2" s="7"/>
      <c r="F2" s="7"/>
      <c r="G2" s="7"/>
      <c r="H2" s="18"/>
    </row>
    <row r="3" spans="2:10" ht="31.5" customHeight="1" x14ac:dyDescent="0.3">
      <c r="B3" s="19"/>
      <c r="C3" s="250" t="s">
        <v>67</v>
      </c>
      <c r="D3" s="250"/>
      <c r="E3" s="250"/>
      <c r="F3" s="250"/>
      <c r="G3" s="250"/>
      <c r="H3" s="20"/>
      <c r="J3" s="36"/>
    </row>
    <row r="4" spans="2:10" ht="12.75" customHeight="1" x14ac:dyDescent="0.2">
      <c r="B4" s="19"/>
      <c r="C4" s="210"/>
      <c r="D4" s="210"/>
      <c r="E4" s="210"/>
      <c r="F4" s="210"/>
      <c r="G4" s="210"/>
      <c r="H4" s="20"/>
      <c r="J4" s="36"/>
    </row>
    <row r="5" spans="2:10" ht="27.75" customHeight="1" x14ac:dyDescent="0.2">
      <c r="B5" s="19"/>
      <c r="C5" s="251" t="s">
        <v>777</v>
      </c>
      <c r="D5" s="252"/>
      <c r="E5" s="252"/>
      <c r="F5" s="252"/>
      <c r="G5" s="252"/>
      <c r="H5" s="20"/>
      <c r="J5" s="36"/>
    </row>
    <row r="6" spans="2:10" ht="12.75" customHeight="1" x14ac:dyDescent="0.2">
      <c r="B6" s="19"/>
      <c r="C6" s="210"/>
      <c r="D6" s="210"/>
      <c r="E6" s="210"/>
      <c r="F6" s="210"/>
      <c r="G6" s="210"/>
      <c r="H6" s="20"/>
      <c r="J6" s="36"/>
    </row>
    <row r="7" spans="2:10" ht="12.75" customHeight="1" x14ac:dyDescent="0.2">
      <c r="B7" s="19"/>
      <c r="C7" s="213" t="s">
        <v>749</v>
      </c>
      <c r="D7" s="4" t="s">
        <v>87</v>
      </c>
      <c r="E7" s="210"/>
      <c r="F7" s="210"/>
      <c r="G7" s="210"/>
      <c r="H7" s="20"/>
      <c r="J7" s="36"/>
    </row>
    <row r="8" spans="2:10" ht="12.75" customHeight="1" x14ac:dyDescent="0.2">
      <c r="B8" s="19"/>
      <c r="C8" s="210"/>
      <c r="D8" s="5" t="s">
        <v>24</v>
      </c>
      <c r="E8" s="210"/>
      <c r="F8" s="210"/>
      <c r="G8" s="210"/>
      <c r="H8" s="20"/>
      <c r="J8" s="36"/>
    </row>
    <row r="9" spans="2:10" x14ac:dyDescent="0.2">
      <c r="B9" s="19"/>
      <c r="C9" s="21"/>
      <c r="D9" s="37" t="s">
        <v>66</v>
      </c>
      <c r="E9" s="21"/>
      <c r="F9" s="21"/>
      <c r="G9" s="21"/>
      <c r="H9" s="20"/>
    </row>
    <row r="10" spans="2:10" ht="13.5" thickBot="1" x14ac:dyDescent="0.25">
      <c r="B10" s="19"/>
      <c r="C10" s="23"/>
      <c r="D10" s="212"/>
      <c r="E10" s="23"/>
      <c r="F10" s="23"/>
      <c r="G10" s="23"/>
      <c r="H10" s="20"/>
    </row>
    <row r="11" spans="2:10" ht="13.5" thickTop="1" x14ac:dyDescent="0.2">
      <c r="B11" s="19"/>
      <c r="C11" s="21"/>
      <c r="D11" s="211"/>
      <c r="E11" s="21"/>
      <c r="F11" s="21"/>
      <c r="G11" s="21"/>
      <c r="H11" s="20"/>
    </row>
    <row r="12" spans="2:10" x14ac:dyDescent="0.2">
      <c r="B12" s="19"/>
      <c r="C12" s="47" t="s">
        <v>25</v>
      </c>
      <c r="D12" s="53">
        <f>InputTransitAgency</f>
        <v>0</v>
      </c>
      <c r="E12" s="53"/>
      <c r="F12" s="55" t="s">
        <v>27</v>
      </c>
      <c r="G12" s="57">
        <f>InputDate</f>
        <v>0</v>
      </c>
      <c r="H12" s="20"/>
    </row>
    <row r="13" spans="2:10" x14ac:dyDescent="0.2">
      <c r="B13" s="19"/>
      <c r="C13" s="51" t="s">
        <v>85</v>
      </c>
      <c r="D13" s="39">
        <f>InputCityRegion</f>
        <v>0</v>
      </c>
      <c r="E13" s="39"/>
      <c r="F13" s="56" t="s">
        <v>26</v>
      </c>
      <c r="G13" s="52">
        <f>InputAnalyst</f>
        <v>0</v>
      </c>
      <c r="H13" s="20"/>
    </row>
    <row r="14" spans="2:10" x14ac:dyDescent="0.2">
      <c r="B14" s="19"/>
      <c r="C14" s="21"/>
      <c r="D14" s="21"/>
      <c r="E14" s="21"/>
      <c r="F14" s="21"/>
      <c r="G14" s="21"/>
      <c r="H14" s="20"/>
    </row>
    <row r="15" spans="2:10" x14ac:dyDescent="0.2">
      <c r="B15" s="19"/>
      <c r="C15" s="47" t="s">
        <v>0</v>
      </c>
      <c r="D15" s="48">
        <f>InputStationName</f>
        <v>0</v>
      </c>
      <c r="E15" s="21"/>
      <c r="F15" s="21"/>
      <c r="G15" s="21"/>
      <c r="H15" s="20"/>
    </row>
    <row r="16" spans="2:10" x14ac:dyDescent="0.2">
      <c r="B16" s="19"/>
      <c r="C16" s="49" t="s">
        <v>2</v>
      </c>
      <c r="D16" s="50">
        <f>InputNewExisting</f>
        <v>0</v>
      </c>
      <c r="E16" s="21"/>
      <c r="F16" s="21"/>
      <c r="G16" s="21"/>
      <c r="H16" s="20"/>
    </row>
    <row r="17" spans="2:8" x14ac:dyDescent="0.2">
      <c r="B17" s="19"/>
      <c r="C17" s="49" t="s">
        <v>1</v>
      </c>
      <c r="D17" s="50">
        <f>InputLineHaulMode</f>
        <v>0</v>
      </c>
      <c r="E17" s="21"/>
      <c r="F17" s="21"/>
      <c r="G17" s="21"/>
      <c r="H17" s="20"/>
    </row>
    <row r="18" spans="2:8" x14ac:dyDescent="0.2">
      <c r="B18" s="19"/>
      <c r="C18" s="51" t="s">
        <v>11</v>
      </c>
      <c r="D18" s="52">
        <f>InputStationType</f>
        <v>0</v>
      </c>
      <c r="E18" s="21"/>
      <c r="F18" s="21"/>
      <c r="G18" s="21"/>
      <c r="H18" s="20"/>
    </row>
    <row r="19" spans="2:8" x14ac:dyDescent="0.2">
      <c r="B19" s="19"/>
      <c r="C19" s="33"/>
      <c r="D19" s="21"/>
      <c r="E19" s="21"/>
      <c r="F19" s="21"/>
      <c r="G19" s="21"/>
      <c r="H19" s="20"/>
    </row>
    <row r="20" spans="2:8" x14ac:dyDescent="0.2">
      <c r="B20" s="19"/>
      <c r="C20" s="38" t="s">
        <v>7</v>
      </c>
      <c r="D20" s="4"/>
      <c r="E20" s="21"/>
      <c r="F20" s="21"/>
      <c r="G20" s="21"/>
      <c r="H20" s="20"/>
    </row>
    <row r="21" spans="2:8" x14ac:dyDescent="0.2">
      <c r="B21" s="19"/>
      <c r="C21" s="21"/>
      <c r="D21" s="21"/>
      <c r="E21" s="21"/>
      <c r="F21" s="21"/>
      <c r="G21" s="21"/>
      <c r="H21" s="20"/>
    </row>
    <row r="22" spans="2:8" x14ac:dyDescent="0.2">
      <c r="B22" s="19"/>
      <c r="C22" s="21"/>
      <c r="D22" s="21"/>
      <c r="E22" s="21"/>
      <c r="F22" s="21"/>
      <c r="G22" s="21"/>
      <c r="H22" s="20"/>
    </row>
    <row r="23" spans="2:8" x14ac:dyDescent="0.2">
      <c r="B23" s="41" t="s">
        <v>9</v>
      </c>
      <c r="C23" s="40" t="s">
        <v>10</v>
      </c>
      <c r="D23" s="42"/>
      <c r="E23" s="21"/>
      <c r="F23" s="21"/>
      <c r="G23" s="21"/>
      <c r="H23" s="20"/>
    </row>
    <row r="24" spans="2:8" x14ac:dyDescent="0.2">
      <c r="B24" s="41" t="s">
        <v>778</v>
      </c>
      <c r="C24" s="40" t="s">
        <v>11</v>
      </c>
      <c r="D24" s="34" t="str">
        <f>IF(InputRidershipMethod="Spreadsheet Model",InputStationType,"")</f>
        <v/>
      </c>
      <c r="E24" s="21"/>
      <c r="F24" s="21"/>
      <c r="G24" s="21"/>
      <c r="H24" s="20"/>
    </row>
    <row r="25" spans="2:8" x14ac:dyDescent="0.2">
      <c r="B25" s="35"/>
      <c r="C25" s="40" t="s">
        <v>12</v>
      </c>
      <c r="D25" s="34" t="str">
        <f>IF(InputRidershipMethod="Spreadsheet Model",InputLandUse,"")</f>
        <v/>
      </c>
      <c r="E25" s="21"/>
      <c r="F25" s="21"/>
      <c r="G25" s="21"/>
      <c r="H25" s="20"/>
    </row>
    <row r="26" spans="2:8" x14ac:dyDescent="0.2">
      <c r="B26" s="35"/>
      <c r="C26" s="40" t="s">
        <v>13</v>
      </c>
      <c r="D26" s="34" t="str">
        <f>IF(InputRidershipMethod="Spreadsheet Model",InputClimate,"")</f>
        <v/>
      </c>
      <c r="E26" s="21"/>
      <c r="F26" s="21"/>
      <c r="G26" s="21"/>
      <c r="H26" s="20"/>
    </row>
    <row r="27" spans="2:8" x14ac:dyDescent="0.2">
      <c r="B27" s="35"/>
      <c r="C27" s="40" t="s">
        <v>14</v>
      </c>
      <c r="D27" s="34" t="str">
        <f>IF(InputRidershipMethod="Spreadsheet Model",InputTopography,"")</f>
        <v/>
      </c>
      <c r="E27" s="21"/>
      <c r="F27" s="21"/>
      <c r="G27" s="21"/>
      <c r="H27" s="20"/>
    </row>
    <row r="28" spans="2:8" x14ac:dyDescent="0.2">
      <c r="B28" s="35"/>
      <c r="C28" s="45"/>
      <c r="D28" s="45"/>
      <c r="E28" s="21"/>
      <c r="F28" s="21"/>
      <c r="G28" s="21"/>
      <c r="H28" s="20"/>
    </row>
    <row r="29" spans="2:8" x14ac:dyDescent="0.2">
      <c r="B29" s="35"/>
      <c r="C29" s="45" t="s">
        <v>88</v>
      </c>
      <c r="D29" s="45"/>
      <c r="E29" s="21"/>
      <c r="F29" s="21"/>
      <c r="G29" s="21"/>
      <c r="H29" s="20"/>
    </row>
    <row r="30" spans="2:8" x14ac:dyDescent="0.2">
      <c r="B30" s="35"/>
      <c r="C30" s="40" t="s">
        <v>15</v>
      </c>
      <c r="D30" s="167" t="str">
        <f>IF(InputRidershipMethod="Spreadsheet Model",InputPopulation,"")</f>
        <v/>
      </c>
      <c r="E30" s="21"/>
      <c r="F30" s="21"/>
      <c r="G30" s="21"/>
      <c r="H30" s="20"/>
    </row>
    <row r="31" spans="2:8" x14ac:dyDescent="0.2">
      <c r="B31" s="35"/>
      <c r="C31" s="40" t="s">
        <v>16</v>
      </c>
      <c r="D31" s="167" t="str">
        <f>IF(InputRidershipMethod="Spreadsheet Model",InputJobs,"")</f>
        <v/>
      </c>
      <c r="E31" s="21"/>
      <c r="F31" s="21"/>
      <c r="G31" s="21"/>
      <c r="H31" s="20"/>
    </row>
    <row r="32" spans="2:8" x14ac:dyDescent="0.2">
      <c r="B32" s="35"/>
      <c r="C32" s="40" t="s">
        <v>17</v>
      </c>
      <c r="D32" s="167" t="str">
        <f>IF(InputRidershipMethod="Spreadsheet Model",InputWorkers,"")</f>
        <v/>
      </c>
      <c r="E32" s="21"/>
      <c r="F32" s="21"/>
      <c r="G32" s="21"/>
      <c r="H32" s="20"/>
    </row>
    <row r="33" spans="2:8" x14ac:dyDescent="0.2">
      <c r="B33" s="35"/>
      <c r="C33" s="46" t="s">
        <v>763</v>
      </c>
      <c r="D33" s="167" t="str">
        <f>IF(InputRidershipMethod="Spreadsheet Model",InputWalkedtoWork,"")</f>
        <v/>
      </c>
      <c r="E33" s="21"/>
      <c r="F33" s="21"/>
      <c r="G33" s="21"/>
      <c r="H33" s="20"/>
    </row>
    <row r="34" spans="2:8" x14ac:dyDescent="0.2">
      <c r="B34" s="35"/>
      <c r="C34" s="40" t="s">
        <v>18</v>
      </c>
      <c r="D34" s="168" t="str">
        <f>IF(InputRidershipMethod="Spreadsheet Model",InputMedianIncome,"")</f>
        <v/>
      </c>
      <c r="E34" s="21"/>
      <c r="F34" s="21"/>
      <c r="G34" s="21"/>
      <c r="H34" s="20"/>
    </row>
    <row r="35" spans="2:8" x14ac:dyDescent="0.2">
      <c r="B35" s="35"/>
      <c r="C35" s="40" t="s">
        <v>19</v>
      </c>
      <c r="D35" s="34" t="str">
        <f>IF(InputRidershipMethod="Spreadsheet Model",InputPercentZeroCar,"")</f>
        <v/>
      </c>
      <c r="E35" s="21"/>
      <c r="F35" s="21"/>
      <c r="G35" s="21"/>
      <c r="H35" s="20"/>
    </row>
    <row r="36" spans="2:8" x14ac:dyDescent="0.2">
      <c r="B36" s="19"/>
      <c r="C36" s="40" t="s">
        <v>20</v>
      </c>
      <c r="D36" s="34" t="str">
        <f>IF(InputRidershipMethod="Spreadsheet Model",InputVehPerWorker,"")</f>
        <v/>
      </c>
      <c r="E36" s="21"/>
      <c r="F36" s="21"/>
      <c r="G36" s="21"/>
      <c r="H36" s="20"/>
    </row>
    <row r="37" spans="2:8" x14ac:dyDescent="0.2">
      <c r="B37" s="19"/>
      <c r="C37" s="40" t="s">
        <v>197</v>
      </c>
      <c r="D37" s="34" t="str">
        <f>IF(InputRidershipMethod="Spreadsheet Model",InputConnectingTransit,"")</f>
        <v/>
      </c>
      <c r="E37" s="21"/>
      <c r="F37" s="21"/>
      <c r="G37" s="21"/>
      <c r="H37" s="20"/>
    </row>
    <row r="38" spans="2:8" x14ac:dyDescent="0.2">
      <c r="B38" s="19"/>
      <c r="C38" s="40" t="s">
        <v>717</v>
      </c>
      <c r="D38" s="34" t="str">
        <f>IF(InputRidershipMethod="Spreadsheet Model",InputCarParkingSpaces,"")</f>
        <v/>
      </c>
      <c r="E38" s="21"/>
      <c r="F38" s="21"/>
      <c r="G38" s="21"/>
      <c r="H38" s="20"/>
    </row>
    <row r="39" spans="2:8" x14ac:dyDescent="0.2">
      <c r="B39" s="19"/>
      <c r="C39" s="40" t="s">
        <v>23</v>
      </c>
      <c r="D39" s="167" t="str">
        <f>IF(InputRidershipMethod="Spreadsheet Model",IF(D44&lt;0,0,D44)+IF(D45&lt;0,0,D45)+IF(D46&lt;0,0,D46)+IF(D47&lt;0,0,D47),"")</f>
        <v/>
      </c>
      <c r="E39" s="21"/>
      <c r="F39" s="21"/>
      <c r="G39" s="21"/>
      <c r="H39" s="20"/>
    </row>
    <row r="40" spans="2:8" x14ac:dyDescent="0.2">
      <c r="B40" s="19"/>
      <c r="C40" s="21"/>
      <c r="D40" s="21"/>
      <c r="E40" s="21"/>
      <c r="F40" s="21"/>
      <c r="G40" s="21"/>
      <c r="H40" s="20"/>
    </row>
    <row r="41" spans="2:8" x14ac:dyDescent="0.2">
      <c r="B41" s="19"/>
      <c r="C41" s="58" t="s">
        <v>65</v>
      </c>
      <c r="D41" s="43" t="str">
        <f>IF(InputRidershipMethod="Actual or External Model Data",D23,IF(InputRidershipMethod="Spreadsheet Model",D39,""))</f>
        <v/>
      </c>
      <c r="E41" s="21"/>
      <c r="F41" s="21"/>
      <c r="G41" s="21"/>
      <c r="H41" s="20"/>
    </row>
    <row r="42" spans="2:8" ht="13.5" thickBot="1" x14ac:dyDescent="0.25">
      <c r="B42" s="22"/>
      <c r="C42" s="8"/>
      <c r="D42" s="8"/>
      <c r="E42" s="8"/>
      <c r="F42" s="8"/>
      <c r="G42" s="8"/>
      <c r="H42" s="9"/>
    </row>
    <row r="44" spans="2:8" hidden="1" x14ac:dyDescent="0.2">
      <c r="C44" s="96" t="s">
        <v>762</v>
      </c>
      <c r="D44" s="6">
        <f>133.597+782.449*IF(InputLineHaulMode="Heavy Rail",1,0)+1.282*(InputCarParkingSpaces+InputReservedCarParkingSpaces)-347.494*InputPercentZeroCar</f>
        <v>133.59700000000001</v>
      </c>
    </row>
    <row r="45" spans="2:8" hidden="1" x14ac:dyDescent="0.2">
      <c r="C45" s="96" t="s">
        <v>37</v>
      </c>
      <c r="D45" s="6">
        <f>-102.015-0.001*InputJobs+0.008*InputPopulation+1.032*InputBicycleParkingSpaces+3241.579*InputBicycleCommuteShare+249.852*InputPercentZeroCar</f>
        <v>-102.015</v>
      </c>
    </row>
    <row r="46" spans="2:8" hidden="1" x14ac:dyDescent="0.2">
      <c r="C46" s="96" t="s">
        <v>38</v>
      </c>
      <c r="D46" s="6">
        <f>-456.09+1444.994*IF(InputLineHaulMode="Heavy Rail",1,0)+0.015*InputJobs+0.481*InputWorkers+2.39*InputWalkedtoWork</f>
        <v>-456.09</v>
      </c>
    </row>
    <row r="47" spans="2:8" hidden="1" x14ac:dyDescent="0.2">
      <c r="C47" s="96" t="s">
        <v>36</v>
      </c>
      <c r="D47" s="6">
        <f>-261.387+520.732*IF(InputLineHaulMode="Heavy Rail",1,0)+62.799*InputConnectingTransit+0.019*InputWorkers+211.484*IF(InputUtilization="",1,InputUtilization)</f>
        <v>-49.902999999999992</v>
      </c>
    </row>
  </sheetData>
  <mergeCells count="2">
    <mergeCell ref="C3:G3"/>
    <mergeCell ref="C5:G5"/>
  </mergeCells>
  <phoneticPr fontId="0" type="noConversion"/>
  <conditionalFormatting sqref="B24:B27 C28:C29">
    <cfRule type="expression" dxfId="28" priority="3" stopIfTrue="1">
      <formula>$D$20="Spreadsheet Model"</formula>
    </cfRule>
  </conditionalFormatting>
  <conditionalFormatting sqref="B23">
    <cfRule type="expression" dxfId="27" priority="4" stopIfTrue="1">
      <formula>$D$20="Actual or External Model Data"</formula>
    </cfRule>
  </conditionalFormatting>
  <conditionalFormatting sqref="C23">
    <cfRule type="expression" dxfId="26" priority="7" stopIfTrue="1">
      <formula>$D$20="Actual or External Model Data"</formula>
    </cfRule>
  </conditionalFormatting>
  <conditionalFormatting sqref="D23">
    <cfRule type="expression" dxfId="25" priority="8" stopIfTrue="1">
      <formula>$D$20="Actual or External Model Data"</formula>
    </cfRule>
  </conditionalFormatting>
  <conditionalFormatting sqref="C24:C27 C30:C39">
    <cfRule type="expression" dxfId="24" priority="11" stopIfTrue="1">
      <formula>$D$20="Spreadsheet Model"</formula>
    </cfRule>
  </conditionalFormatting>
  <conditionalFormatting sqref="D39">
    <cfRule type="expression" dxfId="23" priority="2" stopIfTrue="1">
      <formula>$D$20="Spreadsheet Model"</formula>
    </cfRule>
  </conditionalFormatting>
  <conditionalFormatting sqref="D24:D27 D30:D38">
    <cfRule type="expression" dxfId="22" priority="1" stopIfTrue="1">
      <formula>$D$20="Spreadsheet Model"</formula>
    </cfRule>
  </conditionalFormatting>
  <dataValidations xWindow="690" yWindow="499" count="2">
    <dataValidation type="list" allowBlank="1" showInputMessage="1" showErrorMessage="1" promptTitle="Ridership Estimation Method" prompt="If the total station ridership is known or is estimated in another way, choose &quot;Actual/External Model.&quot; Otherwise, choose &quot;Analogy&quot; method to estimate total station ridership (see Guidebook)." sqref="D20">
      <formula1>LRidershipMethod</formula1>
    </dataValidation>
    <dataValidation allowBlank="1" showErrorMessage="1" promptTitle="Predominant Land Use" prompt="Choose from the Land Use Types described in the User's Guide" sqref="D25:D27 D30:D38"/>
  </dataValidation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24"/>
  </sheetPr>
  <dimension ref="B1:J43"/>
  <sheetViews>
    <sheetView zoomScaleNormal="100" workbookViewId="0">
      <selection activeCell="D22" sqref="D22"/>
    </sheetView>
  </sheetViews>
  <sheetFormatPr defaultRowHeight="12.75" x14ac:dyDescent="0.2"/>
  <cols>
    <col min="1" max="1" width="9.140625" style="6"/>
    <col min="2" max="2" width="3.7109375" style="6" customWidth="1"/>
    <col min="3" max="3" width="32.85546875" style="6" customWidth="1"/>
    <col min="4" max="4" width="31" style="6" customWidth="1"/>
    <col min="5" max="5" width="10.7109375" style="6" customWidth="1"/>
    <col min="6" max="6" width="12.85546875" style="6" customWidth="1"/>
    <col min="7" max="7" width="15.140625" style="6" customWidth="1"/>
    <col min="8" max="8" width="3.85546875" style="6" customWidth="1"/>
    <col min="9" max="9" width="3.7109375" style="6" customWidth="1"/>
    <col min="10" max="10" width="24.7109375" style="6" customWidth="1"/>
    <col min="11" max="16384" width="9.140625" style="6"/>
  </cols>
  <sheetData>
    <row r="1" spans="2:10" ht="12" customHeight="1" thickBot="1" x14ac:dyDescent="0.25"/>
    <row r="2" spans="2:10" x14ac:dyDescent="0.2">
      <c r="B2" s="17"/>
      <c r="C2" s="7"/>
      <c r="D2" s="7"/>
      <c r="E2" s="7"/>
      <c r="F2" s="7"/>
      <c r="G2" s="7"/>
      <c r="H2" s="18"/>
    </row>
    <row r="3" spans="2:10" ht="31.5" customHeight="1" x14ac:dyDescent="0.3">
      <c r="B3" s="59"/>
      <c r="C3" s="250" t="s">
        <v>89</v>
      </c>
      <c r="D3" s="250"/>
      <c r="E3" s="250"/>
      <c r="F3" s="250"/>
      <c r="G3" s="250"/>
      <c r="H3" s="60"/>
      <c r="J3" s="36"/>
    </row>
    <row r="4" spans="2:10" ht="12.75" customHeight="1" x14ac:dyDescent="0.3">
      <c r="B4" s="59"/>
      <c r="C4" s="210"/>
      <c r="D4" s="210"/>
      <c r="E4" s="210"/>
      <c r="F4" s="210"/>
      <c r="G4" s="210"/>
      <c r="H4" s="60"/>
      <c r="J4" s="36"/>
    </row>
    <row r="5" spans="2:10" ht="41.25" customHeight="1" x14ac:dyDescent="0.3">
      <c r="B5" s="59"/>
      <c r="C5" s="251" t="s">
        <v>779</v>
      </c>
      <c r="D5" s="252"/>
      <c r="E5" s="252"/>
      <c r="F5" s="252"/>
      <c r="G5" s="252"/>
      <c r="H5" s="60"/>
      <c r="J5" s="36"/>
    </row>
    <row r="6" spans="2:10" ht="12.75" customHeight="1" x14ac:dyDescent="0.3">
      <c r="B6" s="59"/>
      <c r="C6" s="210"/>
      <c r="D6" s="210"/>
      <c r="E6" s="210"/>
      <c r="F6" s="210"/>
      <c r="G6" s="210"/>
      <c r="H6" s="60"/>
      <c r="J6" s="36"/>
    </row>
    <row r="7" spans="2:10" ht="12.75" customHeight="1" x14ac:dyDescent="0.3">
      <c r="B7" s="59"/>
      <c r="C7" s="214" t="s">
        <v>749</v>
      </c>
      <c r="D7" s="4" t="s">
        <v>87</v>
      </c>
      <c r="E7" s="210"/>
      <c r="F7" s="210"/>
      <c r="G7" s="210"/>
      <c r="H7" s="60"/>
      <c r="J7" s="36"/>
    </row>
    <row r="8" spans="2:10" ht="12.75" customHeight="1" x14ac:dyDescent="0.3">
      <c r="B8" s="59"/>
      <c r="C8" s="210"/>
      <c r="D8" s="5" t="s">
        <v>24</v>
      </c>
      <c r="E8" s="210"/>
      <c r="F8" s="210"/>
      <c r="G8" s="210"/>
      <c r="H8" s="60"/>
      <c r="J8" s="36"/>
    </row>
    <row r="9" spans="2:10" ht="12.75" customHeight="1" x14ac:dyDescent="0.3">
      <c r="B9" s="59"/>
      <c r="C9" s="210"/>
      <c r="D9" s="37" t="s">
        <v>66</v>
      </c>
      <c r="E9" s="210"/>
      <c r="F9" s="210"/>
      <c r="G9" s="210"/>
      <c r="H9" s="60"/>
      <c r="J9" s="36"/>
    </row>
    <row r="10" spans="2:10" ht="12.75" customHeight="1" thickBot="1" x14ac:dyDescent="0.35">
      <c r="B10" s="59"/>
      <c r="C10" s="215"/>
      <c r="D10" s="215"/>
      <c r="E10" s="215"/>
      <c r="F10" s="215"/>
      <c r="G10" s="215"/>
      <c r="H10" s="60"/>
      <c r="J10" s="36"/>
    </row>
    <row r="11" spans="2:10" ht="13.5" thickTop="1" x14ac:dyDescent="0.2">
      <c r="B11" s="19"/>
      <c r="C11" s="21"/>
      <c r="D11" s="21"/>
      <c r="E11" s="21"/>
      <c r="F11" s="21"/>
      <c r="G11" s="21"/>
      <c r="H11" s="20"/>
    </row>
    <row r="12" spans="2:10" x14ac:dyDescent="0.2">
      <c r="B12" s="19"/>
      <c r="C12" s="47" t="s">
        <v>25</v>
      </c>
      <c r="D12" s="53">
        <f>InputTransitAgency</f>
        <v>0</v>
      </c>
      <c r="E12" s="53"/>
      <c r="F12" s="55" t="s">
        <v>27</v>
      </c>
      <c r="G12" s="57">
        <f>InputDate</f>
        <v>0</v>
      </c>
      <c r="H12" s="20"/>
    </row>
    <row r="13" spans="2:10" x14ac:dyDescent="0.2">
      <c r="B13" s="19"/>
      <c r="C13" s="51" t="s">
        <v>85</v>
      </c>
      <c r="D13" s="39">
        <f>InputCityRegion</f>
        <v>0</v>
      </c>
      <c r="E13" s="39"/>
      <c r="F13" s="56" t="s">
        <v>26</v>
      </c>
      <c r="G13" s="52">
        <f>InputAnalyst</f>
        <v>0</v>
      </c>
      <c r="H13" s="20"/>
    </row>
    <row r="14" spans="2:10" x14ac:dyDescent="0.2">
      <c r="B14" s="19"/>
      <c r="C14" s="21"/>
      <c r="D14" s="21"/>
      <c r="E14" s="21"/>
      <c r="F14" s="21"/>
      <c r="G14" s="21"/>
      <c r="H14" s="20"/>
    </row>
    <row r="15" spans="2:10" x14ac:dyDescent="0.2">
      <c r="B15" s="19"/>
      <c r="C15" s="47" t="s">
        <v>0</v>
      </c>
      <c r="D15" s="48">
        <f>InputStationName</f>
        <v>0</v>
      </c>
      <c r="E15" s="21"/>
      <c r="F15" s="21"/>
      <c r="G15" s="21"/>
      <c r="H15" s="20"/>
    </row>
    <row r="16" spans="2:10" x14ac:dyDescent="0.2">
      <c r="B16" s="19"/>
      <c r="C16" s="49" t="s">
        <v>2</v>
      </c>
      <c r="D16" s="50">
        <f>InputNewExisting</f>
        <v>0</v>
      </c>
      <c r="E16" s="21"/>
      <c r="F16" s="21"/>
      <c r="G16" s="21"/>
      <c r="H16" s="20"/>
    </row>
    <row r="17" spans="2:8" x14ac:dyDescent="0.2">
      <c r="B17" s="19"/>
      <c r="C17" s="49" t="s">
        <v>1</v>
      </c>
      <c r="D17" s="50">
        <f>InputLineHaulMode</f>
        <v>0</v>
      </c>
      <c r="E17" s="21"/>
      <c r="F17" s="21"/>
      <c r="G17" s="21"/>
      <c r="H17" s="20"/>
    </row>
    <row r="18" spans="2:8" x14ac:dyDescent="0.2">
      <c r="B18" s="19"/>
      <c r="C18" s="51" t="s">
        <v>11</v>
      </c>
      <c r="D18" s="52">
        <f>InputStationType</f>
        <v>0</v>
      </c>
      <c r="E18" s="21"/>
      <c r="F18" s="21"/>
      <c r="G18" s="21"/>
      <c r="H18" s="20"/>
    </row>
    <row r="19" spans="2:8" x14ac:dyDescent="0.2">
      <c r="B19" s="19"/>
      <c r="C19" s="21"/>
      <c r="D19" s="21"/>
      <c r="E19" s="21"/>
      <c r="F19" s="21"/>
      <c r="G19" s="21"/>
      <c r="H19" s="20"/>
    </row>
    <row r="20" spans="2:8" x14ac:dyDescent="0.2">
      <c r="B20" s="19"/>
      <c r="C20" s="38" t="s">
        <v>29</v>
      </c>
      <c r="D20" s="61" t="str">
        <f>OutputRidership</f>
        <v/>
      </c>
      <c r="E20" s="21"/>
      <c r="F20" s="21"/>
      <c r="G20" s="21"/>
      <c r="H20" s="20"/>
    </row>
    <row r="21" spans="2:8" x14ac:dyDescent="0.2">
      <c r="B21" s="19"/>
      <c r="C21" s="33"/>
      <c r="D21" s="21"/>
      <c r="E21" s="21"/>
      <c r="F21" s="21"/>
      <c r="G21" s="21"/>
      <c r="H21" s="20"/>
    </row>
    <row r="22" spans="2:8" x14ac:dyDescent="0.2">
      <c r="B22" s="19"/>
      <c r="C22" s="38" t="s">
        <v>30</v>
      </c>
      <c r="D22" s="4"/>
      <c r="E22" s="21"/>
      <c r="F22" s="21"/>
      <c r="G22" s="21"/>
      <c r="H22" s="20"/>
    </row>
    <row r="23" spans="2:8" x14ac:dyDescent="0.2">
      <c r="B23" s="19"/>
      <c r="C23" s="21"/>
      <c r="D23" s="21"/>
      <c r="E23" s="21"/>
      <c r="F23" s="21"/>
      <c r="G23" s="21"/>
      <c r="H23" s="20"/>
    </row>
    <row r="24" spans="2:8" x14ac:dyDescent="0.2">
      <c r="B24" s="19"/>
      <c r="C24" s="62" t="s">
        <v>776</v>
      </c>
      <c r="D24" s="34"/>
      <c r="E24" s="63" t="s">
        <v>34</v>
      </c>
      <c r="F24" s="63" t="s">
        <v>35</v>
      </c>
      <c r="G24" s="21"/>
      <c r="H24" s="20"/>
    </row>
    <row r="25" spans="2:8" x14ac:dyDescent="0.2">
      <c r="B25" s="19"/>
      <c r="C25" s="21"/>
      <c r="D25" s="63" t="s">
        <v>188</v>
      </c>
      <c r="E25" s="63" t="e">
        <f>F25*$D$20</f>
        <v>#VALUE!</v>
      </c>
      <c r="F25" s="64"/>
      <c r="G25" s="21"/>
      <c r="H25" s="20"/>
    </row>
    <row r="26" spans="2:8" x14ac:dyDescent="0.2">
      <c r="B26" s="19"/>
      <c r="C26" s="21"/>
      <c r="D26" s="63" t="s">
        <v>189</v>
      </c>
      <c r="E26" s="63" t="e">
        <f t="shared" ref="E26:E29" si="0">F26*$D$20</f>
        <v>#VALUE!</v>
      </c>
      <c r="F26" s="64"/>
      <c r="G26" s="21"/>
      <c r="H26" s="20"/>
    </row>
    <row r="27" spans="2:8" x14ac:dyDescent="0.2">
      <c r="B27" s="19"/>
      <c r="C27" s="21"/>
      <c r="D27" s="63" t="s">
        <v>36</v>
      </c>
      <c r="E27" s="63" t="e">
        <f t="shared" si="0"/>
        <v>#VALUE!</v>
      </c>
      <c r="F27" s="64"/>
      <c r="G27" s="21"/>
      <c r="H27" s="20"/>
    </row>
    <row r="28" spans="2:8" x14ac:dyDescent="0.2">
      <c r="B28" s="19"/>
      <c r="C28" s="21"/>
      <c r="D28" s="63" t="s">
        <v>37</v>
      </c>
      <c r="E28" s="63" t="e">
        <f t="shared" si="0"/>
        <v>#VALUE!</v>
      </c>
      <c r="F28" s="64"/>
      <c r="G28" s="21"/>
      <c r="H28" s="20"/>
    </row>
    <row r="29" spans="2:8" x14ac:dyDescent="0.2">
      <c r="B29" s="19"/>
      <c r="C29" s="21"/>
      <c r="D29" s="63" t="s">
        <v>38</v>
      </c>
      <c r="E29" s="63" t="e">
        <f t="shared" si="0"/>
        <v>#VALUE!</v>
      </c>
      <c r="F29" s="64"/>
      <c r="G29" s="21"/>
      <c r="H29" s="20"/>
    </row>
    <row r="30" spans="2:8" x14ac:dyDescent="0.2">
      <c r="B30" s="19"/>
      <c r="C30" s="62" t="s">
        <v>33</v>
      </c>
      <c r="D30" s="44" t="str">
        <f>IF(InputModeSplitMethod="Station Type",InputStationType,"")</f>
        <v/>
      </c>
      <c r="E30" s="63" t="s">
        <v>34</v>
      </c>
      <c r="F30" s="63" t="s">
        <v>35</v>
      </c>
      <c r="G30" s="21"/>
      <c r="H30" s="20"/>
    </row>
    <row r="31" spans="2:8" x14ac:dyDescent="0.2">
      <c r="B31" s="19"/>
      <c r="C31" s="33"/>
      <c r="D31" s="63" t="s">
        <v>188</v>
      </c>
      <c r="E31" s="65" t="e">
        <f>OutputRidership*F31</f>
        <v>#VALUE!</v>
      </c>
      <c r="F31" s="66" t="e">
        <f>VLOOKUP(InputStationType,TableTypologyAll,COLUMN(ColAutoPercent)+RefColumn,FALSE)</f>
        <v>#N/A</v>
      </c>
      <c r="G31" s="21"/>
      <c r="H31" s="20"/>
    </row>
    <row r="32" spans="2:8" x14ac:dyDescent="0.2">
      <c r="B32" s="19"/>
      <c r="C32" s="33"/>
      <c r="D32" s="63" t="s">
        <v>189</v>
      </c>
      <c r="E32" s="65" t="e">
        <f>OutputRidership*F32</f>
        <v>#VALUE!</v>
      </c>
      <c r="F32" s="66" t="e">
        <f>VLOOKUP(InputStationType,TableTypologyAll,COLUMN(ColDropOffPercent)+RefColumn,FALSE)</f>
        <v>#N/A</v>
      </c>
      <c r="G32" s="21"/>
      <c r="H32" s="20"/>
    </row>
    <row r="33" spans="2:8" x14ac:dyDescent="0.2">
      <c r="B33" s="19"/>
      <c r="C33" s="33"/>
      <c r="D33" s="63" t="s">
        <v>36</v>
      </c>
      <c r="E33" s="65" t="e">
        <f>ROUND(OutputRidership*F33,0)</f>
        <v>#VALUE!</v>
      </c>
      <c r="F33" s="66" t="e">
        <f>VLOOKUP(InputStationType,TableTypologyAll,COLUMN(ColFeederBusPercent)+RefColumn,FALSE)</f>
        <v>#N/A</v>
      </c>
      <c r="G33" s="21"/>
      <c r="H33" s="20"/>
    </row>
    <row r="34" spans="2:8" x14ac:dyDescent="0.2">
      <c r="B34" s="19"/>
      <c r="C34" s="33"/>
      <c r="D34" s="63" t="s">
        <v>37</v>
      </c>
      <c r="E34" s="65" t="e">
        <f>ROUND(OutputRidership*F34,0)</f>
        <v>#VALUE!</v>
      </c>
      <c r="F34" s="66" t="e">
        <f>VLOOKUP(InputStationType,TableTypologyAll,COLUMN(ColBicyclePercent)+RefColumn,FALSE)</f>
        <v>#N/A</v>
      </c>
      <c r="G34" s="21"/>
      <c r="H34" s="20"/>
    </row>
    <row r="35" spans="2:8" x14ac:dyDescent="0.2">
      <c r="B35" s="19"/>
      <c r="C35" s="33"/>
      <c r="D35" s="63" t="s">
        <v>38</v>
      </c>
      <c r="E35" s="65" t="e">
        <f>ROUND(OutputRidership*F35,0)</f>
        <v>#VALUE!</v>
      </c>
      <c r="F35" s="66" t="e">
        <f>VLOOKUP(InputStationType,TableTypologyAll,COLUMN(ColWalkPercent)+RefColumn,FALSE)</f>
        <v>#N/A</v>
      </c>
      <c r="G35" s="21"/>
      <c r="H35" s="20"/>
    </row>
    <row r="36" spans="2:8" x14ac:dyDescent="0.2">
      <c r="B36" s="19"/>
      <c r="C36" s="21"/>
      <c r="D36" s="21"/>
      <c r="E36" s="21"/>
      <c r="F36" s="21"/>
      <c r="G36" s="21"/>
      <c r="H36" s="20"/>
    </row>
    <row r="37" spans="2:8" x14ac:dyDescent="0.2">
      <c r="B37" s="19"/>
      <c r="C37" s="68" t="s">
        <v>90</v>
      </c>
      <c r="D37" s="69"/>
      <c r="E37" s="70" t="s">
        <v>34</v>
      </c>
      <c r="F37" s="70" t="s">
        <v>35</v>
      </c>
      <c r="G37" s="21"/>
      <c r="H37" s="20"/>
    </row>
    <row r="38" spans="2:8" x14ac:dyDescent="0.2">
      <c r="B38" s="19"/>
      <c r="C38" s="21"/>
      <c r="D38" s="69" t="s">
        <v>188</v>
      </c>
      <c r="E38" s="71" t="b">
        <f t="shared" ref="E38:F42" si="1">IF(InputModeSplitMethod="Actual or Estimated Mode Split",E25,IF(InputModeSplitMethod="Station Type",E31))</f>
        <v>0</v>
      </c>
      <c r="F38" s="245" t="b">
        <f t="shared" si="1"/>
        <v>0</v>
      </c>
      <c r="G38" s="21"/>
      <c r="H38" s="20"/>
    </row>
    <row r="39" spans="2:8" x14ac:dyDescent="0.2">
      <c r="B39" s="19"/>
      <c r="C39" s="21"/>
      <c r="D39" s="69" t="s">
        <v>189</v>
      </c>
      <c r="E39" s="71" t="b">
        <f t="shared" si="1"/>
        <v>0</v>
      </c>
      <c r="F39" s="245" t="b">
        <f t="shared" si="1"/>
        <v>0</v>
      </c>
      <c r="G39" s="21"/>
      <c r="H39" s="20"/>
    </row>
    <row r="40" spans="2:8" x14ac:dyDescent="0.2">
      <c r="B40" s="19"/>
      <c r="C40" s="21"/>
      <c r="D40" s="69" t="s">
        <v>36</v>
      </c>
      <c r="E40" s="71" t="b">
        <f t="shared" si="1"/>
        <v>0</v>
      </c>
      <c r="F40" s="245" t="b">
        <f t="shared" si="1"/>
        <v>0</v>
      </c>
      <c r="G40" s="21"/>
      <c r="H40" s="20"/>
    </row>
    <row r="41" spans="2:8" x14ac:dyDescent="0.2">
      <c r="B41" s="19"/>
      <c r="C41" s="21"/>
      <c r="D41" s="69" t="s">
        <v>37</v>
      </c>
      <c r="E41" s="71" t="b">
        <f t="shared" si="1"/>
        <v>0</v>
      </c>
      <c r="F41" s="245" t="b">
        <f t="shared" si="1"/>
        <v>0</v>
      </c>
      <c r="G41" s="21"/>
      <c r="H41" s="20"/>
    </row>
    <row r="42" spans="2:8" x14ac:dyDescent="0.2">
      <c r="B42" s="19"/>
      <c r="C42" s="21"/>
      <c r="D42" s="69" t="s">
        <v>38</v>
      </c>
      <c r="E42" s="71" t="b">
        <f t="shared" si="1"/>
        <v>0</v>
      </c>
      <c r="F42" s="245" t="b">
        <f t="shared" si="1"/>
        <v>0</v>
      </c>
      <c r="G42" s="21"/>
      <c r="H42" s="20"/>
    </row>
    <row r="43" spans="2:8" ht="13.5" thickBot="1" x14ac:dyDescent="0.25">
      <c r="B43" s="22"/>
      <c r="C43" s="8"/>
      <c r="D43" s="8"/>
      <c r="E43" s="8"/>
      <c r="F43" s="8"/>
      <c r="G43" s="8"/>
      <c r="H43" s="9"/>
    </row>
  </sheetData>
  <mergeCells count="2">
    <mergeCell ref="C3:G3"/>
    <mergeCell ref="C5:G5"/>
  </mergeCells>
  <phoneticPr fontId="0" type="noConversion"/>
  <conditionalFormatting sqref="E24:F24">
    <cfRule type="expression" dxfId="21" priority="1" stopIfTrue="1">
      <formula>$D$22="Actual or Estimated Mode Split"</formula>
    </cfRule>
  </conditionalFormatting>
  <conditionalFormatting sqref="C30:C35 E30 F30">
    <cfRule type="expression" dxfId="20" priority="6" stopIfTrue="1">
      <formula>$D$22="Station Type"</formula>
    </cfRule>
  </conditionalFormatting>
  <conditionalFormatting sqref="E31:E35 F31:F35">
    <cfRule type="expression" dxfId="19" priority="7" stopIfTrue="1">
      <formula>$D$22="Station Type"</formula>
    </cfRule>
  </conditionalFormatting>
  <conditionalFormatting sqref="D25:D29">
    <cfRule type="expression" dxfId="18" priority="9" stopIfTrue="1">
      <formula>$D$22="Actual or Estimated Mode Split"</formula>
    </cfRule>
  </conditionalFormatting>
  <conditionalFormatting sqref="E25:E29">
    <cfRule type="expression" dxfId="17" priority="2" stopIfTrue="1">
      <formula>$D$22="Actual or Estimated Mode Split"</formula>
    </cfRule>
  </conditionalFormatting>
  <conditionalFormatting sqref="C24">
    <cfRule type="expression" dxfId="16" priority="11" stopIfTrue="1">
      <formula>$D$22="Actual or Estimated Mode Split"</formula>
    </cfRule>
  </conditionalFormatting>
  <conditionalFormatting sqref="D31:D35">
    <cfRule type="expression" dxfId="15" priority="13" stopIfTrue="1">
      <formula>$D$22="Station Type"</formula>
    </cfRule>
  </conditionalFormatting>
  <conditionalFormatting sqref="D30">
    <cfRule type="expression" dxfId="14" priority="14" stopIfTrue="1">
      <formula>$D$22="Station Type"</formula>
    </cfRule>
  </conditionalFormatting>
  <conditionalFormatting sqref="F25:F29">
    <cfRule type="expression" dxfId="13" priority="10" stopIfTrue="1">
      <formula>$D$22="Actual or Estimated Mode Split"</formula>
    </cfRule>
  </conditionalFormatting>
  <dataValidations xWindow="613" yWindow="541" count="2">
    <dataValidation type="list" allowBlank="1" showInputMessage="1" showErrorMessage="1" promptTitle="Mode Split Estimation Method" prompt="If station access boardings by mode are known or estimated another way, choose &quot;Actual/External Model.&quot; Otherwise, select &quot;Station Type&quot; to use the default access mode splits by station type (see Guidebook)." sqref="D22">
      <formula1>LModeSplitMethod</formula1>
    </dataValidation>
    <dataValidation type="custom" errorStyle="warning" allowBlank="1" showInputMessage="1" showErrorMessage="1" errorTitle="Mode Split Percentages" error="Sum of mode splits does not equal 100%" sqref="F25:F29">
      <formula1>SUM(F25:F29)=1</formula1>
    </dataValidation>
  </dataValidation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24"/>
  </sheetPr>
  <dimension ref="B1:J69"/>
  <sheetViews>
    <sheetView zoomScaleNormal="100" workbookViewId="0">
      <selection activeCell="D41" sqref="D41"/>
    </sheetView>
  </sheetViews>
  <sheetFormatPr defaultRowHeight="12.75" x14ac:dyDescent="0.2"/>
  <cols>
    <col min="1" max="1" width="2.28515625" style="6" customWidth="1"/>
    <col min="2" max="2" width="3.140625" style="6" customWidth="1"/>
    <col min="3" max="3" width="35.5703125" style="6" customWidth="1"/>
    <col min="4" max="4" width="36.85546875" style="6" customWidth="1"/>
    <col min="5" max="5" width="6.140625" style="6" customWidth="1"/>
    <col min="6" max="6" width="18.140625" style="6" customWidth="1"/>
    <col min="7" max="7" width="27.85546875" style="6" customWidth="1"/>
    <col min="8" max="8" width="8.7109375" style="6" customWidth="1"/>
    <col min="9" max="9" width="4.140625" style="6" customWidth="1"/>
    <col min="10" max="10" width="26" style="6" customWidth="1"/>
    <col min="11" max="16384" width="9.140625" style="6"/>
  </cols>
  <sheetData>
    <row r="1" spans="2:10" ht="12.75" customHeight="1" thickBot="1" x14ac:dyDescent="0.25"/>
    <row r="2" spans="2:10" x14ac:dyDescent="0.2">
      <c r="B2" s="17"/>
      <c r="C2" s="7"/>
      <c r="D2" s="7"/>
      <c r="E2" s="7"/>
      <c r="F2" s="7"/>
      <c r="G2" s="7"/>
      <c r="H2" s="18"/>
    </row>
    <row r="3" spans="2:10" ht="31.5" customHeight="1" x14ac:dyDescent="0.3">
      <c r="B3" s="19"/>
      <c r="C3" s="250" t="s">
        <v>781</v>
      </c>
      <c r="D3" s="250"/>
      <c r="E3" s="250"/>
      <c r="F3" s="250"/>
      <c r="G3" s="250"/>
      <c r="H3" s="20"/>
      <c r="J3" s="36"/>
    </row>
    <row r="4" spans="2:10" ht="13.5" customHeight="1" x14ac:dyDescent="0.2">
      <c r="B4" s="19"/>
      <c r="C4" s="210"/>
      <c r="D4" s="210"/>
      <c r="E4" s="210"/>
      <c r="F4" s="210"/>
      <c r="G4" s="210"/>
      <c r="H4" s="20"/>
      <c r="J4" s="36"/>
    </row>
    <row r="5" spans="2:10" ht="25.5" customHeight="1" x14ac:dyDescent="0.2">
      <c r="B5" s="19"/>
      <c r="C5" s="251" t="s">
        <v>750</v>
      </c>
      <c r="D5" s="252"/>
      <c r="E5" s="252"/>
      <c r="F5" s="252"/>
      <c r="G5" s="252"/>
      <c r="H5" s="20"/>
      <c r="J5" s="36"/>
    </row>
    <row r="6" spans="2:10" ht="13.5" customHeight="1" x14ac:dyDescent="0.2">
      <c r="B6" s="19"/>
      <c r="C6" s="210"/>
      <c r="D6" s="210"/>
      <c r="E6" s="210"/>
      <c r="F6" s="210"/>
      <c r="G6" s="210"/>
      <c r="H6" s="20"/>
      <c r="J6" s="36"/>
    </row>
    <row r="7" spans="2:10" ht="13.5" customHeight="1" x14ac:dyDescent="0.2">
      <c r="B7" s="19"/>
      <c r="C7" s="214" t="s">
        <v>749</v>
      </c>
      <c r="D7" s="4" t="s">
        <v>87</v>
      </c>
      <c r="E7" s="210"/>
      <c r="F7" s="210"/>
      <c r="G7" s="210"/>
      <c r="H7" s="20"/>
      <c r="J7" s="36"/>
    </row>
    <row r="8" spans="2:10" ht="13.5" customHeight="1" x14ac:dyDescent="0.2">
      <c r="B8" s="19"/>
      <c r="C8" s="210"/>
      <c r="D8" s="5" t="s">
        <v>24</v>
      </c>
      <c r="E8" s="210"/>
      <c r="F8" s="210"/>
      <c r="G8" s="210"/>
      <c r="H8" s="20"/>
      <c r="J8" s="36"/>
    </row>
    <row r="9" spans="2:10" ht="13.5" customHeight="1" x14ac:dyDescent="0.2">
      <c r="B9" s="19"/>
      <c r="C9" s="210"/>
      <c r="D9" s="220" t="s">
        <v>168</v>
      </c>
      <c r="E9" s="210"/>
      <c r="F9" s="210"/>
      <c r="G9" s="210"/>
      <c r="H9" s="20"/>
      <c r="J9" s="36"/>
    </row>
    <row r="10" spans="2:10" ht="13.5" customHeight="1" x14ac:dyDescent="0.2">
      <c r="B10" s="19"/>
      <c r="C10" s="210"/>
      <c r="D10" s="37" t="s">
        <v>66</v>
      </c>
      <c r="E10" s="210"/>
      <c r="F10" s="210"/>
      <c r="G10" s="210"/>
      <c r="H10" s="20"/>
      <c r="J10" s="36"/>
    </row>
    <row r="11" spans="2:10" ht="13.5" customHeight="1" thickBot="1" x14ac:dyDescent="0.25">
      <c r="B11" s="19"/>
      <c r="C11" s="215"/>
      <c r="D11" s="215"/>
      <c r="E11" s="215"/>
      <c r="F11" s="215"/>
      <c r="G11" s="215"/>
      <c r="H11" s="20"/>
      <c r="J11" s="36"/>
    </row>
    <row r="12" spans="2:10" ht="13.5" thickTop="1" x14ac:dyDescent="0.2">
      <c r="B12" s="19"/>
      <c r="C12" s="21"/>
      <c r="D12" s="21"/>
      <c r="E12" s="21"/>
      <c r="F12" s="21"/>
      <c r="G12" s="21"/>
      <c r="H12" s="20"/>
    </row>
    <row r="13" spans="2:10" x14ac:dyDescent="0.2">
      <c r="B13" s="19"/>
      <c r="C13" s="47" t="s">
        <v>25</v>
      </c>
      <c r="D13" s="53">
        <f>InputTransitAgency</f>
        <v>0</v>
      </c>
      <c r="E13" s="53"/>
      <c r="F13" s="55" t="s">
        <v>27</v>
      </c>
      <c r="G13" s="57">
        <f>InputDate</f>
        <v>0</v>
      </c>
      <c r="H13" s="20"/>
    </row>
    <row r="14" spans="2:10" x14ac:dyDescent="0.2">
      <c r="B14" s="19"/>
      <c r="C14" s="51" t="s">
        <v>85</v>
      </c>
      <c r="D14" s="39">
        <f>InputCityRegion</f>
        <v>0</v>
      </c>
      <c r="E14" s="39"/>
      <c r="F14" s="56" t="s">
        <v>26</v>
      </c>
      <c r="G14" s="52">
        <f>InputAnalyst</f>
        <v>0</v>
      </c>
      <c r="H14" s="20"/>
    </row>
    <row r="15" spans="2:10" x14ac:dyDescent="0.2">
      <c r="B15" s="19"/>
      <c r="C15" s="21"/>
      <c r="D15" s="21"/>
      <c r="E15" s="21"/>
      <c r="F15" s="21"/>
      <c r="G15" s="21"/>
      <c r="H15" s="20"/>
    </row>
    <row r="16" spans="2:10" x14ac:dyDescent="0.2">
      <c r="B16" s="19"/>
      <c r="C16" s="47" t="s">
        <v>0</v>
      </c>
      <c r="D16" s="48">
        <f>InputStationName</f>
        <v>0</v>
      </c>
      <c r="E16" s="21"/>
      <c r="F16" s="21"/>
      <c r="G16" s="21"/>
      <c r="H16" s="20"/>
    </row>
    <row r="17" spans="2:8" x14ac:dyDescent="0.2">
      <c r="B17" s="19"/>
      <c r="C17" s="49" t="s">
        <v>2</v>
      </c>
      <c r="D17" s="50">
        <f>InputNewExisting</f>
        <v>0</v>
      </c>
      <c r="E17" s="21"/>
      <c r="F17" s="21"/>
      <c r="G17" s="21"/>
      <c r="H17" s="20"/>
    </row>
    <row r="18" spans="2:8" x14ac:dyDescent="0.2">
      <c r="B18" s="19"/>
      <c r="C18" s="49" t="s">
        <v>1</v>
      </c>
      <c r="D18" s="50">
        <f>InputLineHaulMode</f>
        <v>0</v>
      </c>
      <c r="E18" s="21"/>
      <c r="F18" s="21"/>
      <c r="G18" s="21"/>
      <c r="H18" s="20"/>
    </row>
    <row r="19" spans="2:8" x14ac:dyDescent="0.2">
      <c r="B19" s="19"/>
      <c r="C19" s="51" t="s">
        <v>11</v>
      </c>
      <c r="D19" s="52">
        <f>InputStationType</f>
        <v>0</v>
      </c>
      <c r="E19" s="21"/>
      <c r="F19" s="21"/>
      <c r="G19" s="21"/>
      <c r="H19" s="20"/>
    </row>
    <row r="20" spans="2:8" x14ac:dyDescent="0.2">
      <c r="B20" s="19"/>
      <c r="C20" s="21"/>
      <c r="D20" s="21"/>
      <c r="E20" s="21"/>
      <c r="F20" s="21"/>
      <c r="G20" s="21"/>
      <c r="H20" s="20"/>
    </row>
    <row r="21" spans="2:8" x14ac:dyDescent="0.2">
      <c r="B21" s="19"/>
      <c r="C21" s="38" t="s">
        <v>148</v>
      </c>
      <c r="D21" s="5">
        <f>InputNewExisting</f>
        <v>0</v>
      </c>
      <c r="E21" s="21"/>
      <c r="F21" s="21"/>
      <c r="G21" s="21"/>
      <c r="H21" s="20"/>
    </row>
    <row r="22" spans="2:8" x14ac:dyDescent="0.2">
      <c r="B22" s="19"/>
      <c r="C22" s="38" t="s">
        <v>149</v>
      </c>
      <c r="D22" s="5" t="str">
        <f>IF(InputUtilization&lt;0.9,"No","Yes")</f>
        <v>No</v>
      </c>
      <c r="E22" s="21"/>
      <c r="F22" s="21"/>
      <c r="G22" s="21"/>
      <c r="H22" s="20"/>
    </row>
    <row r="23" spans="2:8" x14ac:dyDescent="0.2">
      <c r="B23" s="19"/>
      <c r="C23" s="21"/>
      <c r="D23" s="86" t="str">
        <f>IF(D22="Yes","Demand may exceed capacity. Estimate additional parking needs.","Excess parking supply exists.")</f>
        <v>Excess parking supply exists.</v>
      </c>
      <c r="E23" s="21"/>
      <c r="F23" s="21"/>
      <c r="G23" s="21"/>
      <c r="H23" s="20"/>
    </row>
    <row r="24" spans="2:8" x14ac:dyDescent="0.2">
      <c r="B24" s="19"/>
      <c r="D24" s="21"/>
      <c r="E24" s="21"/>
      <c r="F24" s="21"/>
      <c r="G24" s="21"/>
      <c r="H24" s="20"/>
    </row>
    <row r="25" spans="2:8" x14ac:dyDescent="0.2">
      <c r="B25" s="19"/>
      <c r="C25" s="38" t="s">
        <v>29</v>
      </c>
      <c r="D25" s="61" t="str">
        <f>OutputRidership</f>
        <v/>
      </c>
      <c r="E25" s="21"/>
      <c r="F25" s="21"/>
      <c r="G25" s="21"/>
      <c r="H25" s="20"/>
    </row>
    <row r="26" spans="2:8" x14ac:dyDescent="0.2">
      <c r="B26" s="19"/>
      <c r="C26" s="38" t="s">
        <v>91</v>
      </c>
      <c r="D26" s="61" t="b">
        <f>OutputAutoBoardings</f>
        <v>0</v>
      </c>
      <c r="E26" s="21"/>
      <c r="F26" s="21"/>
      <c r="G26" s="21"/>
      <c r="H26" s="20"/>
    </row>
    <row r="27" spans="2:8" x14ac:dyDescent="0.2">
      <c r="B27" s="19"/>
      <c r="C27" s="38" t="s">
        <v>152</v>
      </c>
      <c r="D27" s="87" t="b">
        <f>OutputAutoPercent</f>
        <v>0</v>
      </c>
      <c r="E27" s="21"/>
      <c r="F27" s="21"/>
      <c r="G27" s="21"/>
      <c r="H27" s="20"/>
    </row>
    <row r="28" spans="2:8" x14ac:dyDescent="0.2">
      <c r="B28" s="19"/>
      <c r="H28" s="20"/>
    </row>
    <row r="29" spans="2:8" x14ac:dyDescent="0.2">
      <c r="B29" s="19"/>
      <c r="C29" s="81" t="s">
        <v>104</v>
      </c>
      <c r="H29" s="20"/>
    </row>
    <row r="30" spans="2:8" x14ac:dyDescent="0.2">
      <c r="B30" s="19"/>
      <c r="C30" s="38" t="s">
        <v>153</v>
      </c>
      <c r="D30" s="87" t="e">
        <f>VLOOKUP(InputStationType,TableTypologyAll,COLUMN(ColAutoPercent))</f>
        <v>#N/A</v>
      </c>
      <c r="E30" s="21"/>
      <c r="F30" s="21" t="s">
        <v>154</v>
      </c>
      <c r="G30" s="21"/>
      <c r="H30" s="20"/>
    </row>
    <row r="31" spans="2:8" x14ac:dyDescent="0.2">
      <c r="B31" s="19"/>
      <c r="C31" s="38" t="s">
        <v>107</v>
      </c>
      <c r="D31" s="87" t="e">
        <f>MAX(VLOOKUP(InputStationType,TableTypologyAll,COLUMN(ColAutoPercent))-VLOOKUP(InputStationType,TableTypologyAll,COLUMN(ColAutoStdDev)),0)</f>
        <v>#N/A</v>
      </c>
      <c r="E31" s="21"/>
      <c r="F31" s="21" t="s">
        <v>155</v>
      </c>
      <c r="G31" s="21"/>
      <c r="H31" s="20"/>
    </row>
    <row r="32" spans="2:8" x14ac:dyDescent="0.2">
      <c r="B32" s="19"/>
      <c r="C32" s="38" t="s">
        <v>106</v>
      </c>
      <c r="D32" s="87" t="e">
        <f>VLOOKUP(InputStationType,TableTypologyAll,COLUMN(ColAutoPercent))+VLOOKUP(InputStationType,TableTypologyAll,COLUMN(ColAutoStdDev))</f>
        <v>#N/A</v>
      </c>
      <c r="E32" s="21"/>
      <c r="F32" s="21" t="s">
        <v>156</v>
      </c>
      <c r="G32" s="21"/>
      <c r="H32" s="20"/>
    </row>
    <row r="33" spans="2:8" x14ac:dyDescent="0.2">
      <c r="B33" s="19"/>
      <c r="C33" s="38" t="s">
        <v>105</v>
      </c>
      <c r="D33" s="73" t="e">
        <f>VLOOKUP(InputStationType,TableTypologyAll,COLUMN(ColParkingAvg))</f>
        <v>#N/A</v>
      </c>
      <c r="E33" s="21"/>
      <c r="F33" s="21" t="s">
        <v>110</v>
      </c>
      <c r="G33" s="21"/>
      <c r="H33" s="20"/>
    </row>
    <row r="34" spans="2:8" x14ac:dyDescent="0.2">
      <c r="B34" s="19"/>
      <c r="C34" s="38" t="s">
        <v>107</v>
      </c>
      <c r="D34" s="73" t="e">
        <f>MAX(VLOOKUP(InputStationType,TableTypologyAll,COLUMN(ColParkingAvg))-VLOOKUP(InputStationType,TableTypologyAll,COLUMN(ColParkingStdDev)),0)</f>
        <v>#N/A</v>
      </c>
      <c r="E34" s="21"/>
      <c r="F34" s="21" t="s">
        <v>108</v>
      </c>
      <c r="G34" s="21"/>
      <c r="H34" s="20"/>
    </row>
    <row r="35" spans="2:8" x14ac:dyDescent="0.2">
      <c r="B35" s="19"/>
      <c r="C35" s="38" t="s">
        <v>106</v>
      </c>
      <c r="D35" s="73" t="e">
        <f>VLOOKUP(InputStationType,TableTypologyAll,COLUMN(ColParkingAvg))+VLOOKUP(InputStationType,TableTypologyAll,COLUMN(ColParkingStdDev))</f>
        <v>#N/A</v>
      </c>
      <c r="E35" s="21"/>
      <c r="F35" s="21" t="s">
        <v>109</v>
      </c>
      <c r="G35" s="21"/>
      <c r="H35" s="20"/>
    </row>
    <row r="36" spans="2:8" x14ac:dyDescent="0.2">
      <c r="B36" s="19"/>
      <c r="C36" s="46"/>
      <c r="D36" s="88"/>
      <c r="E36" s="21"/>
      <c r="F36" s="21"/>
      <c r="G36" s="21"/>
      <c r="H36" s="20"/>
    </row>
    <row r="37" spans="2:8" x14ac:dyDescent="0.2">
      <c r="B37" s="19"/>
      <c r="C37" s="68" t="s">
        <v>157</v>
      </c>
      <c r="D37" s="89" t="e">
        <f>IF(OutputAutoPercent&lt;(D30-0.01),"Below Average",IF(OutputAutoPercent&gt;(D30+0.01),"Above Average","About Average"))</f>
        <v>#N/A</v>
      </c>
      <c r="E37" s="21"/>
      <c r="G37" s="21"/>
      <c r="H37" s="20"/>
    </row>
    <row r="38" spans="2:8" x14ac:dyDescent="0.2">
      <c r="B38" s="19"/>
      <c r="C38" s="68" t="s">
        <v>158</v>
      </c>
      <c r="D38" s="89" t="e">
        <f>IF(InputCarParkingSpaces&lt;(D33-(D33*0.1)),"Below Average",IF(InputCarParkingSpaces&gt;(D33+(D33*0.1)),"Above Average","About Average"))</f>
        <v>#N/A</v>
      </c>
      <c r="E38" s="21"/>
      <c r="G38" s="21"/>
      <c r="H38" s="20"/>
    </row>
    <row r="39" spans="2:8" x14ac:dyDescent="0.2">
      <c r="B39" s="19"/>
      <c r="C39" s="75" t="s">
        <v>159</v>
      </c>
      <c r="D39" s="91">
        <v>20</v>
      </c>
      <c r="E39" s="21"/>
      <c r="F39" s="6" t="s">
        <v>160</v>
      </c>
      <c r="G39" s="21"/>
      <c r="H39" s="20"/>
    </row>
    <row r="40" spans="2:8" ht="12.75" customHeight="1" x14ac:dyDescent="0.2">
      <c r="B40" s="19"/>
      <c r="C40" s="46"/>
      <c r="D40" s="90"/>
      <c r="E40" s="21"/>
      <c r="F40" s="21"/>
      <c r="G40" s="21"/>
      <c r="H40" s="20"/>
    </row>
    <row r="41" spans="2:8" x14ac:dyDescent="0.2">
      <c r="B41" s="19"/>
      <c r="C41" s="38" t="s">
        <v>92</v>
      </c>
      <c r="D41" s="78"/>
      <c r="E41" s="21"/>
      <c r="F41" s="21"/>
      <c r="G41" s="21"/>
      <c r="H41" s="20"/>
    </row>
    <row r="42" spans="2:8" x14ac:dyDescent="0.2">
      <c r="B42" s="19"/>
      <c r="C42" s="38" t="s">
        <v>93</v>
      </c>
      <c r="D42" s="78"/>
      <c r="E42" s="21"/>
      <c r="F42" s="21" t="s">
        <v>128</v>
      </c>
      <c r="G42" s="21"/>
      <c r="H42" s="20"/>
    </row>
    <row r="43" spans="2:8" x14ac:dyDescent="0.2">
      <c r="B43" s="19"/>
      <c r="C43" s="75" t="s">
        <v>94</v>
      </c>
      <c r="D43" s="219">
        <f>IF(D42="",DefaultVehOcc,D42+1)</f>
        <v>1.2</v>
      </c>
      <c r="E43" s="21"/>
      <c r="F43" s="21" t="s">
        <v>127</v>
      </c>
      <c r="G43" s="21"/>
      <c r="H43" s="20"/>
    </row>
    <row r="44" spans="2:8" x14ac:dyDescent="0.2">
      <c r="B44" s="19"/>
      <c r="C44" s="38" t="s">
        <v>95</v>
      </c>
      <c r="D44" s="73">
        <f>IF(D41="",(D26*DefaultParkandRidePercentage)/D43,(D26*D41)/D43)</f>
        <v>0</v>
      </c>
      <c r="E44" s="21"/>
      <c r="F44" s="21" t="s">
        <v>126</v>
      </c>
      <c r="G44" s="21"/>
      <c r="H44" s="20"/>
    </row>
    <row r="45" spans="2:8" x14ac:dyDescent="0.2">
      <c r="B45" s="19"/>
      <c r="C45" s="38" t="s">
        <v>113</v>
      </c>
      <c r="D45" s="73">
        <f>InputCarParkingSpaces</f>
        <v>0</v>
      </c>
      <c r="E45" s="21"/>
      <c r="F45" s="21"/>
      <c r="G45" s="21"/>
      <c r="H45" s="20"/>
    </row>
    <row r="46" spans="2:8" x14ac:dyDescent="0.2">
      <c r="B46" s="19"/>
      <c r="C46" s="38" t="s">
        <v>114</v>
      </c>
      <c r="D46" s="79">
        <f>InputCarParkingPrice</f>
        <v>0</v>
      </c>
      <c r="E46" s="21"/>
      <c r="G46" s="21"/>
      <c r="H46" s="20"/>
    </row>
    <row r="47" spans="2:8" x14ac:dyDescent="0.2">
      <c r="B47" s="19"/>
      <c r="C47" s="38" t="s">
        <v>115</v>
      </c>
      <c r="D47" s="80">
        <f>D45-D44</f>
        <v>0</v>
      </c>
      <c r="E47" s="21"/>
      <c r="G47" s="21"/>
      <c r="H47" s="20"/>
    </row>
    <row r="48" spans="2:8" x14ac:dyDescent="0.2">
      <c r="B48" s="19"/>
      <c r="C48" s="21"/>
      <c r="D48" s="21"/>
      <c r="E48" s="21"/>
      <c r="F48" s="21"/>
      <c r="G48" s="21"/>
      <c r="H48" s="20"/>
    </row>
    <row r="49" spans="2:8" x14ac:dyDescent="0.2">
      <c r="B49" s="19"/>
      <c r="C49" s="38" t="s">
        <v>116</v>
      </c>
      <c r="D49" s="4"/>
      <c r="E49" s="21"/>
      <c r="F49" s="178" t="s">
        <v>772</v>
      </c>
      <c r="G49" s="21"/>
      <c r="H49" s="20"/>
    </row>
    <row r="50" spans="2:8" x14ac:dyDescent="0.2">
      <c r="B50" s="19"/>
      <c r="C50" s="21"/>
      <c r="D50" s="21"/>
      <c r="E50" s="21"/>
      <c r="F50" s="21"/>
      <c r="G50" s="21"/>
      <c r="H50" s="20"/>
    </row>
    <row r="51" spans="2:8" x14ac:dyDescent="0.2">
      <c r="B51" s="19"/>
      <c r="C51" s="81" t="s">
        <v>780</v>
      </c>
      <c r="D51" s="21"/>
      <c r="E51" s="21"/>
      <c r="F51" s="21"/>
      <c r="G51" s="21"/>
      <c r="H51" s="20"/>
    </row>
    <row r="52" spans="2:8" x14ac:dyDescent="0.2">
      <c r="B52" s="19"/>
      <c r="C52" s="38" t="s">
        <v>136</v>
      </c>
      <c r="D52" s="4"/>
      <c r="E52" s="21"/>
      <c r="F52" s="21"/>
      <c r="G52" s="21"/>
      <c r="H52" s="20"/>
    </row>
    <row r="53" spans="2:8" x14ac:dyDescent="0.2">
      <c r="B53" s="19"/>
      <c r="C53" s="21"/>
      <c r="D53" s="21"/>
      <c r="E53" s="21"/>
      <c r="F53" s="21"/>
      <c r="G53" s="21"/>
      <c r="H53" s="20"/>
    </row>
    <row r="54" spans="2:8" x14ac:dyDescent="0.2">
      <c r="B54" s="19"/>
      <c r="C54" s="38" t="s">
        <v>137</v>
      </c>
      <c r="D54" s="82"/>
      <c r="E54" s="21"/>
      <c r="F54" s="21" t="s">
        <v>125</v>
      </c>
      <c r="G54" s="21"/>
      <c r="H54" s="20"/>
    </row>
    <row r="55" spans="2:8" x14ac:dyDescent="0.2">
      <c r="B55" s="19"/>
      <c r="C55" s="38" t="s">
        <v>138</v>
      </c>
      <c r="D55" s="83">
        <f>IF(InputParkingType="Garage (Underground)",0,(D54*350)/IF(InputParkingType="Surface Lot",1,IF(InputParkingType="Garage (2 levels)",2,IF(InputParkingType="Garage (3-7 levels)",4,1))))</f>
        <v>0</v>
      </c>
      <c r="E55" s="21"/>
      <c r="F55" s="178" t="s">
        <v>761</v>
      </c>
      <c r="G55" s="21"/>
      <c r="H55" s="20"/>
    </row>
    <row r="56" spans="2:8" x14ac:dyDescent="0.2">
      <c r="B56" s="19"/>
      <c r="C56" s="38" t="s">
        <v>139</v>
      </c>
      <c r="D56" s="83" t="str">
        <f>IF(InputParkingType="Surface",DefaultParkingCapCostSurface,IF(InputParkingType="Garage (2 levels)",DefaultParkingCapCost2Levels,IF(InputParkingType="Garage (3-7 levels)",DefaultParkingCapCost3to7Levels,IF(InputParkingType="Garage (Underground)",DefaultParkingCapCostUnderground,""))))</f>
        <v/>
      </c>
      <c r="E56" s="21"/>
      <c r="F56" s="21"/>
      <c r="G56" s="21"/>
      <c r="H56" s="20"/>
    </row>
    <row r="57" spans="2:8" x14ac:dyDescent="0.2">
      <c r="B57" s="19"/>
      <c r="C57" s="38" t="s">
        <v>140</v>
      </c>
      <c r="D57" s="221">
        <f>DefaultParkingOpCostSurface</f>
        <v>350</v>
      </c>
      <c r="E57" s="21"/>
      <c r="F57" s="21"/>
      <c r="G57" s="21"/>
      <c r="H57" s="20"/>
    </row>
    <row r="58" spans="2:8" x14ac:dyDescent="0.2">
      <c r="B58" s="19"/>
      <c r="C58" s="38" t="s">
        <v>141</v>
      </c>
      <c r="D58" s="4"/>
      <c r="E58" s="21"/>
      <c r="F58" s="21"/>
      <c r="G58" s="21"/>
      <c r="H58" s="20"/>
    </row>
    <row r="59" spans="2:8" x14ac:dyDescent="0.2">
      <c r="B59" s="19"/>
      <c r="C59" s="38" t="s">
        <v>142</v>
      </c>
      <c r="D59" s="222">
        <f>DefaultCapRecoveryFactor</f>
        <v>7.0952457299229624E-2</v>
      </c>
      <c r="E59" s="21"/>
      <c r="F59" s="21"/>
      <c r="G59" s="21"/>
      <c r="H59" s="20"/>
    </row>
    <row r="60" spans="2:8" x14ac:dyDescent="0.2">
      <c r="B60" s="19"/>
      <c r="C60" s="38" t="s">
        <v>143</v>
      </c>
      <c r="D60" s="73" t="b">
        <f>OutputAutoBoardings</f>
        <v>0</v>
      </c>
      <c r="E60" s="21"/>
      <c r="F60" s="21"/>
      <c r="G60" s="21"/>
      <c r="H60" s="20"/>
    </row>
    <row r="61" spans="2:8" x14ac:dyDescent="0.2">
      <c r="B61" s="19"/>
      <c r="C61" s="38" t="s">
        <v>144</v>
      </c>
      <c r="D61" s="220">
        <f>DefaultVehOcc</f>
        <v>1.2</v>
      </c>
      <c r="E61" s="21"/>
      <c r="F61" s="21"/>
      <c r="G61" s="21"/>
      <c r="H61" s="20"/>
    </row>
    <row r="62" spans="2:8" x14ac:dyDescent="0.2">
      <c r="B62" s="19"/>
      <c r="C62" s="21"/>
      <c r="D62" s="21"/>
      <c r="E62" s="21"/>
      <c r="F62" s="21"/>
      <c r="G62" s="21"/>
      <c r="H62" s="20"/>
    </row>
    <row r="63" spans="2:8" x14ac:dyDescent="0.2">
      <c r="B63" s="19"/>
      <c r="C63" s="38" t="s">
        <v>145</v>
      </c>
      <c r="D63" s="79" t="e">
        <f>(((D55+D56)*D58)*D59)+D57</f>
        <v>#VALUE!</v>
      </c>
      <c r="E63" s="21"/>
      <c r="F63" s="21"/>
      <c r="G63" s="21"/>
      <c r="H63" s="20"/>
    </row>
    <row r="64" spans="2:8" x14ac:dyDescent="0.2">
      <c r="B64" s="19"/>
      <c r="C64" s="38" t="s">
        <v>783</v>
      </c>
      <c r="D64" s="79" t="e">
        <f>D63/D61</f>
        <v>#VALUE!</v>
      </c>
      <c r="E64" s="21"/>
      <c r="F64" s="21"/>
      <c r="G64" s="21"/>
      <c r="H64" s="20"/>
    </row>
    <row r="65" spans="2:8" x14ac:dyDescent="0.2">
      <c r="B65" s="19"/>
      <c r="C65" s="21"/>
      <c r="D65" s="21"/>
      <c r="E65" s="21"/>
      <c r="F65" s="21"/>
      <c r="G65" s="21"/>
      <c r="H65" s="20"/>
    </row>
    <row r="66" spans="2:8" x14ac:dyDescent="0.2">
      <c r="B66" s="19"/>
      <c r="C66" s="68" t="s">
        <v>161</v>
      </c>
      <c r="D66" s="92">
        <f>IF(InputModeSplitMethod="Actual or Estimated Mode Split",D39,D49)</f>
        <v>0</v>
      </c>
      <c r="E66" s="21"/>
      <c r="F66" s="21"/>
      <c r="G66" s="21"/>
      <c r="H66" s="20"/>
    </row>
    <row r="67" spans="2:8" x14ac:dyDescent="0.2">
      <c r="B67" s="19"/>
      <c r="C67" s="68" t="s">
        <v>146</v>
      </c>
      <c r="D67" s="84" t="e">
        <f>D63*D66</f>
        <v>#VALUE!</v>
      </c>
      <c r="E67" s="21"/>
      <c r="F67" s="21"/>
      <c r="G67" s="21"/>
      <c r="H67" s="20"/>
    </row>
    <row r="68" spans="2:8" x14ac:dyDescent="0.2">
      <c r="B68" s="19"/>
      <c r="C68" s="68" t="s">
        <v>782</v>
      </c>
      <c r="D68" s="84" t="e">
        <f>(OutputNewParkingCost/250)/OutputNewParking</f>
        <v>#VALUE!</v>
      </c>
      <c r="E68" s="21"/>
      <c r="F68" s="21"/>
      <c r="G68" s="21"/>
      <c r="H68" s="20"/>
    </row>
    <row r="69" spans="2:8" ht="13.5" thickBot="1" x14ac:dyDescent="0.25">
      <c r="B69" s="22"/>
      <c r="C69" s="8"/>
      <c r="D69" s="8"/>
      <c r="E69" s="8"/>
      <c r="F69" s="8"/>
      <c r="G69" s="8"/>
      <c r="H69" s="9"/>
    </row>
  </sheetData>
  <mergeCells count="2">
    <mergeCell ref="C3:G3"/>
    <mergeCell ref="C5:G5"/>
  </mergeCells>
  <phoneticPr fontId="0" type="noConversion"/>
  <conditionalFormatting sqref="C22">
    <cfRule type="expression" dxfId="12" priority="1" stopIfTrue="1">
      <formula>$D$21="Planned"</formula>
    </cfRule>
  </conditionalFormatting>
  <conditionalFormatting sqref="D23">
    <cfRule type="expression" dxfId="11" priority="2" stopIfTrue="1">
      <formula>$D$21="Planned"</formula>
    </cfRule>
  </conditionalFormatting>
  <conditionalFormatting sqref="C41:F49">
    <cfRule type="expression" dxfId="10" priority="3" stopIfTrue="1">
      <formula>InputModeSplitMethod="Actual or Estimated Mode Split"</formula>
    </cfRule>
  </conditionalFormatting>
  <conditionalFormatting sqref="C37:F39">
    <cfRule type="expression" dxfId="9" priority="4" stopIfTrue="1">
      <formula>InputModeSplitMethod&lt;&gt;"Actual or Estimated Mode Split"</formula>
    </cfRule>
  </conditionalFormatting>
  <dataValidations xWindow="603" yWindow="512" count="1">
    <dataValidation type="list" allowBlank="1" showInputMessage="1" showErrorMessage="1" promptTitle="Parking Type" prompt="Choose parking type for cost estimates" sqref="D52">
      <formula1>LParkingType</formula1>
    </dataValidation>
  </dataValidation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24"/>
  </sheetPr>
  <dimension ref="B1:L34"/>
  <sheetViews>
    <sheetView workbookViewId="0">
      <selection activeCell="D26" sqref="D26"/>
    </sheetView>
  </sheetViews>
  <sheetFormatPr defaultRowHeight="12.75" x14ac:dyDescent="0.2"/>
  <cols>
    <col min="1" max="1" width="9.140625" style="6"/>
    <col min="2" max="2" width="3" style="6" customWidth="1"/>
    <col min="3" max="3" width="37.5703125" style="6" bestFit="1" customWidth="1"/>
    <col min="4" max="4" width="36.140625" style="6" customWidth="1"/>
    <col min="5" max="5" width="5.5703125" style="6" customWidth="1"/>
    <col min="6" max="6" width="17.85546875" style="6" customWidth="1"/>
    <col min="7" max="7" width="19.28515625" style="6" customWidth="1"/>
    <col min="8" max="8" width="2.5703125" style="6" customWidth="1"/>
    <col min="9" max="9" width="9.140625" style="6" customWidth="1"/>
    <col min="10" max="11" width="9.140625" style="6"/>
    <col min="12" max="12" width="22.140625" style="6" customWidth="1"/>
    <col min="13" max="16384" width="9.140625" style="6"/>
  </cols>
  <sheetData>
    <row r="1" spans="2:12" ht="13.5" thickBot="1" x14ac:dyDescent="0.25"/>
    <row r="2" spans="2:12" x14ac:dyDescent="0.2">
      <c r="B2" s="17"/>
      <c r="C2" s="7"/>
      <c r="D2" s="7"/>
      <c r="E2" s="7"/>
      <c r="F2" s="7"/>
      <c r="G2" s="7"/>
      <c r="H2" s="7"/>
      <c r="I2" s="7"/>
      <c r="J2" s="7"/>
      <c r="K2" s="7"/>
      <c r="L2" s="18"/>
    </row>
    <row r="3" spans="2:12" ht="31.5" customHeight="1" x14ac:dyDescent="0.3">
      <c r="B3" s="19"/>
      <c r="C3" s="250" t="s">
        <v>169</v>
      </c>
      <c r="D3" s="250"/>
      <c r="E3" s="250"/>
      <c r="F3" s="250"/>
      <c r="G3" s="250"/>
      <c r="H3" s="21"/>
      <c r="I3" s="21"/>
      <c r="J3" s="21"/>
      <c r="K3" s="21"/>
      <c r="L3" s="20"/>
    </row>
    <row r="4" spans="2:12" ht="12.75" customHeight="1" x14ac:dyDescent="0.2">
      <c r="B4" s="19"/>
      <c r="C4" s="210"/>
      <c r="D4" s="210"/>
      <c r="E4" s="210"/>
      <c r="F4" s="210"/>
      <c r="G4" s="210"/>
      <c r="H4" s="21"/>
      <c r="I4" s="21"/>
      <c r="J4" s="21"/>
      <c r="K4" s="21"/>
      <c r="L4" s="20"/>
    </row>
    <row r="5" spans="2:12" ht="12.75" customHeight="1" x14ac:dyDescent="0.2">
      <c r="B5" s="19"/>
      <c r="C5" s="251" t="s">
        <v>751</v>
      </c>
      <c r="D5" s="252"/>
      <c r="E5" s="252"/>
      <c r="F5" s="252"/>
      <c r="G5" s="252"/>
      <c r="H5" s="21"/>
      <c r="I5" s="21"/>
      <c r="J5" s="21"/>
      <c r="K5" s="21"/>
      <c r="L5" s="20"/>
    </row>
    <row r="6" spans="2:12" ht="12.75" customHeight="1" x14ac:dyDescent="0.2">
      <c r="B6" s="19"/>
      <c r="C6" s="210"/>
      <c r="D6" s="210"/>
      <c r="E6" s="210"/>
      <c r="F6" s="210"/>
      <c r="G6" s="210"/>
      <c r="H6" s="21"/>
      <c r="I6" s="21"/>
      <c r="J6" s="21"/>
      <c r="K6" s="21"/>
      <c r="L6" s="20"/>
    </row>
    <row r="7" spans="2:12" ht="12.75" customHeight="1" x14ac:dyDescent="0.2">
      <c r="B7" s="19"/>
      <c r="C7" s="214" t="s">
        <v>749</v>
      </c>
      <c r="D7" s="4" t="s">
        <v>87</v>
      </c>
      <c r="E7" s="210"/>
      <c r="F7" s="210"/>
      <c r="G7" s="210"/>
      <c r="H7" s="21"/>
      <c r="I7" s="21"/>
      <c r="J7" s="21"/>
      <c r="K7" s="21"/>
      <c r="L7" s="20"/>
    </row>
    <row r="8" spans="2:12" ht="12.75" customHeight="1" x14ac:dyDescent="0.2">
      <c r="B8" s="19"/>
      <c r="C8" s="210"/>
      <c r="D8" s="5" t="s">
        <v>24</v>
      </c>
      <c r="E8" s="210"/>
      <c r="F8" s="210"/>
      <c r="G8" s="210"/>
      <c r="H8" s="21"/>
      <c r="I8" s="21"/>
      <c r="J8" s="21"/>
      <c r="K8" s="21"/>
      <c r="L8" s="20"/>
    </row>
    <row r="9" spans="2:12" ht="12.75" customHeight="1" x14ac:dyDescent="0.2">
      <c r="B9" s="19"/>
      <c r="C9" s="210"/>
      <c r="D9" s="220" t="s">
        <v>168</v>
      </c>
      <c r="E9" s="210"/>
      <c r="F9" s="210"/>
      <c r="G9" s="210"/>
      <c r="H9" s="21"/>
      <c r="I9" s="21"/>
      <c r="J9" s="21"/>
      <c r="K9" s="21"/>
      <c r="L9" s="20"/>
    </row>
    <row r="10" spans="2:12" ht="12.75" customHeight="1" x14ac:dyDescent="0.2">
      <c r="B10" s="19"/>
      <c r="C10" s="210"/>
      <c r="D10" s="37" t="s">
        <v>66</v>
      </c>
      <c r="E10" s="210"/>
      <c r="F10" s="210"/>
      <c r="G10" s="210"/>
      <c r="H10" s="21"/>
      <c r="I10" s="21"/>
      <c r="J10" s="21"/>
      <c r="K10" s="21"/>
      <c r="L10" s="20"/>
    </row>
    <row r="11" spans="2:12" ht="12.75" customHeight="1" thickBot="1" x14ac:dyDescent="0.25">
      <c r="B11" s="19"/>
      <c r="C11" s="215"/>
      <c r="D11" s="215"/>
      <c r="E11" s="215"/>
      <c r="F11" s="215"/>
      <c r="G11" s="215"/>
      <c r="H11" s="21"/>
      <c r="I11" s="21"/>
      <c r="J11" s="21"/>
      <c r="K11" s="21"/>
      <c r="L11" s="20"/>
    </row>
    <row r="12" spans="2:12" ht="13.5" thickTop="1" x14ac:dyDescent="0.2">
      <c r="B12" s="19"/>
      <c r="C12" s="21"/>
      <c r="D12" s="21"/>
      <c r="E12" s="21"/>
      <c r="F12" s="21"/>
      <c r="G12" s="21"/>
      <c r="H12" s="21"/>
      <c r="I12" s="21"/>
      <c r="J12" s="21"/>
      <c r="K12" s="21"/>
      <c r="L12" s="20"/>
    </row>
    <row r="13" spans="2:12" x14ac:dyDescent="0.2">
      <c r="B13" s="19"/>
      <c r="C13" s="47" t="s">
        <v>25</v>
      </c>
      <c r="D13" s="53">
        <f>InputTransitAgency</f>
        <v>0</v>
      </c>
      <c r="E13" s="53"/>
      <c r="F13" s="55" t="s">
        <v>27</v>
      </c>
      <c r="G13" s="57">
        <f>InputDate</f>
        <v>0</v>
      </c>
      <c r="H13" s="21"/>
      <c r="I13" s="21"/>
      <c r="J13" s="21"/>
      <c r="K13" s="21"/>
      <c r="L13" s="20"/>
    </row>
    <row r="14" spans="2:12" x14ac:dyDescent="0.2">
      <c r="B14" s="19"/>
      <c r="C14" s="51" t="s">
        <v>85</v>
      </c>
      <c r="D14" s="39">
        <f>InputCityRegion</f>
        <v>0</v>
      </c>
      <c r="E14" s="39"/>
      <c r="F14" s="56" t="s">
        <v>26</v>
      </c>
      <c r="G14" s="52">
        <f>InputAnalyst</f>
        <v>0</v>
      </c>
      <c r="H14" s="21"/>
      <c r="I14" s="21"/>
      <c r="J14" s="21"/>
      <c r="K14" s="21"/>
      <c r="L14" s="20"/>
    </row>
    <row r="15" spans="2:12" x14ac:dyDescent="0.2">
      <c r="B15" s="19"/>
      <c r="C15" s="21"/>
      <c r="D15" s="21"/>
      <c r="E15" s="21"/>
      <c r="F15" s="21"/>
      <c r="G15" s="21"/>
      <c r="H15" s="21"/>
      <c r="I15" s="21"/>
      <c r="J15" s="21"/>
      <c r="K15" s="21"/>
      <c r="L15" s="20"/>
    </row>
    <row r="16" spans="2:12" x14ac:dyDescent="0.2">
      <c r="B16" s="19"/>
      <c r="C16" s="47" t="s">
        <v>0</v>
      </c>
      <c r="D16" s="48">
        <f>InputStationName</f>
        <v>0</v>
      </c>
      <c r="E16" s="21"/>
      <c r="F16" s="21"/>
      <c r="G16" s="21"/>
      <c r="H16" s="21"/>
      <c r="I16" s="21"/>
      <c r="J16" s="21"/>
      <c r="K16" s="21"/>
      <c r="L16" s="20"/>
    </row>
    <row r="17" spans="2:12" x14ac:dyDescent="0.2">
      <c r="B17" s="19"/>
      <c r="C17" s="49" t="s">
        <v>2</v>
      </c>
      <c r="D17" s="50">
        <f>InputNewExisting</f>
        <v>0</v>
      </c>
      <c r="E17" s="21"/>
      <c r="F17" s="21"/>
      <c r="G17" s="21"/>
      <c r="H17" s="21"/>
      <c r="I17" s="21"/>
      <c r="J17" s="21"/>
      <c r="K17" s="21"/>
      <c r="L17" s="20"/>
    </row>
    <row r="18" spans="2:12" x14ac:dyDescent="0.2">
      <c r="B18" s="19"/>
      <c r="C18" s="49" t="s">
        <v>1</v>
      </c>
      <c r="D18" s="50">
        <f>InputLineHaulMode</f>
        <v>0</v>
      </c>
      <c r="E18" s="21"/>
      <c r="F18" s="21"/>
      <c r="G18" s="21"/>
      <c r="H18" s="21"/>
      <c r="I18" s="21"/>
      <c r="J18" s="21"/>
      <c r="K18" s="21"/>
      <c r="L18" s="20"/>
    </row>
    <row r="19" spans="2:12" x14ac:dyDescent="0.2">
      <c r="B19" s="19"/>
      <c r="C19" s="51" t="s">
        <v>11</v>
      </c>
      <c r="D19" s="52">
        <f>InputStationType</f>
        <v>0</v>
      </c>
      <c r="E19" s="21"/>
      <c r="F19" s="21"/>
      <c r="G19" s="21"/>
      <c r="H19" s="21"/>
      <c r="I19" s="21"/>
      <c r="J19" s="21"/>
      <c r="K19" s="21"/>
      <c r="L19" s="20"/>
    </row>
    <row r="20" spans="2:12" x14ac:dyDescent="0.2">
      <c r="B20" s="19"/>
      <c r="C20" s="21"/>
      <c r="D20" s="21"/>
      <c r="E20" s="21"/>
      <c r="F20" s="21"/>
      <c r="G20" s="21"/>
      <c r="H20" s="21"/>
      <c r="I20" s="21"/>
      <c r="J20" s="21"/>
      <c r="K20" s="21"/>
      <c r="L20" s="20"/>
    </row>
    <row r="21" spans="2:12" x14ac:dyDescent="0.2">
      <c r="B21" s="19"/>
      <c r="C21" s="38" t="s">
        <v>148</v>
      </c>
      <c r="D21" s="246">
        <f>InputNewExisting</f>
        <v>0</v>
      </c>
      <c r="E21" s="21"/>
      <c r="F21" s="21"/>
      <c r="G21" s="21"/>
      <c r="H21" s="21"/>
      <c r="I21" s="21"/>
      <c r="J21" s="21"/>
      <c r="K21" s="21"/>
      <c r="L21" s="20"/>
    </row>
    <row r="22" spans="2:12" x14ac:dyDescent="0.2">
      <c r="B22" s="19"/>
      <c r="C22" s="38" t="s">
        <v>149</v>
      </c>
      <c r="D22" s="246" t="str">
        <f>IF(InputUtilization&lt;0.9,"No","Yes")</f>
        <v>No</v>
      </c>
      <c r="E22" s="21"/>
      <c r="F22" s="21"/>
      <c r="G22" s="21"/>
      <c r="H22" s="21"/>
      <c r="I22" s="21"/>
      <c r="J22" s="21"/>
      <c r="K22" s="21"/>
      <c r="L22" s="20"/>
    </row>
    <row r="23" spans="2:12" x14ac:dyDescent="0.2">
      <c r="B23" s="19"/>
      <c r="C23" s="21"/>
      <c r="D23" s="86" t="str">
        <f>IF(D22="Yes","Calculate ridership impact of parking change","Excess parking supply exists; no additional ridership expected. Adding parking spaces is not recommended.")</f>
        <v>Excess parking supply exists; no additional ridership expected. Adding parking spaces is not recommended.</v>
      </c>
      <c r="E23" s="21"/>
      <c r="F23" s="21"/>
      <c r="G23" s="21"/>
      <c r="H23" s="21"/>
      <c r="I23" s="21"/>
      <c r="J23" s="21"/>
      <c r="K23" s="21"/>
      <c r="L23" s="20"/>
    </row>
    <row r="24" spans="2:12" x14ac:dyDescent="0.2">
      <c r="B24" s="19"/>
      <c r="C24" s="21"/>
      <c r="D24" s="86" t="str">
        <f>IF(D21="Planned","Since existing parking demand is not known, the effects of changes to parking cannot be estimated. Please go to Step 5.","")</f>
        <v/>
      </c>
      <c r="E24" s="21"/>
      <c r="F24" s="21"/>
      <c r="G24" s="21"/>
      <c r="H24" s="21"/>
      <c r="I24" s="21"/>
      <c r="J24" s="21"/>
      <c r="K24" s="21"/>
      <c r="L24" s="20"/>
    </row>
    <row r="25" spans="2:12" x14ac:dyDescent="0.2">
      <c r="B25" s="19"/>
      <c r="C25" s="38" t="s">
        <v>171</v>
      </c>
      <c r="D25" s="5">
        <f>OutputNewParking</f>
        <v>0</v>
      </c>
      <c r="E25" s="21"/>
      <c r="F25" s="178" t="s">
        <v>758</v>
      </c>
      <c r="G25" s="21"/>
      <c r="H25" s="21"/>
      <c r="I25" s="21"/>
      <c r="J25" s="21"/>
      <c r="K25" s="21"/>
      <c r="L25" s="20"/>
    </row>
    <row r="26" spans="2:12" x14ac:dyDescent="0.2">
      <c r="B26" s="19"/>
      <c r="C26" s="38" t="s">
        <v>170</v>
      </c>
      <c r="D26" s="91"/>
      <c r="E26" s="21"/>
      <c r="F26" s="178" t="s">
        <v>748</v>
      </c>
      <c r="G26" s="21"/>
      <c r="H26" s="21"/>
      <c r="I26" s="21"/>
      <c r="J26" s="21"/>
      <c r="K26" s="21"/>
      <c r="L26" s="20"/>
    </row>
    <row r="27" spans="2:12" x14ac:dyDescent="0.2">
      <c r="B27" s="19"/>
      <c r="C27" s="38" t="s">
        <v>163</v>
      </c>
      <c r="D27" s="219">
        <f>DefaultSpaceTurnover</f>
        <v>1</v>
      </c>
      <c r="E27" s="21"/>
      <c r="F27" s="21"/>
      <c r="G27" s="21"/>
      <c r="H27" s="21"/>
      <c r="I27" s="21"/>
      <c r="J27" s="21"/>
      <c r="K27" s="21"/>
      <c r="L27" s="20"/>
    </row>
    <row r="28" spans="2:12" x14ac:dyDescent="0.2">
      <c r="B28" s="19"/>
      <c r="C28" s="38" t="s">
        <v>162</v>
      </c>
      <c r="D28" s="220">
        <f>DefaultVehOcc</f>
        <v>1.2</v>
      </c>
      <c r="E28" s="21"/>
      <c r="F28" s="21"/>
      <c r="G28" s="21"/>
      <c r="H28" s="21"/>
      <c r="I28" s="21"/>
      <c r="J28" s="21"/>
      <c r="K28" s="21"/>
      <c r="L28" s="20"/>
    </row>
    <row r="29" spans="2:12" x14ac:dyDescent="0.2">
      <c r="B29" s="19"/>
      <c r="C29" s="38" t="s">
        <v>174</v>
      </c>
      <c r="D29" s="5">
        <f>IF(InputParkingChange*D27*D28&gt;OutputAutoBoardings*0.25,OutputAutoBoardings*0.25,InputParkingChange*D27*D28)</f>
        <v>0</v>
      </c>
      <c r="E29" s="21"/>
      <c r="F29" s="21" t="s">
        <v>190</v>
      </c>
      <c r="G29" s="21"/>
      <c r="H29" s="21"/>
      <c r="I29" s="21"/>
      <c r="J29" s="21"/>
      <c r="K29" s="21"/>
      <c r="L29" s="20"/>
    </row>
    <row r="30" spans="2:12" x14ac:dyDescent="0.2">
      <c r="B30" s="19"/>
      <c r="C30" s="38" t="s">
        <v>759</v>
      </c>
      <c r="D30" s="220">
        <f>IF(InputParkingChange=0,0,IF(InputParkingChange&gt;0,DefaultOthertoAuto,DefaultAutotoOther))</f>
        <v>0</v>
      </c>
      <c r="E30" s="21"/>
      <c r="F30" s="178" t="s">
        <v>760</v>
      </c>
      <c r="G30" s="21"/>
      <c r="H30" s="21"/>
      <c r="I30" s="21"/>
      <c r="J30" s="21"/>
      <c r="K30" s="21"/>
      <c r="L30" s="20"/>
    </row>
    <row r="31" spans="2:12" x14ac:dyDescent="0.2">
      <c r="B31" s="19"/>
      <c r="C31" s="38" t="s">
        <v>166</v>
      </c>
      <c r="D31" s="73">
        <f>D29*D30</f>
        <v>0</v>
      </c>
      <c r="E31" s="21"/>
      <c r="F31" s="21" t="s">
        <v>177</v>
      </c>
      <c r="G31" s="21"/>
      <c r="H31" s="21"/>
      <c r="I31" s="21"/>
      <c r="J31" s="21"/>
      <c r="K31" s="21"/>
      <c r="L31" s="20"/>
    </row>
    <row r="32" spans="2:12" x14ac:dyDescent="0.2">
      <c r="B32" s="19"/>
      <c r="C32" s="38" t="s">
        <v>173</v>
      </c>
      <c r="D32" s="73">
        <f>D29-D31</f>
        <v>0</v>
      </c>
      <c r="E32" s="21"/>
      <c r="F32" s="21" t="s">
        <v>178</v>
      </c>
      <c r="G32" s="21"/>
      <c r="H32" s="21"/>
      <c r="I32" s="21"/>
      <c r="J32" s="21"/>
      <c r="K32" s="21"/>
      <c r="L32" s="20"/>
    </row>
    <row r="33" spans="2:12" x14ac:dyDescent="0.2">
      <c r="B33" s="19"/>
      <c r="C33" s="68" t="s">
        <v>172</v>
      </c>
      <c r="D33" s="80">
        <f>D32*2</f>
        <v>0</v>
      </c>
      <c r="E33" s="21"/>
      <c r="F33" s="21" t="s">
        <v>167</v>
      </c>
      <c r="G33" s="21"/>
      <c r="H33" s="21"/>
      <c r="I33" s="21"/>
      <c r="J33" s="21"/>
      <c r="K33" s="21"/>
      <c r="L33" s="20"/>
    </row>
    <row r="34" spans="2:12" ht="13.5" thickBot="1" x14ac:dyDescent="0.25">
      <c r="B34" s="22"/>
      <c r="C34" s="8"/>
      <c r="D34" s="8"/>
      <c r="E34" s="8"/>
      <c r="F34" s="8"/>
      <c r="G34" s="8"/>
      <c r="H34" s="8"/>
      <c r="I34" s="8"/>
      <c r="J34" s="8"/>
      <c r="K34" s="8"/>
      <c r="L34" s="9"/>
    </row>
  </sheetData>
  <mergeCells count="2">
    <mergeCell ref="C3:G3"/>
    <mergeCell ref="C5:G5"/>
  </mergeCells>
  <phoneticPr fontId="5" type="noConversion"/>
  <conditionalFormatting sqref="C25:D25 C26:F33">
    <cfRule type="expression" dxfId="8" priority="4" stopIfTrue="1">
      <formula>InputNewExisting="Planned"</formula>
    </cfRule>
  </conditionalFormatting>
  <conditionalFormatting sqref="C22">
    <cfRule type="expression" dxfId="7" priority="5" stopIfTrue="1">
      <formula>$D$21="Planned"</formula>
    </cfRule>
  </conditionalFormatting>
  <conditionalFormatting sqref="D22:D23">
    <cfRule type="expression" dxfId="6" priority="6" stopIfTrue="1">
      <formula>$D$21="Planned"</formula>
    </cfRule>
  </conditionalFormatting>
  <conditionalFormatting sqref="F25">
    <cfRule type="expression" dxfId="5" priority="2" stopIfTrue="1">
      <formula>InputNewExisting="Planned"</formula>
    </cfRule>
  </conditionalFormatting>
  <conditionalFormatting sqref="D24">
    <cfRule type="expression" dxfId="4" priority="1" stopIfTrue="1">
      <formula>$D$21="Existing"</formula>
    </cfRule>
  </conditionalFormatting>
  <dataValidations count="1">
    <dataValidation type="whole" operator="greaterThanOrEqual" allowBlank="1" showInputMessage="1" showErrorMessage="1" errorTitle="Invalid Entry" error="Cannot remove more spaces than currently exist" sqref="D26">
      <formula1>-InputCarParkingSpaces</formula1>
    </dataValidation>
  </dataValidation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24"/>
  </sheetPr>
  <dimension ref="B1:L131"/>
  <sheetViews>
    <sheetView workbookViewId="0">
      <selection activeCell="D30" sqref="D30"/>
    </sheetView>
  </sheetViews>
  <sheetFormatPr defaultRowHeight="12.75" x14ac:dyDescent="0.2"/>
  <cols>
    <col min="1" max="2" width="9.140625" style="6"/>
    <col min="3" max="3" width="43.42578125" style="6" customWidth="1"/>
    <col min="4" max="4" width="31.28515625" style="6" customWidth="1"/>
    <col min="5" max="5" width="12.85546875" style="6" customWidth="1"/>
    <col min="6" max="6" width="13.7109375" style="6" customWidth="1"/>
    <col min="7" max="7" width="13.5703125" style="6" bestFit="1" customWidth="1"/>
    <col min="8" max="8" width="14" style="6" customWidth="1"/>
    <col min="9" max="9" width="3.28515625" style="6" customWidth="1"/>
    <col min="10" max="12" width="9.140625" style="6"/>
    <col min="13" max="13" width="4" style="6" customWidth="1"/>
    <col min="14" max="14" width="24.5703125" style="6" customWidth="1"/>
    <col min="15" max="16384" width="9.140625" style="6"/>
  </cols>
  <sheetData>
    <row r="1" spans="2:12" ht="13.5" thickBot="1" x14ac:dyDescent="0.25"/>
    <row r="2" spans="2:12" x14ac:dyDescent="0.2">
      <c r="B2" s="17"/>
      <c r="C2" s="7"/>
      <c r="D2" s="7"/>
      <c r="E2" s="7"/>
      <c r="F2" s="7"/>
      <c r="G2" s="7"/>
      <c r="H2" s="7"/>
      <c r="I2" s="7"/>
      <c r="J2" s="7"/>
      <c r="K2" s="7"/>
      <c r="L2" s="18"/>
    </row>
    <row r="3" spans="2:12" ht="32.25" customHeight="1" x14ac:dyDescent="0.3">
      <c r="B3" s="19"/>
      <c r="C3" s="250" t="s">
        <v>179</v>
      </c>
      <c r="D3" s="250"/>
      <c r="E3" s="250"/>
      <c r="F3" s="250"/>
      <c r="G3" s="250"/>
      <c r="H3" s="21"/>
      <c r="I3" s="21"/>
      <c r="J3" s="21"/>
      <c r="K3" s="21"/>
      <c r="L3" s="20"/>
    </row>
    <row r="4" spans="2:12" ht="12.75" customHeight="1" x14ac:dyDescent="0.2">
      <c r="B4" s="19"/>
      <c r="C4" s="210"/>
      <c r="D4" s="210"/>
      <c r="E4" s="210"/>
      <c r="F4" s="210"/>
      <c r="G4" s="210"/>
      <c r="H4" s="21"/>
      <c r="I4" s="21"/>
      <c r="J4" s="21"/>
      <c r="K4" s="21"/>
      <c r="L4" s="20"/>
    </row>
    <row r="5" spans="2:12" ht="25.5" customHeight="1" x14ac:dyDescent="0.2">
      <c r="B5" s="19"/>
      <c r="C5" s="251" t="s">
        <v>752</v>
      </c>
      <c r="D5" s="252"/>
      <c r="E5" s="252"/>
      <c r="F5" s="252"/>
      <c r="G5" s="252"/>
      <c r="H5" s="21"/>
      <c r="I5" s="21"/>
      <c r="J5" s="21"/>
      <c r="K5" s="21"/>
      <c r="L5" s="20"/>
    </row>
    <row r="6" spans="2:12" ht="12.75" customHeight="1" x14ac:dyDescent="0.2">
      <c r="B6" s="19"/>
      <c r="C6" s="210"/>
      <c r="D6" s="210"/>
      <c r="E6" s="210"/>
      <c r="F6" s="210"/>
      <c r="G6" s="210"/>
      <c r="H6" s="21"/>
      <c r="I6" s="21"/>
      <c r="J6" s="21"/>
      <c r="K6" s="21"/>
      <c r="L6" s="20"/>
    </row>
    <row r="7" spans="2:12" ht="12.75" customHeight="1" x14ac:dyDescent="0.2">
      <c r="B7" s="19"/>
      <c r="C7" s="214" t="s">
        <v>749</v>
      </c>
      <c r="D7" s="4" t="s">
        <v>87</v>
      </c>
      <c r="E7" s="210"/>
      <c r="F7" s="210"/>
      <c r="G7" s="210"/>
      <c r="H7" s="21"/>
      <c r="I7" s="21"/>
      <c r="J7" s="21"/>
      <c r="K7" s="21"/>
      <c r="L7" s="20"/>
    </row>
    <row r="8" spans="2:12" ht="12.75" customHeight="1" x14ac:dyDescent="0.2">
      <c r="B8" s="19"/>
      <c r="C8" s="210"/>
      <c r="D8" s="5" t="s">
        <v>24</v>
      </c>
      <c r="E8" s="210"/>
      <c r="F8" s="210"/>
      <c r="G8" s="210"/>
      <c r="H8" s="21"/>
      <c r="I8" s="21"/>
      <c r="J8" s="21"/>
      <c r="K8" s="21"/>
      <c r="L8" s="20"/>
    </row>
    <row r="9" spans="2:12" ht="12.75" customHeight="1" x14ac:dyDescent="0.2">
      <c r="B9" s="19"/>
      <c r="C9" s="210"/>
      <c r="D9" s="220" t="s">
        <v>168</v>
      </c>
      <c r="E9" s="210"/>
      <c r="F9" s="210"/>
      <c r="G9" s="210"/>
      <c r="H9" s="21"/>
      <c r="I9" s="21"/>
      <c r="J9" s="21"/>
      <c r="K9" s="21"/>
      <c r="L9" s="20"/>
    </row>
    <row r="10" spans="2:12" ht="12.75" customHeight="1" x14ac:dyDescent="0.2">
      <c r="B10" s="19"/>
      <c r="C10" s="210"/>
      <c r="D10" s="37" t="s">
        <v>66</v>
      </c>
      <c r="E10" s="210"/>
      <c r="F10" s="210"/>
      <c r="G10" s="210"/>
      <c r="H10" s="21"/>
      <c r="I10" s="21"/>
      <c r="J10" s="21"/>
      <c r="K10" s="21"/>
      <c r="L10" s="20"/>
    </row>
    <row r="11" spans="2:12" ht="12.75" customHeight="1" thickBot="1" x14ac:dyDescent="0.25">
      <c r="B11" s="19"/>
      <c r="C11" s="215"/>
      <c r="D11" s="212"/>
      <c r="E11" s="215"/>
      <c r="F11" s="215"/>
      <c r="G11" s="215"/>
      <c r="H11" s="21"/>
      <c r="I11" s="21"/>
      <c r="J11" s="21"/>
      <c r="K11" s="21"/>
      <c r="L11" s="20"/>
    </row>
    <row r="12" spans="2:12" ht="13.5" thickTop="1" x14ac:dyDescent="0.2">
      <c r="B12" s="19"/>
      <c r="C12" s="21"/>
      <c r="D12" s="21"/>
      <c r="E12" s="21"/>
      <c r="F12" s="21"/>
      <c r="G12" s="21"/>
      <c r="H12" s="21"/>
      <c r="I12" s="21"/>
      <c r="J12" s="21"/>
      <c r="K12" s="21"/>
      <c r="L12" s="20"/>
    </row>
    <row r="13" spans="2:12" x14ac:dyDescent="0.2">
      <c r="B13" s="19"/>
      <c r="C13" s="47" t="s">
        <v>25</v>
      </c>
      <c r="D13" s="53">
        <f>InputTransitAgency</f>
        <v>0</v>
      </c>
      <c r="E13" s="53"/>
      <c r="F13" s="55" t="s">
        <v>27</v>
      </c>
      <c r="G13" s="57">
        <f>InputDate</f>
        <v>0</v>
      </c>
      <c r="H13" s="21"/>
      <c r="I13" s="21"/>
      <c r="J13" s="21"/>
      <c r="K13" s="21"/>
      <c r="L13" s="20"/>
    </row>
    <row r="14" spans="2:12" x14ac:dyDescent="0.2">
      <c r="B14" s="19"/>
      <c r="C14" s="51" t="s">
        <v>85</v>
      </c>
      <c r="D14" s="39">
        <f>InputCityRegion</f>
        <v>0</v>
      </c>
      <c r="E14" s="39"/>
      <c r="F14" s="56" t="s">
        <v>26</v>
      </c>
      <c r="G14" s="52">
        <f>InputAnalyst</f>
        <v>0</v>
      </c>
      <c r="H14" s="21"/>
      <c r="I14" s="21"/>
      <c r="J14" s="21"/>
      <c r="K14" s="21"/>
      <c r="L14" s="20"/>
    </row>
    <row r="15" spans="2:12" x14ac:dyDescent="0.2">
      <c r="B15" s="19"/>
      <c r="C15" s="21"/>
      <c r="D15" s="21"/>
      <c r="E15" s="21"/>
      <c r="F15" s="21"/>
      <c r="G15" s="21"/>
      <c r="H15" s="21"/>
      <c r="I15" s="21"/>
      <c r="J15" s="21"/>
      <c r="K15" s="21"/>
      <c r="L15" s="20"/>
    </row>
    <row r="16" spans="2:12" x14ac:dyDescent="0.2">
      <c r="B16" s="19"/>
      <c r="C16" s="47" t="s">
        <v>0</v>
      </c>
      <c r="D16" s="48">
        <f>InputStationName</f>
        <v>0</v>
      </c>
      <c r="E16" s="21"/>
      <c r="F16" s="21"/>
      <c r="G16" s="21"/>
      <c r="H16" s="21"/>
      <c r="I16" s="21"/>
      <c r="J16" s="21"/>
      <c r="K16" s="21"/>
      <c r="L16" s="20"/>
    </row>
    <row r="17" spans="2:12" x14ac:dyDescent="0.2">
      <c r="B17" s="19"/>
      <c r="C17" s="49" t="s">
        <v>2</v>
      </c>
      <c r="D17" s="50">
        <f>InputNewExisting</f>
        <v>0</v>
      </c>
      <c r="E17" s="21"/>
      <c r="F17" s="21"/>
      <c r="G17" s="21"/>
      <c r="H17" s="21"/>
      <c r="I17" s="21"/>
      <c r="J17" s="21"/>
      <c r="K17" s="21"/>
      <c r="L17" s="20"/>
    </row>
    <row r="18" spans="2:12" x14ac:dyDescent="0.2">
      <c r="B18" s="19"/>
      <c r="C18" s="49" t="s">
        <v>1</v>
      </c>
      <c r="D18" s="50">
        <f>InputLineHaulMode</f>
        <v>0</v>
      </c>
      <c r="E18" s="21"/>
      <c r="F18" s="21"/>
      <c r="G18" s="21"/>
      <c r="H18" s="21"/>
      <c r="I18" s="21"/>
      <c r="J18" s="21"/>
      <c r="K18" s="21"/>
      <c r="L18" s="20"/>
    </row>
    <row r="19" spans="2:12" x14ac:dyDescent="0.2">
      <c r="B19" s="19"/>
      <c r="C19" s="51" t="s">
        <v>11</v>
      </c>
      <c r="D19" s="52">
        <f>InputStationType</f>
        <v>0</v>
      </c>
      <c r="E19" s="21"/>
      <c r="F19" s="21"/>
      <c r="G19" s="21"/>
      <c r="H19" s="21"/>
      <c r="I19" s="21"/>
      <c r="J19" s="21"/>
      <c r="K19" s="21"/>
      <c r="L19" s="20"/>
    </row>
    <row r="20" spans="2:12" x14ac:dyDescent="0.2">
      <c r="B20" s="19"/>
      <c r="C20" s="21"/>
      <c r="D20" s="21"/>
      <c r="E20" s="21"/>
      <c r="F20" s="21"/>
      <c r="G20" s="21"/>
      <c r="H20" s="21"/>
      <c r="I20" s="21"/>
      <c r="J20" s="21"/>
      <c r="K20" s="21"/>
      <c r="L20" s="20"/>
    </row>
    <row r="21" spans="2:12" x14ac:dyDescent="0.2">
      <c r="B21" s="19"/>
      <c r="C21" s="81" t="s">
        <v>238</v>
      </c>
      <c r="D21" s="67"/>
      <c r="E21" s="67" t="s">
        <v>239</v>
      </c>
      <c r="F21" s="67" t="s">
        <v>240</v>
      </c>
      <c r="G21" s="67" t="s">
        <v>241</v>
      </c>
      <c r="H21" s="67" t="s">
        <v>242</v>
      </c>
      <c r="I21" s="21"/>
      <c r="J21" s="21"/>
      <c r="K21" s="21"/>
      <c r="L21" s="20"/>
    </row>
    <row r="22" spans="2:12" x14ac:dyDescent="0.2">
      <c r="B22" s="19"/>
      <c r="C22" s="21"/>
      <c r="D22" s="95" t="s">
        <v>188</v>
      </c>
      <c r="E22" s="97" t="e">
        <f>MAX(VLOOKUP(InputStationType,TableTypologyAll,COLUMN(ColAutoPercent)+RefColumn,FALSE)-VLOOKUP(InputStationType,TableTypologyAll,COLUMN(ColAutoStdDev)+RefColumn,FALSE),0)</f>
        <v>#N/A</v>
      </c>
      <c r="F22" s="97" t="e">
        <f>VLOOKUP(InputStationType,TableTypologyAll,COLUMN(ColAutoPercent)+RefColumn,FALSE)</f>
        <v>#N/A</v>
      </c>
      <c r="G22" s="97" t="e">
        <f>MIN(VLOOKUP(InputStationType,TableTypologyAll,COLUMN(ColAutoPercent)+RefColumn,FALSE)+VLOOKUP(InputStationType,TableTypologyAll,COLUMN(ColAutoStdDev)+RefColumn,FALSE),1)</f>
        <v>#N/A</v>
      </c>
      <c r="H22" s="72" t="b">
        <f>OutputAutoPercent</f>
        <v>0</v>
      </c>
      <c r="I22" s="21"/>
      <c r="J22" s="195" t="e">
        <f>IF(OutputAutoPercent&lt;F22-0.01,"Below Average",IF(OutputAutoPercent&gt;F22+0.01,"Above Average","About Average"))</f>
        <v>#N/A</v>
      </c>
      <c r="K22" s="21"/>
      <c r="L22" s="20"/>
    </row>
    <row r="23" spans="2:12" x14ac:dyDescent="0.2">
      <c r="B23" s="19"/>
      <c r="C23" s="21"/>
      <c r="D23" s="95" t="s">
        <v>189</v>
      </c>
      <c r="E23" s="97" t="e">
        <f>MAX(VLOOKUP(InputStationType,TableTypologyAll,COLUMN(ColDropOffPercent)+RefColumn,FALSE)-VLOOKUP(InputStationType,TableTypologyAll,COLUMN(ColDropOffStdDev)+RefColumn,FALSE),0)</f>
        <v>#N/A</v>
      </c>
      <c r="F23" s="97" t="e">
        <f>VLOOKUP(InputStationType,TableTypologyAll,COLUMN(ColDropOffPercent)+RefColumn,FALSE)</f>
        <v>#N/A</v>
      </c>
      <c r="G23" s="97" t="e">
        <f>MIN(VLOOKUP(InputStationType,TableTypologyAll,COLUMN(ColDropOffPercent)+RefColumn,FALSE)+VLOOKUP(InputStationType,TableTypologyAll,COLUMN(ColDropOffStdDev)+RefColumn,FALSE),1)</f>
        <v>#N/A</v>
      </c>
      <c r="H23" s="72" t="b">
        <f>OutputDropOffPercent</f>
        <v>0</v>
      </c>
      <c r="I23" s="21"/>
      <c r="J23" s="195" t="e">
        <f>IF(OutputDropOffPercent&lt;F23-0.01,"Below Average",IF(OutputDropOffPercent&gt;F23+0.01,"Above Average","About Average"))</f>
        <v>#N/A</v>
      </c>
      <c r="K23" s="21"/>
      <c r="L23" s="20"/>
    </row>
    <row r="24" spans="2:12" x14ac:dyDescent="0.2">
      <c r="B24" s="19"/>
      <c r="C24" s="21"/>
      <c r="D24" s="95" t="s">
        <v>36</v>
      </c>
      <c r="E24" s="97" t="e">
        <f>MAX(VLOOKUP(InputStationType,TableTypologyAll,COLUMN(ColFeederBusPercent)+RefColumn,FALSE)-VLOOKUP(InputStationType,TableTypologyAll,COLUMN(ColFeederStdDev)+RefColumn,FALSE),0)</f>
        <v>#N/A</v>
      </c>
      <c r="F24" s="97" t="e">
        <f>VLOOKUP(InputStationType,TableTypologyAll,COLUMN(ColFeederBusPercent)+RefColumn,FALSE)</f>
        <v>#N/A</v>
      </c>
      <c r="G24" s="97" t="e">
        <f>MIN(VLOOKUP(InputStationType,TableTypologyAll,COLUMN(ColFeederBusPercent)+RefColumn,FALSE)+VLOOKUP(InputStationType,TableTypologyAll,COLUMN(ColFeederStdDev)+RefColumn,FALSE),1)</f>
        <v>#N/A</v>
      </c>
      <c r="H24" s="72" t="b">
        <f>OutputFeederPercent</f>
        <v>0</v>
      </c>
      <c r="I24" s="21"/>
      <c r="J24" s="195" t="e">
        <f>IF(OutputFeederPercent&lt;F24-0.01,"Below Average",IF(OutputFeederPercent&gt;F24+0.01,"Above Average","About Average"))</f>
        <v>#N/A</v>
      </c>
      <c r="K24" s="21"/>
      <c r="L24" s="20"/>
    </row>
    <row r="25" spans="2:12" x14ac:dyDescent="0.2">
      <c r="B25" s="19"/>
      <c r="C25" s="21"/>
      <c r="D25" s="95" t="s">
        <v>37</v>
      </c>
      <c r="E25" s="97" t="e">
        <f>MAX(VLOOKUP(InputStationType,TableTypologyAll,COLUMN(ColBicyclePercent)+RefColumn,FALSE)-VLOOKUP(InputStationType,TableTypologyAll,COLUMN(ColBicycleStdDev)+RefColumn,FALSE),0)</f>
        <v>#N/A</v>
      </c>
      <c r="F25" s="97" t="e">
        <f>VLOOKUP(InputStationType,TableTypologyAll,COLUMN(ColBicyclePercent)+RefColumn,FALSE)</f>
        <v>#N/A</v>
      </c>
      <c r="G25" s="97" t="e">
        <f>MIN(VLOOKUP(InputStationType,TableTypologyAll,COLUMN(ColBicyclePercent)+RefColumn,FALSE)+VLOOKUP(InputStationType,TableTypologyAll,COLUMN(ColBicycleStdDev)+RefColumn,FALSE),1)</f>
        <v>#N/A</v>
      </c>
      <c r="H25" s="72" t="b">
        <f>OutputBicyclePercent</f>
        <v>0</v>
      </c>
      <c r="I25" s="21"/>
      <c r="J25" s="195" t="e">
        <f>IF(OutputBicyclePercent&lt;F25-0.01,"Below Average",IF(OutputBicyclePercent&gt;F25+0.01,"Above Average","About Average"))</f>
        <v>#N/A</v>
      </c>
      <c r="K25" s="21"/>
      <c r="L25" s="20"/>
    </row>
    <row r="26" spans="2:12" x14ac:dyDescent="0.2">
      <c r="B26" s="19"/>
      <c r="C26" s="21"/>
      <c r="D26" s="95" t="s">
        <v>38</v>
      </c>
      <c r="E26" s="97" t="e">
        <f>MAX(VLOOKUP(InputStationType,TableTypologyAll,COLUMN(ColWalkPercent)+RefColumn,FALSE)-VLOOKUP(InputStationType,TableTypologyAll,COLUMN(ColWalkStdDev)+RefColumn,FALSE),0)</f>
        <v>#N/A</v>
      </c>
      <c r="F26" s="97" t="e">
        <f>VLOOKUP(InputStationType,TableTypologyAll,COLUMN(ColWalkPercent)+RefColumn,FALSE)</f>
        <v>#N/A</v>
      </c>
      <c r="G26" s="97" t="e">
        <f>MIN(VLOOKUP(InputStationType,TableTypologyAll,COLUMN(ColWalkPercent)+RefColumn,FALSE)+VLOOKUP(InputStationType,TableTypologyAll,COLUMN(ColWalkStdDev)+RefColumn,FALSE),1)</f>
        <v>#N/A</v>
      </c>
      <c r="H26" s="72" t="b">
        <f>OutputWalkPercent</f>
        <v>0</v>
      </c>
      <c r="I26" s="21"/>
      <c r="J26" s="195" t="e">
        <f>IF(OutputWalkPercent&lt;F26-0.01,"Below Average",IF(OutputWalkPercent&gt;F26+0.01,"Above Average","About Average"))</f>
        <v>#N/A</v>
      </c>
      <c r="K26" s="21"/>
      <c r="L26" s="20"/>
    </row>
    <row r="27" spans="2:12" x14ac:dyDescent="0.2">
      <c r="B27" s="19"/>
      <c r="C27" s="178"/>
      <c r="D27" s="21"/>
      <c r="E27" s="21"/>
      <c r="F27" s="21"/>
      <c r="G27" s="21"/>
      <c r="H27" s="21"/>
      <c r="I27" s="21"/>
      <c r="J27" s="21"/>
      <c r="K27" s="21"/>
      <c r="L27" s="20"/>
    </row>
    <row r="28" spans="2:12" x14ac:dyDescent="0.2">
      <c r="B28" s="19"/>
      <c r="C28" s="81" t="s">
        <v>180</v>
      </c>
      <c r="D28" s="21"/>
      <c r="E28" s="21"/>
      <c r="F28" s="21"/>
      <c r="G28" s="21"/>
      <c r="H28" s="21"/>
      <c r="I28" s="21"/>
      <c r="J28" s="21"/>
      <c r="K28" s="21"/>
      <c r="L28" s="20"/>
    </row>
    <row r="29" spans="2:12" x14ac:dyDescent="0.2">
      <c r="B29" s="19"/>
      <c r="C29" s="38" t="s">
        <v>181</v>
      </c>
      <c r="D29" s="79">
        <f>InputCarParkingPrice</f>
        <v>0</v>
      </c>
      <c r="E29" s="178" t="s">
        <v>754</v>
      </c>
      <c r="F29" s="21"/>
      <c r="G29" s="21"/>
      <c r="H29" s="21"/>
      <c r="I29" s="21"/>
      <c r="J29" s="21"/>
      <c r="K29" s="21"/>
      <c r="L29" s="20"/>
    </row>
    <row r="30" spans="2:12" x14ac:dyDescent="0.2">
      <c r="B30" s="19"/>
      <c r="C30" s="38" t="s">
        <v>183</v>
      </c>
      <c r="D30" s="82"/>
      <c r="E30" s="178" t="s">
        <v>754</v>
      </c>
      <c r="F30" s="178" t="s">
        <v>773</v>
      </c>
      <c r="G30" s="21"/>
      <c r="H30" s="21"/>
      <c r="I30" s="21"/>
      <c r="J30" s="21"/>
      <c r="K30" s="21"/>
      <c r="L30" s="20"/>
    </row>
    <row r="31" spans="2:12" x14ac:dyDescent="0.2">
      <c r="B31" s="19"/>
      <c r="C31" s="38" t="s">
        <v>149</v>
      </c>
      <c r="D31" s="73" t="str">
        <f>IF(InputUtilization&lt;0.9,"No","Yes")</f>
        <v>No</v>
      </c>
      <c r="E31" s="21"/>
      <c r="F31" s="21"/>
      <c r="G31" s="21"/>
      <c r="H31" s="21"/>
      <c r="I31" s="21"/>
      <c r="J31" s="21"/>
      <c r="K31" s="21"/>
      <c r="L31" s="20"/>
    </row>
    <row r="32" spans="2:12" x14ac:dyDescent="0.2">
      <c r="B32" s="19"/>
      <c r="C32" s="86" t="str">
        <f>IF(D31="No","Calculate Ridership Loss","Assume latent demand replacement for any riders lost because of parking charges")</f>
        <v>Calculate Ridership Loss</v>
      </c>
      <c r="D32" s="21"/>
      <c r="E32" s="21"/>
      <c r="F32" s="86"/>
      <c r="G32" s="21"/>
      <c r="H32" s="21"/>
      <c r="I32" s="21"/>
      <c r="J32" s="21"/>
      <c r="K32" s="21"/>
      <c r="L32" s="20"/>
    </row>
    <row r="33" spans="2:12" x14ac:dyDescent="0.2">
      <c r="B33" s="19"/>
      <c r="C33" s="38" t="s">
        <v>184</v>
      </c>
      <c r="D33" s="196"/>
      <c r="E33" s="21"/>
      <c r="F33" s="21" t="s">
        <v>196</v>
      </c>
      <c r="G33" s="21"/>
      <c r="H33" s="21"/>
      <c r="I33" s="21"/>
      <c r="J33" s="21"/>
      <c r="K33" s="21"/>
      <c r="L33" s="20"/>
    </row>
    <row r="34" spans="2:12" x14ac:dyDescent="0.2">
      <c r="B34" s="19"/>
      <c r="C34" s="38" t="s">
        <v>786</v>
      </c>
      <c r="D34" s="220">
        <f>DefaultSpaceTurnover*DefaultVehOcc</f>
        <v>1.2</v>
      </c>
      <c r="E34" s="21"/>
      <c r="F34" s="21" t="s">
        <v>191</v>
      </c>
      <c r="G34" s="21"/>
      <c r="H34" s="21"/>
      <c r="I34" s="21"/>
      <c r="J34" s="21"/>
      <c r="K34" s="21"/>
      <c r="L34" s="20"/>
    </row>
    <row r="35" spans="2:12" x14ac:dyDescent="0.2">
      <c r="B35" s="19"/>
      <c r="C35" s="38" t="s">
        <v>787</v>
      </c>
      <c r="D35" s="73">
        <f>D33*D34</f>
        <v>0</v>
      </c>
      <c r="E35" s="21"/>
      <c r="F35" s="21"/>
      <c r="G35" s="21"/>
      <c r="H35" s="21"/>
      <c r="I35" s="21"/>
      <c r="J35" s="21"/>
      <c r="K35" s="21"/>
      <c r="L35" s="20"/>
    </row>
    <row r="36" spans="2:12" x14ac:dyDescent="0.2">
      <c r="B36" s="19"/>
      <c r="C36" s="38" t="s">
        <v>185</v>
      </c>
      <c r="D36" s="220">
        <f>DefaultParkingElasticity</f>
        <v>-0.33</v>
      </c>
      <c r="E36" s="21"/>
      <c r="F36" s="21"/>
      <c r="G36" s="21"/>
      <c r="H36" s="21"/>
      <c r="I36" s="21"/>
      <c r="J36" s="21"/>
      <c r="K36" s="21"/>
      <c r="L36" s="20"/>
    </row>
    <row r="37" spans="2:12" x14ac:dyDescent="0.2">
      <c r="B37" s="19"/>
      <c r="C37" s="38" t="s">
        <v>784</v>
      </c>
      <c r="D37" s="79">
        <f>InputFare+InputCarParkingPrice</f>
        <v>0</v>
      </c>
      <c r="E37" s="21"/>
      <c r="F37" s="21" t="s">
        <v>182</v>
      </c>
      <c r="G37" s="21"/>
      <c r="H37" s="21"/>
      <c r="I37" s="21"/>
      <c r="J37" s="21"/>
      <c r="K37" s="21"/>
      <c r="L37" s="20"/>
    </row>
    <row r="38" spans="2:12" x14ac:dyDescent="0.2">
      <c r="B38" s="19"/>
      <c r="C38" s="38" t="s">
        <v>785</v>
      </c>
      <c r="D38" s="79">
        <f>D37+D30</f>
        <v>0</v>
      </c>
      <c r="E38" s="21"/>
      <c r="F38" s="21" t="s">
        <v>192</v>
      </c>
      <c r="G38" s="21"/>
      <c r="H38" s="21"/>
      <c r="I38" s="21"/>
      <c r="J38" s="21"/>
      <c r="K38" s="21"/>
      <c r="L38" s="20"/>
    </row>
    <row r="39" spans="2:12" x14ac:dyDescent="0.2">
      <c r="B39" s="19"/>
      <c r="C39" s="38" t="s">
        <v>193</v>
      </c>
      <c r="D39" s="197" t="e">
        <f>(D38-D37)/D38</f>
        <v>#DIV/0!</v>
      </c>
      <c r="E39" s="21"/>
      <c r="F39" s="21" t="s">
        <v>194</v>
      </c>
      <c r="G39" s="21"/>
      <c r="H39" s="21"/>
      <c r="I39" s="21"/>
      <c r="J39" s="21"/>
      <c r="K39" s="21"/>
      <c r="L39" s="20"/>
    </row>
    <row r="40" spans="2:12" x14ac:dyDescent="0.2">
      <c r="B40" s="19"/>
      <c r="C40" s="38" t="s">
        <v>186</v>
      </c>
      <c r="D40" s="197" t="e">
        <f>D36*D39</f>
        <v>#DIV/0!</v>
      </c>
      <c r="E40" s="21"/>
      <c r="F40" s="21" t="s">
        <v>195</v>
      </c>
      <c r="G40" s="21"/>
      <c r="H40" s="21"/>
      <c r="I40" s="21"/>
      <c r="J40" s="21"/>
      <c r="K40" s="21"/>
      <c r="L40" s="20"/>
    </row>
    <row r="41" spans="2:12" x14ac:dyDescent="0.2">
      <c r="B41" s="19"/>
      <c r="C41" s="38" t="s">
        <v>788</v>
      </c>
      <c r="D41" s="73" t="e">
        <f>D35*(-D40)</f>
        <v>#DIV/0!</v>
      </c>
      <c r="E41" s="21"/>
      <c r="F41" s="178" t="s">
        <v>792</v>
      </c>
      <c r="G41" s="21"/>
      <c r="H41" s="21"/>
      <c r="I41" s="21"/>
      <c r="J41" s="21"/>
      <c r="K41" s="21"/>
      <c r="L41" s="20"/>
    </row>
    <row r="42" spans="2:12" x14ac:dyDescent="0.2">
      <c r="B42" s="19"/>
      <c r="C42" s="38" t="s">
        <v>789</v>
      </c>
      <c r="D42" s="220">
        <f>DefaultAutotoOther</f>
        <v>0.34</v>
      </c>
      <c r="E42" s="21"/>
      <c r="F42" s="21"/>
      <c r="G42" s="21"/>
      <c r="H42" s="21"/>
      <c r="I42" s="21"/>
      <c r="J42" s="21"/>
      <c r="K42" s="21"/>
      <c r="L42" s="20"/>
    </row>
    <row r="43" spans="2:12" x14ac:dyDescent="0.2">
      <c r="B43" s="19"/>
      <c r="C43" s="38" t="s">
        <v>793</v>
      </c>
      <c r="D43" s="73" t="e">
        <f>D41*D42</f>
        <v>#DIV/0!</v>
      </c>
      <c r="E43" s="21"/>
      <c r="F43" s="178" t="s">
        <v>794</v>
      </c>
      <c r="G43" s="21"/>
      <c r="H43" s="21"/>
      <c r="I43" s="21"/>
      <c r="J43" s="21"/>
      <c r="K43" s="21"/>
      <c r="L43" s="20"/>
    </row>
    <row r="44" spans="2:12" x14ac:dyDescent="0.2">
      <c r="B44" s="19"/>
      <c r="C44" s="38" t="s">
        <v>790</v>
      </c>
      <c r="D44" s="73" t="e">
        <f>ROUND(D41-D43,0)</f>
        <v>#DIV/0!</v>
      </c>
      <c r="E44" s="21"/>
      <c r="F44" s="178" t="s">
        <v>795</v>
      </c>
      <c r="G44" s="21"/>
      <c r="H44" s="21"/>
      <c r="I44" s="21"/>
      <c r="J44" s="21"/>
      <c r="K44" s="21"/>
      <c r="L44" s="20"/>
    </row>
    <row r="45" spans="2:12" x14ac:dyDescent="0.2">
      <c r="B45" s="19"/>
      <c r="C45" s="68" t="s">
        <v>791</v>
      </c>
      <c r="D45" s="37" t="e">
        <f>IF(D31="No",D44*2,0)</f>
        <v>#DIV/0!</v>
      </c>
      <c r="E45" s="21"/>
      <c r="F45" s="21"/>
      <c r="G45" s="21"/>
      <c r="H45" s="21"/>
      <c r="I45" s="21"/>
      <c r="J45" s="21"/>
      <c r="K45" s="21"/>
      <c r="L45" s="20"/>
    </row>
    <row r="46" spans="2:12" x14ac:dyDescent="0.2">
      <c r="B46" s="19"/>
      <c r="C46" s="21"/>
      <c r="D46" s="21"/>
      <c r="E46" s="21"/>
      <c r="F46" s="21"/>
      <c r="G46" s="21"/>
      <c r="H46" s="21"/>
      <c r="I46" s="21"/>
      <c r="J46" s="21"/>
      <c r="K46" s="21"/>
      <c r="L46" s="20"/>
    </row>
    <row r="47" spans="2:12" x14ac:dyDescent="0.2">
      <c r="B47" s="19"/>
      <c r="C47" s="81" t="s">
        <v>201</v>
      </c>
      <c r="D47" s="21"/>
      <c r="E47" s="21"/>
      <c r="F47" s="21"/>
      <c r="G47" s="21"/>
      <c r="H47" s="21"/>
      <c r="I47" s="21"/>
      <c r="J47" s="21"/>
      <c r="K47" s="21"/>
      <c r="L47" s="20"/>
    </row>
    <row r="48" spans="2:12" x14ac:dyDescent="0.2">
      <c r="B48" s="19"/>
      <c r="C48" s="38" t="s">
        <v>197</v>
      </c>
      <c r="D48" s="5">
        <f>InputConnectingTransit</f>
        <v>0</v>
      </c>
      <c r="E48" s="21"/>
      <c r="F48" s="21"/>
      <c r="G48" s="21"/>
      <c r="H48" s="21"/>
      <c r="I48" s="21"/>
      <c r="J48" s="21"/>
      <c r="K48" s="21"/>
      <c r="L48" s="20"/>
    </row>
    <row r="49" spans="2:12" x14ac:dyDescent="0.2">
      <c r="B49" s="19"/>
      <c r="C49" s="38" t="s">
        <v>796</v>
      </c>
      <c r="D49" s="79">
        <f>InputTransferFee</f>
        <v>0</v>
      </c>
      <c r="E49" s="21"/>
      <c r="F49" s="21"/>
      <c r="G49" s="21"/>
      <c r="H49" s="21"/>
      <c r="I49" s="21"/>
      <c r="J49" s="21"/>
      <c r="K49" s="21"/>
      <c r="L49" s="20"/>
    </row>
    <row r="50" spans="2:12" x14ac:dyDescent="0.2">
      <c r="B50" s="19"/>
      <c r="C50" s="38" t="s">
        <v>202</v>
      </c>
      <c r="D50" s="198" t="b">
        <f>OutputFeederBoardings</f>
        <v>0</v>
      </c>
      <c r="E50" s="21"/>
      <c r="F50" s="21"/>
      <c r="G50" s="21"/>
      <c r="H50" s="21"/>
      <c r="I50" s="21"/>
      <c r="J50" s="21"/>
      <c r="K50" s="21"/>
      <c r="L50" s="20"/>
    </row>
    <row r="51" spans="2:12" x14ac:dyDescent="0.2">
      <c r="B51" s="19"/>
      <c r="C51" s="38" t="s">
        <v>203</v>
      </c>
      <c r="D51" s="4"/>
      <c r="E51" s="21"/>
      <c r="F51" s="21" t="s">
        <v>219</v>
      </c>
      <c r="G51" s="21"/>
      <c r="H51" s="21"/>
      <c r="I51" s="21"/>
      <c r="J51" s="21"/>
      <c r="K51" s="21"/>
      <c r="L51" s="20"/>
    </row>
    <row r="52" spans="2:12" x14ac:dyDescent="0.2">
      <c r="B52" s="19"/>
      <c r="C52" s="38" t="s">
        <v>204</v>
      </c>
      <c r="D52" s="82"/>
      <c r="E52" s="21"/>
      <c r="F52" s="21" t="s">
        <v>220</v>
      </c>
      <c r="G52" s="21"/>
      <c r="H52" s="21"/>
      <c r="I52" s="21"/>
      <c r="J52" s="21"/>
      <c r="K52" s="21"/>
      <c r="L52" s="20"/>
    </row>
    <row r="53" spans="2:12" x14ac:dyDescent="0.2">
      <c r="B53" s="19"/>
      <c r="C53" s="38" t="s">
        <v>205</v>
      </c>
      <c r="D53" s="199" t="str">
        <f>IF(ISERROR(D50/D51),"",D50/D51)</f>
        <v/>
      </c>
      <c r="E53" s="21"/>
      <c r="F53" s="21"/>
      <c r="G53" s="21"/>
      <c r="H53" s="21"/>
      <c r="I53" s="21"/>
      <c r="J53" s="21"/>
      <c r="K53" s="21"/>
      <c r="L53" s="20"/>
    </row>
    <row r="54" spans="2:12" x14ac:dyDescent="0.2">
      <c r="B54" s="19"/>
      <c r="C54" s="38" t="s">
        <v>206</v>
      </c>
      <c r="D54" s="220">
        <f>DefaultFeederElasticity</f>
        <v>0.6</v>
      </c>
      <c r="E54" s="21"/>
      <c r="F54" s="21"/>
      <c r="G54" s="21"/>
      <c r="H54" s="21"/>
      <c r="I54" s="21"/>
      <c r="J54" s="21"/>
      <c r="K54" s="21"/>
      <c r="L54" s="20"/>
    </row>
    <row r="55" spans="2:12" x14ac:dyDescent="0.2">
      <c r="B55" s="19"/>
      <c r="C55" s="38" t="s">
        <v>218</v>
      </c>
      <c r="D55" s="83">
        <f>D51*D52</f>
        <v>0</v>
      </c>
      <c r="E55" s="21"/>
      <c r="F55" s="21"/>
      <c r="G55" s="21"/>
      <c r="H55" s="21"/>
      <c r="I55" s="21"/>
      <c r="J55" s="21"/>
      <c r="K55" s="21"/>
      <c r="L55" s="20"/>
    </row>
    <row r="56" spans="2:12" x14ac:dyDescent="0.2">
      <c r="B56" s="19"/>
      <c r="C56" s="68" t="s">
        <v>221</v>
      </c>
      <c r="D56" s="84" t="e">
        <f>D55/D50</f>
        <v>#DIV/0!</v>
      </c>
      <c r="E56" s="21"/>
      <c r="F56" s="21"/>
      <c r="G56" s="21"/>
      <c r="H56" s="21"/>
      <c r="I56" s="21"/>
      <c r="J56" s="21"/>
      <c r="K56" s="21"/>
      <c r="L56" s="20"/>
    </row>
    <row r="57" spans="2:12" x14ac:dyDescent="0.2">
      <c r="B57" s="19"/>
      <c r="C57" s="21"/>
      <c r="D57" s="21"/>
      <c r="E57" s="21"/>
      <c r="F57" s="21"/>
      <c r="G57" s="21"/>
      <c r="H57" s="21"/>
      <c r="I57" s="21"/>
      <c r="J57" s="21"/>
      <c r="K57" s="21"/>
      <c r="L57" s="20"/>
    </row>
    <row r="58" spans="2:12" x14ac:dyDescent="0.2">
      <c r="B58" s="19"/>
      <c r="C58" s="38" t="s">
        <v>222</v>
      </c>
      <c r="D58" s="4"/>
      <c r="E58" s="21"/>
      <c r="F58" s="21" t="s">
        <v>223</v>
      </c>
      <c r="G58" s="21"/>
      <c r="H58" s="21"/>
      <c r="I58" s="21"/>
      <c r="J58" s="21"/>
      <c r="K58" s="21"/>
      <c r="L58" s="20"/>
    </row>
    <row r="59" spans="2:12" x14ac:dyDescent="0.2">
      <c r="B59" s="19"/>
      <c r="C59" s="38" t="s">
        <v>224</v>
      </c>
      <c r="D59" s="220">
        <f>DefaultAutotoFeeder</f>
        <v>0.2</v>
      </c>
      <c r="E59" s="21"/>
      <c r="F59" s="21"/>
      <c r="G59" s="21"/>
      <c r="H59" s="21"/>
      <c r="I59" s="21"/>
      <c r="J59" s="21"/>
      <c r="K59" s="21"/>
      <c r="L59" s="20"/>
    </row>
    <row r="60" spans="2:12" x14ac:dyDescent="0.2">
      <c r="B60" s="19"/>
      <c r="C60" s="38" t="s">
        <v>225</v>
      </c>
      <c r="D60" s="83">
        <f>D58*D52</f>
        <v>0</v>
      </c>
      <c r="E60" s="21"/>
      <c r="F60" s="21"/>
      <c r="G60" s="21"/>
      <c r="H60" s="21"/>
      <c r="I60" s="21"/>
      <c r="J60" s="21"/>
      <c r="K60" s="21"/>
      <c r="L60" s="20"/>
    </row>
    <row r="61" spans="2:12" x14ac:dyDescent="0.2">
      <c r="B61" s="19"/>
      <c r="C61" s="38" t="s">
        <v>226</v>
      </c>
      <c r="D61" s="5" t="e">
        <f>D58/D51</f>
        <v>#DIV/0!</v>
      </c>
      <c r="E61" s="21"/>
      <c r="F61" s="21" t="s">
        <v>228</v>
      </c>
      <c r="G61" s="21"/>
      <c r="H61" s="21"/>
      <c r="I61" s="21"/>
      <c r="J61" s="21"/>
      <c r="K61" s="21"/>
      <c r="L61" s="20"/>
    </row>
    <row r="62" spans="2:12" x14ac:dyDescent="0.2">
      <c r="B62" s="19"/>
      <c r="C62" s="38" t="s">
        <v>186</v>
      </c>
      <c r="D62" s="5" t="e">
        <f>D61*D54</f>
        <v>#DIV/0!</v>
      </c>
      <c r="E62" s="21"/>
      <c r="F62" s="21" t="s">
        <v>230</v>
      </c>
      <c r="G62" s="21"/>
      <c r="H62" s="21"/>
      <c r="I62" s="21"/>
      <c r="J62" s="21"/>
      <c r="K62" s="21"/>
      <c r="L62" s="20"/>
    </row>
    <row r="63" spans="2:12" x14ac:dyDescent="0.2">
      <c r="B63" s="19"/>
      <c r="C63" s="38" t="s">
        <v>227</v>
      </c>
      <c r="D63" s="73" t="e">
        <f>D62*D50</f>
        <v>#DIV/0!</v>
      </c>
      <c r="E63" s="21"/>
      <c r="F63" s="21" t="s">
        <v>231</v>
      </c>
      <c r="G63" s="21"/>
      <c r="H63" s="21"/>
      <c r="I63" s="21"/>
      <c r="J63" s="21"/>
      <c r="K63" s="21"/>
      <c r="L63" s="20"/>
    </row>
    <row r="64" spans="2:12" x14ac:dyDescent="0.2">
      <c r="B64" s="19"/>
      <c r="C64" s="38" t="s">
        <v>233</v>
      </c>
      <c r="D64" s="61" t="e">
        <f>D50+D63</f>
        <v>#DIV/0!</v>
      </c>
      <c r="E64" s="21"/>
      <c r="F64" s="21"/>
      <c r="G64" s="21"/>
      <c r="H64" s="21"/>
      <c r="I64" s="21"/>
      <c r="J64" s="21"/>
      <c r="K64" s="21"/>
      <c r="L64" s="20"/>
    </row>
    <row r="65" spans="2:12" x14ac:dyDescent="0.2">
      <c r="B65" s="19"/>
      <c r="C65" s="38" t="s">
        <v>232</v>
      </c>
      <c r="D65" s="199" t="e">
        <f>(D64)/(D51+D58)</f>
        <v>#DIV/0!</v>
      </c>
      <c r="E65" s="21"/>
      <c r="F65" s="21" t="s">
        <v>229</v>
      </c>
      <c r="G65" s="21"/>
      <c r="H65" s="21"/>
      <c r="I65" s="21"/>
      <c r="J65" s="21"/>
      <c r="K65" s="21"/>
      <c r="L65" s="20"/>
    </row>
    <row r="66" spans="2:12" x14ac:dyDescent="0.2">
      <c r="B66" s="19"/>
      <c r="C66" s="21"/>
      <c r="D66" s="90"/>
      <c r="E66" s="21"/>
      <c r="F66" s="21"/>
      <c r="G66" s="21"/>
      <c r="H66" s="21"/>
      <c r="I66" s="21"/>
      <c r="J66" s="21"/>
      <c r="K66" s="21"/>
      <c r="L66" s="20"/>
    </row>
    <row r="67" spans="2:12" x14ac:dyDescent="0.2">
      <c r="B67" s="19"/>
      <c r="C67" s="68" t="s">
        <v>234</v>
      </c>
      <c r="D67" s="80" t="e">
        <f>D63*(1-D59)</f>
        <v>#DIV/0!</v>
      </c>
      <c r="E67" s="21"/>
      <c r="F67" s="21"/>
      <c r="G67" s="21"/>
      <c r="H67" s="21"/>
      <c r="I67" s="21"/>
      <c r="J67" s="21"/>
      <c r="K67" s="21"/>
      <c r="L67" s="20"/>
    </row>
    <row r="68" spans="2:12" x14ac:dyDescent="0.2">
      <c r="B68" s="19"/>
      <c r="C68" s="68" t="s">
        <v>235</v>
      </c>
      <c r="D68" s="80" t="e">
        <f>(D63*D59)/DefaultVehOcc</f>
        <v>#DIV/0!</v>
      </c>
      <c r="E68" s="21"/>
      <c r="F68" s="21"/>
      <c r="G68" s="21"/>
      <c r="H68" s="21"/>
      <c r="I68" s="21"/>
      <c r="J68" s="21"/>
      <c r="K68" s="21"/>
      <c r="L68" s="20"/>
    </row>
    <row r="69" spans="2:12" x14ac:dyDescent="0.2">
      <c r="B69" s="19"/>
      <c r="C69" s="68" t="s">
        <v>236</v>
      </c>
      <c r="D69" s="84" t="e">
        <f>(D55+D60)/D64</f>
        <v>#DIV/0!</v>
      </c>
      <c r="E69" s="21"/>
      <c r="F69" s="21"/>
      <c r="G69" s="21"/>
      <c r="H69" s="21"/>
      <c r="I69" s="21"/>
      <c r="J69" s="21"/>
      <c r="K69" s="21"/>
      <c r="L69" s="20"/>
    </row>
    <row r="70" spans="2:12" x14ac:dyDescent="0.2">
      <c r="B70" s="19"/>
      <c r="C70" s="68" t="s">
        <v>237</v>
      </c>
      <c r="D70" s="84" t="e">
        <f>D60/D67</f>
        <v>#DIV/0!</v>
      </c>
      <c r="E70" s="21"/>
      <c r="F70" s="21"/>
      <c r="G70" s="21"/>
      <c r="H70" s="21"/>
      <c r="I70" s="21"/>
      <c r="J70" s="21"/>
      <c r="K70" s="21"/>
      <c r="L70" s="20"/>
    </row>
    <row r="71" spans="2:12" x14ac:dyDescent="0.2">
      <c r="B71" s="19"/>
      <c r="C71" s="21"/>
      <c r="D71" s="21"/>
      <c r="E71" s="21"/>
      <c r="F71" s="21"/>
      <c r="G71" s="21"/>
      <c r="H71" s="21"/>
      <c r="I71" s="21"/>
      <c r="J71" s="21"/>
      <c r="K71" s="21"/>
      <c r="L71" s="20"/>
    </row>
    <row r="72" spans="2:12" x14ac:dyDescent="0.2">
      <c r="B72" s="19"/>
      <c r="C72" s="81" t="s">
        <v>243</v>
      </c>
      <c r="D72" s="21"/>
      <c r="E72" s="21"/>
      <c r="F72" s="21"/>
      <c r="G72" s="21"/>
      <c r="H72" s="21"/>
      <c r="I72" s="21"/>
      <c r="J72" s="21"/>
      <c r="K72" s="21"/>
      <c r="L72" s="20"/>
    </row>
    <row r="73" spans="2:12" x14ac:dyDescent="0.2">
      <c r="B73" s="19"/>
      <c r="C73" s="38" t="s">
        <v>244</v>
      </c>
      <c r="D73" s="200" t="b">
        <f>OutputWalkPercent</f>
        <v>0</v>
      </c>
      <c r="E73" s="21"/>
      <c r="F73" s="21"/>
      <c r="G73" s="21"/>
      <c r="H73" s="21"/>
      <c r="I73" s="21"/>
      <c r="J73" s="21"/>
      <c r="K73" s="21"/>
      <c r="L73" s="20"/>
    </row>
    <row r="74" spans="2:12" x14ac:dyDescent="0.2">
      <c r="B74" s="19"/>
      <c r="C74" s="38" t="s">
        <v>245</v>
      </c>
      <c r="D74" s="200" t="e">
        <f>F26</f>
        <v>#N/A</v>
      </c>
      <c r="E74" s="21"/>
      <c r="F74" s="21"/>
      <c r="G74" s="21"/>
      <c r="H74" s="21"/>
      <c r="I74" s="21"/>
      <c r="J74" s="21"/>
      <c r="K74" s="21"/>
      <c r="L74" s="20"/>
    </row>
    <row r="75" spans="2:12" x14ac:dyDescent="0.2">
      <c r="B75" s="19"/>
      <c r="C75" s="38" t="s">
        <v>249</v>
      </c>
      <c r="D75" s="223" t="e">
        <f>VLOOKUP(InputClimate,TableClimate,COLUMN(ColClimatePed),FALSE)</f>
        <v>#N/A</v>
      </c>
      <c r="E75" s="21"/>
      <c r="F75" s="21"/>
      <c r="G75" s="21"/>
      <c r="H75" s="21"/>
      <c r="I75" s="21"/>
      <c r="J75" s="21"/>
      <c r="K75" s="21"/>
      <c r="L75" s="20"/>
    </row>
    <row r="76" spans="2:12" x14ac:dyDescent="0.2">
      <c r="B76" s="19"/>
      <c r="C76" s="38" t="s">
        <v>250</v>
      </c>
      <c r="D76" s="223" t="e">
        <f>VLOOKUP(InputTopography,TableTopography,COLUMN(ColTopographyPed),FALSE)</f>
        <v>#N/A</v>
      </c>
      <c r="E76" s="21"/>
      <c r="F76" s="21"/>
      <c r="G76" s="21"/>
      <c r="H76" s="21"/>
      <c r="I76" s="21"/>
      <c r="J76" s="21"/>
      <c r="K76" s="21"/>
      <c r="L76" s="20"/>
    </row>
    <row r="77" spans="2:12" x14ac:dyDescent="0.2">
      <c r="B77" s="19"/>
      <c r="C77" s="38" t="s">
        <v>251</v>
      </c>
      <c r="D77" s="200" t="e">
        <f>D74*D75*D76</f>
        <v>#N/A</v>
      </c>
      <c r="E77" s="21"/>
      <c r="F77" s="21"/>
      <c r="G77" s="21"/>
      <c r="H77" s="21"/>
      <c r="I77" s="21"/>
      <c r="J77" s="21"/>
      <c r="K77" s="21"/>
      <c r="L77" s="20"/>
    </row>
    <row r="78" spans="2:12" x14ac:dyDescent="0.2">
      <c r="B78" s="19"/>
      <c r="C78" s="38" t="s">
        <v>252</v>
      </c>
      <c r="D78" s="202" t="e">
        <f>D73/D77</f>
        <v>#N/A</v>
      </c>
      <c r="E78" s="21"/>
      <c r="F78" s="21"/>
      <c r="G78" s="21"/>
      <c r="H78" s="21"/>
      <c r="I78" s="21"/>
      <c r="J78" s="21"/>
      <c r="K78" s="21"/>
      <c r="L78" s="20"/>
    </row>
    <row r="79" spans="2:12" x14ac:dyDescent="0.2">
      <c r="B79" s="19"/>
      <c r="C79" s="68" t="s">
        <v>268</v>
      </c>
      <c r="D79" s="71" t="e">
        <f>IF(D78&lt;0.95,"Yes","No")</f>
        <v>#N/A</v>
      </c>
      <c r="E79" s="21"/>
      <c r="F79" s="203" t="e">
        <f>IF(D79="Yes","Refer to Guidebook for potential pedestrian improvement recommendations","")</f>
        <v>#N/A</v>
      </c>
      <c r="G79" s="21"/>
      <c r="H79" s="21"/>
      <c r="I79" s="21"/>
      <c r="J79" s="21"/>
      <c r="K79" s="21"/>
      <c r="L79" s="20"/>
    </row>
    <row r="80" spans="2:12" x14ac:dyDescent="0.2">
      <c r="B80" s="19"/>
      <c r="C80" s="21"/>
      <c r="D80" s="21"/>
      <c r="E80" s="21"/>
      <c r="F80" s="21"/>
      <c r="G80" s="21"/>
      <c r="H80" s="21"/>
      <c r="I80" s="21"/>
      <c r="J80" s="21"/>
      <c r="K80" s="21"/>
      <c r="L80" s="20"/>
    </row>
    <row r="81" spans="2:12" x14ac:dyDescent="0.2">
      <c r="B81" s="19"/>
      <c r="C81" s="81" t="s">
        <v>253</v>
      </c>
      <c r="D81" s="21"/>
      <c r="E81" s="21"/>
      <c r="F81" s="21"/>
      <c r="G81" s="21"/>
      <c r="H81" s="21"/>
      <c r="I81" s="21"/>
      <c r="J81" s="21"/>
      <c r="K81" s="21"/>
      <c r="L81" s="20"/>
    </row>
    <row r="82" spans="2:12" x14ac:dyDescent="0.2">
      <c r="B82" s="19"/>
      <c r="C82" s="38" t="s">
        <v>254</v>
      </c>
      <c r="D82" s="200" t="b">
        <f>OutputBicyclePercent</f>
        <v>0</v>
      </c>
      <c r="E82" s="21"/>
      <c r="F82" s="21"/>
      <c r="G82" s="21"/>
      <c r="H82" s="21"/>
      <c r="I82" s="21"/>
      <c r="J82" s="21"/>
      <c r="K82" s="21"/>
      <c r="L82" s="20"/>
    </row>
    <row r="83" spans="2:12" x14ac:dyDescent="0.2">
      <c r="B83" s="19"/>
      <c r="C83" s="75" t="s">
        <v>718</v>
      </c>
      <c r="D83" s="200">
        <f>InputBicycleCommuteShare</f>
        <v>0</v>
      </c>
      <c r="E83" s="21"/>
      <c r="F83" s="21"/>
      <c r="G83" s="21"/>
      <c r="H83" s="21"/>
      <c r="I83" s="21"/>
      <c r="J83" s="21"/>
      <c r="K83" s="21"/>
      <c r="L83" s="20"/>
    </row>
    <row r="84" spans="2:12" hidden="1" x14ac:dyDescent="0.2">
      <c r="B84" s="19"/>
      <c r="C84" s="38" t="s">
        <v>249</v>
      </c>
      <c r="D84" s="201" t="e">
        <f>VLOOKUP(InputClimate,TableClimate,COLUMN(ColClimateBike),FALSE)</f>
        <v>#N/A</v>
      </c>
      <c r="E84" s="21"/>
      <c r="F84" s="21"/>
      <c r="G84" s="21"/>
      <c r="H84" s="21"/>
      <c r="I84" s="21"/>
      <c r="J84" s="21"/>
      <c r="K84" s="21"/>
      <c r="L84" s="20"/>
    </row>
    <row r="85" spans="2:12" hidden="1" x14ac:dyDescent="0.2">
      <c r="B85" s="19"/>
      <c r="C85" s="38" t="s">
        <v>250</v>
      </c>
      <c r="D85" s="201" t="e">
        <f>VLOOKUP(InputTopography,TableTopography,COLUMN(ColTopographyBike),FALSE)</f>
        <v>#N/A</v>
      </c>
      <c r="E85" s="21"/>
      <c r="F85" s="21"/>
      <c r="G85" s="21"/>
      <c r="H85" s="21"/>
      <c r="I85" s="21"/>
      <c r="J85" s="21"/>
      <c r="K85" s="21"/>
      <c r="L85" s="20"/>
    </row>
    <row r="86" spans="2:12" hidden="1" x14ac:dyDescent="0.2">
      <c r="B86" s="19"/>
      <c r="C86" s="38" t="s">
        <v>251</v>
      </c>
      <c r="D86" s="200" t="e">
        <f>D83*D84*D85</f>
        <v>#N/A</v>
      </c>
      <c r="E86" s="21"/>
      <c r="F86" s="21"/>
      <c r="G86" s="21"/>
      <c r="H86" s="21"/>
      <c r="I86" s="21"/>
      <c r="J86" s="21"/>
      <c r="K86" s="21"/>
      <c r="L86" s="20"/>
    </row>
    <row r="87" spans="2:12" x14ac:dyDescent="0.2">
      <c r="B87" s="19"/>
      <c r="C87" s="38" t="s">
        <v>252</v>
      </c>
      <c r="D87" s="202" t="e">
        <f>D82/D83</f>
        <v>#DIV/0!</v>
      </c>
      <c r="E87" s="21"/>
      <c r="F87" s="21"/>
      <c r="G87" s="21"/>
      <c r="H87" s="21"/>
      <c r="I87" s="21"/>
      <c r="J87" s="21"/>
      <c r="K87" s="21"/>
      <c r="L87" s="20"/>
    </row>
    <row r="88" spans="2:12" x14ac:dyDescent="0.2">
      <c r="B88" s="19"/>
      <c r="C88" s="68" t="s">
        <v>255</v>
      </c>
      <c r="D88" s="71" t="e">
        <f>IF(D87&lt;1.5,"Yes","No")</f>
        <v>#DIV/0!</v>
      </c>
      <c r="E88" s="21"/>
      <c r="F88" s="203" t="e">
        <f>IF(D88="Yes","Refer to Guidebook for potential bicycle improvement recommendations","")</f>
        <v>#DIV/0!</v>
      </c>
      <c r="G88" s="21"/>
      <c r="H88" s="21"/>
      <c r="I88" s="21"/>
      <c r="J88" s="21"/>
      <c r="K88" s="21"/>
      <c r="L88" s="20"/>
    </row>
    <row r="89" spans="2:12" x14ac:dyDescent="0.2">
      <c r="B89" s="19"/>
      <c r="C89" s="174"/>
      <c r="D89" s="204"/>
      <c r="E89" s="21"/>
      <c r="F89" s="203"/>
      <c r="G89" s="21"/>
      <c r="H89" s="21"/>
      <c r="I89" s="21"/>
      <c r="J89" s="21"/>
      <c r="K89" s="21"/>
      <c r="L89" s="20"/>
    </row>
    <row r="90" spans="2:12" x14ac:dyDescent="0.2">
      <c r="B90" s="19"/>
      <c r="C90" s="75" t="s">
        <v>720</v>
      </c>
      <c r="D90" s="73" t="e">
        <f>IF(D88="Yes",OutputRidership*D83,OutputBicycleBoardings)</f>
        <v>#DIV/0!</v>
      </c>
      <c r="E90" s="21"/>
      <c r="F90" s="203" t="e">
        <f>IF(D90&gt;50,"Demand for 'high quality' bicycle parking exists (e.g., attended, electronic lockers, etc.)","")</f>
        <v>#DIV/0!</v>
      </c>
      <c r="G90" s="21"/>
      <c r="H90" s="21"/>
      <c r="I90" s="21"/>
      <c r="J90" s="21"/>
      <c r="K90" s="21"/>
      <c r="L90" s="20"/>
    </row>
    <row r="91" spans="2:12" x14ac:dyDescent="0.2">
      <c r="B91" s="19"/>
      <c r="C91" s="75" t="s">
        <v>719</v>
      </c>
      <c r="D91" s="73">
        <f>InputBicycleParkingSpaces</f>
        <v>0</v>
      </c>
      <c r="E91" s="21"/>
      <c r="F91" s="21"/>
      <c r="G91" s="21"/>
      <c r="H91" s="21"/>
      <c r="I91" s="21"/>
      <c r="J91" s="21"/>
      <c r="K91" s="21"/>
      <c r="L91" s="20"/>
    </row>
    <row r="92" spans="2:12" x14ac:dyDescent="0.2">
      <c r="B92" s="19"/>
      <c r="C92" s="75" t="s">
        <v>721</v>
      </c>
      <c r="D92" s="220">
        <f>DefaultBikeParkingTurnover</f>
        <v>1.5</v>
      </c>
      <c r="E92" s="21"/>
      <c r="F92" s="203"/>
      <c r="G92" s="21"/>
      <c r="H92" s="21"/>
      <c r="I92" s="21"/>
      <c r="J92" s="21"/>
      <c r="K92" s="21"/>
      <c r="L92" s="20"/>
    </row>
    <row r="93" spans="2:12" x14ac:dyDescent="0.2">
      <c r="B93" s="19"/>
      <c r="C93" s="75" t="s">
        <v>723</v>
      </c>
      <c r="D93" s="73" t="e">
        <f>D90/D92</f>
        <v>#DIV/0!</v>
      </c>
      <c r="E93" s="21"/>
      <c r="F93" s="203" t="e">
        <f>IF(D91&gt;D93,"Adequate bicycle parking capacity exists","Consider providing additional bicycle parking")</f>
        <v>#DIV/0!</v>
      </c>
      <c r="G93" s="21"/>
      <c r="H93" s="21"/>
      <c r="I93" s="21"/>
      <c r="J93" s="21"/>
      <c r="K93" s="21"/>
      <c r="L93" s="20"/>
    </row>
    <row r="94" spans="2:12" x14ac:dyDescent="0.2">
      <c r="B94" s="19"/>
      <c r="C94" s="75" t="s">
        <v>724</v>
      </c>
      <c r="D94" s="196"/>
      <c r="E94" s="21"/>
      <c r="F94" s="203"/>
      <c r="G94" s="21"/>
      <c r="H94" s="21"/>
      <c r="I94" s="21"/>
      <c r="J94" s="21"/>
      <c r="K94" s="21"/>
      <c r="L94" s="20"/>
    </row>
    <row r="95" spans="2:12" x14ac:dyDescent="0.2">
      <c r="B95" s="19"/>
      <c r="C95" s="58" t="s">
        <v>725</v>
      </c>
      <c r="D95" s="205">
        <f>D94</f>
        <v>0</v>
      </c>
      <c r="E95" s="21"/>
      <c r="F95" s="203"/>
      <c r="G95" s="21"/>
      <c r="H95" s="21"/>
      <c r="I95" s="21"/>
      <c r="J95" s="21"/>
      <c r="K95" s="21"/>
      <c r="L95" s="20"/>
    </row>
    <row r="96" spans="2:12" x14ac:dyDescent="0.2">
      <c r="B96" s="19"/>
      <c r="C96" s="21"/>
      <c r="D96" s="21"/>
      <c r="E96" s="21"/>
      <c r="F96" s="21"/>
      <c r="G96" s="21"/>
      <c r="H96" s="21"/>
      <c r="I96" s="21"/>
      <c r="J96" s="21"/>
      <c r="K96" s="21"/>
      <c r="L96" s="20"/>
    </row>
    <row r="97" spans="2:12" x14ac:dyDescent="0.2">
      <c r="B97" s="19"/>
      <c r="C97" s="81" t="s">
        <v>256</v>
      </c>
      <c r="D97" s="21"/>
      <c r="E97" s="21"/>
      <c r="F97" s="21"/>
      <c r="G97" s="21"/>
      <c r="H97" s="21"/>
      <c r="I97" s="21"/>
      <c r="J97" s="21"/>
      <c r="K97" s="21"/>
      <c r="L97" s="20"/>
    </row>
    <row r="98" spans="2:12" x14ac:dyDescent="0.2">
      <c r="B98" s="19"/>
      <c r="C98" s="178" t="s">
        <v>259</v>
      </c>
      <c r="D98" s="21"/>
      <c r="E98" s="21"/>
      <c r="F98" s="21"/>
      <c r="G98" s="21"/>
      <c r="H98" s="21"/>
      <c r="I98" s="21"/>
      <c r="J98" s="21"/>
      <c r="K98" s="21"/>
      <c r="L98" s="20"/>
    </row>
    <row r="99" spans="2:12" x14ac:dyDescent="0.2">
      <c r="B99" s="19"/>
      <c r="C99" s="38" t="s">
        <v>257</v>
      </c>
      <c r="D99" s="196"/>
      <c r="E99" s="178" t="s">
        <v>755</v>
      </c>
      <c r="F99" s="21" t="s">
        <v>258</v>
      </c>
      <c r="G99" s="21"/>
      <c r="H99" s="21"/>
      <c r="I99" s="21"/>
      <c r="J99" s="21"/>
      <c r="K99" s="21"/>
      <c r="L99" s="20"/>
    </row>
    <row r="100" spans="2:12" x14ac:dyDescent="0.2">
      <c r="B100" s="19"/>
      <c r="C100" s="38" t="s">
        <v>260</v>
      </c>
      <c r="D100" s="196"/>
      <c r="E100" s="178" t="s">
        <v>756</v>
      </c>
      <c r="F100" s="21" t="s">
        <v>290</v>
      </c>
      <c r="G100" s="21"/>
      <c r="H100" s="21"/>
      <c r="I100" s="21"/>
      <c r="J100" s="21"/>
      <c r="K100" s="21"/>
      <c r="L100" s="20"/>
    </row>
    <row r="101" spans="2:12" x14ac:dyDescent="0.2">
      <c r="B101" s="19"/>
      <c r="C101" s="38" t="s">
        <v>261</v>
      </c>
      <c r="D101" s="196"/>
      <c r="E101" s="178" t="s">
        <v>755</v>
      </c>
      <c r="F101" s="21" t="s">
        <v>291</v>
      </c>
      <c r="G101" s="21"/>
      <c r="H101" s="21"/>
      <c r="I101" s="21"/>
      <c r="J101" s="21"/>
      <c r="K101" s="21"/>
      <c r="L101" s="20"/>
    </row>
    <row r="102" spans="2:12" x14ac:dyDescent="0.2">
      <c r="B102" s="19"/>
      <c r="C102" s="38" t="s">
        <v>262</v>
      </c>
      <c r="D102" s="196"/>
      <c r="E102" s="178" t="s">
        <v>755</v>
      </c>
      <c r="F102" s="21" t="s">
        <v>292</v>
      </c>
      <c r="G102" s="21"/>
      <c r="H102" s="21"/>
      <c r="I102" s="21"/>
      <c r="J102" s="21"/>
      <c r="K102" s="21"/>
      <c r="L102" s="20"/>
    </row>
    <row r="103" spans="2:12" x14ac:dyDescent="0.2">
      <c r="B103" s="19"/>
      <c r="C103" s="46"/>
      <c r="D103" s="206"/>
      <c r="E103" s="21"/>
      <c r="F103" s="21"/>
      <c r="G103" s="21"/>
      <c r="H103" s="21"/>
      <c r="I103" s="21"/>
      <c r="J103" s="21"/>
      <c r="K103" s="21"/>
      <c r="L103" s="20"/>
    </row>
    <row r="104" spans="2:12" ht="15" x14ac:dyDescent="0.2">
      <c r="B104" s="19"/>
      <c r="C104" s="207" t="s">
        <v>741</v>
      </c>
      <c r="D104" s="206"/>
      <c r="E104" s="21"/>
      <c r="F104" s="21"/>
      <c r="G104" s="21"/>
      <c r="H104" s="21"/>
      <c r="I104" s="21"/>
      <c r="J104" s="21"/>
      <c r="K104" s="21"/>
      <c r="L104" s="20"/>
    </row>
    <row r="105" spans="2:12" x14ac:dyDescent="0.2">
      <c r="B105" s="19"/>
      <c r="C105" s="38" t="s">
        <v>269</v>
      </c>
      <c r="D105" s="224">
        <f>DefaultTripGenRes</f>
        <v>6.65</v>
      </c>
      <c r="E105" s="21"/>
      <c r="F105" s="21"/>
      <c r="G105" s="21"/>
      <c r="H105" s="21"/>
      <c r="I105" s="21"/>
      <c r="J105" s="21"/>
      <c r="K105" s="21"/>
      <c r="L105" s="20"/>
    </row>
    <row r="106" spans="2:12" x14ac:dyDescent="0.2">
      <c r="B106" s="19"/>
      <c r="C106" s="38" t="s">
        <v>272</v>
      </c>
      <c r="D106" s="224">
        <f>DefaultResTripSplitWork</f>
        <v>0.25</v>
      </c>
      <c r="E106" s="21"/>
      <c r="F106" s="21"/>
      <c r="G106" s="21"/>
      <c r="H106" s="21"/>
      <c r="I106" s="21"/>
      <c r="J106" s="21"/>
      <c r="K106" s="21"/>
      <c r="L106" s="20"/>
    </row>
    <row r="107" spans="2:12" x14ac:dyDescent="0.2">
      <c r="B107" s="19"/>
      <c r="C107" s="38" t="s">
        <v>273</v>
      </c>
      <c r="D107" s="224">
        <f>DefaultResTripSplitNonWork</f>
        <v>0.75</v>
      </c>
      <c r="E107" s="21"/>
      <c r="F107" s="21"/>
      <c r="G107" s="21"/>
      <c r="H107" s="21"/>
      <c r="I107" s="21"/>
      <c r="J107" s="21"/>
      <c r="K107" s="21"/>
      <c r="L107" s="20"/>
    </row>
    <row r="108" spans="2:12" x14ac:dyDescent="0.2">
      <c r="B108" s="19"/>
      <c r="C108" s="38" t="s">
        <v>270</v>
      </c>
      <c r="D108" s="224">
        <f>DefaultTripGenOffice</f>
        <v>11.01</v>
      </c>
      <c r="E108" s="21"/>
      <c r="F108" s="21"/>
      <c r="G108" s="21"/>
      <c r="H108" s="21"/>
      <c r="I108" s="21"/>
      <c r="J108" s="21"/>
      <c r="K108" s="21"/>
      <c r="L108" s="20"/>
    </row>
    <row r="109" spans="2:12" x14ac:dyDescent="0.2">
      <c r="B109" s="19"/>
      <c r="C109" s="38" t="s">
        <v>271</v>
      </c>
      <c r="D109" s="224">
        <f>DefaultTripGenRetail</f>
        <v>42.94</v>
      </c>
      <c r="E109" s="21"/>
      <c r="F109" s="21"/>
      <c r="G109" s="21"/>
      <c r="H109" s="21"/>
      <c r="I109" s="21"/>
      <c r="J109" s="21"/>
      <c r="K109" s="21"/>
      <c r="L109" s="20"/>
    </row>
    <row r="110" spans="2:12" x14ac:dyDescent="0.2">
      <c r="B110" s="19"/>
      <c r="C110" s="21"/>
      <c r="D110" s="21"/>
      <c r="E110" s="21"/>
      <c r="F110" s="21"/>
      <c r="G110" s="21"/>
      <c r="H110" s="21"/>
      <c r="I110" s="21"/>
      <c r="J110" s="21"/>
      <c r="K110" s="21"/>
      <c r="L110" s="20"/>
    </row>
    <row r="111" spans="2:12" x14ac:dyDescent="0.2">
      <c r="B111" s="19"/>
      <c r="C111" s="38" t="s">
        <v>274</v>
      </c>
      <c r="D111" s="61">
        <f>D100*DefaultTripGenRes*DefaultResTripSplitWork</f>
        <v>0</v>
      </c>
      <c r="E111" s="21"/>
      <c r="F111" s="21"/>
      <c r="G111" s="21"/>
      <c r="H111" s="21"/>
      <c r="I111" s="21"/>
      <c r="J111" s="21"/>
      <c r="K111" s="21"/>
      <c r="L111" s="20"/>
    </row>
    <row r="112" spans="2:12" x14ac:dyDescent="0.2">
      <c r="B112" s="19"/>
      <c r="C112" s="38" t="s">
        <v>275</v>
      </c>
      <c r="D112" s="61">
        <f>D100*DefaultTripGenRes*DefaultResTripSplitNonWork</f>
        <v>0</v>
      </c>
      <c r="E112" s="21"/>
      <c r="F112" s="21"/>
      <c r="G112" s="21"/>
      <c r="H112" s="21"/>
      <c r="I112" s="21"/>
      <c r="J112" s="21"/>
      <c r="K112" s="21"/>
      <c r="L112" s="20"/>
    </row>
    <row r="113" spans="2:12" x14ac:dyDescent="0.2">
      <c r="B113" s="19"/>
      <c r="C113" s="38" t="s">
        <v>276</v>
      </c>
      <c r="D113" s="61">
        <f>(D101/1000)*DefaultTripGenOffice</f>
        <v>0</v>
      </c>
      <c r="E113" s="21"/>
      <c r="F113" s="21"/>
      <c r="G113" s="21"/>
      <c r="H113" s="21"/>
      <c r="I113" s="21"/>
      <c r="J113" s="21"/>
      <c r="K113" s="21"/>
      <c r="L113" s="20"/>
    </row>
    <row r="114" spans="2:12" x14ac:dyDescent="0.2">
      <c r="B114" s="19"/>
      <c r="C114" s="38" t="s">
        <v>277</v>
      </c>
      <c r="D114" s="61">
        <f>(D102/1000)*DefaultTripGenRetail</f>
        <v>0</v>
      </c>
      <c r="E114" s="21"/>
      <c r="F114" s="21"/>
      <c r="G114" s="21"/>
      <c r="H114" s="21"/>
      <c r="I114" s="21"/>
      <c r="J114" s="21"/>
      <c r="K114" s="21"/>
      <c r="L114" s="20"/>
    </row>
    <row r="115" spans="2:12" x14ac:dyDescent="0.2">
      <c r="B115" s="19"/>
      <c r="C115" s="21"/>
      <c r="D115" s="21"/>
      <c r="E115" s="21"/>
      <c r="F115" s="21"/>
      <c r="G115" s="21"/>
      <c r="H115" s="21"/>
      <c r="I115" s="21"/>
      <c r="J115" s="21"/>
      <c r="K115" s="21"/>
      <c r="L115" s="20"/>
    </row>
    <row r="116" spans="2:12" x14ac:dyDescent="0.2">
      <c r="B116" s="19"/>
      <c r="C116" s="21" t="s">
        <v>278</v>
      </c>
      <c r="D116" s="21"/>
      <c r="E116" s="21"/>
      <c r="F116" s="21"/>
      <c r="G116" s="21"/>
      <c r="H116" s="21"/>
      <c r="I116" s="21"/>
      <c r="J116" s="21"/>
      <c r="K116" s="21"/>
      <c r="L116" s="20"/>
    </row>
    <row r="117" spans="2:12" x14ac:dyDescent="0.2">
      <c r="B117" s="19"/>
      <c r="C117" s="38" t="s">
        <v>279</v>
      </c>
      <c r="D117" s="225">
        <f>DefaultTransitCaptureResWork</f>
        <v>0.40500000000000003</v>
      </c>
      <c r="E117" s="21"/>
      <c r="F117" s="21"/>
      <c r="G117" s="21"/>
      <c r="H117" s="21"/>
      <c r="I117" s="21"/>
      <c r="J117" s="21"/>
      <c r="K117" s="21"/>
      <c r="L117" s="20"/>
    </row>
    <row r="118" spans="2:12" x14ac:dyDescent="0.2">
      <c r="B118" s="19"/>
      <c r="C118" s="38" t="s">
        <v>280</v>
      </c>
      <c r="D118" s="225">
        <f>DefaultTransitCaptureResNonWork</f>
        <v>8.5500000000000007E-2</v>
      </c>
      <c r="E118" s="21"/>
      <c r="F118" s="21"/>
      <c r="G118" s="21"/>
      <c r="H118" s="21"/>
      <c r="I118" s="21"/>
      <c r="J118" s="21"/>
      <c r="K118" s="21"/>
      <c r="L118" s="20"/>
    </row>
    <row r="119" spans="2:12" x14ac:dyDescent="0.2">
      <c r="B119" s="19"/>
      <c r="C119" s="38" t="s">
        <v>281</v>
      </c>
      <c r="D119" s="225">
        <f>DefaultTransitCaptureOffice</f>
        <v>0.1</v>
      </c>
      <c r="E119" s="21"/>
      <c r="F119" s="21"/>
      <c r="G119" s="21"/>
      <c r="H119" s="21"/>
      <c r="I119" s="21"/>
      <c r="J119" s="21"/>
      <c r="K119" s="21"/>
      <c r="L119" s="20"/>
    </row>
    <row r="120" spans="2:12" x14ac:dyDescent="0.2">
      <c r="B120" s="19"/>
      <c r="C120" s="38" t="s">
        <v>282</v>
      </c>
      <c r="D120" s="225">
        <f>DefaultTransitCaptureRetail</f>
        <v>0.11700000000000001</v>
      </c>
      <c r="E120" s="21"/>
      <c r="F120" s="21"/>
      <c r="G120" s="21"/>
      <c r="H120" s="21"/>
      <c r="I120" s="21"/>
      <c r="J120" s="21"/>
      <c r="K120" s="21"/>
      <c r="L120" s="20"/>
    </row>
    <row r="121" spans="2:12" x14ac:dyDescent="0.2">
      <c r="B121" s="19"/>
      <c r="C121" s="21"/>
      <c r="D121" s="21"/>
      <c r="E121" s="21"/>
      <c r="F121" s="21"/>
      <c r="G121" s="21"/>
      <c r="H121" s="21"/>
      <c r="I121" s="21"/>
      <c r="J121" s="21"/>
      <c r="K121" s="21"/>
      <c r="L121" s="20"/>
    </row>
    <row r="122" spans="2:12" x14ac:dyDescent="0.2">
      <c r="B122" s="19"/>
      <c r="C122" s="38" t="s">
        <v>286</v>
      </c>
      <c r="D122" s="73">
        <f>D111*DefaultTransitCaptureResWork</f>
        <v>0</v>
      </c>
      <c r="E122" s="21"/>
      <c r="F122" s="21"/>
      <c r="G122" s="21"/>
      <c r="H122" s="21"/>
      <c r="I122" s="21"/>
      <c r="J122" s="21"/>
      <c r="K122" s="21"/>
      <c r="L122" s="20"/>
    </row>
    <row r="123" spans="2:12" x14ac:dyDescent="0.2">
      <c r="B123" s="19"/>
      <c r="C123" s="38" t="s">
        <v>287</v>
      </c>
      <c r="D123" s="73">
        <f>D112*DefaultTransitCaptureResNonWork</f>
        <v>0</v>
      </c>
      <c r="E123" s="21"/>
      <c r="F123" s="21"/>
      <c r="G123" s="21"/>
      <c r="H123" s="21"/>
      <c r="I123" s="21"/>
      <c r="J123" s="21"/>
      <c r="K123" s="21"/>
      <c r="L123" s="20"/>
    </row>
    <row r="124" spans="2:12" x14ac:dyDescent="0.2">
      <c r="B124" s="19"/>
      <c r="C124" s="38" t="s">
        <v>288</v>
      </c>
      <c r="D124" s="73">
        <f>D113*DefaultTransitCaptureOffice</f>
        <v>0</v>
      </c>
      <c r="E124" s="21"/>
      <c r="F124" s="21"/>
      <c r="G124" s="21"/>
      <c r="H124" s="21"/>
      <c r="I124" s="21"/>
      <c r="J124" s="21"/>
      <c r="K124" s="21"/>
      <c r="L124" s="20"/>
    </row>
    <row r="125" spans="2:12" x14ac:dyDescent="0.2">
      <c r="B125" s="19"/>
      <c r="C125" s="38" t="s">
        <v>289</v>
      </c>
      <c r="D125" s="73">
        <f>D114*DefaultTransitCaptureRetail</f>
        <v>0</v>
      </c>
      <c r="E125" s="21"/>
      <c r="F125" s="21"/>
      <c r="G125" s="21"/>
      <c r="H125" s="21"/>
      <c r="I125" s="21"/>
      <c r="J125" s="21"/>
      <c r="K125" s="21"/>
      <c r="L125" s="20"/>
    </row>
    <row r="126" spans="2:12" x14ac:dyDescent="0.2">
      <c r="B126" s="19"/>
      <c r="C126" s="46"/>
      <c r="D126" s="90"/>
      <c r="E126" s="21"/>
      <c r="F126" s="21"/>
      <c r="G126" s="21"/>
      <c r="H126" s="21"/>
      <c r="I126" s="21"/>
      <c r="J126" s="21"/>
      <c r="K126" s="21"/>
      <c r="L126" s="20"/>
    </row>
    <row r="127" spans="2:12" x14ac:dyDescent="0.2">
      <c r="B127" s="19"/>
      <c r="C127" s="68" t="s">
        <v>797</v>
      </c>
      <c r="D127" s="208">
        <f>SUM(D122:D125)</f>
        <v>0</v>
      </c>
      <c r="E127" s="21"/>
      <c r="F127" s="21"/>
      <c r="G127" s="21"/>
      <c r="H127" s="21"/>
      <c r="I127" s="21"/>
      <c r="J127" s="21"/>
      <c r="K127" s="21"/>
      <c r="L127" s="20"/>
    </row>
    <row r="128" spans="2:12" x14ac:dyDescent="0.2">
      <c r="B128" s="19"/>
      <c r="C128" s="21"/>
      <c r="D128" s="21"/>
      <c r="E128" s="21"/>
      <c r="F128" s="21"/>
      <c r="G128" s="21"/>
      <c r="H128" s="21"/>
      <c r="I128" s="21"/>
      <c r="J128" s="21"/>
      <c r="K128" s="21"/>
      <c r="L128" s="20"/>
    </row>
    <row r="129" spans="2:12" x14ac:dyDescent="0.2">
      <c r="B129" s="19"/>
      <c r="C129" s="36" t="s">
        <v>22</v>
      </c>
      <c r="D129" s="21"/>
      <c r="E129" s="21"/>
      <c r="F129" s="21"/>
      <c r="G129" s="21"/>
      <c r="H129" s="21"/>
      <c r="I129" s="21"/>
      <c r="J129" s="21"/>
      <c r="K129" s="21"/>
      <c r="L129" s="20"/>
    </row>
    <row r="130" spans="2:12" x14ac:dyDescent="0.2">
      <c r="B130" s="19"/>
      <c r="C130" s="96" t="s">
        <v>798</v>
      </c>
      <c r="D130" s="21"/>
      <c r="E130" s="21"/>
      <c r="F130" s="21"/>
      <c r="G130" s="21"/>
      <c r="H130" s="21"/>
      <c r="I130" s="21"/>
      <c r="J130" s="21"/>
      <c r="K130" s="21"/>
      <c r="L130" s="20"/>
    </row>
    <row r="131" spans="2:12" ht="13.5" thickBot="1" x14ac:dyDescent="0.25">
      <c r="B131" s="22"/>
      <c r="C131" s="8"/>
      <c r="D131" s="8"/>
      <c r="E131" s="8"/>
      <c r="F131" s="8"/>
      <c r="G131" s="8"/>
      <c r="H131" s="8"/>
      <c r="I131" s="8"/>
      <c r="J131" s="8"/>
      <c r="K131" s="8"/>
      <c r="L131" s="9"/>
    </row>
  </sheetData>
  <mergeCells count="2">
    <mergeCell ref="C3:G3"/>
    <mergeCell ref="C5:G5"/>
  </mergeCells>
  <phoneticPr fontId="5" type="noConversion"/>
  <conditionalFormatting sqref="C45">
    <cfRule type="expression" dxfId="3" priority="3" stopIfTrue="1">
      <formula>$D$28="Planned"</formula>
    </cfRule>
  </conditionalFormatting>
  <conditionalFormatting sqref="D32 C33:K44">
    <cfRule type="expression" dxfId="2" priority="4" stopIfTrue="1">
      <formula>$D$31="Yes"</formula>
    </cfRule>
  </conditionalFormatting>
  <conditionalFormatting sqref="J22:J26">
    <cfRule type="expression" dxfId="1" priority="2">
      <formula>InputModeSplitMethod="Station Type"</formula>
    </cfRule>
  </conditionalFormatting>
  <conditionalFormatting sqref="D31">
    <cfRule type="expression" dxfId="0" priority="1" stopIfTrue="1">
      <formula>$D$31="Yes"</formula>
    </cfRule>
  </conditionalFormatting>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28"/>
  </sheetPr>
  <dimension ref="A1:H86"/>
  <sheetViews>
    <sheetView zoomScaleNormal="100" workbookViewId="0">
      <selection activeCell="D31" sqref="D31"/>
    </sheetView>
  </sheetViews>
  <sheetFormatPr defaultRowHeight="12.75" x14ac:dyDescent="0.2"/>
  <cols>
    <col min="1" max="1" width="8.5703125" style="6" customWidth="1"/>
    <col min="2" max="2" width="3.7109375" style="6" customWidth="1"/>
    <col min="3" max="3" width="43.85546875" style="6" customWidth="1"/>
    <col min="4" max="4" width="42.140625" style="6" customWidth="1"/>
    <col min="5" max="5" width="2.42578125" style="6" customWidth="1"/>
    <col min="6" max="6" width="19.42578125" style="6" customWidth="1"/>
    <col min="7" max="7" width="19" style="6" customWidth="1"/>
    <col min="8" max="8" width="3.5703125" style="6" customWidth="1"/>
    <col min="9" max="16384" width="9.140625" style="6"/>
  </cols>
  <sheetData>
    <row r="1" spans="1:8" ht="13.5" thickBot="1" x14ac:dyDescent="0.25">
      <c r="A1" s="114"/>
      <c r="B1" s="115"/>
      <c r="C1" s="115"/>
      <c r="D1" s="115"/>
      <c r="E1" s="115"/>
      <c r="F1" s="115"/>
      <c r="G1" s="115"/>
    </row>
    <row r="2" spans="1:8" x14ac:dyDescent="0.2">
      <c r="A2" s="101"/>
      <c r="B2" s="120"/>
      <c r="C2" s="121"/>
      <c r="D2" s="121"/>
      <c r="E2" s="121"/>
      <c r="F2" s="121"/>
      <c r="G2" s="121"/>
      <c r="H2" s="18"/>
    </row>
    <row r="3" spans="1:8" ht="31.5" customHeight="1" x14ac:dyDescent="0.3">
      <c r="A3" s="101"/>
      <c r="B3" s="122"/>
      <c r="C3" s="253" t="s">
        <v>805</v>
      </c>
      <c r="D3" s="253"/>
      <c r="E3" s="253"/>
      <c r="F3" s="253"/>
      <c r="G3" s="253"/>
      <c r="H3" s="20"/>
    </row>
    <row r="4" spans="1:8" ht="12.75" customHeight="1" x14ac:dyDescent="0.2">
      <c r="A4" s="101"/>
      <c r="B4" s="122"/>
      <c r="C4" s="210"/>
      <c r="D4" s="210"/>
      <c r="E4" s="210"/>
      <c r="F4" s="210"/>
      <c r="G4" s="210"/>
      <c r="H4" s="20"/>
    </row>
    <row r="5" spans="1:8" ht="39.75" customHeight="1" x14ac:dyDescent="0.2">
      <c r="A5" s="101"/>
      <c r="B5" s="122"/>
      <c r="C5" s="254" t="s">
        <v>799</v>
      </c>
      <c r="D5" s="255"/>
      <c r="E5" s="255"/>
      <c r="F5" s="255"/>
      <c r="G5" s="255"/>
      <c r="H5" s="20"/>
    </row>
    <row r="6" spans="1:8" ht="12.75" customHeight="1" x14ac:dyDescent="0.2">
      <c r="A6" s="101"/>
      <c r="B6" s="122"/>
      <c r="C6" s="210"/>
      <c r="D6" s="210"/>
      <c r="E6" s="210"/>
      <c r="F6" s="210"/>
      <c r="G6" s="210"/>
      <c r="H6" s="20"/>
    </row>
    <row r="7" spans="1:8" ht="12.75" customHeight="1" x14ac:dyDescent="0.2">
      <c r="A7" s="101"/>
      <c r="B7" s="122"/>
      <c r="C7" s="214" t="s">
        <v>749</v>
      </c>
      <c r="D7" s="4" t="s">
        <v>87</v>
      </c>
      <c r="E7" s="210"/>
      <c r="F7" s="210"/>
      <c r="G7" s="210"/>
      <c r="H7" s="20"/>
    </row>
    <row r="8" spans="1:8" ht="12.75" customHeight="1" x14ac:dyDescent="0.2">
      <c r="A8" s="101"/>
      <c r="B8" s="122"/>
      <c r="C8" s="210"/>
      <c r="D8" s="220" t="s">
        <v>168</v>
      </c>
      <c r="E8" s="210"/>
      <c r="F8" s="210"/>
      <c r="G8" s="210"/>
      <c r="H8" s="20"/>
    </row>
    <row r="9" spans="1:8" ht="12.75" customHeight="1" x14ac:dyDescent="0.2">
      <c r="A9" s="101"/>
      <c r="B9" s="122"/>
      <c r="C9" s="210"/>
      <c r="D9" s="37" t="s">
        <v>66</v>
      </c>
      <c r="E9" s="210"/>
      <c r="F9" s="210"/>
      <c r="G9" s="210"/>
      <c r="H9" s="20"/>
    </row>
    <row r="10" spans="1:8" ht="12.75" customHeight="1" thickBot="1" x14ac:dyDescent="0.25">
      <c r="A10" s="101"/>
      <c r="B10" s="122"/>
      <c r="C10" s="215"/>
      <c r="D10" s="215"/>
      <c r="E10" s="215"/>
      <c r="F10" s="215"/>
      <c r="G10" s="215"/>
      <c r="H10" s="20"/>
    </row>
    <row r="11" spans="1:8" ht="13.5" thickTop="1" x14ac:dyDescent="0.2">
      <c r="A11" s="101"/>
      <c r="B11" s="122"/>
      <c r="C11" s="67"/>
      <c r="D11" s="67"/>
      <c r="E11" s="67"/>
      <c r="F11" s="67"/>
      <c r="G11" s="67"/>
      <c r="H11" s="20"/>
    </row>
    <row r="12" spans="1:8" x14ac:dyDescent="0.2">
      <c r="A12" s="101"/>
      <c r="B12" s="122"/>
      <c r="C12" s="102" t="s">
        <v>25</v>
      </c>
      <c r="D12" s="107">
        <f>InputTransitAgency</f>
        <v>0</v>
      </c>
      <c r="E12" s="54"/>
      <c r="F12" s="105" t="s">
        <v>27</v>
      </c>
      <c r="G12" s="112">
        <f>InputDate</f>
        <v>0</v>
      </c>
      <c r="H12" s="20"/>
    </row>
    <row r="13" spans="1:8" x14ac:dyDescent="0.2">
      <c r="A13" s="101"/>
      <c r="B13" s="122"/>
      <c r="C13" s="103" t="s">
        <v>85</v>
      </c>
      <c r="D13" s="108">
        <f>InputCityRegion</f>
        <v>0</v>
      </c>
      <c r="E13" s="32"/>
      <c r="F13" s="106" t="s">
        <v>26</v>
      </c>
      <c r="G13" s="111">
        <f>InputAnalyst</f>
        <v>0</v>
      </c>
      <c r="H13" s="20"/>
    </row>
    <row r="14" spans="1:8" x14ac:dyDescent="0.2">
      <c r="A14" s="101"/>
      <c r="B14" s="122"/>
      <c r="C14" s="21"/>
      <c r="D14" s="21"/>
      <c r="E14" s="21"/>
      <c r="F14" s="21"/>
      <c r="G14" s="21"/>
      <c r="H14" s="20"/>
    </row>
    <row r="15" spans="1:8" x14ac:dyDescent="0.2">
      <c r="A15" s="101"/>
      <c r="B15" s="122"/>
      <c r="C15" s="102" t="s">
        <v>0</v>
      </c>
      <c r="D15" s="109">
        <f>InputStationName</f>
        <v>0</v>
      </c>
      <c r="E15" s="21"/>
      <c r="F15" s="21"/>
      <c r="G15" s="21"/>
      <c r="H15" s="20"/>
    </row>
    <row r="16" spans="1:8" x14ac:dyDescent="0.2">
      <c r="A16" s="101"/>
      <c r="B16" s="122"/>
      <c r="C16" s="104" t="s">
        <v>2</v>
      </c>
      <c r="D16" s="110">
        <f>InputNewExisting</f>
        <v>0</v>
      </c>
      <c r="E16" s="21"/>
      <c r="F16" s="21"/>
      <c r="G16" s="21"/>
      <c r="H16" s="20"/>
    </row>
    <row r="17" spans="1:8" x14ac:dyDescent="0.2">
      <c r="A17" s="101"/>
      <c r="B17" s="122"/>
      <c r="C17" s="104" t="s">
        <v>1</v>
      </c>
      <c r="D17" s="110">
        <f>InputLineHaulMode</f>
        <v>0</v>
      </c>
      <c r="E17" s="21"/>
      <c r="F17" s="21"/>
      <c r="G17" s="21"/>
      <c r="H17" s="20"/>
    </row>
    <row r="18" spans="1:8" x14ac:dyDescent="0.2">
      <c r="A18" s="101"/>
      <c r="B18" s="122"/>
      <c r="C18" s="103" t="s">
        <v>11</v>
      </c>
      <c r="D18" s="111">
        <f>InputStationType</f>
        <v>0</v>
      </c>
      <c r="E18" s="21"/>
      <c r="F18" s="21"/>
      <c r="G18" s="21"/>
      <c r="H18" s="20"/>
    </row>
    <row r="19" spans="1:8" x14ac:dyDescent="0.2">
      <c r="A19" s="101"/>
      <c r="B19" s="122"/>
      <c r="C19" s="67"/>
      <c r="D19" s="67"/>
      <c r="E19" s="67"/>
      <c r="F19" s="67"/>
      <c r="G19" s="67"/>
      <c r="H19" s="20"/>
    </row>
    <row r="20" spans="1:8" x14ac:dyDescent="0.2">
      <c r="A20" s="101"/>
      <c r="B20" s="122"/>
      <c r="C20" s="36" t="s">
        <v>316</v>
      </c>
      <c r="D20" s="67"/>
      <c r="E20" s="67"/>
      <c r="F20" s="67"/>
      <c r="G20" s="67"/>
      <c r="H20" s="20"/>
    </row>
    <row r="21" spans="1:8" x14ac:dyDescent="0.2">
      <c r="A21" s="101"/>
      <c r="B21" s="122"/>
      <c r="C21" s="123" t="s">
        <v>317</v>
      </c>
      <c r="D21" s="67"/>
      <c r="E21" s="67"/>
      <c r="F21" s="67"/>
      <c r="G21" s="67"/>
      <c r="H21" s="20"/>
    </row>
    <row r="22" spans="1:8" x14ac:dyDescent="0.2">
      <c r="A22" s="101"/>
      <c r="B22" s="122"/>
      <c r="C22" s="124" t="s">
        <v>293</v>
      </c>
      <c r="D22" s="125">
        <f>OutputTODTrips</f>
        <v>0</v>
      </c>
      <c r="E22" s="67"/>
      <c r="F22" s="67"/>
      <c r="G22" s="67"/>
      <c r="H22" s="20"/>
    </row>
    <row r="23" spans="1:8" x14ac:dyDescent="0.2">
      <c r="A23" s="101"/>
      <c r="B23" s="122"/>
      <c r="C23" s="124" t="s">
        <v>774</v>
      </c>
      <c r="D23" s="125">
        <f>OutputStep4RidershipChange</f>
        <v>0</v>
      </c>
      <c r="E23" s="67"/>
      <c r="F23" s="67"/>
      <c r="G23" s="67"/>
      <c r="H23" s="20"/>
    </row>
    <row r="24" spans="1:8" x14ac:dyDescent="0.2">
      <c r="B24" s="19"/>
      <c r="C24" s="124" t="s">
        <v>294</v>
      </c>
      <c r="D24" s="125" t="e">
        <f>OutputRidershipParkingPricing</f>
        <v>#DIV/0!</v>
      </c>
      <c r="E24" s="21"/>
      <c r="F24" s="21"/>
      <c r="G24" s="21"/>
      <c r="H24" s="20"/>
    </row>
    <row r="25" spans="1:8" x14ac:dyDescent="0.2">
      <c r="B25" s="19"/>
      <c r="C25" s="124" t="s">
        <v>295</v>
      </c>
      <c r="D25" s="125" t="e">
        <f>OutputRidershipFeederBus</f>
        <v>#DIV/0!</v>
      </c>
      <c r="E25" s="21"/>
      <c r="F25" s="21"/>
      <c r="G25" s="21"/>
      <c r="H25" s="20"/>
    </row>
    <row r="26" spans="1:8" x14ac:dyDescent="0.2">
      <c r="B26" s="19"/>
      <c r="C26" s="124" t="s">
        <v>296</v>
      </c>
      <c r="D26" s="125" t="e">
        <f>SUM(D22:D25)</f>
        <v>#DIV/0!</v>
      </c>
      <c r="E26" s="21"/>
      <c r="F26" s="21"/>
      <c r="G26" s="21"/>
      <c r="H26" s="20"/>
    </row>
    <row r="27" spans="1:8" ht="13.5" thickBot="1" x14ac:dyDescent="0.25">
      <c r="B27" s="19"/>
      <c r="C27" s="124" t="s">
        <v>297</v>
      </c>
      <c r="D27" s="126">
        <f>InputFare</f>
        <v>0</v>
      </c>
      <c r="E27" s="21"/>
      <c r="F27" s="21"/>
      <c r="G27" s="21"/>
      <c r="H27" s="20"/>
    </row>
    <row r="28" spans="1:8" ht="13.5" thickBot="1" x14ac:dyDescent="0.25">
      <c r="B28" s="19"/>
      <c r="C28" s="116" t="s">
        <v>800</v>
      </c>
      <c r="D28" s="117" t="e">
        <f>D26*InputFare*DefaultDailytoAnnual*DefaultFareDiscount</f>
        <v>#DIV/0!</v>
      </c>
      <c r="E28" s="21"/>
      <c r="F28" s="21"/>
      <c r="G28" s="21"/>
      <c r="H28" s="20"/>
    </row>
    <row r="29" spans="1:8" x14ac:dyDescent="0.2">
      <c r="B29" s="19"/>
      <c r="C29" s="21"/>
      <c r="D29" s="21"/>
      <c r="E29" s="21"/>
      <c r="F29" s="21"/>
      <c r="G29" s="21"/>
      <c r="H29" s="20"/>
    </row>
    <row r="30" spans="1:8" x14ac:dyDescent="0.2">
      <c r="B30" s="19"/>
      <c r="C30" s="21" t="s">
        <v>319</v>
      </c>
      <c r="D30" s="21"/>
      <c r="E30" s="21"/>
      <c r="F30" s="21"/>
      <c r="G30" s="21"/>
      <c r="H30" s="20"/>
    </row>
    <row r="31" spans="1:8" ht="15" x14ac:dyDescent="0.2">
      <c r="B31" s="19"/>
      <c r="C31" s="124" t="s">
        <v>333</v>
      </c>
      <c r="D31" s="127"/>
      <c r="E31" s="21"/>
      <c r="F31" s="178" t="s">
        <v>736</v>
      </c>
      <c r="G31" s="21"/>
      <c r="H31" s="20"/>
    </row>
    <row r="32" spans="1:8" x14ac:dyDescent="0.2">
      <c r="B32" s="19"/>
      <c r="C32" s="124" t="s">
        <v>298</v>
      </c>
      <c r="D32" s="126">
        <f>InputMonthlyCarParkingPrice</f>
        <v>0</v>
      </c>
      <c r="E32" s="21"/>
      <c r="F32" s="21"/>
      <c r="G32" s="21"/>
      <c r="H32" s="20"/>
    </row>
    <row r="33" spans="2:8" x14ac:dyDescent="0.2">
      <c r="B33" s="19"/>
      <c r="C33" s="124" t="s">
        <v>299</v>
      </c>
      <c r="D33" s="226">
        <f>DefaultReservedParkingCollectionCost</f>
        <v>0.1</v>
      </c>
      <c r="E33" s="21"/>
      <c r="F33" s="21"/>
      <c r="G33" s="21"/>
      <c r="H33" s="20"/>
    </row>
    <row r="34" spans="2:8" x14ac:dyDescent="0.2">
      <c r="B34" s="19"/>
      <c r="C34" s="124" t="s">
        <v>300</v>
      </c>
      <c r="D34" s="128">
        <f>D31*D32*(1-D33)</f>
        <v>0</v>
      </c>
      <c r="E34" s="21"/>
      <c r="F34" s="21"/>
      <c r="G34" s="21"/>
      <c r="H34" s="20"/>
    </row>
    <row r="35" spans="2:8" x14ac:dyDescent="0.2">
      <c r="B35" s="19"/>
      <c r="C35" s="124" t="s">
        <v>301</v>
      </c>
      <c r="D35" s="129">
        <f>InputCarParkingSpaces+OutputNewParking</f>
        <v>0</v>
      </c>
      <c r="E35" s="21"/>
      <c r="F35" s="21"/>
      <c r="G35" s="21"/>
      <c r="H35" s="20"/>
    </row>
    <row r="36" spans="2:8" x14ac:dyDescent="0.2">
      <c r="B36" s="19"/>
      <c r="C36" s="124" t="s">
        <v>302</v>
      </c>
      <c r="D36" s="126">
        <f>OutputProposedCarParkingPrice</f>
        <v>0</v>
      </c>
      <c r="E36" s="21"/>
      <c r="F36" s="21"/>
      <c r="G36" s="21"/>
      <c r="H36" s="20"/>
    </row>
    <row r="37" spans="2:8" x14ac:dyDescent="0.2">
      <c r="B37" s="19"/>
      <c r="C37" s="176" t="s">
        <v>739</v>
      </c>
      <c r="D37" s="227">
        <f>DefaultDailyParkingCollectionCost</f>
        <v>0.3</v>
      </c>
      <c r="E37" s="21"/>
      <c r="F37" s="21"/>
      <c r="G37" s="21"/>
      <c r="H37" s="20"/>
    </row>
    <row r="38" spans="2:8" ht="13.5" thickBot="1" x14ac:dyDescent="0.25">
      <c r="B38" s="19"/>
      <c r="C38" s="124" t="s">
        <v>303</v>
      </c>
      <c r="D38" s="128">
        <f>D35*D37*52*5</f>
        <v>0</v>
      </c>
      <c r="E38" s="21"/>
      <c r="F38" s="21"/>
      <c r="G38" s="21"/>
      <c r="H38" s="20"/>
    </row>
    <row r="39" spans="2:8" ht="13.5" thickBot="1" x14ac:dyDescent="0.25">
      <c r="B39" s="19"/>
      <c r="C39" s="116" t="s">
        <v>801</v>
      </c>
      <c r="D39" s="117">
        <f>D34+D38</f>
        <v>0</v>
      </c>
      <c r="E39" s="21"/>
      <c r="F39" s="21"/>
      <c r="G39" s="21"/>
      <c r="H39" s="20"/>
    </row>
    <row r="40" spans="2:8" x14ac:dyDescent="0.2">
      <c r="B40" s="19"/>
      <c r="C40" s="21"/>
      <c r="D40" s="21"/>
      <c r="E40" s="21"/>
      <c r="F40" s="21"/>
      <c r="G40" s="21"/>
      <c r="H40" s="20"/>
    </row>
    <row r="41" spans="2:8" x14ac:dyDescent="0.2">
      <c r="B41" s="19"/>
      <c r="C41" s="178" t="s">
        <v>804</v>
      </c>
      <c r="D41" s="21"/>
      <c r="E41" s="21"/>
      <c r="F41" s="21"/>
      <c r="G41" s="21"/>
      <c r="H41" s="20"/>
    </row>
    <row r="42" spans="2:8" x14ac:dyDescent="0.2">
      <c r="B42" s="19"/>
      <c r="C42" s="124" t="s">
        <v>304</v>
      </c>
      <c r="D42" s="130"/>
      <c r="E42" s="21"/>
      <c r="F42" s="21" t="s">
        <v>330</v>
      </c>
      <c r="G42" s="21"/>
      <c r="H42" s="20"/>
    </row>
    <row r="43" spans="2:8" x14ac:dyDescent="0.2">
      <c r="B43" s="19"/>
      <c r="C43" s="124" t="s">
        <v>305</v>
      </c>
      <c r="D43" s="129">
        <f>InputParcelSize</f>
        <v>0</v>
      </c>
      <c r="E43" s="21"/>
      <c r="F43" s="21" t="s">
        <v>331</v>
      </c>
      <c r="G43" s="21"/>
      <c r="H43" s="20"/>
    </row>
    <row r="44" spans="2:8" x14ac:dyDescent="0.2">
      <c r="B44" s="19"/>
      <c r="C44" s="124" t="s">
        <v>306</v>
      </c>
      <c r="D44" s="128">
        <f>D42*D43</f>
        <v>0</v>
      </c>
      <c r="E44" s="21"/>
      <c r="F44" s="21"/>
      <c r="G44" s="21"/>
      <c r="H44" s="20"/>
    </row>
    <row r="45" spans="2:8" x14ac:dyDescent="0.2">
      <c r="B45" s="19"/>
      <c r="C45" s="124" t="s">
        <v>323</v>
      </c>
      <c r="D45" s="131"/>
      <c r="E45" s="21"/>
      <c r="F45" s="21" t="s">
        <v>332</v>
      </c>
      <c r="G45" s="21"/>
      <c r="H45" s="20"/>
    </row>
    <row r="46" spans="2:8" x14ac:dyDescent="0.2">
      <c r="B46" s="19"/>
      <c r="C46" s="124" t="s">
        <v>324</v>
      </c>
      <c r="D46" s="127"/>
      <c r="E46" s="21"/>
      <c r="F46" s="21"/>
      <c r="G46" s="21"/>
      <c r="H46" s="20"/>
    </row>
    <row r="47" spans="2:8" x14ac:dyDescent="0.2">
      <c r="B47" s="19"/>
      <c r="C47" s="124" t="s">
        <v>307</v>
      </c>
      <c r="D47" s="128">
        <f>D45*D46</f>
        <v>0</v>
      </c>
      <c r="E47" s="21"/>
      <c r="F47" s="21"/>
      <c r="G47" s="21"/>
      <c r="H47" s="20"/>
    </row>
    <row r="48" spans="2:8" x14ac:dyDescent="0.2">
      <c r="B48" s="19"/>
      <c r="C48" s="124" t="s">
        <v>308</v>
      </c>
      <c r="D48" s="128">
        <f>D44-D47</f>
        <v>0</v>
      </c>
      <c r="E48" s="21"/>
      <c r="F48" s="21"/>
      <c r="G48" s="21"/>
      <c r="H48" s="20"/>
    </row>
    <row r="49" spans="2:8" ht="13.5" thickBot="1" x14ac:dyDescent="0.25">
      <c r="B49" s="19"/>
      <c r="C49" s="124" t="s">
        <v>309</v>
      </c>
      <c r="D49" s="228">
        <f>DefaultAnnualization</f>
        <v>0.1</v>
      </c>
      <c r="E49" s="21"/>
      <c r="F49" s="21"/>
      <c r="G49" s="21"/>
      <c r="H49" s="20"/>
    </row>
    <row r="50" spans="2:8" ht="13.5" thickBot="1" x14ac:dyDescent="0.25">
      <c r="B50" s="19"/>
      <c r="C50" s="116" t="s">
        <v>310</v>
      </c>
      <c r="D50" s="117">
        <f>D48*D49</f>
        <v>0</v>
      </c>
      <c r="E50" s="21"/>
      <c r="F50" s="21"/>
      <c r="G50" s="21"/>
      <c r="H50" s="20"/>
    </row>
    <row r="51" spans="2:8" ht="13.5" thickBot="1" x14ac:dyDescent="0.25">
      <c r="B51" s="19"/>
      <c r="C51" s="21"/>
      <c r="D51" s="21"/>
      <c r="E51" s="21"/>
      <c r="F51" s="21"/>
      <c r="G51" s="21"/>
      <c r="H51" s="20"/>
    </row>
    <row r="52" spans="2:8" ht="13.5" thickBot="1" x14ac:dyDescent="0.25">
      <c r="B52" s="19"/>
      <c r="C52" s="118" t="s">
        <v>802</v>
      </c>
      <c r="D52" s="119" t="e">
        <f>FiscalAnnualFareRevenue+FiscalCombinedParkingRevenue+FiscalGroundRent</f>
        <v>#DIV/0!</v>
      </c>
      <c r="E52" s="21"/>
      <c r="F52" s="21"/>
      <c r="G52" s="21"/>
      <c r="H52" s="20"/>
    </row>
    <row r="53" spans="2:8" x14ac:dyDescent="0.2">
      <c r="B53" s="19"/>
      <c r="C53" s="21"/>
      <c r="D53" s="21"/>
      <c r="E53" s="21"/>
      <c r="F53" s="21"/>
      <c r="G53" s="21"/>
      <c r="H53" s="20"/>
    </row>
    <row r="54" spans="2:8" x14ac:dyDescent="0.2">
      <c r="B54" s="19"/>
      <c r="C54" s="36" t="s">
        <v>325</v>
      </c>
      <c r="D54" s="21"/>
      <c r="E54" s="21"/>
      <c r="F54" s="21"/>
      <c r="G54" s="21"/>
      <c r="H54" s="20"/>
    </row>
    <row r="55" spans="2:8" x14ac:dyDescent="0.2">
      <c r="B55" s="19"/>
      <c r="C55" s="21" t="s">
        <v>326</v>
      </c>
      <c r="D55" s="21"/>
      <c r="E55" s="21"/>
      <c r="F55" s="21"/>
      <c r="G55" s="21"/>
      <c r="H55" s="20"/>
    </row>
    <row r="56" spans="2:8" x14ac:dyDescent="0.2">
      <c r="B56" s="19"/>
      <c r="C56" s="124" t="s">
        <v>327</v>
      </c>
      <c r="D56" s="128" t="e">
        <f>OutputNewParkingCost</f>
        <v>#VALUE!</v>
      </c>
      <c r="E56" s="21"/>
      <c r="F56" s="21"/>
      <c r="G56" s="21"/>
      <c r="H56" s="20"/>
    </row>
    <row r="57" spans="2:8" x14ac:dyDescent="0.2">
      <c r="B57" s="19"/>
      <c r="C57" s="21"/>
      <c r="D57" s="21"/>
      <c r="E57" s="21"/>
      <c r="F57" s="21"/>
      <c r="G57" s="21"/>
      <c r="H57" s="20"/>
    </row>
    <row r="58" spans="2:8" x14ac:dyDescent="0.2">
      <c r="B58" s="19"/>
      <c r="C58" s="21" t="s">
        <v>328</v>
      </c>
      <c r="D58" s="21"/>
      <c r="E58" s="21"/>
      <c r="F58" s="21"/>
      <c r="G58" s="21"/>
      <c r="H58" s="20"/>
    </row>
    <row r="59" spans="2:8" x14ac:dyDescent="0.2">
      <c r="B59" s="19"/>
      <c r="C59" s="124" t="s">
        <v>312</v>
      </c>
      <c r="D59" s="128">
        <f>OutputDailyFeederCost*250</f>
        <v>0</v>
      </c>
      <c r="E59" s="21"/>
      <c r="F59" s="21"/>
      <c r="G59" s="21"/>
      <c r="H59" s="20"/>
    </row>
    <row r="60" spans="2:8" x14ac:dyDescent="0.2">
      <c r="B60" s="19"/>
      <c r="C60" s="21"/>
      <c r="D60" s="21"/>
      <c r="E60" s="21"/>
      <c r="F60" s="21"/>
      <c r="G60" s="21"/>
      <c r="H60" s="20"/>
    </row>
    <row r="61" spans="2:8" x14ac:dyDescent="0.2">
      <c r="B61" s="19"/>
      <c r="C61" s="21" t="s">
        <v>313</v>
      </c>
      <c r="D61" s="21"/>
      <c r="E61" s="21"/>
      <c r="F61" s="21"/>
      <c r="G61" s="21"/>
      <c r="H61" s="20"/>
    </row>
    <row r="62" spans="2:8" x14ac:dyDescent="0.2">
      <c r="B62" s="19"/>
      <c r="C62" s="124" t="s">
        <v>311</v>
      </c>
      <c r="D62" s="131"/>
      <c r="E62" s="21"/>
      <c r="F62" s="21"/>
      <c r="G62" s="21"/>
      <c r="H62" s="20"/>
    </row>
    <row r="63" spans="2:8" x14ac:dyDescent="0.2">
      <c r="B63" s="19"/>
      <c r="C63" s="21"/>
      <c r="D63" s="21"/>
      <c r="E63" s="21"/>
      <c r="F63" s="21"/>
      <c r="G63" s="21"/>
      <c r="H63" s="20"/>
    </row>
    <row r="64" spans="2:8" x14ac:dyDescent="0.2">
      <c r="B64" s="19"/>
      <c r="C64" s="21" t="s">
        <v>314</v>
      </c>
      <c r="D64" s="21"/>
      <c r="E64" s="21"/>
      <c r="F64" s="21"/>
      <c r="G64" s="21"/>
      <c r="H64" s="20"/>
    </row>
    <row r="65" spans="2:8" x14ac:dyDescent="0.2">
      <c r="B65" s="19"/>
      <c r="C65" s="124" t="s">
        <v>315</v>
      </c>
      <c r="D65" s="131"/>
      <c r="E65" s="21"/>
      <c r="F65" s="21"/>
      <c r="G65" s="21"/>
      <c r="H65" s="20"/>
    </row>
    <row r="66" spans="2:8" ht="13.5" thickBot="1" x14ac:dyDescent="0.25">
      <c r="B66" s="19"/>
      <c r="C66" s="124" t="s">
        <v>309</v>
      </c>
      <c r="D66" s="228">
        <f>DefaultAnnualization</f>
        <v>0.1</v>
      </c>
      <c r="E66" s="21"/>
      <c r="F66" s="21"/>
      <c r="G66" s="21"/>
      <c r="H66" s="20"/>
    </row>
    <row r="67" spans="2:8" ht="13.5" thickBot="1" x14ac:dyDescent="0.25">
      <c r="B67" s="19"/>
      <c r="C67" s="116" t="s">
        <v>329</v>
      </c>
      <c r="D67" s="117">
        <f>D65*D66</f>
        <v>0</v>
      </c>
      <c r="E67" s="21"/>
      <c r="F67" s="21"/>
      <c r="G67" s="21"/>
      <c r="H67" s="20"/>
    </row>
    <row r="68" spans="2:8" x14ac:dyDescent="0.2">
      <c r="B68" s="19"/>
      <c r="C68" s="174"/>
      <c r="D68" s="175"/>
      <c r="E68" s="21"/>
      <c r="F68" s="21"/>
      <c r="G68" s="21"/>
      <c r="H68" s="20"/>
    </row>
    <row r="69" spans="2:8" x14ac:dyDescent="0.2">
      <c r="B69" s="19"/>
      <c r="C69" s="21" t="s">
        <v>726</v>
      </c>
      <c r="D69" s="175"/>
      <c r="E69" s="21"/>
      <c r="F69" s="21"/>
      <c r="G69" s="21"/>
      <c r="H69" s="20"/>
    </row>
    <row r="70" spans="2:8" x14ac:dyDescent="0.2">
      <c r="B70" s="19"/>
      <c r="C70" s="176" t="s">
        <v>727</v>
      </c>
      <c r="D70" s="177">
        <f>OutputBikeParkingSpaces</f>
        <v>0</v>
      </c>
      <c r="E70" s="21"/>
      <c r="F70" s="21"/>
      <c r="G70" s="21"/>
      <c r="H70" s="20"/>
    </row>
    <row r="71" spans="2:8" x14ac:dyDescent="0.2">
      <c r="B71" s="19"/>
      <c r="C71" s="176" t="s">
        <v>728</v>
      </c>
      <c r="D71" s="177">
        <f>IF((InputBicycleParkingSpaces+OutputBikeParkingSpaces)&lt;30,1,IF((InputBicycleParkingSpaces+OutputBikeParkingSpaces)&gt;60,3,2))</f>
        <v>1</v>
      </c>
      <c r="E71" s="21"/>
      <c r="F71" s="178" t="s">
        <v>729</v>
      </c>
      <c r="G71" s="21"/>
      <c r="H71" s="20"/>
    </row>
    <row r="72" spans="2:8" x14ac:dyDescent="0.2">
      <c r="B72" s="19"/>
      <c r="C72" s="176" t="s">
        <v>730</v>
      </c>
      <c r="D72" s="177">
        <f>IF(D71=1,OutputBikeParkingSpaces,IF(D71=2,OutputBikeParkingSpaces/2,OutputBikeParkingSpaces/3))</f>
        <v>0</v>
      </c>
      <c r="E72" s="21"/>
      <c r="F72" s="21"/>
      <c r="G72" s="21"/>
      <c r="H72" s="20"/>
    </row>
    <row r="73" spans="2:8" x14ac:dyDescent="0.2">
      <c r="B73" s="19"/>
      <c r="C73" s="176" t="s">
        <v>731</v>
      </c>
      <c r="D73" s="177">
        <f>IF(D71=1,0,IF(D71=2,OutputBikeParkingSpaces/2,OutputBikeParkingSpaces/3))</f>
        <v>0</v>
      </c>
      <c r="E73" s="21"/>
      <c r="F73" s="21"/>
      <c r="G73" s="21"/>
      <c r="H73" s="20"/>
    </row>
    <row r="74" spans="2:8" x14ac:dyDescent="0.2">
      <c r="B74" s="19"/>
      <c r="C74" s="176" t="s">
        <v>732</v>
      </c>
      <c r="D74" s="177">
        <f>IF(D71=1,0,IF(D71=2,0,OutputBikeParkingSpaces/3))</f>
        <v>0</v>
      </c>
      <c r="E74" s="21"/>
      <c r="F74" s="21"/>
      <c r="G74" s="21"/>
      <c r="H74" s="20"/>
    </row>
    <row r="75" spans="2:8" x14ac:dyDescent="0.2">
      <c r="B75" s="19"/>
      <c r="C75" s="176" t="s">
        <v>315</v>
      </c>
      <c r="D75" s="128">
        <f>(D72*DefaultCoveredRackCost)+(D73*DefaultRackCost)+(D74*DefaultLockerCost)</f>
        <v>0</v>
      </c>
      <c r="E75" s="21"/>
      <c r="F75" s="21"/>
      <c r="G75" s="21"/>
      <c r="H75" s="20"/>
    </row>
    <row r="76" spans="2:8" ht="13.5" thickBot="1" x14ac:dyDescent="0.25">
      <c r="B76" s="19"/>
      <c r="C76" s="124" t="s">
        <v>309</v>
      </c>
      <c r="D76" s="228">
        <f>DefaultAnnualization</f>
        <v>0.1</v>
      </c>
      <c r="E76" s="21"/>
      <c r="F76" s="21"/>
      <c r="G76" s="21"/>
      <c r="H76" s="20"/>
    </row>
    <row r="77" spans="2:8" ht="13.5" thickBot="1" x14ac:dyDescent="0.25">
      <c r="B77" s="19"/>
      <c r="C77" s="179" t="s">
        <v>742</v>
      </c>
      <c r="D77" s="117">
        <f>D75*D76</f>
        <v>0</v>
      </c>
      <c r="E77" s="21"/>
      <c r="F77" s="21"/>
      <c r="G77" s="21"/>
      <c r="H77" s="20"/>
    </row>
    <row r="78" spans="2:8" ht="13.5" thickBot="1" x14ac:dyDescent="0.25">
      <c r="B78" s="19"/>
      <c r="C78" s="21"/>
      <c r="D78" s="21"/>
      <c r="E78" s="21"/>
      <c r="F78" s="21"/>
      <c r="G78" s="21"/>
      <c r="H78" s="20"/>
    </row>
    <row r="79" spans="2:8" ht="13.5" thickBot="1" x14ac:dyDescent="0.25">
      <c r="B79" s="19"/>
      <c r="C79" s="118" t="s">
        <v>803</v>
      </c>
      <c r="D79" s="119" t="e">
        <f>FiscalParkingOperatingCosts+FiscalFeederBusCosts+FiscalOtherOperatingCosts+FiscalOtherCapitalCosts</f>
        <v>#VALUE!</v>
      </c>
      <c r="E79" s="21"/>
      <c r="F79" s="21"/>
      <c r="G79" s="21"/>
      <c r="H79" s="20"/>
    </row>
    <row r="80" spans="2:8" x14ac:dyDescent="0.2">
      <c r="B80" s="19"/>
      <c r="C80" s="21"/>
      <c r="D80" s="21"/>
      <c r="E80" s="21"/>
      <c r="F80" s="21"/>
      <c r="G80" s="21"/>
      <c r="H80" s="20"/>
    </row>
    <row r="81" spans="2:8" ht="13.5" thickBot="1" x14ac:dyDescent="0.25">
      <c r="B81" s="19"/>
      <c r="C81" s="21"/>
      <c r="D81" s="21"/>
      <c r="E81" s="21"/>
      <c r="F81" s="21"/>
      <c r="G81" s="21"/>
      <c r="H81" s="20"/>
    </row>
    <row r="82" spans="2:8" ht="13.5" thickBot="1" x14ac:dyDescent="0.25">
      <c r="B82" s="19"/>
      <c r="C82" s="183" t="s">
        <v>740</v>
      </c>
      <c r="D82" s="119" t="e">
        <f>FiscalAnnualRevenue-FiscalAnnualCost</f>
        <v>#DIV/0!</v>
      </c>
      <c r="E82" s="21"/>
      <c r="F82" s="21"/>
      <c r="G82" s="21"/>
      <c r="H82" s="20"/>
    </row>
    <row r="83" spans="2:8" x14ac:dyDescent="0.2">
      <c r="B83" s="19"/>
      <c r="C83" s="180"/>
      <c r="D83" s="181"/>
      <c r="E83" s="21"/>
      <c r="F83" s="21"/>
      <c r="G83" s="21"/>
      <c r="H83" s="20"/>
    </row>
    <row r="84" spans="2:8" x14ac:dyDescent="0.2">
      <c r="B84" s="19"/>
      <c r="C84" s="36" t="s">
        <v>22</v>
      </c>
      <c r="D84" s="175"/>
      <c r="E84" s="21"/>
      <c r="F84" s="21"/>
      <c r="G84" s="21"/>
      <c r="H84" s="20"/>
    </row>
    <row r="85" spans="2:8" x14ac:dyDescent="0.2">
      <c r="B85" s="19"/>
      <c r="C85" s="182" t="s">
        <v>737</v>
      </c>
      <c r="D85" s="175"/>
      <c r="E85" s="21"/>
      <c r="F85" s="21"/>
      <c r="G85" s="21"/>
      <c r="H85" s="20"/>
    </row>
    <row r="86" spans="2:8" ht="13.5" thickBot="1" x14ac:dyDescent="0.25">
      <c r="B86" s="22"/>
      <c r="C86" s="8"/>
      <c r="D86" s="8"/>
      <c r="E86" s="8"/>
      <c r="F86" s="8"/>
      <c r="G86" s="8"/>
      <c r="H86" s="9"/>
    </row>
  </sheetData>
  <mergeCells count="2">
    <mergeCell ref="C3:G3"/>
    <mergeCell ref="C5:G5"/>
  </mergeCells>
  <phoneticPr fontId="5"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7C3C41"/>
  </sheetPr>
  <dimension ref="A3:BR115"/>
  <sheetViews>
    <sheetView workbookViewId="0"/>
  </sheetViews>
  <sheetFormatPr defaultRowHeight="12.75" x14ac:dyDescent="0.2"/>
  <cols>
    <col min="1" max="1" width="37.7109375" style="6" customWidth="1"/>
    <col min="2" max="2" width="26.140625" style="6" customWidth="1"/>
    <col min="3" max="3" width="24.7109375" style="6" customWidth="1"/>
    <col min="4" max="4" width="9.140625" style="6"/>
    <col min="5" max="26" width="6.85546875" style="6" customWidth="1"/>
    <col min="27" max="27" width="9.140625" style="6"/>
    <col min="28" max="94" width="7.140625" style="6" customWidth="1"/>
    <col min="95" max="16384" width="9.140625" style="6"/>
  </cols>
  <sheetData>
    <row r="3" spans="1:9" ht="31.5" customHeight="1" x14ac:dyDescent="0.3">
      <c r="A3" s="256" t="s">
        <v>334</v>
      </c>
      <c r="B3" s="256"/>
      <c r="C3" s="256"/>
      <c r="D3" s="256"/>
      <c r="E3" s="150"/>
      <c r="F3" s="150"/>
      <c r="G3" s="150"/>
      <c r="H3" s="150"/>
      <c r="I3" s="150"/>
    </row>
    <row r="4" spans="1:9" ht="12.75" customHeight="1" x14ac:dyDescent="0.2">
      <c r="A4" s="210"/>
      <c r="B4" s="210"/>
      <c r="C4" s="210"/>
      <c r="D4" s="210"/>
      <c r="E4" s="150"/>
      <c r="F4" s="150"/>
      <c r="G4" s="150"/>
      <c r="H4" s="150"/>
      <c r="I4" s="150"/>
    </row>
    <row r="5" spans="1:9" ht="25.5" customHeight="1" x14ac:dyDescent="0.2">
      <c r="A5" s="257" t="s">
        <v>757</v>
      </c>
      <c r="B5" s="257"/>
      <c r="C5" s="257"/>
      <c r="D5" s="257"/>
      <c r="E5" s="150"/>
      <c r="F5" s="150"/>
      <c r="G5" s="150"/>
      <c r="H5" s="150"/>
      <c r="I5" s="150"/>
    </row>
    <row r="6" spans="1:9" ht="12.75" customHeight="1" thickBot="1" x14ac:dyDescent="0.25">
      <c r="A6" s="215"/>
      <c r="B6" s="215"/>
      <c r="C6" s="215"/>
      <c r="D6" s="215"/>
      <c r="E6" s="150"/>
      <c r="F6" s="150"/>
      <c r="G6" s="150"/>
      <c r="H6" s="150"/>
      <c r="I6" s="150"/>
    </row>
    <row r="7" spans="1:9" ht="12.75" customHeight="1" thickTop="1" x14ac:dyDescent="0.2">
      <c r="A7" s="210"/>
      <c r="B7" s="210"/>
      <c r="C7" s="210"/>
      <c r="D7" s="210"/>
      <c r="E7" s="150"/>
      <c r="F7" s="150"/>
      <c r="G7" s="150"/>
      <c r="H7" s="150"/>
      <c r="I7" s="150"/>
    </row>
    <row r="8" spans="1:9" x14ac:dyDescent="0.2">
      <c r="A8" s="74" t="s">
        <v>118</v>
      </c>
    </row>
    <row r="9" spans="1:9" x14ac:dyDescent="0.2">
      <c r="A9" s="242" t="s">
        <v>337</v>
      </c>
      <c r="B9" s="229">
        <v>350</v>
      </c>
    </row>
    <row r="10" spans="1:9" x14ac:dyDescent="0.2">
      <c r="A10" s="242" t="s">
        <v>119</v>
      </c>
      <c r="B10" s="229">
        <v>5250</v>
      </c>
    </row>
    <row r="11" spans="1:9" x14ac:dyDescent="0.2">
      <c r="A11" s="242" t="s">
        <v>338</v>
      </c>
      <c r="B11" s="229">
        <v>538</v>
      </c>
    </row>
    <row r="12" spans="1:9" x14ac:dyDescent="0.2">
      <c r="A12" s="93" t="s">
        <v>120</v>
      </c>
      <c r="B12" s="77"/>
    </row>
    <row r="13" spans="1:9" x14ac:dyDescent="0.2">
      <c r="A13" s="242" t="s">
        <v>121</v>
      </c>
      <c r="B13" s="229">
        <v>14000</v>
      </c>
    </row>
    <row r="14" spans="1:9" x14ac:dyDescent="0.2">
      <c r="A14" s="242" t="s">
        <v>122</v>
      </c>
      <c r="B14" s="229">
        <v>17500</v>
      </c>
    </row>
    <row r="15" spans="1:9" x14ac:dyDescent="0.2">
      <c r="A15" s="242" t="s">
        <v>123</v>
      </c>
      <c r="B15" s="229">
        <v>35000</v>
      </c>
    </row>
    <row r="16" spans="1:9" x14ac:dyDescent="0.2">
      <c r="A16" s="242" t="s">
        <v>124</v>
      </c>
      <c r="B16" s="230">
        <v>0.1</v>
      </c>
    </row>
    <row r="17" spans="1:2" x14ac:dyDescent="0.2">
      <c r="A17" s="243" t="s">
        <v>738</v>
      </c>
      <c r="B17" s="231">
        <v>0.3</v>
      </c>
    </row>
    <row r="18" spans="1:2" x14ac:dyDescent="0.2">
      <c r="A18" s="242" t="s">
        <v>769</v>
      </c>
      <c r="B18" s="232">
        <f>(0.05*(1+0.05)^25)/(((1+0.05)^25)-1)</f>
        <v>7.0952457299229624E-2</v>
      </c>
    </row>
    <row r="19" spans="1:2" x14ac:dyDescent="0.2">
      <c r="A19" s="242" t="s">
        <v>117</v>
      </c>
      <c r="B19" s="232">
        <v>1.2</v>
      </c>
    </row>
    <row r="20" spans="1:2" x14ac:dyDescent="0.2">
      <c r="A20" s="242" t="s">
        <v>129</v>
      </c>
      <c r="B20" s="232">
        <v>0.8</v>
      </c>
    </row>
    <row r="22" spans="1:2" x14ac:dyDescent="0.2">
      <c r="A22" s="113" t="s">
        <v>175</v>
      </c>
    </row>
    <row r="23" spans="1:2" x14ac:dyDescent="0.2">
      <c r="A23" s="242" t="s">
        <v>165</v>
      </c>
      <c r="B23" s="233">
        <v>0.34</v>
      </c>
    </row>
    <row r="24" spans="1:2" x14ac:dyDescent="0.2">
      <c r="A24" s="242" t="s">
        <v>164</v>
      </c>
      <c r="B24" s="233">
        <v>0.34</v>
      </c>
    </row>
    <row r="25" spans="1:2" x14ac:dyDescent="0.2">
      <c r="A25" s="242" t="s">
        <v>176</v>
      </c>
      <c r="B25" s="234">
        <v>1</v>
      </c>
    </row>
    <row r="26" spans="1:2" x14ac:dyDescent="0.2">
      <c r="A26" s="242" t="s">
        <v>187</v>
      </c>
      <c r="B26" s="233">
        <v>-0.33</v>
      </c>
    </row>
    <row r="28" spans="1:2" x14ac:dyDescent="0.2">
      <c r="A28" s="113" t="s">
        <v>63</v>
      </c>
    </row>
    <row r="29" spans="1:2" x14ac:dyDescent="0.2">
      <c r="A29" s="242" t="s">
        <v>743</v>
      </c>
      <c r="B29" s="233">
        <v>0.6</v>
      </c>
    </row>
    <row r="30" spans="1:2" x14ac:dyDescent="0.2">
      <c r="A30" s="242" t="s">
        <v>207</v>
      </c>
      <c r="B30" s="235">
        <v>0.2</v>
      </c>
    </row>
    <row r="32" spans="1:2" x14ac:dyDescent="0.2">
      <c r="A32" s="242" t="s">
        <v>208</v>
      </c>
      <c r="B32" s="233">
        <v>296</v>
      </c>
    </row>
    <row r="33" spans="1:3" x14ac:dyDescent="0.2">
      <c r="A33" s="242" t="s">
        <v>209</v>
      </c>
      <c r="B33" s="233">
        <v>0.9</v>
      </c>
    </row>
    <row r="34" spans="1:3" x14ac:dyDescent="0.2">
      <c r="A34" s="242" t="s">
        <v>210</v>
      </c>
      <c r="B34" s="233">
        <v>0.1</v>
      </c>
    </row>
    <row r="35" spans="1:3" x14ac:dyDescent="0.2">
      <c r="A35" s="135"/>
    </row>
    <row r="36" spans="1:3" x14ac:dyDescent="0.2">
      <c r="A36" s="242" t="s">
        <v>211</v>
      </c>
      <c r="B36" s="233">
        <v>50</v>
      </c>
    </row>
    <row r="37" spans="1:3" x14ac:dyDescent="0.2">
      <c r="A37" s="242" t="s">
        <v>212</v>
      </c>
      <c r="B37" s="236">
        <v>350000</v>
      </c>
    </row>
    <row r="38" spans="1:3" x14ac:dyDescent="0.2">
      <c r="A38" s="242" t="s">
        <v>213</v>
      </c>
      <c r="B38" s="232">
        <f>(0.06*(1+0.06)^13)/(((1+0.06)^13)-1)</f>
        <v>0.11296010534001906</v>
      </c>
    </row>
    <row r="39" spans="1:3" x14ac:dyDescent="0.2">
      <c r="A39" s="242" t="s">
        <v>214</v>
      </c>
      <c r="B39" s="236">
        <f>ROUND(B37*B38,-3)</f>
        <v>40000</v>
      </c>
    </row>
    <row r="40" spans="1:3" x14ac:dyDescent="0.2">
      <c r="A40" s="242" t="s">
        <v>215</v>
      </c>
      <c r="B40" s="233">
        <v>6</v>
      </c>
    </row>
    <row r="41" spans="1:3" x14ac:dyDescent="0.2">
      <c r="A41" s="242" t="s">
        <v>216</v>
      </c>
      <c r="B41" s="233">
        <v>250</v>
      </c>
    </row>
    <row r="42" spans="1:3" x14ac:dyDescent="0.2">
      <c r="A42" s="242" t="s">
        <v>217</v>
      </c>
      <c r="B42" s="236">
        <v>10</v>
      </c>
    </row>
    <row r="44" spans="1:3" x14ac:dyDescent="0.2">
      <c r="A44" s="74" t="s">
        <v>246</v>
      </c>
    </row>
    <row r="45" spans="1:3" x14ac:dyDescent="0.2">
      <c r="A45" s="74" t="s">
        <v>73</v>
      </c>
      <c r="B45" s="151" t="s">
        <v>247</v>
      </c>
      <c r="C45" s="151" t="s">
        <v>248</v>
      </c>
    </row>
    <row r="46" spans="1:3" x14ac:dyDescent="0.2">
      <c r="A46" s="243" t="s">
        <v>74</v>
      </c>
      <c r="B46" s="237">
        <v>1</v>
      </c>
      <c r="C46" s="237">
        <v>1</v>
      </c>
    </row>
    <row r="47" spans="1:3" x14ac:dyDescent="0.2">
      <c r="A47" s="243" t="s">
        <v>75</v>
      </c>
      <c r="B47" s="238">
        <v>0.9</v>
      </c>
      <c r="C47" s="238">
        <v>0.9</v>
      </c>
    </row>
    <row r="48" spans="1:3" x14ac:dyDescent="0.2">
      <c r="A48" s="243" t="s">
        <v>76</v>
      </c>
      <c r="B48" s="238">
        <v>0.9</v>
      </c>
      <c r="C48" s="238">
        <v>0.75</v>
      </c>
    </row>
    <row r="49" spans="1:4" x14ac:dyDescent="0.2">
      <c r="A49" s="243" t="s">
        <v>77</v>
      </c>
      <c r="B49" s="238">
        <v>0.95</v>
      </c>
      <c r="C49" s="238">
        <v>0.8</v>
      </c>
    </row>
    <row r="50" spans="1:4" x14ac:dyDescent="0.2">
      <c r="A50" s="171"/>
      <c r="B50" s="172"/>
      <c r="C50" s="172"/>
      <c r="D50" s="173"/>
    </row>
    <row r="51" spans="1:4" x14ac:dyDescent="0.2">
      <c r="A51" s="243" t="s">
        <v>722</v>
      </c>
      <c r="B51" s="238">
        <v>1.5</v>
      </c>
      <c r="C51" s="172"/>
    </row>
    <row r="52" spans="1:4" x14ac:dyDescent="0.2">
      <c r="A52" s="243" t="s">
        <v>733</v>
      </c>
      <c r="B52" s="239">
        <v>1000</v>
      </c>
      <c r="C52" s="172"/>
    </row>
    <row r="53" spans="1:4" x14ac:dyDescent="0.2">
      <c r="A53" s="243" t="s">
        <v>734</v>
      </c>
      <c r="B53" s="239">
        <v>100</v>
      </c>
      <c r="C53" s="172"/>
    </row>
    <row r="54" spans="1:4" x14ac:dyDescent="0.2">
      <c r="A54" s="243" t="s">
        <v>735</v>
      </c>
      <c r="B54" s="239">
        <v>3000</v>
      </c>
      <c r="C54" s="172"/>
    </row>
    <row r="55" spans="1:4" x14ac:dyDescent="0.2">
      <c r="A55" s="96"/>
      <c r="B55" s="96"/>
      <c r="C55" s="96"/>
    </row>
    <row r="56" spans="1:4" x14ac:dyDescent="0.2">
      <c r="A56" s="74" t="s">
        <v>78</v>
      </c>
      <c r="B56" s="151" t="s">
        <v>247</v>
      </c>
      <c r="C56" s="151" t="s">
        <v>248</v>
      </c>
    </row>
    <row r="57" spans="1:4" x14ac:dyDescent="0.2">
      <c r="A57" s="243" t="s">
        <v>79</v>
      </c>
      <c r="B57" s="237">
        <v>1</v>
      </c>
      <c r="C57" s="237">
        <v>1</v>
      </c>
    </row>
    <row r="58" spans="1:4" x14ac:dyDescent="0.2">
      <c r="A58" s="243" t="s">
        <v>80</v>
      </c>
      <c r="B58" s="237">
        <v>1</v>
      </c>
      <c r="C58" s="237">
        <v>0.9</v>
      </c>
    </row>
    <row r="59" spans="1:4" x14ac:dyDescent="0.2">
      <c r="A59" s="243" t="s">
        <v>81</v>
      </c>
      <c r="B59" s="237">
        <v>1</v>
      </c>
      <c r="C59" s="237">
        <v>0.85</v>
      </c>
    </row>
    <row r="60" spans="1:4" x14ac:dyDescent="0.2">
      <c r="A60" s="243" t="s">
        <v>82</v>
      </c>
      <c r="B60" s="237">
        <v>0.9</v>
      </c>
      <c r="C60" s="237">
        <v>0.7</v>
      </c>
    </row>
    <row r="61" spans="1:4" x14ac:dyDescent="0.2">
      <c r="A61" s="96"/>
      <c r="B61" s="96"/>
      <c r="C61" s="96"/>
    </row>
    <row r="62" spans="1:4" x14ac:dyDescent="0.2">
      <c r="A62" s="74" t="s">
        <v>263</v>
      </c>
      <c r="B62" s="96"/>
      <c r="C62" s="96"/>
    </row>
    <row r="63" spans="1:4" x14ac:dyDescent="0.2">
      <c r="A63" s="243" t="s">
        <v>264</v>
      </c>
      <c r="B63" s="240">
        <v>6.65</v>
      </c>
      <c r="C63" s="96" t="s">
        <v>745</v>
      </c>
    </row>
    <row r="64" spans="1:4" x14ac:dyDescent="0.2">
      <c r="A64" s="243" t="s">
        <v>265</v>
      </c>
      <c r="B64" s="240">
        <v>11.01</v>
      </c>
      <c r="C64" s="96" t="s">
        <v>746</v>
      </c>
    </row>
    <row r="65" spans="1:3" x14ac:dyDescent="0.2">
      <c r="A65" s="243" t="s">
        <v>339</v>
      </c>
      <c r="B65" s="240">
        <v>42.94</v>
      </c>
      <c r="C65" s="96" t="s">
        <v>747</v>
      </c>
    </row>
    <row r="66" spans="1:3" x14ac:dyDescent="0.2">
      <c r="A66" s="243" t="s">
        <v>266</v>
      </c>
      <c r="B66" s="240">
        <v>0.25</v>
      </c>
    </row>
    <row r="67" spans="1:3" x14ac:dyDescent="0.2">
      <c r="A67" s="243" t="s">
        <v>267</v>
      </c>
      <c r="B67" s="240">
        <v>0.75</v>
      </c>
      <c r="C67" s="96"/>
    </row>
    <row r="68" spans="1:3" x14ac:dyDescent="0.2">
      <c r="A68" s="96"/>
      <c r="B68" s="96"/>
      <c r="C68" s="96"/>
    </row>
    <row r="69" spans="1:3" x14ac:dyDescent="0.2">
      <c r="A69" s="113" t="s">
        <v>285</v>
      </c>
      <c r="B69" s="96"/>
      <c r="C69" s="96"/>
    </row>
    <row r="70" spans="1:3" x14ac:dyDescent="0.2">
      <c r="A70" s="243" t="s">
        <v>283</v>
      </c>
      <c r="B70" s="241">
        <v>0.40500000000000003</v>
      </c>
      <c r="C70" s="96"/>
    </row>
    <row r="71" spans="1:3" x14ac:dyDescent="0.2">
      <c r="A71" s="243" t="s">
        <v>284</v>
      </c>
      <c r="B71" s="241">
        <v>8.5500000000000007E-2</v>
      </c>
      <c r="C71" s="96"/>
    </row>
    <row r="72" spans="1:3" x14ac:dyDescent="0.2">
      <c r="A72" s="243" t="s">
        <v>71</v>
      </c>
      <c r="B72" s="241">
        <v>0.1</v>
      </c>
      <c r="C72" s="96"/>
    </row>
    <row r="73" spans="1:3" x14ac:dyDescent="0.2">
      <c r="A73" s="243" t="s">
        <v>69</v>
      </c>
      <c r="B73" s="241">
        <v>0.11700000000000001</v>
      </c>
      <c r="C73" s="96"/>
    </row>
    <row r="74" spans="1:3" x14ac:dyDescent="0.2">
      <c r="A74" s="96"/>
      <c r="B74" s="96"/>
      <c r="C74" s="96"/>
    </row>
    <row r="75" spans="1:3" x14ac:dyDescent="0.2">
      <c r="A75" s="113" t="s">
        <v>318</v>
      </c>
      <c r="B75" s="96"/>
      <c r="C75" s="96"/>
    </row>
    <row r="76" spans="1:3" x14ac:dyDescent="0.2">
      <c r="A76" s="243" t="s">
        <v>208</v>
      </c>
      <c r="B76" s="240">
        <v>296</v>
      </c>
      <c r="C76" s="96"/>
    </row>
    <row r="77" spans="1:3" x14ac:dyDescent="0.2">
      <c r="A77" s="243" t="s">
        <v>209</v>
      </c>
      <c r="B77" s="240">
        <v>0.9</v>
      </c>
      <c r="C77" s="96"/>
    </row>
    <row r="78" spans="1:3" x14ac:dyDescent="0.2">
      <c r="A78" s="243" t="s">
        <v>210</v>
      </c>
      <c r="B78" s="240">
        <v>0.1</v>
      </c>
      <c r="C78" s="96"/>
    </row>
    <row r="79" spans="1:3" x14ac:dyDescent="0.2">
      <c r="A79" s="96"/>
      <c r="B79" s="96"/>
      <c r="C79" s="96"/>
    </row>
    <row r="81" spans="2:70" x14ac:dyDescent="0.2">
      <c r="B81" s="160"/>
      <c r="AB81" s="160"/>
      <c r="AW81" s="160"/>
      <c r="BR81" s="160"/>
    </row>
    <row r="100" spans="1:27" x14ac:dyDescent="0.2">
      <c r="A100" s="160"/>
    </row>
    <row r="101" spans="1:27" x14ac:dyDescent="0.2">
      <c r="Y101" s="21"/>
      <c r="Z101" s="21"/>
      <c r="AA101" s="21"/>
    </row>
    <row r="102" spans="1:27" x14ac:dyDescent="0.2">
      <c r="Y102" s="21"/>
      <c r="Z102" s="21"/>
      <c r="AA102" s="21"/>
    </row>
    <row r="103" spans="1:27" x14ac:dyDescent="0.2">
      <c r="Y103" s="21"/>
      <c r="Z103" s="21"/>
      <c r="AA103" s="21"/>
    </row>
    <row r="104" spans="1:27" x14ac:dyDescent="0.2">
      <c r="Y104" s="21"/>
      <c r="Z104" s="21"/>
      <c r="AA104" s="21"/>
    </row>
    <row r="105" spans="1:27" x14ac:dyDescent="0.2">
      <c r="Y105" s="21"/>
      <c r="Z105" s="21"/>
      <c r="AA105" s="21"/>
    </row>
    <row r="106" spans="1:27" x14ac:dyDescent="0.2">
      <c r="Y106" s="21"/>
      <c r="Z106" s="21"/>
      <c r="AA106" s="21"/>
    </row>
    <row r="107" spans="1:27" x14ac:dyDescent="0.2">
      <c r="Y107" s="21"/>
      <c r="Z107" s="21"/>
      <c r="AA107" s="21"/>
    </row>
    <row r="108" spans="1:27" x14ac:dyDescent="0.2">
      <c r="Y108" s="21"/>
      <c r="Z108" s="21"/>
      <c r="AA108" s="21"/>
    </row>
    <row r="109" spans="1:27" x14ac:dyDescent="0.2">
      <c r="Y109" s="21"/>
      <c r="Z109" s="21"/>
      <c r="AA109" s="21"/>
    </row>
    <row r="110" spans="1:27" x14ac:dyDescent="0.2">
      <c r="Y110" s="21"/>
      <c r="Z110" s="21"/>
      <c r="AA110" s="21"/>
    </row>
    <row r="111" spans="1:27" x14ac:dyDescent="0.2">
      <c r="Y111" s="21"/>
      <c r="Z111" s="21"/>
      <c r="AA111" s="21"/>
    </row>
    <row r="112" spans="1:27" x14ac:dyDescent="0.2">
      <c r="Y112" s="21"/>
      <c r="Z112" s="21"/>
      <c r="AA112" s="21"/>
    </row>
    <row r="113" spans="25:27" x14ac:dyDescent="0.2">
      <c r="Y113" s="21"/>
      <c r="Z113" s="21"/>
      <c r="AA113" s="21"/>
    </row>
    <row r="114" spans="25:27" x14ac:dyDescent="0.2">
      <c r="Y114" s="21"/>
      <c r="Z114" s="21"/>
      <c r="AA114" s="21"/>
    </row>
    <row r="115" spans="25:27" x14ac:dyDescent="0.2">
      <c r="Y115" s="21"/>
      <c r="Z115" s="21"/>
      <c r="AA115" s="21"/>
    </row>
  </sheetData>
  <mergeCells count="2">
    <mergeCell ref="A3:D3"/>
    <mergeCell ref="A5:D5"/>
  </mergeCells>
  <phoneticPr fontId="5"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32"/>
  </sheetPr>
  <dimension ref="A1:CK437"/>
  <sheetViews>
    <sheetView workbookViewId="0">
      <selection activeCell="D10" sqref="D10"/>
    </sheetView>
  </sheetViews>
  <sheetFormatPr defaultRowHeight="12.75" x14ac:dyDescent="0.2"/>
  <cols>
    <col min="1" max="1" width="52.85546875" bestFit="1" customWidth="1"/>
    <col min="3" max="3" width="33.5703125" bestFit="1" customWidth="1"/>
  </cols>
  <sheetData>
    <row r="1" spans="1:4" x14ac:dyDescent="0.2">
      <c r="A1" t="s">
        <v>62</v>
      </c>
    </row>
    <row r="2" spans="1:4" ht="18.75" x14ac:dyDescent="0.3">
      <c r="A2" s="1" t="s">
        <v>3</v>
      </c>
    </row>
    <row r="4" spans="1:4" x14ac:dyDescent="0.2">
      <c r="A4" s="2" t="s">
        <v>4</v>
      </c>
      <c r="C4" s="2" t="s">
        <v>31</v>
      </c>
      <c r="D4" s="2" t="s">
        <v>130</v>
      </c>
    </row>
    <row r="6" spans="1:4" x14ac:dyDescent="0.2">
      <c r="A6" s="3" t="s">
        <v>5</v>
      </c>
      <c r="C6" s="3" t="s">
        <v>32</v>
      </c>
      <c r="D6" s="3" t="s">
        <v>131</v>
      </c>
    </row>
    <row r="7" spans="1:4" x14ac:dyDescent="0.2">
      <c r="A7" t="s">
        <v>6</v>
      </c>
      <c r="C7" s="164" t="s">
        <v>776</v>
      </c>
      <c r="D7" t="s">
        <v>132</v>
      </c>
    </row>
    <row r="8" spans="1:4" x14ac:dyDescent="0.2">
      <c r="A8" t="s">
        <v>150</v>
      </c>
      <c r="C8" s="164" t="s">
        <v>33</v>
      </c>
      <c r="D8" t="s">
        <v>133</v>
      </c>
    </row>
    <row r="9" spans="1:4" x14ac:dyDescent="0.2">
      <c r="D9" t="s">
        <v>134</v>
      </c>
    </row>
    <row r="10" spans="1:4" x14ac:dyDescent="0.2">
      <c r="A10" s="3" t="s">
        <v>44</v>
      </c>
      <c r="D10" t="s">
        <v>135</v>
      </c>
    </row>
    <row r="11" spans="1:4" x14ac:dyDescent="0.2">
      <c r="A11" t="s">
        <v>39</v>
      </c>
    </row>
    <row r="12" spans="1:4" x14ac:dyDescent="0.2">
      <c r="A12" t="s">
        <v>28</v>
      </c>
      <c r="C12" s="3" t="s">
        <v>68</v>
      </c>
    </row>
    <row r="13" spans="1:4" x14ac:dyDescent="0.2">
      <c r="A13" t="s">
        <v>40</v>
      </c>
      <c r="C13" t="s">
        <v>69</v>
      </c>
    </row>
    <row r="14" spans="1:4" x14ac:dyDescent="0.2">
      <c r="A14" t="s">
        <v>41</v>
      </c>
      <c r="C14" t="s">
        <v>70</v>
      </c>
    </row>
    <row r="15" spans="1:4" x14ac:dyDescent="0.2">
      <c r="A15" t="s">
        <v>42</v>
      </c>
      <c r="C15" t="s">
        <v>71</v>
      </c>
    </row>
    <row r="16" spans="1:4" x14ac:dyDescent="0.2">
      <c r="A16" t="s">
        <v>43</v>
      </c>
      <c r="C16" t="s">
        <v>72</v>
      </c>
    </row>
    <row r="18" spans="1:3" x14ac:dyDescent="0.2">
      <c r="A18" s="3" t="s">
        <v>8</v>
      </c>
      <c r="C18" s="3" t="s">
        <v>73</v>
      </c>
    </row>
    <row r="19" spans="1:3" x14ac:dyDescent="0.2">
      <c r="A19" s="164" t="s">
        <v>775</v>
      </c>
      <c r="C19" t="s">
        <v>74</v>
      </c>
    </row>
    <row r="20" spans="1:3" x14ac:dyDescent="0.2">
      <c r="A20" s="164" t="s">
        <v>778</v>
      </c>
      <c r="C20" t="s">
        <v>75</v>
      </c>
    </row>
    <row r="21" spans="1:3" x14ac:dyDescent="0.2">
      <c r="C21" t="s">
        <v>76</v>
      </c>
    </row>
    <row r="22" spans="1:3" x14ac:dyDescent="0.2">
      <c r="C22" t="s">
        <v>77</v>
      </c>
    </row>
    <row r="23" spans="1:3" x14ac:dyDescent="0.2">
      <c r="A23" s="3" t="s">
        <v>45</v>
      </c>
    </row>
    <row r="24" spans="1:3" x14ac:dyDescent="0.2">
      <c r="A24" t="s">
        <v>46</v>
      </c>
      <c r="C24" s="3" t="s">
        <v>78</v>
      </c>
    </row>
    <row r="25" spans="1:3" x14ac:dyDescent="0.2">
      <c r="A25" t="s">
        <v>47</v>
      </c>
      <c r="C25" t="s">
        <v>79</v>
      </c>
    </row>
    <row r="26" spans="1:3" x14ac:dyDescent="0.2">
      <c r="A26" t="s">
        <v>48</v>
      </c>
      <c r="C26" t="s">
        <v>80</v>
      </c>
    </row>
    <row r="27" spans="1:3" x14ac:dyDescent="0.2">
      <c r="A27" t="s">
        <v>49</v>
      </c>
      <c r="C27" t="s">
        <v>81</v>
      </c>
    </row>
    <row r="28" spans="1:3" x14ac:dyDescent="0.2">
      <c r="A28" t="s">
        <v>50</v>
      </c>
      <c r="C28" t="s">
        <v>82</v>
      </c>
    </row>
    <row r="29" spans="1:3" x14ac:dyDescent="0.2">
      <c r="A29" t="s">
        <v>51</v>
      </c>
    </row>
    <row r="30" spans="1:3" x14ac:dyDescent="0.2">
      <c r="A30" t="s">
        <v>52</v>
      </c>
    </row>
    <row r="31" spans="1:3" x14ac:dyDescent="0.2">
      <c r="A31" t="s">
        <v>53</v>
      </c>
    </row>
    <row r="32" spans="1:3" x14ac:dyDescent="0.2">
      <c r="A32" t="s">
        <v>54</v>
      </c>
    </row>
    <row r="33" spans="1:89" x14ac:dyDescent="0.2">
      <c r="A33" t="s">
        <v>55</v>
      </c>
    </row>
    <row r="34" spans="1:89" x14ac:dyDescent="0.2">
      <c r="A34" t="s">
        <v>56</v>
      </c>
    </row>
    <row r="35" spans="1:89" x14ac:dyDescent="0.2">
      <c r="A35" t="s">
        <v>57</v>
      </c>
    </row>
    <row r="36" spans="1:89" x14ac:dyDescent="0.2">
      <c r="A36" t="s">
        <v>58</v>
      </c>
    </row>
    <row r="37" spans="1:89" x14ac:dyDescent="0.2">
      <c r="A37" t="s">
        <v>59</v>
      </c>
    </row>
    <row r="38" spans="1:89" x14ac:dyDescent="0.2">
      <c r="A38" t="s">
        <v>60</v>
      </c>
    </row>
    <row r="39" spans="1:89" x14ac:dyDescent="0.2">
      <c r="A39" t="s">
        <v>61</v>
      </c>
    </row>
    <row r="41" spans="1:89" s="6" customFormat="1" x14ac:dyDescent="0.2">
      <c r="B41" s="160" t="s">
        <v>335</v>
      </c>
      <c r="AB41" s="160" t="s">
        <v>39</v>
      </c>
      <c r="AW41" s="160" t="s">
        <v>28</v>
      </c>
      <c r="BR41" s="160" t="s">
        <v>40</v>
      </c>
    </row>
    <row r="42" spans="1:89" x14ac:dyDescent="0.2">
      <c r="A42" s="133" t="s">
        <v>45</v>
      </c>
      <c r="B42" s="132" t="s">
        <v>188</v>
      </c>
      <c r="C42" s="21"/>
      <c r="D42" s="21"/>
      <c r="E42" s="136"/>
      <c r="F42" s="21" t="s">
        <v>189</v>
      </c>
      <c r="G42" s="21"/>
      <c r="H42" s="21"/>
      <c r="I42" s="21"/>
      <c r="J42" s="21" t="s">
        <v>63</v>
      </c>
      <c r="K42" s="6"/>
      <c r="L42" s="21"/>
      <c r="M42" s="136"/>
      <c r="N42" s="21" t="s">
        <v>37</v>
      </c>
      <c r="O42" s="6"/>
      <c r="P42" s="21"/>
      <c r="Q42" s="136"/>
      <c r="R42" s="6" t="s">
        <v>64</v>
      </c>
      <c r="S42" s="6"/>
      <c r="T42" s="6"/>
      <c r="U42" s="6"/>
      <c r="V42" s="6" t="s">
        <v>97</v>
      </c>
      <c r="W42" s="6"/>
      <c r="X42" s="6"/>
      <c r="Y42" s="6"/>
      <c r="Z42" s="6"/>
      <c r="AA42" s="6"/>
      <c r="AB42" s="132" t="s">
        <v>188</v>
      </c>
      <c r="AC42" s="21"/>
      <c r="AD42" s="21"/>
      <c r="AE42" s="136"/>
      <c r="AF42" s="21" t="s">
        <v>189</v>
      </c>
      <c r="AG42" s="21"/>
      <c r="AH42" s="21"/>
      <c r="AI42" s="21"/>
      <c r="AJ42" s="21" t="s">
        <v>63</v>
      </c>
      <c r="AK42" s="6"/>
      <c r="AL42" s="21"/>
      <c r="AM42" s="136"/>
      <c r="AN42" s="21" t="s">
        <v>37</v>
      </c>
      <c r="AO42" s="6"/>
      <c r="AP42" s="21"/>
      <c r="AQ42" s="136"/>
      <c r="AR42" s="6" t="s">
        <v>64</v>
      </c>
      <c r="AS42" s="6"/>
      <c r="AT42" s="6"/>
      <c r="AU42" s="6"/>
      <c r="AV42" s="6"/>
      <c r="AW42" s="132" t="s">
        <v>188</v>
      </c>
      <c r="AX42" s="21"/>
      <c r="AY42" s="21"/>
      <c r="AZ42" s="136"/>
      <c r="BA42" s="21" t="s">
        <v>189</v>
      </c>
      <c r="BB42" s="21"/>
      <c r="BC42" s="21"/>
      <c r="BD42" s="21"/>
      <c r="BE42" s="21" t="s">
        <v>63</v>
      </c>
      <c r="BF42" s="6"/>
      <c r="BG42" s="21"/>
      <c r="BH42" s="136"/>
      <c r="BI42" s="21" t="s">
        <v>37</v>
      </c>
      <c r="BJ42" s="6"/>
      <c r="BK42" s="21"/>
      <c r="BL42" s="136"/>
      <c r="BM42" s="6" t="s">
        <v>64</v>
      </c>
      <c r="BN42" s="6"/>
      <c r="BO42" s="6"/>
      <c r="BP42" s="6"/>
      <c r="BQ42" s="6"/>
      <c r="BR42" s="132" t="s">
        <v>188</v>
      </c>
      <c r="BS42" s="21"/>
      <c r="BT42" s="21"/>
      <c r="BU42" s="136"/>
      <c r="BV42" s="21" t="s">
        <v>189</v>
      </c>
      <c r="BW42" s="21"/>
      <c r="BX42" s="21"/>
      <c r="BY42" s="21"/>
      <c r="BZ42" s="21" t="s">
        <v>63</v>
      </c>
      <c r="CA42" s="6"/>
      <c r="CB42" s="21"/>
      <c r="CC42" s="136"/>
      <c r="CD42" s="21" t="s">
        <v>37</v>
      </c>
      <c r="CE42" s="6"/>
      <c r="CF42" s="21"/>
      <c r="CG42" s="136"/>
      <c r="CH42" s="6" t="s">
        <v>64</v>
      </c>
      <c r="CI42" s="6"/>
      <c r="CJ42" s="6"/>
      <c r="CK42" s="6"/>
    </row>
    <row r="43" spans="1:89" x14ac:dyDescent="0.2">
      <c r="A43" s="163"/>
      <c r="B43" s="134" t="s">
        <v>151</v>
      </c>
      <c r="C43" s="137" t="s">
        <v>99</v>
      </c>
      <c r="D43" s="137" t="s">
        <v>100</v>
      </c>
      <c r="E43" s="138" t="s">
        <v>103</v>
      </c>
      <c r="F43" s="134" t="s">
        <v>151</v>
      </c>
      <c r="G43" s="137" t="s">
        <v>99</v>
      </c>
      <c r="H43" s="137" t="s">
        <v>100</v>
      </c>
      <c r="I43" s="138" t="s">
        <v>103</v>
      </c>
      <c r="J43" s="134" t="s">
        <v>151</v>
      </c>
      <c r="K43" s="137" t="s">
        <v>99</v>
      </c>
      <c r="L43" s="137" t="s">
        <v>100</v>
      </c>
      <c r="M43" s="138" t="s">
        <v>103</v>
      </c>
      <c r="N43" s="134" t="s">
        <v>151</v>
      </c>
      <c r="O43" s="137" t="s">
        <v>99</v>
      </c>
      <c r="P43" s="137" t="s">
        <v>100</v>
      </c>
      <c r="Q43" s="138" t="s">
        <v>103</v>
      </c>
      <c r="R43" s="139" t="s">
        <v>151</v>
      </c>
      <c r="S43" s="137" t="s">
        <v>99</v>
      </c>
      <c r="T43" s="137" t="s">
        <v>100</v>
      </c>
      <c r="U43" s="137" t="s">
        <v>103</v>
      </c>
      <c r="V43" s="139" t="s">
        <v>96</v>
      </c>
      <c r="W43" s="137" t="s">
        <v>98</v>
      </c>
      <c r="X43" s="140" t="s">
        <v>101</v>
      </c>
      <c r="Y43" s="140" t="s">
        <v>102</v>
      </c>
      <c r="Z43" s="140" t="s">
        <v>103</v>
      </c>
      <c r="AA43" s="6"/>
      <c r="AB43" s="134" t="s">
        <v>151</v>
      </c>
      <c r="AC43" s="137" t="s">
        <v>99</v>
      </c>
      <c r="AD43" s="137" t="s">
        <v>100</v>
      </c>
      <c r="AE43" s="138" t="s">
        <v>103</v>
      </c>
      <c r="AF43" s="134" t="s">
        <v>151</v>
      </c>
      <c r="AG43" s="137" t="s">
        <v>99</v>
      </c>
      <c r="AH43" s="137" t="s">
        <v>100</v>
      </c>
      <c r="AI43" s="138" t="s">
        <v>103</v>
      </c>
      <c r="AJ43" s="134" t="s">
        <v>151</v>
      </c>
      <c r="AK43" s="137" t="s">
        <v>99</v>
      </c>
      <c r="AL43" s="137" t="s">
        <v>100</v>
      </c>
      <c r="AM43" s="138" t="s">
        <v>103</v>
      </c>
      <c r="AN43" s="134" t="s">
        <v>151</v>
      </c>
      <c r="AO43" s="137" t="s">
        <v>99</v>
      </c>
      <c r="AP43" s="137" t="s">
        <v>100</v>
      </c>
      <c r="AQ43" s="138" t="s">
        <v>103</v>
      </c>
      <c r="AR43" s="139" t="s">
        <v>151</v>
      </c>
      <c r="AS43" s="137" t="s">
        <v>99</v>
      </c>
      <c r="AT43" s="137" t="s">
        <v>100</v>
      </c>
      <c r="AU43" s="137" t="s">
        <v>103</v>
      </c>
      <c r="AV43" s="6"/>
      <c r="AW43" s="134" t="s">
        <v>151</v>
      </c>
      <c r="AX43" s="137" t="s">
        <v>99</v>
      </c>
      <c r="AY43" s="137" t="s">
        <v>100</v>
      </c>
      <c r="AZ43" s="138" t="s">
        <v>103</v>
      </c>
      <c r="BA43" s="134" t="s">
        <v>151</v>
      </c>
      <c r="BB43" s="137" t="s">
        <v>99</v>
      </c>
      <c r="BC43" s="137" t="s">
        <v>100</v>
      </c>
      <c r="BD43" s="138" t="s">
        <v>103</v>
      </c>
      <c r="BE43" s="134" t="s">
        <v>151</v>
      </c>
      <c r="BF43" s="137" t="s">
        <v>99</v>
      </c>
      <c r="BG43" s="137" t="s">
        <v>100</v>
      </c>
      <c r="BH43" s="138" t="s">
        <v>103</v>
      </c>
      <c r="BI43" s="134" t="s">
        <v>151</v>
      </c>
      <c r="BJ43" s="137" t="s">
        <v>99</v>
      </c>
      <c r="BK43" s="137" t="s">
        <v>100</v>
      </c>
      <c r="BL43" s="138" t="s">
        <v>103</v>
      </c>
      <c r="BM43" s="139" t="s">
        <v>151</v>
      </c>
      <c r="BN43" s="137" t="s">
        <v>99</v>
      </c>
      <c r="BO43" s="137" t="s">
        <v>100</v>
      </c>
      <c r="BP43" s="137" t="s">
        <v>103</v>
      </c>
      <c r="BQ43" s="6"/>
      <c r="BR43" s="134" t="s">
        <v>151</v>
      </c>
      <c r="BS43" s="137" t="s">
        <v>99</v>
      </c>
      <c r="BT43" s="137" t="s">
        <v>100</v>
      </c>
      <c r="BU43" s="138" t="s">
        <v>103</v>
      </c>
      <c r="BV43" s="134" t="s">
        <v>151</v>
      </c>
      <c r="BW43" s="137" t="s">
        <v>99</v>
      </c>
      <c r="BX43" s="137" t="s">
        <v>100</v>
      </c>
      <c r="BY43" s="138" t="s">
        <v>103</v>
      </c>
      <c r="BZ43" s="134" t="s">
        <v>151</v>
      </c>
      <c r="CA43" s="137" t="s">
        <v>99</v>
      </c>
      <c r="CB43" s="137" t="s">
        <v>100</v>
      </c>
      <c r="CC43" s="138" t="s">
        <v>103</v>
      </c>
      <c r="CD43" s="134" t="s">
        <v>151</v>
      </c>
      <c r="CE43" s="137" t="s">
        <v>99</v>
      </c>
      <c r="CF43" s="137" t="s">
        <v>100</v>
      </c>
      <c r="CG43" s="138" t="s">
        <v>103</v>
      </c>
      <c r="CH43" s="139" t="s">
        <v>151</v>
      </c>
      <c r="CI43" s="137" t="s">
        <v>99</v>
      </c>
      <c r="CJ43" s="137" t="s">
        <v>100</v>
      </c>
      <c r="CK43" s="137" t="s">
        <v>103</v>
      </c>
    </row>
    <row r="44" spans="1:89" x14ac:dyDescent="0.2">
      <c r="A44" s="19" t="s">
        <v>47</v>
      </c>
      <c r="B44" s="141">
        <v>9.5185659580335466E-2</v>
      </c>
      <c r="C44" s="141">
        <v>0</v>
      </c>
      <c r="D44" s="141">
        <v>0.59998879572743735</v>
      </c>
      <c r="E44" s="141">
        <v>0.15674004777465675</v>
      </c>
      <c r="F44" s="141">
        <v>3.9557033105977628E-2</v>
      </c>
      <c r="G44" s="141">
        <v>0</v>
      </c>
      <c r="H44" s="141">
        <v>0.18001531250583555</v>
      </c>
      <c r="I44" s="141">
        <v>4.5967450685072436E-2</v>
      </c>
      <c r="J44" s="141">
        <v>0.13741601265764028</v>
      </c>
      <c r="K44" s="141">
        <v>0</v>
      </c>
      <c r="L44" s="141">
        <v>0.47541144200626961</v>
      </c>
      <c r="M44" s="141">
        <v>0.13523409398948216</v>
      </c>
      <c r="N44" s="141">
        <v>1.5422309644710596E-2</v>
      </c>
      <c r="O44" s="141">
        <v>0</v>
      </c>
      <c r="P44" s="141">
        <v>5.5387117397253709E-2</v>
      </c>
      <c r="Q44" s="141">
        <v>2.1903031525789134E-2</v>
      </c>
      <c r="R44" s="141">
        <v>0.71755975489290613</v>
      </c>
      <c r="S44" s="141">
        <v>0.1599970121939833</v>
      </c>
      <c r="T44" s="141">
        <v>0.98270600203458802</v>
      </c>
      <c r="U44" s="161">
        <v>0.21264573689838806</v>
      </c>
      <c r="V44" s="143">
        <v>3</v>
      </c>
      <c r="W44" s="144">
        <v>38.583333333333336</v>
      </c>
      <c r="X44" s="145">
        <v>0</v>
      </c>
      <c r="Y44" s="145">
        <v>439</v>
      </c>
      <c r="Z44" s="146">
        <v>102.03789435331352</v>
      </c>
      <c r="AA44" s="6"/>
      <c r="AB44" s="184">
        <v>7.553148340238626E-2</v>
      </c>
      <c r="AC44" s="184">
        <v>7.3394495412844041E-3</v>
      </c>
      <c r="AD44" s="184">
        <v>0.59998879572743735</v>
      </c>
      <c r="AE44" s="184">
        <v>0.13846148283986343</v>
      </c>
      <c r="AF44" s="184">
        <v>3.7665300883487129E-2</v>
      </c>
      <c r="AG44" s="184">
        <v>0</v>
      </c>
      <c r="AH44" s="184">
        <v>0.18001531250583555</v>
      </c>
      <c r="AI44" s="184">
        <v>4.218679959942212E-2</v>
      </c>
      <c r="AJ44" s="184">
        <v>0.16334457891540274</v>
      </c>
      <c r="AK44" s="184">
        <v>9.999813262123956E-3</v>
      </c>
      <c r="AL44" s="184">
        <v>0.47541144200626961</v>
      </c>
      <c r="AM44" s="184">
        <v>0.14058837678504824</v>
      </c>
      <c r="AN44" s="184">
        <v>2.0563079526280795E-2</v>
      </c>
      <c r="AO44" s="184">
        <v>0</v>
      </c>
      <c r="AP44" s="184">
        <v>5.5387117397253709E-2</v>
      </c>
      <c r="AQ44" s="184">
        <v>2.3213673735896664E-2</v>
      </c>
      <c r="AR44" s="184">
        <v>0.7104714286768623</v>
      </c>
      <c r="AS44" s="184">
        <v>0.1599970121939833</v>
      </c>
      <c r="AT44" s="184">
        <v>0.98073394495412847</v>
      </c>
      <c r="AU44" s="185">
        <v>0.20019754333893411</v>
      </c>
      <c r="AV44" s="173"/>
      <c r="AW44" s="184">
        <v>0.39599071368948247</v>
      </c>
      <c r="AX44" s="184">
        <v>0.31385642737896496</v>
      </c>
      <c r="AY44" s="184">
        <v>0.47812500000000002</v>
      </c>
      <c r="AZ44" s="184">
        <v>0.11615542163616896</v>
      </c>
      <c r="BA44" s="184">
        <v>0.1158362896494157</v>
      </c>
      <c r="BB44" s="184">
        <v>0.10312499999999999</v>
      </c>
      <c r="BC44" s="184">
        <v>0.1285475792988314</v>
      </c>
      <c r="BD44" s="184">
        <v>1.7976478217456387E-2</v>
      </c>
      <c r="BE44" s="184">
        <v>4.4947308013355593E-2</v>
      </c>
      <c r="BF44" s="184">
        <v>2.8125000000000001E-2</v>
      </c>
      <c r="BG44" s="184">
        <v>6.1769616026711188E-2</v>
      </c>
      <c r="BH44" s="184">
        <v>2.3790336142905072E-2</v>
      </c>
      <c r="BI44" s="184">
        <v>0</v>
      </c>
      <c r="BJ44" s="184">
        <v>0</v>
      </c>
      <c r="BK44" s="184">
        <v>0</v>
      </c>
      <c r="BL44" s="184">
        <v>0</v>
      </c>
      <c r="BM44" s="184">
        <v>0.44322568864774625</v>
      </c>
      <c r="BN44" s="184">
        <v>0.390625</v>
      </c>
      <c r="BO44" s="184">
        <v>0.4958263772954925</v>
      </c>
      <c r="BP44" s="185">
        <v>7.4388607275807275E-2</v>
      </c>
      <c r="BQ44" s="173"/>
      <c r="BR44" s="184">
        <v>1.9125405967915683E-2</v>
      </c>
      <c r="BS44" s="184">
        <v>0</v>
      </c>
      <c r="BT44" s="184">
        <v>4.0082219938335044E-2</v>
      </c>
      <c r="BU44" s="184">
        <v>2.0103771542921783E-2</v>
      </c>
      <c r="BV44" s="184">
        <v>6.8516615279205209E-4</v>
      </c>
      <c r="BW44" s="184">
        <v>0</v>
      </c>
      <c r="BX44" s="184">
        <v>2.0554984583761563E-3</v>
      </c>
      <c r="BY44" s="184">
        <v>1.1867425882623346E-3</v>
      </c>
      <c r="BZ44" s="184">
        <v>3.4847562788001135E-2</v>
      </c>
      <c r="CA44" s="184">
        <v>0</v>
      </c>
      <c r="CB44" s="184">
        <v>7.5025693730729703E-2</v>
      </c>
      <c r="CC44" s="184">
        <v>3.7795831748798164E-2</v>
      </c>
      <c r="CD44" s="184">
        <v>0</v>
      </c>
      <c r="CE44" s="184">
        <v>0</v>
      </c>
      <c r="CF44" s="184">
        <v>0</v>
      </c>
      <c r="CG44" s="184">
        <v>0</v>
      </c>
      <c r="CH44" s="184">
        <v>0.94534186509129114</v>
      </c>
      <c r="CI44" s="184">
        <v>0.88283658787255914</v>
      </c>
      <c r="CJ44" s="184">
        <v>0.98270600203458802</v>
      </c>
      <c r="CK44" s="185">
        <v>5.4475064681266838E-2</v>
      </c>
    </row>
    <row r="45" spans="1:89" x14ac:dyDescent="0.2">
      <c r="A45" s="19" t="s">
        <v>50</v>
      </c>
      <c r="B45" s="142">
        <v>0.52645450469245991</v>
      </c>
      <c r="C45" s="142">
        <v>0.16964109602287869</v>
      </c>
      <c r="D45" s="142">
        <v>0.74226804123711343</v>
      </c>
      <c r="E45" s="142">
        <v>0.13718999573255591</v>
      </c>
      <c r="F45" s="142">
        <v>0.17404913366857641</v>
      </c>
      <c r="G45" s="142">
        <v>3.9419087136929459E-2</v>
      </c>
      <c r="H45" s="142">
        <v>0.31486146095717882</v>
      </c>
      <c r="I45" s="142">
        <v>5.4405755196186706E-2</v>
      </c>
      <c r="J45" s="142">
        <v>3.3834486253459861E-2</v>
      </c>
      <c r="K45" s="142">
        <v>0</v>
      </c>
      <c r="L45" s="142">
        <v>0.19701762313601445</v>
      </c>
      <c r="M45" s="142">
        <v>4.4471665367678562E-2</v>
      </c>
      <c r="N45" s="142">
        <v>1.2010747095053273E-2</v>
      </c>
      <c r="O45" s="142">
        <v>0</v>
      </c>
      <c r="P45" s="142">
        <v>0.19431212308600665</v>
      </c>
      <c r="Q45" s="142">
        <v>3.0584206418993024E-2</v>
      </c>
      <c r="R45" s="142">
        <v>0.25365112829045039</v>
      </c>
      <c r="S45" s="142">
        <v>3.7208315772647653E-2</v>
      </c>
      <c r="T45" s="142">
        <v>0.59424579210954132</v>
      </c>
      <c r="U45" s="162">
        <v>0.11412412512939171</v>
      </c>
      <c r="V45" s="143">
        <v>3.2435897435897436</v>
      </c>
      <c r="W45" s="144">
        <v>482.38461538461536</v>
      </c>
      <c r="X45" s="147">
        <v>65</v>
      </c>
      <c r="Y45" s="147">
        <v>1498</v>
      </c>
      <c r="Z45" s="148">
        <v>323.00469406599024</v>
      </c>
      <c r="AA45" s="6"/>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86">
        <v>0.52645450469246013</v>
      </c>
      <c r="AX45" s="186">
        <v>0.16964109602287869</v>
      </c>
      <c r="AY45" s="186">
        <v>0.74226804123711343</v>
      </c>
      <c r="AZ45" s="186">
        <v>0.13718999573255525</v>
      </c>
      <c r="BA45" s="186">
        <v>0.17404913366857644</v>
      </c>
      <c r="BB45" s="186">
        <v>3.9419087136929459E-2</v>
      </c>
      <c r="BC45" s="186">
        <v>0.31486146095717882</v>
      </c>
      <c r="BD45" s="186">
        <v>5.4405755196186761E-2</v>
      </c>
      <c r="BE45" s="186">
        <v>3.3834486253459875E-2</v>
      </c>
      <c r="BF45" s="186">
        <v>0</v>
      </c>
      <c r="BG45" s="186">
        <v>0.19701762313601445</v>
      </c>
      <c r="BH45" s="186">
        <v>4.4471665367678548E-2</v>
      </c>
      <c r="BI45" s="186">
        <v>1.2010747095053276E-2</v>
      </c>
      <c r="BJ45" s="186">
        <v>0</v>
      </c>
      <c r="BK45" s="186">
        <v>0.19431212308600665</v>
      </c>
      <c r="BL45" s="186">
        <v>3.058420641899303E-2</v>
      </c>
      <c r="BM45" s="186">
        <v>0.25365112829045044</v>
      </c>
      <c r="BN45" s="186">
        <v>3.7208315772647653E-2</v>
      </c>
      <c r="BO45" s="186">
        <v>0.59424579210954132</v>
      </c>
      <c r="BP45" s="187">
        <v>0.1141241251293915</v>
      </c>
      <c r="BQ45" s="173"/>
      <c r="BR45" s="173"/>
      <c r="BS45" s="173"/>
      <c r="BT45" s="173"/>
      <c r="BU45" s="173"/>
      <c r="BV45" s="173"/>
      <c r="BW45" s="173"/>
      <c r="BX45" s="173"/>
      <c r="BY45" s="173"/>
      <c r="BZ45" s="173"/>
      <c r="CA45" s="173"/>
      <c r="CB45" s="173"/>
      <c r="CC45" s="173"/>
      <c r="CD45" s="173"/>
      <c r="CE45" s="173"/>
      <c r="CF45" s="173"/>
      <c r="CG45" s="173"/>
      <c r="CH45" s="173"/>
      <c r="CI45" s="173"/>
      <c r="CJ45" s="173"/>
      <c r="CK45" s="173"/>
    </row>
    <row r="46" spans="1:89" x14ac:dyDescent="0.2">
      <c r="A46" s="19" t="s">
        <v>57</v>
      </c>
      <c r="B46" s="142">
        <v>0.2954612607607684</v>
      </c>
      <c r="C46" s="142">
        <v>1.6666666666666666E-2</v>
      </c>
      <c r="D46" s="142">
        <v>0.80575890678379702</v>
      </c>
      <c r="E46" s="142">
        <v>0.21572617812079881</v>
      </c>
      <c r="F46" s="142">
        <v>6.3268622961313817E-2</v>
      </c>
      <c r="G46" s="142">
        <v>8.7609511889862324E-3</v>
      </c>
      <c r="H46" s="142">
        <v>0.18556701030927836</v>
      </c>
      <c r="I46" s="142">
        <v>4.7560344386676071E-2</v>
      </c>
      <c r="J46" s="142">
        <v>0.36258254715450344</v>
      </c>
      <c r="K46" s="142">
        <v>3.5725190839694658E-2</v>
      </c>
      <c r="L46" s="142">
        <v>0.59583333333333333</v>
      </c>
      <c r="M46" s="142">
        <v>0.14112424442520227</v>
      </c>
      <c r="N46" s="142">
        <v>1.1070605298356573E-2</v>
      </c>
      <c r="O46" s="142">
        <v>0</v>
      </c>
      <c r="P46" s="142">
        <v>7.168100276642525E-2</v>
      </c>
      <c r="Q46" s="142">
        <v>2.0057850801146238E-2</v>
      </c>
      <c r="R46" s="142">
        <v>0.27264905714249249</v>
      </c>
      <c r="S46" s="142">
        <v>5.8565153733528552E-3</v>
      </c>
      <c r="T46" s="142">
        <v>0.85801526717557253</v>
      </c>
      <c r="U46" s="162">
        <v>0.22708285913633219</v>
      </c>
      <c r="V46" s="143">
        <v>2.1617647058823528</v>
      </c>
      <c r="W46" s="144">
        <v>821.63636363636363</v>
      </c>
      <c r="X46" s="147">
        <v>0</v>
      </c>
      <c r="Y46" s="147">
        <v>3765</v>
      </c>
      <c r="Z46" s="148">
        <v>1049.2877196530601</v>
      </c>
      <c r="AA46" s="6"/>
      <c r="AB46" s="186">
        <v>0.24875158749289961</v>
      </c>
      <c r="AC46" s="186">
        <v>5.7391177621825669E-2</v>
      </c>
      <c r="AD46" s="186">
        <v>0.62456140350877198</v>
      </c>
      <c r="AE46" s="186">
        <v>0.20789239136226115</v>
      </c>
      <c r="AF46" s="186">
        <v>8.7442783246325248E-2</v>
      </c>
      <c r="AG46" s="186">
        <v>3.3426183844011144E-2</v>
      </c>
      <c r="AH46" s="186">
        <v>0.18556701030927836</v>
      </c>
      <c r="AI46" s="186">
        <v>4.7328623754545621E-2</v>
      </c>
      <c r="AJ46" s="186">
        <v>0.31670990221630713</v>
      </c>
      <c r="AK46" s="186">
        <v>3.5725190839694658E-2</v>
      </c>
      <c r="AL46" s="186">
        <v>0.53055509800691814</v>
      </c>
      <c r="AM46" s="186">
        <v>0.14101820898285888</v>
      </c>
      <c r="AN46" s="186">
        <v>1.4238871921091807E-2</v>
      </c>
      <c r="AO46" s="186">
        <v>0</v>
      </c>
      <c r="AP46" s="186">
        <v>7.168100276642525E-2</v>
      </c>
      <c r="AQ46" s="186">
        <v>2.42731613411921E-2</v>
      </c>
      <c r="AR46" s="186">
        <v>0.33760314576374012</v>
      </c>
      <c r="AS46" s="186">
        <v>4.8969072164948453E-2</v>
      </c>
      <c r="AT46" s="186">
        <v>0.85801526717557253</v>
      </c>
      <c r="AU46" s="187">
        <v>0.24529208232709138</v>
      </c>
      <c r="AV46" s="173"/>
      <c r="AW46" s="186">
        <v>0.80575890678379702</v>
      </c>
      <c r="AX46" s="186">
        <v>0.80575890678379702</v>
      </c>
      <c r="AY46" s="186">
        <v>0.80575890678379702</v>
      </c>
      <c r="AZ46" s="186">
        <v>0</v>
      </c>
      <c r="BA46" s="186">
        <v>5.514885309907272E-2</v>
      </c>
      <c r="BB46" s="186">
        <v>5.514885309907272E-2</v>
      </c>
      <c r="BC46" s="186">
        <v>5.514885309907272E-2</v>
      </c>
      <c r="BD46" s="186">
        <v>0</v>
      </c>
      <c r="BE46" s="186">
        <v>0.12445095168374817</v>
      </c>
      <c r="BF46" s="186">
        <v>0.12445095168374817</v>
      </c>
      <c r="BG46" s="186">
        <v>0.12445095168374817</v>
      </c>
      <c r="BH46" s="186">
        <v>0</v>
      </c>
      <c r="BI46" s="186">
        <v>8.7847730600292828E-3</v>
      </c>
      <c r="BJ46" s="186">
        <v>8.7847730600292828E-3</v>
      </c>
      <c r="BK46" s="186">
        <v>8.7847730600292828E-3</v>
      </c>
      <c r="BL46" s="186">
        <v>0</v>
      </c>
      <c r="BM46" s="186">
        <v>5.8565153733528552E-3</v>
      </c>
      <c r="BN46" s="186">
        <v>5.8565153733528552E-3</v>
      </c>
      <c r="BO46" s="186">
        <v>5.8565153733528552E-3</v>
      </c>
      <c r="BP46" s="187">
        <v>0</v>
      </c>
      <c r="BQ46" s="173"/>
      <c r="BR46" s="186">
        <v>0.30104108667092361</v>
      </c>
      <c r="BS46" s="186">
        <v>1.6666666666666666E-2</v>
      </c>
      <c r="BT46" s="186">
        <v>0.47645211930926218</v>
      </c>
      <c r="BU46" s="186">
        <v>0.16394218936731864</v>
      </c>
      <c r="BV46" s="186">
        <v>3.1938605899325373E-2</v>
      </c>
      <c r="BW46" s="186">
        <v>8.7609511889862324E-3</v>
      </c>
      <c r="BX46" s="186">
        <v>9.8181818181818176E-2</v>
      </c>
      <c r="BY46" s="186">
        <v>2.9472419182792402E-2</v>
      </c>
      <c r="BZ46" s="186">
        <v>0.45020513990218258</v>
      </c>
      <c r="CA46" s="186">
        <v>0.31655422937208094</v>
      </c>
      <c r="CB46" s="186">
        <v>0.59583333333333333</v>
      </c>
      <c r="CC46" s="186">
        <v>7.780736750206721E-2</v>
      </c>
      <c r="CD46" s="186">
        <v>3.3838383838383835E-3</v>
      </c>
      <c r="CE46" s="186">
        <v>0</v>
      </c>
      <c r="CF46" s="186">
        <v>8.3333333333333332E-3</v>
      </c>
      <c r="CG46" s="186">
        <v>4.3817315609583785E-3</v>
      </c>
      <c r="CH46" s="186">
        <v>0.21568722139962235</v>
      </c>
      <c r="CI46" s="186">
        <v>3.2967032967032968E-2</v>
      </c>
      <c r="CJ46" s="186">
        <v>0.64037363777893097</v>
      </c>
      <c r="CK46" s="187">
        <v>0.18372545432668339</v>
      </c>
    </row>
    <row r="47" spans="1:89" x14ac:dyDescent="0.2">
      <c r="A47" s="19" t="s">
        <v>48</v>
      </c>
      <c r="B47" s="142">
        <v>6.7001197874285295E-2</v>
      </c>
      <c r="C47" s="142">
        <v>0</v>
      </c>
      <c r="D47" s="142">
        <v>0.43266475644699143</v>
      </c>
      <c r="E47" s="142">
        <v>8.600367753089011E-2</v>
      </c>
      <c r="F47" s="142">
        <v>3.8432245237165548E-2</v>
      </c>
      <c r="G47" s="142">
        <v>0</v>
      </c>
      <c r="H47" s="142">
        <v>0.31445993031358888</v>
      </c>
      <c r="I47" s="142">
        <v>5.9429051517760956E-2</v>
      </c>
      <c r="J47" s="142">
        <v>8.9135607170501771E-2</v>
      </c>
      <c r="K47" s="142">
        <v>0</v>
      </c>
      <c r="L47" s="142">
        <v>0.62527716186252769</v>
      </c>
      <c r="M47" s="142">
        <v>0.11920893536392295</v>
      </c>
      <c r="N47" s="142">
        <v>6.3051597557129717E-3</v>
      </c>
      <c r="O47" s="142">
        <v>0</v>
      </c>
      <c r="P47" s="142">
        <v>0.11372988838811085</v>
      </c>
      <c r="Q47" s="142">
        <v>1.8326298640280316E-2</v>
      </c>
      <c r="R47" s="142">
        <v>0.80066705123595339</v>
      </c>
      <c r="S47" s="142">
        <v>0.27793696275071633</v>
      </c>
      <c r="T47" s="142">
        <v>0.99618502622794469</v>
      </c>
      <c r="U47" s="162">
        <v>0.19665817464592614</v>
      </c>
      <c r="V47" s="143">
        <v>2.53125</v>
      </c>
      <c r="W47" s="144">
        <v>22.744444444444444</v>
      </c>
      <c r="X47" s="147">
        <v>0</v>
      </c>
      <c r="Y47" s="147">
        <v>602</v>
      </c>
      <c r="Z47" s="148">
        <v>92.791485602126713</v>
      </c>
      <c r="AA47" s="6"/>
      <c r="AB47" s="186">
        <v>9.5666170609104206E-2</v>
      </c>
      <c r="AC47" s="186">
        <v>2.4580634446105299E-2</v>
      </c>
      <c r="AD47" s="186">
        <v>0.24148606811145512</v>
      </c>
      <c r="AE47" s="186">
        <v>6.5608686817040809E-2</v>
      </c>
      <c r="AF47" s="186">
        <v>5.1791147385928903E-2</v>
      </c>
      <c r="AG47" s="186">
        <v>1.3409183258837871E-2</v>
      </c>
      <c r="AH47" s="186">
        <v>0.13496932515337423</v>
      </c>
      <c r="AI47" s="186">
        <v>3.3424238781709657E-2</v>
      </c>
      <c r="AJ47" s="186">
        <v>0.13872869833484977</v>
      </c>
      <c r="AK47" s="186">
        <v>0</v>
      </c>
      <c r="AL47" s="186">
        <v>0.36568848758465011</v>
      </c>
      <c r="AM47" s="186">
        <v>0.11881504038353578</v>
      </c>
      <c r="AN47" s="186">
        <v>1.2825961733934086E-2</v>
      </c>
      <c r="AO47" s="186">
        <v>0</v>
      </c>
      <c r="AP47" s="186">
        <v>0.11372988838811085</v>
      </c>
      <c r="AQ47" s="186">
        <v>3.1047298399671623E-2</v>
      </c>
      <c r="AR47" s="186">
        <v>0.70587410259672934</v>
      </c>
      <c r="AS47" s="186">
        <v>0.34984520123839008</v>
      </c>
      <c r="AT47" s="186">
        <v>0.94154751892346511</v>
      </c>
      <c r="AU47" s="187">
        <v>0.15707893005727031</v>
      </c>
      <c r="AV47" s="173"/>
      <c r="AW47" s="186">
        <v>0.26080475232756301</v>
      </c>
      <c r="AX47" s="186">
        <v>8.4028235998604331E-2</v>
      </c>
      <c r="AY47" s="186">
        <v>0.43266475644699143</v>
      </c>
      <c r="AZ47" s="186">
        <v>0.12855272655728819</v>
      </c>
      <c r="BA47" s="186">
        <v>0.19440798569371717</v>
      </c>
      <c r="BB47" s="186">
        <v>8.4028235998604331E-2</v>
      </c>
      <c r="BC47" s="186">
        <v>0.31445993031358888</v>
      </c>
      <c r="BD47" s="186">
        <v>8.6958474827178195E-2</v>
      </c>
      <c r="BE47" s="186">
        <v>5.6874184272618096E-2</v>
      </c>
      <c r="BF47" s="186">
        <v>0</v>
      </c>
      <c r="BG47" s="186">
        <v>0.23333333333333334</v>
      </c>
      <c r="BH47" s="186">
        <v>8.7084545282977585E-2</v>
      </c>
      <c r="BI47" s="186">
        <v>1.1634542969696847E-2</v>
      </c>
      <c r="BJ47" s="186">
        <v>0</v>
      </c>
      <c r="BK47" s="186">
        <v>4.48668400371788E-2</v>
      </c>
      <c r="BL47" s="186">
        <v>1.66127151787075E-2</v>
      </c>
      <c r="BM47" s="186">
        <v>0.47627853473640486</v>
      </c>
      <c r="BN47" s="186">
        <v>0.27793696275071633</v>
      </c>
      <c r="BO47" s="186">
        <v>0.81125392154475351</v>
      </c>
      <c r="BP47" s="187">
        <v>0.17566652872234206</v>
      </c>
      <c r="BQ47" s="173"/>
      <c r="BR47" s="186">
        <v>3.5411047735508801E-2</v>
      </c>
      <c r="BS47" s="186">
        <v>0</v>
      </c>
      <c r="BT47" s="186">
        <v>0.22222222222222221</v>
      </c>
      <c r="BU47" s="186">
        <v>4.6343219188116937E-2</v>
      </c>
      <c r="BV47" s="186">
        <v>1.6297291554586656E-2</v>
      </c>
      <c r="BW47" s="186">
        <v>0</v>
      </c>
      <c r="BX47" s="186">
        <v>0.12030075187969924</v>
      </c>
      <c r="BY47" s="186">
        <v>2.6299990680589833E-2</v>
      </c>
      <c r="BZ47" s="186">
        <v>7.5980365974274003E-2</v>
      </c>
      <c r="CA47" s="186">
        <v>0</v>
      </c>
      <c r="CB47" s="186">
        <v>0.62527716186252769</v>
      </c>
      <c r="CC47" s="186">
        <v>0.11923606988977248</v>
      </c>
      <c r="CD47" s="186">
        <v>3.7619075012387711E-3</v>
      </c>
      <c r="CE47" s="186">
        <v>0</v>
      </c>
      <c r="CF47" s="186">
        <v>7.6923076923076927E-2</v>
      </c>
      <c r="CG47" s="186">
        <v>1.3222319460659146E-2</v>
      </c>
      <c r="CH47" s="186">
        <v>0.86939885021854213</v>
      </c>
      <c r="CI47" s="186">
        <v>0.28381374722838137</v>
      </c>
      <c r="CJ47" s="186">
        <v>0.99618502622794469</v>
      </c>
      <c r="CK47" s="187">
        <v>0.15915812867860038</v>
      </c>
    </row>
    <row r="48" spans="1:89" x14ac:dyDescent="0.2">
      <c r="A48" s="19" t="s">
        <v>61</v>
      </c>
      <c r="B48" s="142">
        <v>0.58594770354380854</v>
      </c>
      <c r="C48" s="142">
        <v>0.46549054424779762</v>
      </c>
      <c r="D48" s="142">
        <v>0.69968497396041929</v>
      </c>
      <c r="E48" s="142">
        <v>0.10128210060900274</v>
      </c>
      <c r="F48" s="142">
        <v>0.16256281105438014</v>
      </c>
      <c r="G48" s="142">
        <v>9.7307001795332138E-2</v>
      </c>
      <c r="H48" s="142">
        <v>0.22965697538884106</v>
      </c>
      <c r="I48" s="142">
        <v>5.6272548045111649E-2</v>
      </c>
      <c r="J48" s="142">
        <v>0.12030507792169229</v>
      </c>
      <c r="K48" s="142">
        <v>2.9869185288919468E-2</v>
      </c>
      <c r="L48" s="142">
        <v>0.26804308797127468</v>
      </c>
      <c r="M48" s="142">
        <v>0.10501157786857986</v>
      </c>
      <c r="N48" s="142">
        <v>6.0693546331799041E-2</v>
      </c>
      <c r="O48" s="142">
        <v>6.1114636957252623E-3</v>
      </c>
      <c r="P48" s="142">
        <v>0.16176349864928374</v>
      </c>
      <c r="Q48" s="142">
        <v>7.3323572921235106E-2</v>
      </c>
      <c r="R48" s="142">
        <v>7.0490861148319928E-2</v>
      </c>
      <c r="S48" s="142">
        <v>6.0116256440020006E-2</v>
      </c>
      <c r="T48" s="142">
        <v>7.899461400359066E-2</v>
      </c>
      <c r="U48" s="162">
        <v>9.5590702806882689E-3</v>
      </c>
      <c r="V48" s="143">
        <v>6.8125</v>
      </c>
      <c r="W48" s="144">
        <v>1812</v>
      </c>
      <c r="X48" s="147">
        <v>1338</v>
      </c>
      <c r="Y48" s="147">
        <v>2804</v>
      </c>
      <c r="Z48" s="148">
        <v>674.0182984657514</v>
      </c>
      <c r="AA48" s="6"/>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86">
        <v>0.58594770354380854</v>
      </c>
      <c r="AX48" s="186">
        <v>0.46549054424779762</v>
      </c>
      <c r="AY48" s="186">
        <v>0.69968497396041929</v>
      </c>
      <c r="AZ48" s="186">
        <v>0.10128210060900236</v>
      </c>
      <c r="BA48" s="186">
        <v>0.16256281105438014</v>
      </c>
      <c r="BB48" s="186">
        <v>9.7307001795332138E-2</v>
      </c>
      <c r="BC48" s="186">
        <v>0.22965697538884106</v>
      </c>
      <c r="BD48" s="186">
        <v>5.6272548045111649E-2</v>
      </c>
      <c r="BE48" s="186">
        <v>0.12030507792169229</v>
      </c>
      <c r="BF48" s="186">
        <v>2.9869185288919468E-2</v>
      </c>
      <c r="BG48" s="186">
        <v>0.26804308797127468</v>
      </c>
      <c r="BH48" s="186">
        <v>0.10501157786857986</v>
      </c>
      <c r="BI48" s="186">
        <v>6.0693546331799041E-2</v>
      </c>
      <c r="BJ48" s="186">
        <v>6.1114636957252623E-3</v>
      </c>
      <c r="BK48" s="186">
        <v>0.16176349864928374</v>
      </c>
      <c r="BL48" s="186">
        <v>7.3323572921235092E-2</v>
      </c>
      <c r="BM48" s="186">
        <v>7.0490861148319914E-2</v>
      </c>
      <c r="BN48" s="186">
        <v>6.0116256440020006E-2</v>
      </c>
      <c r="BO48" s="186">
        <v>7.899461400359066E-2</v>
      </c>
      <c r="BP48" s="187">
        <v>9.5590702806883903E-3</v>
      </c>
      <c r="BQ48" s="173"/>
      <c r="BR48" s="173"/>
      <c r="BS48" s="173"/>
      <c r="BT48" s="173"/>
      <c r="BU48" s="173"/>
      <c r="BV48" s="173"/>
      <c r="BW48" s="173"/>
      <c r="BX48" s="173"/>
      <c r="BY48" s="173"/>
      <c r="BZ48" s="173"/>
      <c r="CA48" s="173"/>
      <c r="CB48" s="173"/>
      <c r="CC48" s="173"/>
      <c r="CD48" s="173"/>
      <c r="CE48" s="173"/>
      <c r="CF48" s="173"/>
      <c r="CG48" s="173"/>
      <c r="CH48" s="173"/>
      <c r="CI48" s="173"/>
      <c r="CJ48" s="173"/>
      <c r="CK48" s="173"/>
    </row>
    <row r="49" spans="1:89" x14ac:dyDescent="0.2">
      <c r="A49" s="19" t="s">
        <v>59</v>
      </c>
      <c r="B49" s="142">
        <v>0.13069599924754771</v>
      </c>
      <c r="C49" s="142">
        <v>0</v>
      </c>
      <c r="D49" s="142">
        <v>0.33530280649926147</v>
      </c>
      <c r="E49" s="142">
        <v>0.12017073317790494</v>
      </c>
      <c r="F49" s="142">
        <v>6.4189487318286276E-2</v>
      </c>
      <c r="G49" s="142">
        <v>4.3478260869565218E-3</v>
      </c>
      <c r="H49" s="142">
        <v>0.16666666666666666</v>
      </c>
      <c r="I49" s="142">
        <v>5.2505121968808834E-2</v>
      </c>
      <c r="J49" s="142">
        <v>0.24369945921435024</v>
      </c>
      <c r="K49" s="142">
        <v>0</v>
      </c>
      <c r="L49" s="142">
        <v>0.6060709123373863</v>
      </c>
      <c r="M49" s="142">
        <v>0.1874394316331727</v>
      </c>
      <c r="N49" s="142">
        <v>1.533823472206014E-2</v>
      </c>
      <c r="O49" s="142">
        <v>0</v>
      </c>
      <c r="P49" s="142">
        <v>4.878048780487805E-2</v>
      </c>
      <c r="Q49" s="142">
        <v>2.2261149738197601E-2</v>
      </c>
      <c r="R49" s="142">
        <v>0.55444312934615214</v>
      </c>
      <c r="S49" s="142">
        <v>0.12665446666285415</v>
      </c>
      <c r="T49" s="142">
        <v>0.89019337016574585</v>
      </c>
      <c r="U49" s="162">
        <v>0.26310661341062497</v>
      </c>
      <c r="V49" s="143">
        <v>0</v>
      </c>
      <c r="W49" s="144">
        <v>162.90909090909091</v>
      </c>
      <c r="X49" s="147">
        <v>0</v>
      </c>
      <c r="Y49" s="147">
        <v>952</v>
      </c>
      <c r="Z49" s="148">
        <v>315.59006782389542</v>
      </c>
      <c r="AA49" s="6"/>
      <c r="AB49" s="186">
        <v>0.10086681103472898</v>
      </c>
      <c r="AC49" s="186">
        <v>2.0193861066235864E-2</v>
      </c>
      <c r="AD49" s="186">
        <v>0.23558080278566754</v>
      </c>
      <c r="AE49" s="186">
        <v>9.3936634218503581E-2</v>
      </c>
      <c r="AF49" s="186">
        <v>6.0188666405705422E-2</v>
      </c>
      <c r="AG49" s="186">
        <v>4.3478260869565218E-3</v>
      </c>
      <c r="AH49" s="186">
        <v>0.12262521588946459</v>
      </c>
      <c r="AI49" s="186">
        <v>5.2948092152975773E-2</v>
      </c>
      <c r="AJ49" s="186">
        <v>0.2846282429468654</v>
      </c>
      <c r="AK49" s="186">
        <v>0.10189982728842832</v>
      </c>
      <c r="AL49" s="186">
        <v>0.6060709123373863</v>
      </c>
      <c r="AM49" s="186">
        <v>0.21198154192688512</v>
      </c>
      <c r="AN49" s="186">
        <v>9.3035619351408815E-3</v>
      </c>
      <c r="AO49" s="186">
        <v>0</v>
      </c>
      <c r="AP49" s="186">
        <v>2.7910685805422646E-2</v>
      </c>
      <c r="AQ49" s="186">
        <v>1.6114241963027829E-2</v>
      </c>
      <c r="AR49" s="186">
        <v>0.54966449864512978</v>
      </c>
      <c r="AS49" s="186">
        <v>0.12665446666285415</v>
      </c>
      <c r="AT49" s="186">
        <v>0.86086956521739133</v>
      </c>
      <c r="AU49" s="187">
        <v>0.26757125475021315</v>
      </c>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86">
        <v>0.16649102510293012</v>
      </c>
      <c r="BS49" s="186">
        <v>0</v>
      </c>
      <c r="BT49" s="186">
        <v>0.33530280649926147</v>
      </c>
      <c r="BU49" s="186">
        <v>0.1487821332411049</v>
      </c>
      <c r="BV49" s="186">
        <v>6.8990472413383311E-2</v>
      </c>
      <c r="BW49" s="186">
        <v>2.9268292682926828E-2</v>
      </c>
      <c r="BX49" s="186">
        <v>0.16666666666666666</v>
      </c>
      <c r="BY49" s="186">
        <v>5.7747487649097914E-2</v>
      </c>
      <c r="BZ49" s="186">
        <v>0.19458491873533204</v>
      </c>
      <c r="CA49" s="186">
        <v>0</v>
      </c>
      <c r="CB49" s="186">
        <v>0.35302806499261447</v>
      </c>
      <c r="CC49" s="186">
        <v>0.16166504899166206</v>
      </c>
      <c r="CD49" s="186">
        <v>2.4390243902439025E-2</v>
      </c>
      <c r="CE49" s="186">
        <v>0</v>
      </c>
      <c r="CF49" s="186">
        <v>4.878048780487805E-2</v>
      </c>
      <c r="CG49" s="186">
        <v>3.4493013716416956E-2</v>
      </c>
      <c r="CH49" s="186">
        <v>0.56017748618737895</v>
      </c>
      <c r="CI49" s="186">
        <v>0.26883308714918758</v>
      </c>
      <c r="CJ49" s="186">
        <v>0.89019337016574585</v>
      </c>
      <c r="CK49" s="187">
        <v>0.28895397222174113</v>
      </c>
    </row>
    <row r="50" spans="1:89" x14ac:dyDescent="0.2">
      <c r="A50" s="19" t="s">
        <v>55</v>
      </c>
      <c r="B50" s="142">
        <v>0.36101686250677473</v>
      </c>
      <c r="C50" s="142">
        <v>4.0312093628088429E-2</v>
      </c>
      <c r="D50" s="142">
        <v>0.76703645007923926</v>
      </c>
      <c r="E50" s="142">
        <v>0.22714976851823698</v>
      </c>
      <c r="F50" s="142">
        <v>8.8141451324701164E-2</v>
      </c>
      <c r="G50" s="142">
        <v>1.6990291262135922E-2</v>
      </c>
      <c r="H50" s="142">
        <v>0.15190859310288013</v>
      </c>
      <c r="I50" s="142">
        <v>4.205876677095359E-2</v>
      </c>
      <c r="J50" s="142">
        <v>0.24932764432313639</v>
      </c>
      <c r="K50" s="142">
        <v>6.5104166666666671E-2</v>
      </c>
      <c r="L50" s="142">
        <v>0.59492847854356312</v>
      </c>
      <c r="M50" s="142">
        <v>0.1543451074513634</v>
      </c>
      <c r="N50" s="142">
        <v>2.5187871671875389E-2</v>
      </c>
      <c r="O50" s="142">
        <v>7.575757575757576E-3</v>
      </c>
      <c r="P50" s="142">
        <v>5.9841479524438572E-2</v>
      </c>
      <c r="Q50" s="142">
        <v>1.8370199066267377E-2</v>
      </c>
      <c r="R50" s="142">
        <v>0.28988887030452204</v>
      </c>
      <c r="S50" s="142">
        <v>1.1093502377179081E-2</v>
      </c>
      <c r="T50" s="142">
        <v>0.76041666666666663</v>
      </c>
      <c r="U50" s="162">
        <v>0.21616285186434109</v>
      </c>
      <c r="V50" s="143">
        <v>2.2954545454545454</v>
      </c>
      <c r="W50" s="144">
        <v>1267.8461538461538</v>
      </c>
      <c r="X50" s="147">
        <v>0</v>
      </c>
      <c r="Y50" s="147">
        <v>3242</v>
      </c>
      <c r="Z50" s="148">
        <v>1175.5397941764063</v>
      </c>
      <c r="AA50" s="6"/>
      <c r="AB50" s="186">
        <v>0.47285679924893625</v>
      </c>
      <c r="AC50" s="186">
        <v>4.0312093628088429E-2</v>
      </c>
      <c r="AD50" s="186">
        <v>0.76703645007923926</v>
      </c>
      <c r="AE50" s="186">
        <v>0.23908543610172323</v>
      </c>
      <c r="AF50" s="186">
        <v>9.8672820296151098E-2</v>
      </c>
      <c r="AG50" s="186">
        <v>5.5266579973992196E-2</v>
      </c>
      <c r="AH50" s="186">
        <v>0.15190859310288013</v>
      </c>
      <c r="AI50" s="186">
        <v>3.5326633488490009E-2</v>
      </c>
      <c r="AJ50" s="186">
        <v>0.25978264234426324</v>
      </c>
      <c r="AK50" s="186">
        <v>8.874801901743265E-2</v>
      </c>
      <c r="AL50" s="186">
        <v>0.59492847854356312</v>
      </c>
      <c r="AM50" s="186">
        <v>0.18256584166454681</v>
      </c>
      <c r="AN50" s="186">
        <v>3.627748608960038E-2</v>
      </c>
      <c r="AO50" s="186">
        <v>1.2713492654762189E-2</v>
      </c>
      <c r="AP50" s="186">
        <v>5.9841479524438572E-2</v>
      </c>
      <c r="AQ50" s="186">
        <v>3.3324519099218741E-2</v>
      </c>
      <c r="AR50" s="186">
        <v>0.15832274208504926</v>
      </c>
      <c r="AS50" s="186">
        <v>1.1093502377179081E-2</v>
      </c>
      <c r="AT50" s="186">
        <v>0.30949284785435632</v>
      </c>
      <c r="AU50" s="187">
        <v>0.11255583503191874</v>
      </c>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86">
        <v>0.2305369363075864</v>
      </c>
      <c r="BS50" s="186">
        <v>4.1666666666666664E-2</v>
      </c>
      <c r="BT50" s="186">
        <v>0.38300970873786405</v>
      </c>
      <c r="BU50" s="186">
        <v>0.13151871845471075</v>
      </c>
      <c r="BV50" s="186">
        <v>7.5854854191342858E-2</v>
      </c>
      <c r="BW50" s="186">
        <v>1.6990291262135922E-2</v>
      </c>
      <c r="BX50" s="186">
        <v>0.13333333333333333</v>
      </c>
      <c r="BY50" s="186">
        <v>4.9106661878296404E-2</v>
      </c>
      <c r="BZ50" s="186">
        <v>0.23713014663182189</v>
      </c>
      <c r="CA50" s="186">
        <v>6.5104166666666671E-2</v>
      </c>
      <c r="CB50" s="186">
        <v>0.38592233009708737</v>
      </c>
      <c r="CC50" s="186">
        <v>0.12979168269888328</v>
      </c>
      <c r="CD50" s="186">
        <v>1.9643064463012887E-2</v>
      </c>
      <c r="CE50" s="186">
        <v>7.575757575757576E-3</v>
      </c>
      <c r="CF50" s="186">
        <v>2.6666666666666668E-2</v>
      </c>
      <c r="CG50" s="186">
        <v>8.3238382908330973E-3</v>
      </c>
      <c r="CH50" s="186">
        <v>0.44338268656057361</v>
      </c>
      <c r="CI50" s="186">
        <v>0.21407766990291263</v>
      </c>
      <c r="CJ50" s="186">
        <v>0.76041666666666663</v>
      </c>
      <c r="CK50" s="187">
        <v>0.21079564221273064</v>
      </c>
    </row>
    <row r="51" spans="1:89" x14ac:dyDescent="0.2">
      <c r="A51" s="19" t="s">
        <v>54</v>
      </c>
      <c r="B51" s="142">
        <v>0.64946330714876654</v>
      </c>
      <c r="C51" s="142">
        <v>0.16348773841961853</v>
      </c>
      <c r="D51" s="142">
        <v>0.87596899224806202</v>
      </c>
      <c r="E51" s="142">
        <v>0.16625173165901974</v>
      </c>
      <c r="F51" s="142">
        <v>0.12211445484549062</v>
      </c>
      <c r="G51" s="142">
        <v>1.2345679012345678E-2</v>
      </c>
      <c r="H51" s="142">
        <v>0.22018925571402351</v>
      </c>
      <c r="I51" s="142">
        <v>4.2138121787956236E-2</v>
      </c>
      <c r="J51" s="142">
        <v>0.11890985067648562</v>
      </c>
      <c r="K51" s="142">
        <v>0</v>
      </c>
      <c r="L51" s="142">
        <v>0.70844686648501365</v>
      </c>
      <c r="M51" s="142">
        <v>0.14958170398822057</v>
      </c>
      <c r="N51" s="142">
        <v>1.1713811376060134E-2</v>
      </c>
      <c r="O51" s="142">
        <v>0</v>
      </c>
      <c r="P51" s="142">
        <v>3.3844260903463048E-2</v>
      </c>
      <c r="Q51" s="142">
        <v>9.7957592709694338E-3</v>
      </c>
      <c r="R51" s="142">
        <v>9.9628858980706558E-2</v>
      </c>
      <c r="S51" s="142">
        <v>6.5893064346295776E-3</v>
      </c>
      <c r="T51" s="142">
        <v>0.43209876543209874</v>
      </c>
      <c r="U51" s="162">
        <v>9.6601820990511733E-2</v>
      </c>
      <c r="V51" s="143">
        <v>3.328125</v>
      </c>
      <c r="W51" s="144">
        <v>1895.34375</v>
      </c>
      <c r="X51" s="147">
        <v>250</v>
      </c>
      <c r="Y51" s="147">
        <v>5821</v>
      </c>
      <c r="Z51" s="148">
        <v>1482.2135062210821</v>
      </c>
      <c r="AA51" s="6"/>
      <c r="AB51" s="186">
        <v>0.60539023470848541</v>
      </c>
      <c r="AC51" s="186">
        <v>0.36463398828771237</v>
      </c>
      <c r="AD51" s="186">
        <v>0.83173357463614295</v>
      </c>
      <c r="AE51" s="186">
        <v>0.13385389600295228</v>
      </c>
      <c r="AF51" s="186">
        <v>0.11994975609178124</v>
      </c>
      <c r="AG51" s="186">
        <v>7.7161619846771251E-2</v>
      </c>
      <c r="AH51" s="186">
        <v>0.16774193548387098</v>
      </c>
      <c r="AI51" s="186">
        <v>2.7300394845630651E-2</v>
      </c>
      <c r="AJ51" s="186">
        <v>0.16242290613018279</v>
      </c>
      <c r="AK51" s="186">
        <v>1.020234516178699E-2</v>
      </c>
      <c r="AL51" s="186">
        <v>0.37275221334355646</v>
      </c>
      <c r="AM51" s="186">
        <v>0.10431578641042732</v>
      </c>
      <c r="AN51" s="186">
        <v>1.4471775503614207E-2</v>
      </c>
      <c r="AO51" s="186">
        <v>0</v>
      </c>
      <c r="AP51" s="186">
        <v>3.0301772661482349E-2</v>
      </c>
      <c r="AQ51" s="186">
        <v>1.0103579139410028E-2</v>
      </c>
      <c r="AR51" s="186">
        <v>0.10258925273380774</v>
      </c>
      <c r="AS51" s="186">
        <v>3.0009571533134397E-2</v>
      </c>
      <c r="AT51" s="186">
        <v>0.23893676425075844</v>
      </c>
      <c r="AU51" s="187">
        <v>6.1748710449652022E-2</v>
      </c>
      <c r="AV51" s="173"/>
      <c r="AW51" s="186">
        <v>0.75636931890055537</v>
      </c>
      <c r="AX51" s="186">
        <v>0.44846706263987801</v>
      </c>
      <c r="AY51" s="186">
        <v>0.87596899224806202</v>
      </c>
      <c r="AZ51" s="186">
        <v>0.11705912083492681</v>
      </c>
      <c r="BA51" s="186">
        <v>0.14143804980430225</v>
      </c>
      <c r="BB51" s="186">
        <v>7.7519379844961239E-2</v>
      </c>
      <c r="BC51" s="186">
        <v>0.22018925571402351</v>
      </c>
      <c r="BD51" s="186">
        <v>3.9510141730677767E-2</v>
      </c>
      <c r="BE51" s="186">
        <v>2.9331621009191459E-2</v>
      </c>
      <c r="BF51" s="186">
        <v>0</v>
      </c>
      <c r="BG51" s="186">
        <v>0.13750207331232378</v>
      </c>
      <c r="BH51" s="186">
        <v>3.6885149220131079E-2</v>
      </c>
      <c r="BI51" s="186">
        <v>8.757465343737331E-3</v>
      </c>
      <c r="BJ51" s="186">
        <v>0</v>
      </c>
      <c r="BK51" s="186">
        <v>3.3844260903463048E-2</v>
      </c>
      <c r="BL51" s="186">
        <v>9.8032614089631036E-3</v>
      </c>
      <c r="BM51" s="186">
        <v>6.4103544942213458E-2</v>
      </c>
      <c r="BN51" s="186">
        <v>6.5893064346295776E-3</v>
      </c>
      <c r="BO51" s="186">
        <v>0.34566722882358758</v>
      </c>
      <c r="BP51" s="187">
        <v>8.8426177862949998E-2</v>
      </c>
      <c r="BQ51" s="173"/>
      <c r="BR51" s="186">
        <v>0.46729279060650597</v>
      </c>
      <c r="BS51" s="186">
        <v>0.16348773841961853</v>
      </c>
      <c r="BT51" s="186">
        <v>0.63985507246376816</v>
      </c>
      <c r="BU51" s="186">
        <v>0.20904708650719522</v>
      </c>
      <c r="BV51" s="186">
        <v>6.7430391555763192E-2</v>
      </c>
      <c r="BW51" s="186">
        <v>1.2345679012345678E-2</v>
      </c>
      <c r="BX51" s="186">
        <v>0.12536231884057972</v>
      </c>
      <c r="BY51" s="186">
        <v>5.4746050133200108E-2</v>
      </c>
      <c r="BZ51" s="186">
        <v>0.24686513914382707</v>
      </c>
      <c r="CA51" s="186">
        <v>5.0724637681159417E-3</v>
      </c>
      <c r="CB51" s="186">
        <v>0.70844686648501365</v>
      </c>
      <c r="CC51" s="186">
        <v>0.3300190656036488</v>
      </c>
      <c r="CD51" s="186">
        <v>1.4427025662224043E-2</v>
      </c>
      <c r="CE51" s="186">
        <v>5.4495912806539508E-3</v>
      </c>
      <c r="CF51" s="186">
        <v>2.4691358024691357E-2</v>
      </c>
      <c r="CG51" s="186">
        <v>8.2413960314535115E-3</v>
      </c>
      <c r="CH51" s="186">
        <v>0.20398465303167973</v>
      </c>
      <c r="CI51" s="186">
        <v>7.2356215213358083E-2</v>
      </c>
      <c r="CJ51" s="186">
        <v>0.43209876543209874</v>
      </c>
      <c r="CK51" s="187">
        <v>0.16530753627452968</v>
      </c>
    </row>
    <row r="52" spans="1:89" x14ac:dyDescent="0.2">
      <c r="A52" s="19" t="s">
        <v>53</v>
      </c>
      <c r="B52" s="142">
        <v>0.46429710733329327</v>
      </c>
      <c r="C52" s="142">
        <v>9.6453900709219859E-2</v>
      </c>
      <c r="D52" s="142">
        <v>0.92651986591486946</v>
      </c>
      <c r="E52" s="142">
        <v>0.21985292026276768</v>
      </c>
      <c r="F52" s="142">
        <v>0.13022131507116816</v>
      </c>
      <c r="G52" s="142">
        <v>1.2077294685990338E-3</v>
      </c>
      <c r="H52" s="142">
        <v>0.33817566889469514</v>
      </c>
      <c r="I52" s="142">
        <v>6.4105689531711557E-2</v>
      </c>
      <c r="J52" s="142">
        <v>0.10896553792056583</v>
      </c>
      <c r="K52" s="142">
        <v>0</v>
      </c>
      <c r="L52" s="142">
        <v>0.57246376811594202</v>
      </c>
      <c r="M52" s="142">
        <v>0.14436018231053732</v>
      </c>
      <c r="N52" s="142">
        <v>1.2714616080418985E-2</v>
      </c>
      <c r="O52" s="142">
        <v>0</v>
      </c>
      <c r="P52" s="142">
        <v>0.15285210660945348</v>
      </c>
      <c r="Q52" s="142">
        <v>2.1848433948740698E-2</v>
      </c>
      <c r="R52" s="142">
        <v>0.28640954997002427</v>
      </c>
      <c r="S52" s="142">
        <v>0</v>
      </c>
      <c r="T52" s="142">
        <v>0.80148423005565861</v>
      </c>
      <c r="U52" s="162">
        <v>0.19985569515904889</v>
      </c>
      <c r="V52" s="143">
        <v>3.1958333333333333</v>
      </c>
      <c r="W52" s="144">
        <v>636.56962025316454</v>
      </c>
      <c r="X52" s="147">
        <v>0</v>
      </c>
      <c r="Y52" s="147">
        <v>3649</v>
      </c>
      <c r="Z52" s="148">
        <v>736.22480966276214</v>
      </c>
      <c r="AA52" s="6"/>
      <c r="AB52" s="186">
        <v>0.37351409911403038</v>
      </c>
      <c r="AC52" s="186">
        <v>9.6453900709219859E-2</v>
      </c>
      <c r="AD52" s="186">
        <v>0.7600550542896467</v>
      </c>
      <c r="AE52" s="186">
        <v>0.19122720744219845</v>
      </c>
      <c r="AF52" s="186">
        <v>0.11955469087923701</v>
      </c>
      <c r="AG52" s="186">
        <v>3.1954887218045111E-2</v>
      </c>
      <c r="AH52" s="186">
        <v>0.22686025408348456</v>
      </c>
      <c r="AI52" s="186">
        <v>5.0236704455493157E-2</v>
      </c>
      <c r="AJ52" s="186">
        <v>0.17670581938255084</v>
      </c>
      <c r="AK52" s="186">
        <v>0</v>
      </c>
      <c r="AL52" s="186">
        <v>0.47039999999999998</v>
      </c>
      <c r="AM52" s="186">
        <v>0.13512177673062076</v>
      </c>
      <c r="AN52" s="186">
        <v>1.1216483233184889E-2</v>
      </c>
      <c r="AO52" s="186">
        <v>0</v>
      </c>
      <c r="AP52" s="186">
        <v>3.0000046605634004E-2</v>
      </c>
      <c r="AQ52" s="186">
        <v>1.2097256971266877E-2</v>
      </c>
      <c r="AR52" s="186">
        <v>0.32461714900758931</v>
      </c>
      <c r="AS52" s="186">
        <v>8.9376053962900506E-2</v>
      </c>
      <c r="AT52" s="186">
        <v>0.80148423005565861</v>
      </c>
      <c r="AU52" s="187">
        <v>0.19934403527315261</v>
      </c>
      <c r="AV52" s="173"/>
      <c r="AW52" s="186">
        <v>0.56321150576635937</v>
      </c>
      <c r="AX52" s="186">
        <v>0.14462299134734241</v>
      </c>
      <c r="AY52" s="186">
        <v>0.92651986591486946</v>
      </c>
      <c r="AZ52" s="186">
        <v>0.20588287781598721</v>
      </c>
      <c r="BA52" s="186">
        <v>0.14889166766515138</v>
      </c>
      <c r="BB52" s="186">
        <v>1.2077294685990338E-3</v>
      </c>
      <c r="BC52" s="186">
        <v>0.33817566889469514</v>
      </c>
      <c r="BD52" s="186">
        <v>6.4870988719689118E-2</v>
      </c>
      <c r="BE52" s="186">
        <v>3.5876534062974773E-2</v>
      </c>
      <c r="BF52" s="186">
        <v>0</v>
      </c>
      <c r="BG52" s="186">
        <v>0.41226596733391435</v>
      </c>
      <c r="BH52" s="186">
        <v>7.2611254713509391E-2</v>
      </c>
      <c r="BI52" s="186">
        <v>1.2690083636410606E-2</v>
      </c>
      <c r="BJ52" s="186">
        <v>0</v>
      </c>
      <c r="BK52" s="186">
        <v>0.15285210660945348</v>
      </c>
      <c r="BL52" s="186">
        <v>2.4187280982186709E-2</v>
      </c>
      <c r="BM52" s="186">
        <v>0.23933020886910381</v>
      </c>
      <c r="BN52" s="186">
        <v>0</v>
      </c>
      <c r="BO52" s="186">
        <v>0.70817611385443913</v>
      </c>
      <c r="BP52" s="187">
        <v>0.18455037806407446</v>
      </c>
      <c r="BQ52" s="173"/>
      <c r="BR52" s="186">
        <v>0.29075149565651953</v>
      </c>
      <c r="BS52" s="186">
        <v>9.9485420240137221E-2</v>
      </c>
      <c r="BT52" s="186">
        <v>0.50600961538461542</v>
      </c>
      <c r="BU52" s="186">
        <v>0.12248953448112462</v>
      </c>
      <c r="BV52" s="186">
        <v>8.6516743585106942E-2</v>
      </c>
      <c r="BW52" s="186">
        <v>1.9431988041853511E-2</v>
      </c>
      <c r="BX52" s="186">
        <v>0.23711340206185566</v>
      </c>
      <c r="BY52" s="186">
        <v>6.0804809506077202E-2</v>
      </c>
      <c r="BZ52" s="186">
        <v>0.23608407436000792</v>
      </c>
      <c r="CA52" s="186">
        <v>0</v>
      </c>
      <c r="CB52" s="186">
        <v>0.57246376811594202</v>
      </c>
      <c r="CC52" s="186">
        <v>0.19559438103905569</v>
      </c>
      <c r="CD52" s="186">
        <v>1.4906410631910932E-2</v>
      </c>
      <c r="CE52" s="186">
        <v>0</v>
      </c>
      <c r="CF52" s="186">
        <v>6.1538461538461542E-2</v>
      </c>
      <c r="CG52" s="186">
        <v>2.0774242915861014E-2</v>
      </c>
      <c r="CH52" s="186">
        <v>0.37747451062488202</v>
      </c>
      <c r="CI52" s="186">
        <v>0.13611713665943601</v>
      </c>
      <c r="CJ52" s="186">
        <v>0.71855010660980811</v>
      </c>
      <c r="CK52" s="187">
        <v>0.21896650109328639</v>
      </c>
    </row>
    <row r="53" spans="1:89" x14ac:dyDescent="0.2">
      <c r="A53" s="19" t="s">
        <v>56</v>
      </c>
      <c r="B53" s="142">
        <v>0.39372981545179558</v>
      </c>
      <c r="C53" s="142">
        <v>6.043956043956044E-2</v>
      </c>
      <c r="D53" s="142">
        <v>0.68987854251012148</v>
      </c>
      <c r="E53" s="142">
        <v>0.19591256653384584</v>
      </c>
      <c r="F53" s="142">
        <v>0.10876265018053449</v>
      </c>
      <c r="G53" s="142">
        <v>2.2988505747126436E-2</v>
      </c>
      <c r="H53" s="142">
        <v>0.25443786982248523</v>
      </c>
      <c r="I53" s="142">
        <v>5.0622483628458906E-2</v>
      </c>
      <c r="J53" s="142">
        <v>0.18738564643598118</v>
      </c>
      <c r="K53" s="142">
        <v>1.0102857142857144E-2</v>
      </c>
      <c r="L53" s="142">
        <v>0.5977011494252874</v>
      </c>
      <c r="M53" s="142">
        <v>0.15201271732077606</v>
      </c>
      <c r="N53" s="142">
        <v>2.0992471536133952E-2</v>
      </c>
      <c r="O53" s="142">
        <v>0</v>
      </c>
      <c r="P53" s="142">
        <v>6.0617142857142856E-2</v>
      </c>
      <c r="Q53" s="142">
        <v>1.9468119840454975E-2</v>
      </c>
      <c r="R53" s="142">
        <v>0.29907321870214471</v>
      </c>
      <c r="S53" s="142">
        <v>4.8165137614678902E-2</v>
      </c>
      <c r="T53" s="142">
        <v>0.75274725274725274</v>
      </c>
      <c r="U53" s="162">
        <v>0.19979917692966656</v>
      </c>
      <c r="V53" s="143">
        <v>2.5</v>
      </c>
      <c r="W53" s="149">
        <v>857.47368421052636</v>
      </c>
      <c r="X53" s="147">
        <v>0</v>
      </c>
      <c r="Y53" s="147">
        <v>2341</v>
      </c>
      <c r="Z53" s="148">
        <v>676.90335502698133</v>
      </c>
      <c r="AA53" s="6"/>
      <c r="AB53" s="186">
        <v>0.43738983470449649</v>
      </c>
      <c r="AC53" s="186">
        <v>6.043956043956044E-2</v>
      </c>
      <c r="AD53" s="186">
        <v>0.68987854251012148</v>
      </c>
      <c r="AE53" s="186">
        <v>0.18749507222213102</v>
      </c>
      <c r="AF53" s="186">
        <v>0.11787672175928578</v>
      </c>
      <c r="AG53" s="186">
        <v>7.0628571428571429E-2</v>
      </c>
      <c r="AH53" s="186">
        <v>0.25443786982248523</v>
      </c>
      <c r="AI53" s="186">
        <v>4.8490295275135778E-2</v>
      </c>
      <c r="AJ53" s="186">
        <v>0.14276406807469672</v>
      </c>
      <c r="AK53" s="186">
        <v>1.0102857142857144E-2</v>
      </c>
      <c r="AL53" s="186">
        <v>0.41513761467889909</v>
      </c>
      <c r="AM53" s="186">
        <v>0.11722544035867079</v>
      </c>
      <c r="AN53" s="186">
        <v>2.065700640903646E-2</v>
      </c>
      <c r="AO53" s="186">
        <v>4.2735042735042739E-3</v>
      </c>
      <c r="AP53" s="186">
        <v>6.0617142857142856E-2</v>
      </c>
      <c r="AQ53" s="186">
        <v>1.8690676153090013E-2</v>
      </c>
      <c r="AR53" s="186">
        <v>0.29232943913730408</v>
      </c>
      <c r="AS53" s="186">
        <v>4.8165137614678902E-2</v>
      </c>
      <c r="AT53" s="186">
        <v>0.75274725274725274</v>
      </c>
      <c r="AU53" s="187">
        <v>0.2062920185928927</v>
      </c>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86">
        <v>0.23000474325416717</v>
      </c>
      <c r="BS53" s="186">
        <v>7.5008523695874532E-2</v>
      </c>
      <c r="BT53" s="186">
        <v>0.40909090909090912</v>
      </c>
      <c r="BU53" s="186">
        <v>0.14479067796650119</v>
      </c>
      <c r="BV53" s="186">
        <v>7.4584881760217131E-2</v>
      </c>
      <c r="BW53" s="186">
        <v>2.2988505747126436E-2</v>
      </c>
      <c r="BX53" s="186">
        <v>0.13636363636363635</v>
      </c>
      <c r="BY53" s="186">
        <v>4.9297224555939705E-2</v>
      </c>
      <c r="BZ53" s="186">
        <v>0.35471656529079787</v>
      </c>
      <c r="CA53" s="186">
        <v>0.25</v>
      </c>
      <c r="CB53" s="186">
        <v>0.5977011494252874</v>
      </c>
      <c r="CC53" s="186">
        <v>0.16501667945744022</v>
      </c>
      <c r="CD53" s="186">
        <v>2.1775223499361434E-2</v>
      </c>
      <c r="CE53" s="186">
        <v>0</v>
      </c>
      <c r="CF53" s="186">
        <v>0.05</v>
      </c>
      <c r="CG53" s="186">
        <v>2.5616353183800622E-2</v>
      </c>
      <c r="CH53" s="186">
        <v>0.32436239207029671</v>
      </c>
      <c r="CI53" s="186">
        <v>0.13636363636363635</v>
      </c>
      <c r="CJ53" s="186">
        <v>0.58302079781793381</v>
      </c>
      <c r="CK53" s="187">
        <v>0.19960368662194083</v>
      </c>
    </row>
    <row r="54" spans="1:89" x14ac:dyDescent="0.2">
      <c r="A54" s="19" t="s">
        <v>51</v>
      </c>
      <c r="B54" s="142">
        <v>0.39087297645744867</v>
      </c>
      <c r="C54" s="142">
        <v>0.10119047619047619</v>
      </c>
      <c r="D54" s="142">
        <v>0.55743243243243246</v>
      </c>
      <c r="E54" s="142">
        <v>0.11095152845899622</v>
      </c>
      <c r="F54" s="142">
        <v>0.14249576682035933</v>
      </c>
      <c r="G54" s="142">
        <v>4.6511627906976744E-2</v>
      </c>
      <c r="H54" s="142">
        <v>0.21471626495479526</v>
      </c>
      <c r="I54" s="142">
        <v>5.3289771359614699E-2</v>
      </c>
      <c r="J54" s="142">
        <v>0.13169535167507238</v>
      </c>
      <c r="K54" s="142">
        <v>3.5983765828148081E-3</v>
      </c>
      <c r="L54" s="142">
        <v>0.37906976744186044</v>
      </c>
      <c r="M54" s="142">
        <v>0.1184110506369907</v>
      </c>
      <c r="N54" s="142">
        <v>1.5516879039773382E-2</v>
      </c>
      <c r="O54" s="142">
        <v>3.3783783783783781E-3</v>
      </c>
      <c r="P54" s="142">
        <v>2.8680688336520075E-2</v>
      </c>
      <c r="Q54" s="142">
        <v>9.2188924519633272E-3</v>
      </c>
      <c r="R54" s="142">
        <v>0.32307005636964592</v>
      </c>
      <c r="S54" s="142">
        <v>0.14545454545454545</v>
      </c>
      <c r="T54" s="142">
        <v>0.72718253968253965</v>
      </c>
      <c r="U54" s="162">
        <v>0.14258095214314695</v>
      </c>
      <c r="V54" s="143">
        <v>3.546875</v>
      </c>
      <c r="W54" s="144">
        <v>625.88235294117646</v>
      </c>
      <c r="X54" s="147">
        <v>0</v>
      </c>
      <c r="Y54" s="147">
        <v>1734</v>
      </c>
      <c r="Z54" s="148">
        <v>421.78073129781268</v>
      </c>
      <c r="AA54" s="6"/>
      <c r="AB54" s="186">
        <v>0.33866998473743781</v>
      </c>
      <c r="AC54" s="186">
        <v>0.10119047619047619</v>
      </c>
      <c r="AD54" s="186">
        <v>0.51901140684410652</v>
      </c>
      <c r="AE54" s="186">
        <v>0.1740442276933554</v>
      </c>
      <c r="AF54" s="186">
        <v>0.1481982157769535</v>
      </c>
      <c r="AG54" s="186">
        <v>6.4484126984126991E-2</v>
      </c>
      <c r="AH54" s="186">
        <v>0.20909090909090908</v>
      </c>
      <c r="AI54" s="186">
        <v>6.0992931395246905E-2</v>
      </c>
      <c r="AJ54" s="186">
        <v>0.18528865613225398</v>
      </c>
      <c r="AK54" s="186">
        <v>0.10714285714285714</v>
      </c>
      <c r="AL54" s="186">
        <v>0.29090909090909089</v>
      </c>
      <c r="AM54" s="186">
        <v>8.2865314586091129E-2</v>
      </c>
      <c r="AN54" s="186">
        <v>2.0002174149364057E-2</v>
      </c>
      <c r="AO54" s="186">
        <v>2.0002174149364057E-2</v>
      </c>
      <c r="AP54" s="186">
        <v>2.0002174149364057E-2</v>
      </c>
      <c r="AQ54" s="186">
        <v>0</v>
      </c>
      <c r="AR54" s="186">
        <v>0.32284259981601365</v>
      </c>
      <c r="AS54" s="186">
        <v>0.14545454545454545</v>
      </c>
      <c r="AT54" s="186">
        <v>0.72718253968253965</v>
      </c>
      <c r="AU54" s="187">
        <v>0.27239119515816307</v>
      </c>
      <c r="AV54" s="173"/>
      <c r="AW54" s="186">
        <v>0.4045076018964478</v>
      </c>
      <c r="AX54" s="186">
        <v>0.27360965372507867</v>
      </c>
      <c r="AY54" s="186">
        <v>0.53407273498249708</v>
      </c>
      <c r="AZ54" s="186">
        <v>8.0511063937653837E-2</v>
      </c>
      <c r="BA54" s="186">
        <v>0.16399856210579386</v>
      </c>
      <c r="BB54" s="186">
        <v>0.11980676328502415</v>
      </c>
      <c r="BC54" s="186">
        <v>0.21471626495479526</v>
      </c>
      <c r="BD54" s="186">
        <v>3.3361579800174387E-2</v>
      </c>
      <c r="BE54" s="186">
        <v>5.7594965856753687E-2</v>
      </c>
      <c r="BF54" s="186">
        <v>3.5983765828148081E-3</v>
      </c>
      <c r="BG54" s="186">
        <v>0.14019189765458423</v>
      </c>
      <c r="BH54" s="186">
        <v>5.1275952084472089E-2</v>
      </c>
      <c r="BI54" s="186">
        <v>1.6205980522186966E-2</v>
      </c>
      <c r="BJ54" s="186">
        <v>3.8684719535783366E-3</v>
      </c>
      <c r="BK54" s="186">
        <v>2.8680688336520075E-2</v>
      </c>
      <c r="BL54" s="186">
        <v>9.701461073968895E-3</v>
      </c>
      <c r="BM54" s="186">
        <v>0.35769288961881768</v>
      </c>
      <c r="BN54" s="186">
        <v>0.23681749373144845</v>
      </c>
      <c r="BO54" s="186">
        <v>0.47801147227533458</v>
      </c>
      <c r="BP54" s="187">
        <v>7.2353956278292691E-2</v>
      </c>
      <c r="BQ54" s="173"/>
      <c r="BR54" s="186">
        <v>0.41502821395413231</v>
      </c>
      <c r="BS54" s="186">
        <v>0.3062568605927552</v>
      </c>
      <c r="BT54" s="186">
        <v>0.55743243243243246</v>
      </c>
      <c r="BU54" s="186">
        <v>0.12892117430518196</v>
      </c>
      <c r="BV54" s="186">
        <v>6.3216517260118718E-2</v>
      </c>
      <c r="BW54" s="186">
        <v>4.6511627906976744E-2</v>
      </c>
      <c r="BX54" s="186">
        <v>8.232711306256861E-2</v>
      </c>
      <c r="BY54" s="186">
        <v>1.8028527723382939E-2</v>
      </c>
      <c r="BZ54" s="186">
        <v>0.30723889845989255</v>
      </c>
      <c r="CA54" s="186">
        <v>0.1891891891891892</v>
      </c>
      <c r="CB54" s="186">
        <v>0.37906976744186044</v>
      </c>
      <c r="CC54" s="186">
        <v>0.10303297723359701</v>
      </c>
      <c r="CD54" s="186">
        <v>9.8287240729101194E-3</v>
      </c>
      <c r="CE54" s="186">
        <v>3.3783783783783781E-3</v>
      </c>
      <c r="CF54" s="186">
        <v>1.627906976744186E-2</v>
      </c>
      <c r="CG54" s="186">
        <v>9.1221663632016867E-3</v>
      </c>
      <c r="CH54" s="186">
        <v>0.20796388761058304</v>
      </c>
      <c r="CI54" s="186">
        <v>0.17674418604651163</v>
      </c>
      <c r="CJ54" s="186">
        <v>0.25795828759604827</v>
      </c>
      <c r="CK54" s="187">
        <v>4.3741279682187231E-2</v>
      </c>
    </row>
    <row r="55" spans="1:89" x14ac:dyDescent="0.2">
      <c r="A55" s="19" t="s">
        <v>52</v>
      </c>
      <c r="B55" s="142">
        <v>0.40260886608946089</v>
      </c>
      <c r="C55" s="142">
        <v>3.4278959810874705E-2</v>
      </c>
      <c r="D55" s="142">
        <v>0.72259909280541323</v>
      </c>
      <c r="E55" s="142">
        <v>0.20753051659458155</v>
      </c>
      <c r="F55" s="142">
        <v>0.12286256116026395</v>
      </c>
      <c r="G55" s="142">
        <v>3.7091988130563795E-2</v>
      </c>
      <c r="H55" s="142">
        <v>0.23254307267317537</v>
      </c>
      <c r="I55" s="142">
        <v>5.1132500089595884E-2</v>
      </c>
      <c r="J55" s="142">
        <v>0.16482662431586353</v>
      </c>
      <c r="K55" s="142">
        <v>0</v>
      </c>
      <c r="L55" s="142">
        <v>0.41772151898734178</v>
      </c>
      <c r="M55" s="142">
        <v>0.13656767080233337</v>
      </c>
      <c r="N55" s="142">
        <v>1.8086359272938297E-2</v>
      </c>
      <c r="O55" s="142">
        <v>3.5226972312320743E-3</v>
      </c>
      <c r="P55" s="142">
        <v>5.1907418182578373E-2</v>
      </c>
      <c r="Q55" s="142">
        <v>1.3638758025349603E-2</v>
      </c>
      <c r="R55" s="142">
        <v>0.29764437558578605</v>
      </c>
      <c r="S55" s="142">
        <v>3.2873806998939555E-2</v>
      </c>
      <c r="T55" s="142">
        <v>0.83531157270029677</v>
      </c>
      <c r="U55" s="162">
        <v>0.2052159880702859</v>
      </c>
      <c r="V55" s="143">
        <v>2.8190476190476192</v>
      </c>
      <c r="W55" s="144">
        <v>581.65384615384619</v>
      </c>
      <c r="X55" s="147">
        <v>0</v>
      </c>
      <c r="Y55" s="147">
        <v>2335</v>
      </c>
      <c r="Z55" s="148">
        <v>522.36512865554846</v>
      </c>
      <c r="AA55" s="6"/>
      <c r="AB55" s="186">
        <v>0.21315634007532963</v>
      </c>
      <c r="AC55" s="186">
        <v>3.4278959810874705E-2</v>
      </c>
      <c r="AD55" s="186">
        <v>0.39377013137143357</v>
      </c>
      <c r="AE55" s="186">
        <v>0.1438620035101438</v>
      </c>
      <c r="AF55" s="186">
        <v>0.10142121742106551</v>
      </c>
      <c r="AG55" s="186">
        <v>3.7091988130563795E-2</v>
      </c>
      <c r="AH55" s="186">
        <v>0.14449541284403669</v>
      </c>
      <c r="AI55" s="186">
        <v>3.7956523724796513E-2</v>
      </c>
      <c r="AJ55" s="186">
        <v>0.20117394495340937</v>
      </c>
      <c r="AK55" s="186">
        <v>7.0273763219047852E-2</v>
      </c>
      <c r="AL55" s="186">
        <v>0.34560000000000002</v>
      </c>
      <c r="AM55" s="186">
        <v>9.5177883917663963E-2</v>
      </c>
      <c r="AN55" s="186">
        <v>4.2312397494642967E-2</v>
      </c>
      <c r="AO55" s="186">
        <v>2.4887487017732818E-2</v>
      </c>
      <c r="AP55" s="186">
        <v>5.1907418182578373E-2</v>
      </c>
      <c r="AQ55" s="186">
        <v>1.5116201593616886E-2</v>
      </c>
      <c r="AR55" s="186">
        <v>0.46838134848970442</v>
      </c>
      <c r="AS55" s="186">
        <v>0.21171673654652462</v>
      </c>
      <c r="AT55" s="186">
        <v>0.83531157270029677</v>
      </c>
      <c r="AU55" s="187">
        <v>0.21700453070565937</v>
      </c>
      <c r="AV55" s="173"/>
      <c r="AW55" s="186">
        <v>0.55913749991919093</v>
      </c>
      <c r="AX55" s="186">
        <v>0.33032547300215015</v>
      </c>
      <c r="AY55" s="186">
        <v>0.72259909280541323</v>
      </c>
      <c r="AZ55" s="186">
        <v>0.11864969595932855</v>
      </c>
      <c r="BA55" s="186">
        <v>0.15235437101274699</v>
      </c>
      <c r="BB55" s="186">
        <v>7.6882290562036049E-2</v>
      </c>
      <c r="BC55" s="186">
        <v>0.23254307267317537</v>
      </c>
      <c r="BD55" s="186">
        <v>4.8047671710743249E-2</v>
      </c>
      <c r="BE55" s="186">
        <v>8.4938605578429763E-2</v>
      </c>
      <c r="BF55" s="186">
        <v>0</v>
      </c>
      <c r="BG55" s="186">
        <v>0.31995133819951338</v>
      </c>
      <c r="BH55" s="186">
        <v>0.11517656297613324</v>
      </c>
      <c r="BI55" s="186">
        <v>1.2955421079901119E-2</v>
      </c>
      <c r="BJ55" s="186">
        <v>3.5226972312320743E-3</v>
      </c>
      <c r="BK55" s="186">
        <v>2.7060011790006295E-2</v>
      </c>
      <c r="BL55" s="186">
        <v>6.6522407882000393E-3</v>
      </c>
      <c r="BM55" s="186">
        <v>0.19061410240973117</v>
      </c>
      <c r="BN55" s="186">
        <v>3.2873806998939555E-2</v>
      </c>
      <c r="BO55" s="186">
        <v>0.52480869995909873</v>
      </c>
      <c r="BP55" s="187">
        <v>0.13537516250193518</v>
      </c>
      <c r="BQ55" s="173"/>
      <c r="BR55" s="186">
        <v>0.26745273298882732</v>
      </c>
      <c r="BS55" s="186">
        <v>6.5552699228791769E-2</v>
      </c>
      <c r="BT55" s="186">
        <v>0.40235081374321879</v>
      </c>
      <c r="BU55" s="186">
        <v>0.13268020568784084</v>
      </c>
      <c r="BV55" s="186">
        <v>7.4591643556028944E-2</v>
      </c>
      <c r="BW55" s="186">
        <v>6.3218390804597707E-2</v>
      </c>
      <c r="BX55" s="186">
        <v>8.5895117540687155E-2</v>
      </c>
      <c r="BY55" s="186">
        <v>9.7011072739219273E-3</v>
      </c>
      <c r="BZ55" s="186">
        <v>0.33035736376060476</v>
      </c>
      <c r="CA55" s="186">
        <v>0.26992287917737789</v>
      </c>
      <c r="CB55" s="186">
        <v>0.41772151898734178</v>
      </c>
      <c r="CC55" s="186">
        <v>5.5075681944372408E-2</v>
      </c>
      <c r="CD55" s="186">
        <v>1.7241379310344827E-2</v>
      </c>
      <c r="CE55" s="186">
        <v>1.7241379310344827E-2</v>
      </c>
      <c r="CF55" s="186">
        <v>1.7241379310344827E-2</v>
      </c>
      <c r="CG55" s="186">
        <v>0</v>
      </c>
      <c r="CH55" s="186">
        <v>0.32414998383247001</v>
      </c>
      <c r="CI55" s="186">
        <v>9.403254972875226E-2</v>
      </c>
      <c r="CJ55" s="186">
        <v>0.5822622107969152</v>
      </c>
      <c r="CK55" s="187">
        <v>0.18026014000084081</v>
      </c>
    </row>
    <row r="56" spans="1:89" x14ac:dyDescent="0.2">
      <c r="A56" s="19" t="s">
        <v>46</v>
      </c>
      <c r="B56" s="142">
        <v>4.7305384892610172E-2</v>
      </c>
      <c r="C56" s="142">
        <v>0</v>
      </c>
      <c r="D56" s="142">
        <v>0.52367184676544998</v>
      </c>
      <c r="E56" s="142">
        <v>7.9032717335314709E-2</v>
      </c>
      <c r="F56" s="142">
        <v>2.4719209266438495E-2</v>
      </c>
      <c r="G56" s="142">
        <v>0</v>
      </c>
      <c r="H56" s="142">
        <v>0.20816769063968196</v>
      </c>
      <c r="I56" s="142">
        <v>3.1590239278372019E-2</v>
      </c>
      <c r="J56" s="142">
        <v>0.10372061425951705</v>
      </c>
      <c r="K56" s="142">
        <v>0</v>
      </c>
      <c r="L56" s="142">
        <v>0.53441295546558709</v>
      </c>
      <c r="M56" s="142">
        <v>0.11101935309720591</v>
      </c>
      <c r="N56" s="142">
        <v>9.4607419717648317E-3</v>
      </c>
      <c r="O56" s="142">
        <v>0</v>
      </c>
      <c r="P56" s="142">
        <v>4.6649464226133294E-2</v>
      </c>
      <c r="Q56" s="142">
        <v>1.2128029311839279E-2</v>
      </c>
      <c r="R56" s="142">
        <v>0.82084272070637132</v>
      </c>
      <c r="S56" s="142">
        <v>0.22334658474882543</v>
      </c>
      <c r="T56" s="142">
        <v>1</v>
      </c>
      <c r="U56" s="162">
        <v>0.17175557433351049</v>
      </c>
      <c r="V56" s="143">
        <v>4</v>
      </c>
      <c r="W56" s="144">
        <v>15.016393442622951</v>
      </c>
      <c r="X56" s="147">
        <v>0</v>
      </c>
      <c r="Y56" s="147">
        <v>855</v>
      </c>
      <c r="Z56" s="148">
        <v>109.50608686328486</v>
      </c>
      <c r="AA56" s="6"/>
      <c r="AB56" s="186">
        <v>3.8785530948481008E-2</v>
      </c>
      <c r="AC56" s="186">
        <v>2.8291361663236852E-3</v>
      </c>
      <c r="AD56" s="186">
        <v>0.14678899082568808</v>
      </c>
      <c r="AE56" s="186">
        <v>3.4988614419809619E-2</v>
      </c>
      <c r="AF56" s="186">
        <v>2.5741130380654363E-2</v>
      </c>
      <c r="AG56" s="186">
        <v>1.1185682326621924E-3</v>
      </c>
      <c r="AH56" s="186">
        <v>8.0206985769728331E-2</v>
      </c>
      <c r="AI56" s="186">
        <v>2.0638186868250301E-2</v>
      </c>
      <c r="AJ56" s="186">
        <v>0.11467217633654807</v>
      </c>
      <c r="AK56" s="186">
        <v>1.4678899082568808E-2</v>
      </c>
      <c r="AL56" s="186">
        <v>0.53441295546558709</v>
      </c>
      <c r="AM56" s="186">
        <v>0.11458104273402692</v>
      </c>
      <c r="AN56" s="186">
        <v>1.2340428561679983E-2</v>
      </c>
      <c r="AO56" s="186">
        <v>0</v>
      </c>
      <c r="AP56" s="186">
        <v>4.6649464226133294E-2</v>
      </c>
      <c r="AQ56" s="186">
        <v>1.321270146221999E-2</v>
      </c>
      <c r="AR56" s="186">
        <v>0.81634489646482089</v>
      </c>
      <c r="AS56" s="186">
        <v>0.45373048004626954</v>
      </c>
      <c r="AT56" s="186">
        <v>0.96447602131438726</v>
      </c>
      <c r="AU56" s="187">
        <v>0.13568255895608333</v>
      </c>
      <c r="AV56" s="173"/>
      <c r="AW56" s="186">
        <v>0.41564701018068267</v>
      </c>
      <c r="AX56" s="186">
        <v>0.30762217359591537</v>
      </c>
      <c r="AY56" s="186">
        <v>0.52367184676544998</v>
      </c>
      <c r="AZ56" s="186">
        <v>0.15277018897131522</v>
      </c>
      <c r="BA56" s="186">
        <v>0.13435372132275855</v>
      </c>
      <c r="BB56" s="186">
        <v>6.0539752005835154E-2</v>
      </c>
      <c r="BC56" s="186">
        <v>0.20816769063968196</v>
      </c>
      <c r="BD56" s="186">
        <v>0.10438871650058459</v>
      </c>
      <c r="BE56" s="186">
        <v>0.22102086511419231</v>
      </c>
      <c r="BF56" s="186">
        <v>3.6863028550777013E-2</v>
      </c>
      <c r="BG56" s="186">
        <v>0.40517870167760761</v>
      </c>
      <c r="BH56" s="186">
        <v>0.26043851008526975</v>
      </c>
      <c r="BI56" s="186">
        <v>5.2518652019727134E-3</v>
      </c>
      <c r="BJ56" s="186">
        <v>2.552881108679796E-3</v>
      </c>
      <c r="BK56" s="186">
        <v>7.9508492952656308E-3</v>
      </c>
      <c r="BL56" s="186">
        <v>3.8169399093640941E-3</v>
      </c>
      <c r="BM56" s="186">
        <v>0.22372653818039376</v>
      </c>
      <c r="BN56" s="186">
        <v>0.22334658474882543</v>
      </c>
      <c r="BO56" s="186">
        <v>0.22410649161196208</v>
      </c>
      <c r="BP56" s="187">
        <v>5.3733529599690353E-4</v>
      </c>
      <c r="BQ56" s="173"/>
      <c r="BR56" s="186">
        <v>2.8611101910545188E-2</v>
      </c>
      <c r="BS56" s="186">
        <v>0</v>
      </c>
      <c r="BT56" s="186">
        <v>0.13163897034864777</v>
      </c>
      <c r="BU56" s="186">
        <v>3.4760322497834992E-2</v>
      </c>
      <c r="BV56" s="186">
        <v>1.3586244734942354E-2</v>
      </c>
      <c r="BW56" s="186">
        <v>0</v>
      </c>
      <c r="BX56" s="186">
        <v>7.3529411764705885E-2</v>
      </c>
      <c r="BY56" s="186">
        <v>1.8020364307212974E-2</v>
      </c>
      <c r="BZ56" s="186">
        <v>7.6379017021148896E-2</v>
      </c>
      <c r="CA56" s="186">
        <v>0</v>
      </c>
      <c r="CB56" s="186">
        <v>0.38031319910514544</v>
      </c>
      <c r="CC56" s="186">
        <v>8.6115853218273433E-2</v>
      </c>
      <c r="CD56" s="186">
        <v>5.3152888104344423E-3</v>
      </c>
      <c r="CE56" s="186">
        <v>0</v>
      </c>
      <c r="CF56" s="186">
        <v>2.9126213592233014E-2</v>
      </c>
      <c r="CG56" s="186">
        <v>1.0922985790607844E-2</v>
      </c>
      <c r="CH56" s="186">
        <v>0.87980593973888366</v>
      </c>
      <c r="CI56" s="186">
        <v>0.50559284116331094</v>
      </c>
      <c r="CJ56" s="186">
        <v>1</v>
      </c>
      <c r="CK56" s="187">
        <v>0.12282098730844981</v>
      </c>
    </row>
    <row r="57" spans="1:89" x14ac:dyDescent="0.2">
      <c r="A57" s="19" t="s">
        <v>49</v>
      </c>
      <c r="B57" s="142">
        <v>0.30876905772913882</v>
      </c>
      <c r="C57" s="142">
        <v>5.2203813691778678E-2</v>
      </c>
      <c r="D57" s="142">
        <v>0.73722867424698391</v>
      </c>
      <c r="E57" s="142">
        <v>0.17892603828775228</v>
      </c>
      <c r="F57" s="142">
        <v>0.10276719083199111</v>
      </c>
      <c r="G57" s="142">
        <v>6.2519537355423573E-3</v>
      </c>
      <c r="H57" s="142">
        <v>0.23152709359605911</v>
      </c>
      <c r="I57" s="142">
        <v>5.7716779638424039E-2</v>
      </c>
      <c r="J57" s="142">
        <v>0.21486720618226746</v>
      </c>
      <c r="K57" s="142">
        <v>2.2340128455738619E-3</v>
      </c>
      <c r="L57" s="142">
        <v>0.60851648351648346</v>
      </c>
      <c r="M57" s="142">
        <v>0.18960470356193856</v>
      </c>
      <c r="N57" s="142">
        <v>3.123829202464622E-2</v>
      </c>
      <c r="O57" s="142">
        <v>0</v>
      </c>
      <c r="P57" s="142">
        <v>9.9998672877599504E-2</v>
      </c>
      <c r="Q57" s="142">
        <v>3.3568882261299213E-2</v>
      </c>
      <c r="R57" s="142">
        <v>0.35172974083935016</v>
      </c>
      <c r="S57" s="142">
        <v>8.3796712684343397E-2</v>
      </c>
      <c r="T57" s="142">
        <v>0.63779219624453054</v>
      </c>
      <c r="U57" s="162">
        <v>0.17731304885958046</v>
      </c>
      <c r="V57" s="143">
        <v>3.0789473684210527</v>
      </c>
      <c r="W57" s="149">
        <v>501.75</v>
      </c>
      <c r="X57" s="147">
        <v>53</v>
      </c>
      <c r="Y57" s="147">
        <v>1206</v>
      </c>
      <c r="Z57" s="148">
        <v>359.49978039668281</v>
      </c>
      <c r="AA57" s="6"/>
      <c r="AB57" s="186">
        <v>0.28562449623305525</v>
      </c>
      <c r="AC57" s="186">
        <v>7.5313807531380755E-2</v>
      </c>
      <c r="AD57" s="186">
        <v>0.42003423975793291</v>
      </c>
      <c r="AE57" s="186">
        <v>0.11109791664776769</v>
      </c>
      <c r="AF57" s="186">
        <v>0.10963185757043693</v>
      </c>
      <c r="AG57" s="186">
        <v>6.0642648914415002E-2</v>
      </c>
      <c r="AH57" s="186">
        <v>0.23152709359605911</v>
      </c>
      <c r="AI57" s="186">
        <v>4.9990042748133082E-2</v>
      </c>
      <c r="AJ57" s="186">
        <v>0.19955324373256458</v>
      </c>
      <c r="AK57" s="186">
        <v>2.2340128455738619E-3</v>
      </c>
      <c r="AL57" s="186">
        <v>0.60851648351648346</v>
      </c>
      <c r="AM57" s="186">
        <v>0.18340336443015107</v>
      </c>
      <c r="AN57" s="186">
        <v>3.3025433001955547E-2</v>
      </c>
      <c r="AO57" s="186">
        <v>0</v>
      </c>
      <c r="AP57" s="186">
        <v>9.9998672877599504E-2</v>
      </c>
      <c r="AQ57" s="186">
        <v>4.0050175353832138E-2</v>
      </c>
      <c r="AR57" s="186">
        <v>0.3841742178263351</v>
      </c>
      <c r="AS57" s="186">
        <v>0.11950549450549451</v>
      </c>
      <c r="AT57" s="186">
        <v>0.59536442334543427</v>
      </c>
      <c r="AU57" s="187">
        <v>0.15557179755264641</v>
      </c>
      <c r="AV57" s="173"/>
      <c r="AW57" s="186">
        <v>0.43541212810363972</v>
      </c>
      <c r="AX57" s="186">
        <v>6.896525793853002E-2</v>
      </c>
      <c r="AY57" s="186">
        <v>0.73722867424698391</v>
      </c>
      <c r="AZ57" s="186">
        <v>0.28213898625431433</v>
      </c>
      <c r="BA57" s="186">
        <v>0.13013533095850366</v>
      </c>
      <c r="BB57" s="186">
        <v>4.3103286211581264E-2</v>
      </c>
      <c r="BC57" s="186">
        <v>0.20182467481992861</v>
      </c>
      <c r="BD57" s="186">
        <v>6.6157745829961132E-2</v>
      </c>
      <c r="BE57" s="186">
        <v>0.10124905412200051</v>
      </c>
      <c r="BF57" s="186">
        <v>9.2326952134568711E-3</v>
      </c>
      <c r="BG57" s="186">
        <v>0.36345710116022562</v>
      </c>
      <c r="BH57" s="186">
        <v>0.14854481884585624</v>
      </c>
      <c r="BI57" s="186">
        <v>3.6328252682633476E-2</v>
      </c>
      <c r="BJ57" s="186">
        <v>5.3726974792549977E-3</v>
      </c>
      <c r="BK57" s="186">
        <v>8.2603886627323847E-2</v>
      </c>
      <c r="BL57" s="186">
        <v>3.1940122475146653E-2</v>
      </c>
      <c r="BM57" s="186">
        <v>0.29687523413322264</v>
      </c>
      <c r="BN57" s="186">
        <v>8.3796712684343397E-2</v>
      </c>
      <c r="BO57" s="186">
        <v>0.63779219624453054</v>
      </c>
      <c r="BP57" s="187">
        <v>0.23698154725951373</v>
      </c>
      <c r="BQ57" s="173"/>
      <c r="BR57" s="186">
        <v>0.21411276387524275</v>
      </c>
      <c r="BS57" s="186">
        <v>5.2203813691778678E-2</v>
      </c>
      <c r="BT57" s="186">
        <v>0.33904828551434568</v>
      </c>
      <c r="BU57" s="186">
        <v>0.12181262256314244</v>
      </c>
      <c r="BV57" s="186">
        <v>4.9679182143124417E-2</v>
      </c>
      <c r="BW57" s="186">
        <v>6.2519537355423573E-3</v>
      </c>
      <c r="BX57" s="186">
        <v>0.10625</v>
      </c>
      <c r="BY57" s="186">
        <v>4.1869205199529066E-2</v>
      </c>
      <c r="BZ57" s="186">
        <v>0.39900329299428394</v>
      </c>
      <c r="CA57" s="186">
        <v>0.27589285714285716</v>
      </c>
      <c r="CB57" s="186">
        <v>0.59360730593607303</v>
      </c>
      <c r="CC57" s="186">
        <v>0.13622191064323536</v>
      </c>
      <c r="CD57" s="186">
        <v>1.2258396959095379E-2</v>
      </c>
      <c r="CE57" s="186">
        <v>6.2519537355423573E-3</v>
      </c>
      <c r="CF57" s="186">
        <v>1.8264840182648401E-2</v>
      </c>
      <c r="CG57" s="186">
        <v>8.4943934683726543E-3</v>
      </c>
      <c r="CH57" s="186">
        <v>0.33107556250780112</v>
      </c>
      <c r="CI57" s="186">
        <v>0.15068493150684931</v>
      </c>
      <c r="CJ57" s="186">
        <v>0.57861831822444509</v>
      </c>
      <c r="CK57" s="187">
        <v>0.18471692026939787</v>
      </c>
    </row>
    <row r="58" spans="1:89" x14ac:dyDescent="0.2">
      <c r="A58" s="19" t="s">
        <v>58</v>
      </c>
      <c r="B58" s="188">
        <v>0.64946330714876654</v>
      </c>
      <c r="C58" s="189">
        <v>0.16348773841961853</v>
      </c>
      <c r="D58" s="189">
        <v>0.87596899224806202</v>
      </c>
      <c r="E58" s="190">
        <v>0.16625173165901974</v>
      </c>
      <c r="F58" s="189">
        <v>0.12211445484549062</v>
      </c>
      <c r="G58" s="189">
        <v>1.2345679012345678E-2</v>
      </c>
      <c r="H58" s="189">
        <v>0.22018925571402351</v>
      </c>
      <c r="I58" s="189">
        <v>4.2138121787956236E-2</v>
      </c>
      <c r="J58" s="188">
        <v>0.11890985067648562</v>
      </c>
      <c r="K58" s="189">
        <v>0</v>
      </c>
      <c r="L58" s="189">
        <v>0.70844686648501365</v>
      </c>
      <c r="M58" s="190">
        <v>0.14958170398822057</v>
      </c>
      <c r="N58" s="188">
        <v>1.1713811376060134E-2</v>
      </c>
      <c r="O58" s="189">
        <v>0</v>
      </c>
      <c r="P58" s="189">
        <v>3.3844260903463048E-2</v>
      </c>
      <c r="Q58" s="190">
        <v>9.7957592709694338E-3</v>
      </c>
      <c r="R58" s="189">
        <v>9.9628858980706558E-2</v>
      </c>
      <c r="S58" s="189">
        <v>6.5893064346295776E-3</v>
      </c>
      <c r="T58" s="189">
        <v>0.43209876543209874</v>
      </c>
      <c r="U58" s="189">
        <v>9.6601820990511733E-2</v>
      </c>
      <c r="V58" s="191">
        <v>3.328125</v>
      </c>
      <c r="W58" s="192">
        <v>1895.34375</v>
      </c>
      <c r="X58" s="157">
        <v>250</v>
      </c>
      <c r="Y58" s="158">
        <v>5821</v>
      </c>
      <c r="Z58" s="193">
        <v>1482.2135062210821</v>
      </c>
      <c r="AA58" s="6"/>
      <c r="AB58" s="194">
        <v>0.60539023470848541</v>
      </c>
      <c r="AC58" s="194">
        <v>0.36463398828771237</v>
      </c>
      <c r="AD58" s="194">
        <v>0.83173357463614295</v>
      </c>
      <c r="AE58" s="194">
        <v>0.13385389600295228</v>
      </c>
      <c r="AF58" s="194">
        <v>0.11994975609178124</v>
      </c>
      <c r="AG58" s="194">
        <v>7.7161619846771251E-2</v>
      </c>
      <c r="AH58" s="194">
        <v>0.16774193548387098</v>
      </c>
      <c r="AI58" s="194">
        <v>2.7300394845630651E-2</v>
      </c>
      <c r="AJ58" s="194">
        <v>0.16242290613018279</v>
      </c>
      <c r="AK58" s="194">
        <v>1.020234516178699E-2</v>
      </c>
      <c r="AL58" s="194">
        <v>0.37275221334355646</v>
      </c>
      <c r="AM58" s="194">
        <v>0.10431578641042732</v>
      </c>
      <c r="AN58" s="194">
        <v>1.4471775503614207E-2</v>
      </c>
      <c r="AO58" s="194">
        <v>0</v>
      </c>
      <c r="AP58" s="194">
        <v>3.0301772661482349E-2</v>
      </c>
      <c r="AQ58" s="194">
        <v>1.0103579139410028E-2</v>
      </c>
      <c r="AR58" s="194">
        <v>0.10258925273380774</v>
      </c>
      <c r="AS58" s="194">
        <v>3.0009571533134397E-2</v>
      </c>
      <c r="AT58" s="194">
        <v>0.23893676425075844</v>
      </c>
      <c r="AU58" s="194">
        <v>6.1748710449652022E-2</v>
      </c>
      <c r="AV58" s="6"/>
      <c r="AW58" s="194">
        <v>0.75636931890055537</v>
      </c>
      <c r="AX58" s="194">
        <v>0.44846706263987801</v>
      </c>
      <c r="AY58" s="194">
        <v>0.87596899224806202</v>
      </c>
      <c r="AZ58" s="194">
        <v>0.11705912083492681</v>
      </c>
      <c r="BA58" s="194">
        <v>0.14143804980430225</v>
      </c>
      <c r="BB58" s="194">
        <v>7.7519379844961239E-2</v>
      </c>
      <c r="BC58" s="194">
        <v>0.22018925571402351</v>
      </c>
      <c r="BD58" s="194">
        <v>3.9510141730677767E-2</v>
      </c>
      <c r="BE58" s="194">
        <v>2.9331621009191459E-2</v>
      </c>
      <c r="BF58" s="194">
        <v>0</v>
      </c>
      <c r="BG58" s="194">
        <v>0.13750207331232378</v>
      </c>
      <c r="BH58" s="194">
        <v>3.6885149220131079E-2</v>
      </c>
      <c r="BI58" s="194">
        <v>8.757465343737331E-3</v>
      </c>
      <c r="BJ58" s="194">
        <v>0</v>
      </c>
      <c r="BK58" s="194">
        <v>3.3844260903463048E-2</v>
      </c>
      <c r="BL58" s="194">
        <v>9.8032614089631036E-3</v>
      </c>
      <c r="BM58" s="194">
        <v>6.4103544942213458E-2</v>
      </c>
      <c r="BN58" s="194">
        <v>6.5893064346295776E-3</v>
      </c>
      <c r="BO58" s="194">
        <v>0.34566722882358758</v>
      </c>
      <c r="BP58" s="194">
        <v>8.8426177862949998E-2</v>
      </c>
      <c r="BQ58" s="6"/>
      <c r="BR58" s="194">
        <v>0.46729279060650597</v>
      </c>
      <c r="BS58" s="194">
        <v>0.16348773841961853</v>
      </c>
      <c r="BT58" s="194">
        <v>0.63985507246376816</v>
      </c>
      <c r="BU58" s="194">
        <v>0.20904708650719522</v>
      </c>
      <c r="BV58" s="194">
        <v>6.7430391555763192E-2</v>
      </c>
      <c r="BW58" s="194">
        <v>1.2345679012345678E-2</v>
      </c>
      <c r="BX58" s="194">
        <v>0.12536231884057972</v>
      </c>
      <c r="BY58" s="194">
        <v>5.4746050133200108E-2</v>
      </c>
      <c r="BZ58" s="194">
        <v>0.24686513914382707</v>
      </c>
      <c r="CA58" s="194">
        <v>5.0724637681159417E-3</v>
      </c>
      <c r="CB58" s="194">
        <v>0.70844686648501365</v>
      </c>
      <c r="CC58" s="194">
        <v>0.3300190656036488</v>
      </c>
      <c r="CD58" s="194">
        <v>1.4427025662224043E-2</v>
      </c>
      <c r="CE58" s="194">
        <v>5.4495912806539508E-3</v>
      </c>
      <c r="CF58" s="194">
        <v>2.4691358024691357E-2</v>
      </c>
      <c r="CG58" s="194">
        <v>8.2413960314535115E-3</v>
      </c>
      <c r="CH58" s="194">
        <v>0.20398465303167973</v>
      </c>
      <c r="CI58" s="194">
        <v>7.2356215213358083E-2</v>
      </c>
      <c r="CJ58" s="194">
        <v>0.43209876543209874</v>
      </c>
      <c r="CK58" s="194">
        <v>0.16530753627452968</v>
      </c>
    </row>
    <row r="59" spans="1:89" ht="13.5" thickBot="1" x14ac:dyDescent="0.25">
      <c r="A59" s="22" t="s">
        <v>60</v>
      </c>
      <c r="B59" s="152">
        <v>0</v>
      </c>
      <c r="C59" s="153">
        <v>0</v>
      </c>
      <c r="D59" s="153">
        <v>0</v>
      </c>
      <c r="E59" s="154">
        <v>0</v>
      </c>
      <c r="F59" s="153">
        <v>0.05</v>
      </c>
      <c r="G59" s="153">
        <v>0.05</v>
      </c>
      <c r="H59" s="153">
        <v>0.05</v>
      </c>
      <c r="I59" s="153">
        <v>0</v>
      </c>
      <c r="J59" s="152">
        <v>0.88</v>
      </c>
      <c r="K59" s="153">
        <v>0.88</v>
      </c>
      <c r="L59" s="153">
        <v>0.88</v>
      </c>
      <c r="M59" s="154">
        <v>0</v>
      </c>
      <c r="N59" s="152">
        <v>0.02</v>
      </c>
      <c r="O59" s="153">
        <v>0.02</v>
      </c>
      <c r="P59" s="153">
        <v>0.02</v>
      </c>
      <c r="Q59" s="154">
        <v>0</v>
      </c>
      <c r="R59" s="153">
        <v>0.05</v>
      </c>
      <c r="S59" s="153">
        <v>0.05</v>
      </c>
      <c r="T59" s="153">
        <v>0.05</v>
      </c>
      <c r="U59" s="153">
        <v>0</v>
      </c>
      <c r="V59" s="155">
        <v>0</v>
      </c>
      <c r="W59" s="156">
        <v>0</v>
      </c>
      <c r="X59" s="159">
        <v>0</v>
      </c>
      <c r="Y59" s="158">
        <v>0</v>
      </c>
      <c r="Z59" s="158">
        <v>0</v>
      </c>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row>
    <row r="60" spans="1:89" x14ac:dyDescent="0.2">
      <c r="A60" s="6" t="s">
        <v>336</v>
      </c>
      <c r="B60" s="6">
        <f>IF(InputLineHaulMode="Heavy Rail",26,IF(InputLineHaulMode="Commuter Rail",47,IF(InputLineHaulMode="Light Rail",68,0)))</f>
        <v>0</v>
      </c>
    </row>
    <row r="62" spans="1:89" x14ac:dyDescent="0.2">
      <c r="A62" s="3" t="s">
        <v>340</v>
      </c>
      <c r="B62" s="164" t="s">
        <v>341</v>
      </c>
    </row>
    <row r="63" spans="1:89" x14ac:dyDescent="0.2">
      <c r="A63" s="164" t="s">
        <v>768</v>
      </c>
      <c r="B63" s="165">
        <v>0.05</v>
      </c>
    </row>
    <row r="64" spans="1:89" x14ac:dyDescent="0.2">
      <c r="A64" s="164" t="s">
        <v>342</v>
      </c>
      <c r="B64" s="165">
        <v>3.8733580330077466E-3</v>
      </c>
    </row>
    <row r="65" spans="1:2" x14ac:dyDescent="0.2">
      <c r="A65" t="s">
        <v>343</v>
      </c>
      <c r="B65" s="165">
        <v>9.6161987589660474E-3</v>
      </c>
    </row>
    <row r="66" spans="1:2" x14ac:dyDescent="0.2">
      <c r="A66" t="s">
        <v>344</v>
      </c>
      <c r="B66" s="165">
        <v>1.2788065660256295E-2</v>
      </c>
    </row>
    <row r="67" spans="1:2" x14ac:dyDescent="0.2">
      <c r="A67" t="s">
        <v>345</v>
      </c>
      <c r="B67" s="165">
        <v>7.4790692040998625E-3</v>
      </c>
    </row>
    <row r="68" spans="1:2" x14ac:dyDescent="0.2">
      <c r="A68" t="s">
        <v>346</v>
      </c>
      <c r="B68" s="165">
        <v>2.8333157445338809E-2</v>
      </c>
    </row>
    <row r="69" spans="1:2" x14ac:dyDescent="0.2">
      <c r="A69" t="s">
        <v>347</v>
      </c>
      <c r="B69" s="165">
        <v>1.5278391402180279E-2</v>
      </c>
    </row>
    <row r="70" spans="1:2" x14ac:dyDescent="0.2">
      <c r="A70" t="s">
        <v>348</v>
      </c>
      <c r="B70" s="165">
        <v>8.6611559798327829E-3</v>
      </c>
    </row>
    <row r="71" spans="1:2" x14ac:dyDescent="0.2">
      <c r="A71" t="s">
        <v>349</v>
      </c>
      <c r="B71" s="165">
        <v>1.7150545435358985E-2</v>
      </c>
    </row>
    <row r="72" spans="1:2" x14ac:dyDescent="0.2">
      <c r="A72" t="s">
        <v>350</v>
      </c>
      <c r="B72" s="165">
        <v>4.7255087976802047E-3</v>
      </c>
    </row>
    <row r="73" spans="1:2" x14ac:dyDescent="0.2">
      <c r="A73" t="s">
        <v>351</v>
      </c>
      <c r="B73" s="165">
        <v>6.2320354242013584E-3</v>
      </c>
    </row>
    <row r="74" spans="1:2" x14ac:dyDescent="0.2">
      <c r="A74" t="s">
        <v>352</v>
      </c>
      <c r="B74" s="165">
        <v>5.287434868027676E-2</v>
      </c>
    </row>
    <row r="75" spans="1:2" x14ac:dyDescent="0.2">
      <c r="A75" t="s">
        <v>353</v>
      </c>
      <c r="B75" s="165">
        <v>1.2622198126154211E-2</v>
      </c>
    </row>
    <row r="76" spans="1:2" x14ac:dyDescent="0.2">
      <c r="A76" t="s">
        <v>354</v>
      </c>
      <c r="B76" s="165">
        <v>3.228236306897665E-3</v>
      </c>
    </row>
    <row r="77" spans="1:2" x14ac:dyDescent="0.2">
      <c r="A77" t="s">
        <v>355</v>
      </c>
      <c r="B77" s="165">
        <v>3.1311563099322886E-3</v>
      </c>
    </row>
    <row r="78" spans="1:2" x14ac:dyDescent="0.2">
      <c r="A78" t="s">
        <v>356</v>
      </c>
      <c r="B78" s="165">
        <v>3.7369533744040805E-2</v>
      </c>
    </row>
    <row r="79" spans="1:2" x14ac:dyDescent="0.2">
      <c r="A79" t="s">
        <v>357</v>
      </c>
      <c r="B79" s="165">
        <v>2.5075117269406197E-3</v>
      </c>
    </row>
    <row r="80" spans="1:2" x14ac:dyDescent="0.2">
      <c r="A80" t="s">
        <v>358</v>
      </c>
      <c r="B80" s="165">
        <v>6.9753957195648596E-3</v>
      </c>
    </row>
    <row r="81" spans="1:2" x14ac:dyDescent="0.2">
      <c r="A81" t="s">
        <v>359</v>
      </c>
      <c r="B81" s="165">
        <v>5.4107743553440998E-3</v>
      </c>
    </row>
    <row r="82" spans="1:2" x14ac:dyDescent="0.2">
      <c r="A82" t="s">
        <v>360</v>
      </c>
      <c r="B82" s="165">
        <v>2.403702775889012E-2</v>
      </c>
    </row>
    <row r="83" spans="1:2" x14ac:dyDescent="0.2">
      <c r="A83" t="s">
        <v>361</v>
      </c>
      <c r="B83" s="165">
        <v>3.6080537988955594E-2</v>
      </c>
    </row>
    <row r="84" spans="1:2" x14ac:dyDescent="0.2">
      <c r="A84" t="s">
        <v>362</v>
      </c>
      <c r="B84" s="165">
        <v>8.1534063687757508E-2</v>
      </c>
    </row>
    <row r="85" spans="1:2" x14ac:dyDescent="0.2">
      <c r="A85" t="s">
        <v>363</v>
      </c>
      <c r="B85" s="165">
        <v>8.4841435462351608E-3</v>
      </c>
    </row>
    <row r="86" spans="1:2" x14ac:dyDescent="0.2">
      <c r="A86" t="s">
        <v>364</v>
      </c>
      <c r="B86" s="165">
        <v>7.4316804200052324E-3</v>
      </c>
    </row>
    <row r="87" spans="1:2" x14ac:dyDescent="0.2">
      <c r="A87" t="s">
        <v>365</v>
      </c>
      <c r="B87" s="165">
        <v>2.7695715028203113E-2</v>
      </c>
    </row>
    <row r="88" spans="1:2" x14ac:dyDescent="0.2">
      <c r="A88" t="s">
        <v>366</v>
      </c>
      <c r="B88" s="165">
        <v>1.1780985605977365E-2</v>
      </c>
    </row>
    <row r="89" spans="1:2" x14ac:dyDescent="0.2">
      <c r="A89" t="s">
        <v>367</v>
      </c>
      <c r="B89" s="165">
        <v>6.3330124384951558E-2</v>
      </c>
    </row>
    <row r="90" spans="1:2" x14ac:dyDescent="0.2">
      <c r="A90" t="s">
        <v>368</v>
      </c>
      <c r="B90" s="165">
        <v>1.0144700709986769E-2</v>
      </c>
    </row>
    <row r="91" spans="1:2" x14ac:dyDescent="0.2">
      <c r="A91" t="s">
        <v>369</v>
      </c>
      <c r="B91" s="165">
        <v>1.2045660791899507E-2</v>
      </c>
    </row>
    <row r="92" spans="1:2" x14ac:dyDescent="0.2">
      <c r="A92" t="s">
        <v>370</v>
      </c>
      <c r="B92" s="165">
        <v>1.0637811519581231E-2</v>
      </c>
    </row>
    <row r="93" spans="1:2" x14ac:dyDescent="0.2">
      <c r="A93" t="s">
        <v>371</v>
      </c>
      <c r="B93" s="165">
        <v>4.3512994407900324E-3</v>
      </c>
    </row>
    <row r="94" spans="1:2" x14ac:dyDescent="0.2">
      <c r="A94" t="s">
        <v>372</v>
      </c>
      <c r="B94" s="165">
        <v>5.8922384281831575E-3</v>
      </c>
    </row>
    <row r="95" spans="1:2" x14ac:dyDescent="0.2">
      <c r="A95" t="s">
        <v>373</v>
      </c>
      <c r="B95" s="165">
        <v>5.6107600744605543E-3</v>
      </c>
    </row>
    <row r="96" spans="1:2" x14ac:dyDescent="0.2">
      <c r="A96" t="s">
        <v>374</v>
      </c>
      <c r="B96" s="165">
        <v>2.8877574283760164E-2</v>
      </c>
    </row>
    <row r="97" spans="1:2" x14ac:dyDescent="0.2">
      <c r="A97" t="s">
        <v>375</v>
      </c>
      <c r="B97" s="165">
        <v>6.7363077223469682E-3</v>
      </c>
    </row>
    <row r="98" spans="1:2" x14ac:dyDescent="0.2">
      <c r="A98" t="s">
        <v>376</v>
      </c>
      <c r="B98" s="165">
        <v>1.4512150317535296E-2</v>
      </c>
    </row>
    <row r="99" spans="1:2" x14ac:dyDescent="0.2">
      <c r="A99" t="s">
        <v>377</v>
      </c>
      <c r="B99" s="165">
        <v>1.920154962991923E-2</v>
      </c>
    </row>
    <row r="100" spans="1:2" x14ac:dyDescent="0.2">
      <c r="A100" t="s">
        <v>378</v>
      </c>
      <c r="B100" s="165">
        <v>7.3666037980620507E-3</v>
      </c>
    </row>
    <row r="101" spans="1:2" x14ac:dyDescent="0.2">
      <c r="A101" t="s">
        <v>379</v>
      </c>
      <c r="B101" s="165">
        <v>3.1649443074717168E-3</v>
      </c>
    </row>
    <row r="102" spans="1:2" x14ac:dyDescent="0.2">
      <c r="A102" t="s">
        <v>380</v>
      </c>
      <c r="B102" s="165">
        <v>1.5979471627689975E-2</v>
      </c>
    </row>
    <row r="103" spans="1:2" x14ac:dyDescent="0.2">
      <c r="A103" t="s">
        <v>381</v>
      </c>
      <c r="B103" s="165">
        <v>2.0026750533203196E-2</v>
      </c>
    </row>
    <row r="104" spans="1:2" x14ac:dyDescent="0.2">
      <c r="A104" t="s">
        <v>382</v>
      </c>
      <c r="B104" s="165">
        <v>1.4366601876109187E-2</v>
      </c>
    </row>
    <row r="105" spans="1:2" x14ac:dyDescent="0.2">
      <c r="A105" t="s">
        <v>383</v>
      </c>
      <c r="B105" s="165">
        <v>5.6820919587093907E-3</v>
      </c>
    </row>
    <row r="106" spans="1:2" x14ac:dyDescent="0.2">
      <c r="A106" t="s">
        <v>384</v>
      </c>
      <c r="B106" s="165">
        <v>0.11885908344227593</v>
      </c>
    </row>
    <row r="107" spans="1:2" x14ac:dyDescent="0.2">
      <c r="A107" t="s">
        <v>385</v>
      </c>
      <c r="B107" s="165">
        <v>5.3865271419228256E-2</v>
      </c>
    </row>
    <row r="108" spans="1:2" x14ac:dyDescent="0.2">
      <c r="A108" t="s">
        <v>386</v>
      </c>
      <c r="B108" s="165">
        <v>1.8117583114412538E-3</v>
      </c>
    </row>
    <row r="109" spans="1:2" x14ac:dyDescent="0.2">
      <c r="A109" t="s">
        <v>387</v>
      </c>
      <c r="B109" s="165">
        <v>7.4823849969133834E-3</v>
      </c>
    </row>
    <row r="110" spans="1:2" x14ac:dyDescent="0.2">
      <c r="A110" t="s">
        <v>388</v>
      </c>
      <c r="B110" s="165">
        <v>8.163153672233972E-2</v>
      </c>
    </row>
    <row r="111" spans="1:2" x14ac:dyDescent="0.2">
      <c r="A111" t="s">
        <v>389</v>
      </c>
      <c r="B111" s="165">
        <v>9.2867963171828619E-2</v>
      </c>
    </row>
    <row r="112" spans="1:2" x14ac:dyDescent="0.2">
      <c r="A112" t="s">
        <v>390</v>
      </c>
      <c r="B112" s="165">
        <v>7.7729671747596213E-3</v>
      </c>
    </row>
    <row r="113" spans="1:2" x14ac:dyDescent="0.2">
      <c r="A113" t="s">
        <v>391</v>
      </c>
      <c r="B113" s="165">
        <v>8.0802699342923112E-3</v>
      </c>
    </row>
    <row r="114" spans="1:2" x14ac:dyDescent="0.2">
      <c r="A114" t="s">
        <v>392</v>
      </c>
      <c r="B114" s="165">
        <v>3.4869571461564289E-2</v>
      </c>
    </row>
    <row r="115" spans="1:2" x14ac:dyDescent="0.2">
      <c r="A115" t="s">
        <v>393</v>
      </c>
      <c r="B115" s="165">
        <v>1.8088416178279429E-3</v>
      </c>
    </row>
    <row r="116" spans="1:2" x14ac:dyDescent="0.2">
      <c r="A116" t="s">
        <v>394</v>
      </c>
      <c r="B116" s="165">
        <v>1.6314988035675441E-2</v>
      </c>
    </row>
    <row r="117" spans="1:2" x14ac:dyDescent="0.2">
      <c r="A117" t="s">
        <v>395</v>
      </c>
      <c r="B117" s="165">
        <v>1.1456488810189234E-2</v>
      </c>
    </row>
    <row r="118" spans="1:2" x14ac:dyDescent="0.2">
      <c r="A118" t="s">
        <v>396</v>
      </c>
      <c r="B118" s="165">
        <v>7.4801385880621917E-3</v>
      </c>
    </row>
    <row r="119" spans="1:2" x14ac:dyDescent="0.2">
      <c r="A119" t="s">
        <v>397</v>
      </c>
      <c r="B119" s="165">
        <v>2.8125214369011959E-3</v>
      </c>
    </row>
    <row r="120" spans="1:2" x14ac:dyDescent="0.2">
      <c r="A120" t="s">
        <v>398</v>
      </c>
      <c r="B120" s="165">
        <v>2.7209762532981532E-3</v>
      </c>
    </row>
    <row r="121" spans="1:2" x14ac:dyDescent="0.2">
      <c r="A121" t="s">
        <v>399</v>
      </c>
      <c r="B121" s="165">
        <v>8.8634857521537446E-3</v>
      </c>
    </row>
    <row r="122" spans="1:2" x14ac:dyDescent="0.2">
      <c r="A122" t="s">
        <v>400</v>
      </c>
      <c r="B122" s="165">
        <v>6.6789781471221915E-3</v>
      </c>
    </row>
    <row r="123" spans="1:2" x14ac:dyDescent="0.2">
      <c r="A123" t="s">
        <v>401</v>
      </c>
      <c r="B123" s="165">
        <v>4.9780071442345662E-2</v>
      </c>
    </row>
    <row r="124" spans="1:2" x14ac:dyDescent="0.2">
      <c r="A124" t="s">
        <v>402</v>
      </c>
      <c r="B124" s="165">
        <v>1.541062232181468E-2</v>
      </c>
    </row>
    <row r="125" spans="1:2" x14ac:dyDescent="0.2">
      <c r="A125" t="s">
        <v>403</v>
      </c>
      <c r="B125" s="165">
        <v>1.1301249660598273E-2</v>
      </c>
    </row>
    <row r="126" spans="1:2" x14ac:dyDescent="0.2">
      <c r="A126" t="s">
        <v>404</v>
      </c>
      <c r="B126" s="165">
        <v>1.8636915037850952E-2</v>
      </c>
    </row>
    <row r="127" spans="1:2" x14ac:dyDescent="0.2">
      <c r="A127" t="s">
        <v>405</v>
      </c>
      <c r="B127" s="165">
        <v>2.6832602751616683E-2</v>
      </c>
    </row>
    <row r="128" spans="1:2" x14ac:dyDescent="0.2">
      <c r="A128" t="s">
        <v>406</v>
      </c>
      <c r="B128" s="165">
        <v>7.5380524638224613E-3</v>
      </c>
    </row>
    <row r="129" spans="1:2" x14ac:dyDescent="0.2">
      <c r="A129" t="s">
        <v>407</v>
      </c>
      <c r="B129" s="165">
        <v>6.2263731376473201E-3</v>
      </c>
    </row>
    <row r="130" spans="1:2" x14ac:dyDescent="0.2">
      <c r="A130" t="s">
        <v>408</v>
      </c>
      <c r="B130" s="165">
        <v>0.11531607264466032</v>
      </c>
    </row>
    <row r="131" spans="1:2" x14ac:dyDescent="0.2">
      <c r="A131" t="s">
        <v>409</v>
      </c>
      <c r="B131" s="165">
        <v>1.1099419571637079E-2</v>
      </c>
    </row>
    <row r="132" spans="1:2" x14ac:dyDescent="0.2">
      <c r="A132" t="s">
        <v>410</v>
      </c>
      <c r="B132" s="165">
        <v>2.5407266570554244E-2</v>
      </c>
    </row>
    <row r="133" spans="1:2" x14ac:dyDescent="0.2">
      <c r="A133" t="s">
        <v>411</v>
      </c>
      <c r="B133" s="165">
        <v>3.9272535582498685E-3</v>
      </c>
    </row>
    <row r="134" spans="1:2" x14ac:dyDescent="0.2">
      <c r="A134" t="s">
        <v>412</v>
      </c>
      <c r="B134" s="165">
        <v>1.5871027022511799E-3</v>
      </c>
    </row>
    <row r="135" spans="1:2" x14ac:dyDescent="0.2">
      <c r="A135" t="s">
        <v>413</v>
      </c>
      <c r="B135" s="165">
        <v>4.0452750494521621E-2</v>
      </c>
    </row>
    <row r="136" spans="1:2" x14ac:dyDescent="0.2">
      <c r="A136" t="s">
        <v>414</v>
      </c>
      <c r="B136" s="165">
        <v>3.8396386222473177E-3</v>
      </c>
    </row>
    <row r="137" spans="1:2" x14ac:dyDescent="0.2">
      <c r="A137" t="s">
        <v>415</v>
      </c>
      <c r="B137" s="165">
        <v>1.8977361694619957E-2</v>
      </c>
    </row>
    <row r="138" spans="1:2" x14ac:dyDescent="0.2">
      <c r="A138" t="s">
        <v>416</v>
      </c>
      <c r="B138" s="165">
        <v>1.2396072067852183E-2</v>
      </c>
    </row>
    <row r="139" spans="1:2" x14ac:dyDescent="0.2">
      <c r="A139" t="s">
        <v>417</v>
      </c>
      <c r="B139" s="165">
        <v>4.415037307660268E-3</v>
      </c>
    </row>
    <row r="140" spans="1:2" x14ac:dyDescent="0.2">
      <c r="A140" t="s">
        <v>418</v>
      </c>
      <c r="B140" s="165">
        <v>9.6199374068898624E-3</v>
      </c>
    </row>
    <row r="141" spans="1:2" x14ac:dyDescent="0.2">
      <c r="A141" t="s">
        <v>419</v>
      </c>
      <c r="B141" s="165">
        <v>8.4671073339628589E-3</v>
      </c>
    </row>
    <row r="142" spans="1:2" x14ac:dyDescent="0.2">
      <c r="A142" t="s">
        <v>420</v>
      </c>
      <c r="B142" s="165">
        <v>3.9740400834834318E-3</v>
      </c>
    </row>
    <row r="143" spans="1:2" x14ac:dyDescent="0.2">
      <c r="A143" t="s">
        <v>421</v>
      </c>
      <c r="B143" s="165">
        <v>1.6071536885915186E-2</v>
      </c>
    </row>
    <row r="144" spans="1:2" x14ac:dyDescent="0.2">
      <c r="A144" t="s">
        <v>422</v>
      </c>
      <c r="B144" s="165">
        <v>1.2871543908709576E-2</v>
      </c>
    </row>
    <row r="145" spans="1:2" x14ac:dyDescent="0.2">
      <c r="A145" t="s">
        <v>423</v>
      </c>
      <c r="B145" s="165">
        <v>1.9313248940760572E-2</v>
      </c>
    </row>
    <row r="146" spans="1:2" x14ac:dyDescent="0.2">
      <c r="A146" t="s">
        <v>424</v>
      </c>
      <c r="B146" s="165">
        <v>8.2114571692337591E-3</v>
      </c>
    </row>
    <row r="147" spans="1:2" x14ac:dyDescent="0.2">
      <c r="A147" t="s">
        <v>425</v>
      </c>
      <c r="B147" s="165">
        <v>1.6307668494244351E-2</v>
      </c>
    </row>
    <row r="148" spans="1:2" x14ac:dyDescent="0.2">
      <c r="A148" t="s">
        <v>426</v>
      </c>
      <c r="B148" s="165">
        <v>1.3040076501782145E-3</v>
      </c>
    </row>
    <row r="149" spans="1:2" x14ac:dyDescent="0.2">
      <c r="A149" t="s">
        <v>427</v>
      </c>
      <c r="B149" s="165">
        <v>4.9616066154754869E-3</v>
      </c>
    </row>
    <row r="150" spans="1:2" x14ac:dyDescent="0.2">
      <c r="A150" t="s">
        <v>428</v>
      </c>
      <c r="B150" s="165">
        <v>1.1815348743358069E-2</v>
      </c>
    </row>
    <row r="151" spans="1:2" x14ac:dyDescent="0.2">
      <c r="A151" t="s">
        <v>429</v>
      </c>
      <c r="B151" s="165">
        <v>7.3250120604854141E-3</v>
      </c>
    </row>
    <row r="152" spans="1:2" x14ac:dyDescent="0.2">
      <c r="A152" t="s">
        <v>430</v>
      </c>
      <c r="B152" s="165">
        <v>1.7573427569155892E-2</v>
      </c>
    </row>
    <row r="153" spans="1:2" x14ac:dyDescent="0.2">
      <c r="A153" t="s">
        <v>431</v>
      </c>
      <c r="B153" s="165">
        <v>2.1313197436326824E-3</v>
      </c>
    </row>
    <row r="154" spans="1:2" x14ac:dyDescent="0.2">
      <c r="A154" t="s">
        <v>432</v>
      </c>
      <c r="B154" s="165">
        <v>1.1801472100004111E-2</v>
      </c>
    </row>
    <row r="155" spans="1:2" x14ac:dyDescent="0.2">
      <c r="A155" t="s">
        <v>433</v>
      </c>
      <c r="B155" s="165">
        <v>8.7366101952442449E-3</v>
      </c>
    </row>
    <row r="156" spans="1:2" x14ac:dyDescent="0.2">
      <c r="A156" t="s">
        <v>434</v>
      </c>
      <c r="B156" s="165">
        <v>4.6534708055356457E-2</v>
      </c>
    </row>
    <row r="157" spans="1:2" x14ac:dyDescent="0.2">
      <c r="A157" t="s">
        <v>435</v>
      </c>
      <c r="B157" s="165">
        <v>1.3682682346256058E-2</v>
      </c>
    </row>
    <row r="158" spans="1:2" x14ac:dyDescent="0.2">
      <c r="A158" t="s">
        <v>436</v>
      </c>
      <c r="B158" s="165">
        <v>1.5863489694459918E-2</v>
      </c>
    </row>
    <row r="159" spans="1:2" x14ac:dyDescent="0.2">
      <c r="A159" t="s">
        <v>437</v>
      </c>
      <c r="B159" s="165">
        <v>2.3430735011970051E-3</v>
      </c>
    </row>
    <row r="160" spans="1:2" x14ac:dyDescent="0.2">
      <c r="A160" t="s">
        <v>438</v>
      </c>
      <c r="B160" s="165">
        <v>1.2839541753728655E-2</v>
      </c>
    </row>
    <row r="161" spans="1:2" x14ac:dyDescent="0.2">
      <c r="A161" t="s">
        <v>439</v>
      </c>
      <c r="B161" s="165">
        <v>5.6938175493809265E-3</v>
      </c>
    </row>
    <row r="162" spans="1:2" x14ac:dyDescent="0.2">
      <c r="A162" t="s">
        <v>440</v>
      </c>
      <c r="B162" s="165">
        <v>1.8133945871616975E-2</v>
      </c>
    </row>
    <row r="163" spans="1:2" x14ac:dyDescent="0.2">
      <c r="A163" t="s">
        <v>441</v>
      </c>
      <c r="B163" s="165">
        <v>3.6642884607168795E-2</v>
      </c>
    </row>
    <row r="164" spans="1:2" x14ac:dyDescent="0.2">
      <c r="A164" t="s">
        <v>442</v>
      </c>
      <c r="B164" s="165">
        <v>9.1439076900747471E-3</v>
      </c>
    </row>
    <row r="165" spans="1:2" x14ac:dyDescent="0.2">
      <c r="A165" t="s">
        <v>443</v>
      </c>
      <c r="B165" s="165">
        <v>1.3761207043615066E-2</v>
      </c>
    </row>
    <row r="166" spans="1:2" x14ac:dyDescent="0.2">
      <c r="A166" t="s">
        <v>444</v>
      </c>
      <c r="B166" s="165">
        <v>2.2994481324482125E-3</v>
      </c>
    </row>
    <row r="167" spans="1:2" x14ac:dyDescent="0.2">
      <c r="A167" t="s">
        <v>445</v>
      </c>
      <c r="B167" s="165">
        <v>3.6564451587156061E-3</v>
      </c>
    </row>
    <row r="168" spans="1:2" x14ac:dyDescent="0.2">
      <c r="A168" t="s">
        <v>446</v>
      </c>
      <c r="B168" s="165">
        <v>1.2172031376791993E-2</v>
      </c>
    </row>
    <row r="169" spans="1:2" x14ac:dyDescent="0.2">
      <c r="A169" t="s">
        <v>447</v>
      </c>
      <c r="B169" s="165">
        <v>1.9453288264912553E-2</v>
      </c>
    </row>
    <row r="170" spans="1:2" x14ac:dyDescent="0.2">
      <c r="A170" t="s">
        <v>448</v>
      </c>
      <c r="B170" s="165">
        <v>1.3846681502396848E-2</v>
      </c>
    </row>
    <row r="171" spans="1:2" x14ac:dyDescent="0.2">
      <c r="A171" t="s">
        <v>449</v>
      </c>
      <c r="B171" s="165">
        <v>3.8114809716756168E-2</v>
      </c>
    </row>
    <row r="172" spans="1:2" x14ac:dyDescent="0.2">
      <c r="A172" t="s">
        <v>450</v>
      </c>
      <c r="B172" s="165">
        <v>7.43893945579865E-3</v>
      </c>
    </row>
    <row r="173" spans="1:2" x14ac:dyDescent="0.2">
      <c r="A173" t="s">
        <v>451</v>
      </c>
      <c r="B173" s="165">
        <v>1.1059063136456212E-2</v>
      </c>
    </row>
    <row r="174" spans="1:2" x14ac:dyDescent="0.2">
      <c r="A174" t="s">
        <v>452</v>
      </c>
      <c r="B174" s="165">
        <v>2.1468086863182231E-2</v>
      </c>
    </row>
    <row r="175" spans="1:2" x14ac:dyDescent="0.2">
      <c r="A175" t="s">
        <v>453</v>
      </c>
      <c r="B175" s="165">
        <v>6.6476907538334405E-3</v>
      </c>
    </row>
    <row r="176" spans="1:2" x14ac:dyDescent="0.2">
      <c r="A176" t="s">
        <v>454</v>
      </c>
      <c r="B176" s="165">
        <v>1.71399633828055E-3</v>
      </c>
    </row>
    <row r="177" spans="1:2" x14ac:dyDescent="0.2">
      <c r="A177" t="s">
        <v>455</v>
      </c>
      <c r="B177" s="165">
        <v>4.4866363706385273E-3</v>
      </c>
    </row>
    <row r="178" spans="1:2" x14ac:dyDescent="0.2">
      <c r="A178" t="s">
        <v>456</v>
      </c>
      <c r="B178" s="165">
        <v>2.6527381776463243E-3</v>
      </c>
    </row>
    <row r="179" spans="1:2" x14ac:dyDescent="0.2">
      <c r="A179" t="s">
        <v>457</v>
      </c>
      <c r="B179" s="165">
        <v>7.918329952228258E-3</v>
      </c>
    </row>
    <row r="180" spans="1:2" x14ac:dyDescent="0.2">
      <c r="A180" t="s">
        <v>458</v>
      </c>
      <c r="B180" s="165">
        <v>1.1722894430175728E-2</v>
      </c>
    </row>
    <row r="181" spans="1:2" x14ac:dyDescent="0.2">
      <c r="A181" t="s">
        <v>459</v>
      </c>
      <c r="B181" s="165">
        <v>4.2860525692635567E-3</v>
      </c>
    </row>
    <row r="182" spans="1:2" x14ac:dyDescent="0.2">
      <c r="A182" t="s">
        <v>460</v>
      </c>
      <c r="B182" s="165">
        <v>1.9448343508481169E-3</v>
      </c>
    </row>
    <row r="183" spans="1:2" x14ac:dyDescent="0.2">
      <c r="A183" t="s">
        <v>461</v>
      </c>
      <c r="B183" s="165">
        <v>3.748574961837961E-3</v>
      </c>
    </row>
    <row r="184" spans="1:2" x14ac:dyDescent="0.2">
      <c r="A184" t="s">
        <v>462</v>
      </c>
      <c r="B184" s="165">
        <v>8.1497173235464768E-3</v>
      </c>
    </row>
    <row r="185" spans="1:2" x14ac:dyDescent="0.2">
      <c r="A185" t="s">
        <v>463</v>
      </c>
      <c r="B185" s="165">
        <v>2.5435986101644196E-3</v>
      </c>
    </row>
    <row r="186" spans="1:2" x14ac:dyDescent="0.2">
      <c r="A186" t="s">
        <v>464</v>
      </c>
      <c r="B186" s="165">
        <v>3.6407766990291263E-3</v>
      </c>
    </row>
    <row r="187" spans="1:2" x14ac:dyDescent="0.2">
      <c r="A187" t="s">
        <v>465</v>
      </c>
      <c r="B187" s="165">
        <v>5.4745749593663731E-3</v>
      </c>
    </row>
    <row r="188" spans="1:2" x14ac:dyDescent="0.2">
      <c r="A188" t="s">
        <v>466</v>
      </c>
      <c r="B188" s="165">
        <v>1.4283951644605641E-2</v>
      </c>
    </row>
    <row r="189" spans="1:2" x14ac:dyDescent="0.2">
      <c r="A189" t="s">
        <v>467</v>
      </c>
      <c r="B189" s="165">
        <v>1.1075287342177155E-3</v>
      </c>
    </row>
    <row r="190" spans="1:2" x14ac:dyDescent="0.2">
      <c r="A190" t="s">
        <v>468</v>
      </c>
      <c r="B190" s="165">
        <v>2.7415597068666073E-2</v>
      </c>
    </row>
    <row r="191" spans="1:2" x14ac:dyDescent="0.2">
      <c r="A191" t="s">
        <v>469</v>
      </c>
      <c r="B191" s="165">
        <v>5.5010852481101715E-3</v>
      </c>
    </row>
    <row r="192" spans="1:2" x14ac:dyDescent="0.2">
      <c r="A192" t="s">
        <v>470</v>
      </c>
      <c r="B192" s="165">
        <v>6.5580489804283222E-3</v>
      </c>
    </row>
    <row r="193" spans="1:2" x14ac:dyDescent="0.2">
      <c r="A193" t="s">
        <v>471</v>
      </c>
      <c r="B193" s="165">
        <v>4.8590474660669828E-3</v>
      </c>
    </row>
    <row r="194" spans="1:2" x14ac:dyDescent="0.2">
      <c r="A194" t="s">
        <v>472</v>
      </c>
      <c r="B194" s="165">
        <v>1.1401215104206722E-2</v>
      </c>
    </row>
    <row r="195" spans="1:2" x14ac:dyDescent="0.2">
      <c r="A195" t="s">
        <v>473</v>
      </c>
      <c r="B195" s="165">
        <v>5.2187937435335648E-3</v>
      </c>
    </row>
    <row r="196" spans="1:2" x14ac:dyDescent="0.2">
      <c r="A196" t="s">
        <v>474</v>
      </c>
      <c r="B196" s="165">
        <v>1.0930748828353432E-2</v>
      </c>
    </row>
    <row r="197" spans="1:2" x14ac:dyDescent="0.2">
      <c r="A197" t="s">
        <v>475</v>
      </c>
      <c r="B197" s="165">
        <v>1.180667847334514E-2</v>
      </c>
    </row>
    <row r="198" spans="1:2" x14ac:dyDescent="0.2">
      <c r="A198" t="s">
        <v>476</v>
      </c>
      <c r="B198" s="165">
        <v>6.0012768674185995E-3</v>
      </c>
    </row>
    <row r="199" spans="1:2" x14ac:dyDescent="0.2">
      <c r="A199" t="s">
        <v>477</v>
      </c>
      <c r="B199" s="165">
        <v>9.5096064456151232E-3</v>
      </c>
    </row>
    <row r="200" spans="1:2" x14ac:dyDescent="0.2">
      <c r="A200" t="s">
        <v>478</v>
      </c>
      <c r="B200" s="165">
        <v>1.1064951665734601E-2</v>
      </c>
    </row>
    <row r="201" spans="1:2" x14ac:dyDescent="0.2">
      <c r="A201" t="s">
        <v>479</v>
      </c>
      <c r="B201" s="165">
        <v>5.2759999489007271E-3</v>
      </c>
    </row>
    <row r="202" spans="1:2" x14ac:dyDescent="0.2">
      <c r="A202" t="s">
        <v>480</v>
      </c>
      <c r="B202" s="165">
        <v>5.0907961007898139E-3</v>
      </c>
    </row>
    <row r="203" spans="1:2" x14ac:dyDescent="0.2">
      <c r="A203" t="s">
        <v>481</v>
      </c>
      <c r="B203" s="165">
        <v>1.7717441325356648E-2</v>
      </c>
    </row>
    <row r="204" spans="1:2" x14ac:dyDescent="0.2">
      <c r="A204" t="s">
        <v>482</v>
      </c>
      <c r="B204" s="165">
        <v>3.4349464207075403E-3</v>
      </c>
    </row>
    <row r="205" spans="1:2" x14ac:dyDescent="0.2">
      <c r="A205" t="s">
        <v>483</v>
      </c>
      <c r="B205" s="165">
        <v>1.2820616522013443E-2</v>
      </c>
    </row>
    <row r="206" spans="1:2" x14ac:dyDescent="0.2">
      <c r="A206" t="s">
        <v>484</v>
      </c>
      <c r="B206" s="165">
        <v>1.650692225772098E-2</v>
      </c>
    </row>
    <row r="207" spans="1:2" x14ac:dyDescent="0.2">
      <c r="A207" t="s">
        <v>485</v>
      </c>
      <c r="B207" s="165">
        <v>1.3662947667830281E-2</v>
      </c>
    </row>
    <row r="208" spans="1:2" x14ac:dyDescent="0.2">
      <c r="A208" t="s">
        <v>486</v>
      </c>
      <c r="B208" s="165">
        <v>4.7466627868912089E-3</v>
      </c>
    </row>
    <row r="209" spans="1:2" x14ac:dyDescent="0.2">
      <c r="A209" t="s">
        <v>487</v>
      </c>
      <c r="B209" s="165">
        <v>2.6197679501344044E-2</v>
      </c>
    </row>
    <row r="210" spans="1:2" x14ac:dyDescent="0.2">
      <c r="A210" t="s">
        <v>488</v>
      </c>
      <c r="B210" s="165">
        <v>2.2631855156127001E-3</v>
      </c>
    </row>
    <row r="211" spans="1:2" x14ac:dyDescent="0.2">
      <c r="A211" t="s">
        <v>489</v>
      </c>
      <c r="B211" s="165">
        <v>1.8186394814674973E-3</v>
      </c>
    </row>
    <row r="212" spans="1:2" x14ac:dyDescent="0.2">
      <c r="A212" t="s">
        <v>490</v>
      </c>
      <c r="B212" s="165">
        <v>2.6341371632851453E-3</v>
      </c>
    </row>
    <row r="213" spans="1:2" x14ac:dyDescent="0.2">
      <c r="A213" t="s">
        <v>491</v>
      </c>
      <c r="B213" s="165">
        <v>5.4809994670145653E-3</v>
      </c>
    </row>
    <row r="214" spans="1:2" x14ac:dyDescent="0.2">
      <c r="A214" t="s">
        <v>492</v>
      </c>
      <c r="B214" s="165">
        <v>7.46141362135542E-2</v>
      </c>
    </row>
    <row r="215" spans="1:2" x14ac:dyDescent="0.2">
      <c r="A215" t="s">
        <v>493</v>
      </c>
      <c r="B215" s="165">
        <v>5.4993744787322765E-3</v>
      </c>
    </row>
    <row r="216" spans="1:2" x14ac:dyDescent="0.2">
      <c r="A216" t="s">
        <v>494</v>
      </c>
      <c r="B216" s="165">
        <v>7.2679792937696431E-3</v>
      </c>
    </row>
    <row r="217" spans="1:2" x14ac:dyDescent="0.2">
      <c r="A217" t="s">
        <v>495</v>
      </c>
      <c r="B217" s="165">
        <v>2.6817128719506315E-2</v>
      </c>
    </row>
    <row r="218" spans="1:2" x14ac:dyDescent="0.2">
      <c r="A218" t="s">
        <v>496</v>
      </c>
      <c r="B218" s="165">
        <v>9.1957262774044098E-3</v>
      </c>
    </row>
    <row r="219" spans="1:2" x14ac:dyDescent="0.2">
      <c r="A219" t="s">
        <v>497</v>
      </c>
      <c r="B219" s="165">
        <v>2.5922244251248058E-3</v>
      </c>
    </row>
    <row r="220" spans="1:2" x14ac:dyDescent="0.2">
      <c r="A220" t="s">
        <v>498</v>
      </c>
      <c r="B220" s="165">
        <v>3.7994574876063981E-2</v>
      </c>
    </row>
    <row r="221" spans="1:2" x14ac:dyDescent="0.2">
      <c r="A221" t="s">
        <v>499</v>
      </c>
      <c r="B221" s="165">
        <v>1.0244891584962935E-2</v>
      </c>
    </row>
    <row r="222" spans="1:2" x14ac:dyDescent="0.2">
      <c r="A222" t="s">
        <v>500</v>
      </c>
      <c r="B222" s="165">
        <v>4.9180327868852458E-2</v>
      </c>
    </row>
    <row r="223" spans="1:2" x14ac:dyDescent="0.2">
      <c r="A223" t="s">
        <v>501</v>
      </c>
      <c r="B223" s="165">
        <v>5.9337429323753341E-2</v>
      </c>
    </row>
    <row r="224" spans="1:2" x14ac:dyDescent="0.2">
      <c r="A224" t="s">
        <v>502</v>
      </c>
      <c r="B224" s="165">
        <v>4.3360433604336043E-3</v>
      </c>
    </row>
    <row r="225" spans="1:2" x14ac:dyDescent="0.2">
      <c r="A225" t="s">
        <v>503</v>
      </c>
      <c r="B225" s="165">
        <v>3.9911982464068659E-3</v>
      </c>
    </row>
    <row r="226" spans="1:2" x14ac:dyDescent="0.2">
      <c r="A226" t="s">
        <v>504</v>
      </c>
      <c r="B226" s="165">
        <v>7.6217388708682415E-3</v>
      </c>
    </row>
    <row r="227" spans="1:2" x14ac:dyDescent="0.2">
      <c r="A227" t="s">
        <v>505</v>
      </c>
      <c r="B227" s="165">
        <v>1.1264878409932228E-2</v>
      </c>
    </row>
    <row r="228" spans="1:2" x14ac:dyDescent="0.2">
      <c r="A228" t="s">
        <v>506</v>
      </c>
      <c r="B228" s="165">
        <v>2.1756057344386936E-3</v>
      </c>
    </row>
    <row r="229" spans="1:2" x14ac:dyDescent="0.2">
      <c r="A229" t="s">
        <v>507</v>
      </c>
      <c r="B229" s="165">
        <v>6.5180464295590112E-3</v>
      </c>
    </row>
    <row r="230" spans="1:2" x14ac:dyDescent="0.2">
      <c r="A230" t="s">
        <v>508</v>
      </c>
      <c r="B230" s="165">
        <v>3.6082402136973276E-3</v>
      </c>
    </row>
    <row r="231" spans="1:2" x14ac:dyDescent="0.2">
      <c r="A231" t="s">
        <v>509</v>
      </c>
      <c r="B231" s="165">
        <v>2.869423517464516E-3</v>
      </c>
    </row>
    <row r="232" spans="1:2" x14ac:dyDescent="0.2">
      <c r="A232" t="s">
        <v>510</v>
      </c>
      <c r="B232" s="165">
        <v>1.0271763402087434E-2</v>
      </c>
    </row>
    <row r="233" spans="1:2" x14ac:dyDescent="0.2">
      <c r="A233" t="s">
        <v>511</v>
      </c>
      <c r="B233" s="165">
        <v>8.1046659719810122E-4</v>
      </c>
    </row>
    <row r="234" spans="1:2" x14ac:dyDescent="0.2">
      <c r="A234" t="s">
        <v>512</v>
      </c>
      <c r="B234" s="165">
        <v>1.3720468325318837E-3</v>
      </c>
    </row>
    <row r="235" spans="1:2" x14ac:dyDescent="0.2">
      <c r="A235" t="s">
        <v>513</v>
      </c>
      <c r="B235" s="165">
        <v>9.282053351628395E-3</v>
      </c>
    </row>
    <row r="236" spans="1:2" x14ac:dyDescent="0.2">
      <c r="A236" t="s">
        <v>514</v>
      </c>
      <c r="B236" s="165">
        <v>2.0677456083279117E-2</v>
      </c>
    </row>
    <row r="237" spans="1:2" x14ac:dyDescent="0.2">
      <c r="A237" t="s">
        <v>515</v>
      </c>
      <c r="B237" s="165">
        <v>1.2888250893160511E-2</v>
      </c>
    </row>
    <row r="238" spans="1:2" x14ac:dyDescent="0.2">
      <c r="A238" t="s">
        <v>516</v>
      </c>
      <c r="B238" s="165">
        <v>1.7532370888525078E-2</v>
      </c>
    </row>
    <row r="239" spans="1:2" x14ac:dyDescent="0.2">
      <c r="A239" t="s">
        <v>517</v>
      </c>
      <c r="B239" s="165">
        <v>2.9474265544523551E-3</v>
      </c>
    </row>
    <row r="240" spans="1:2" x14ac:dyDescent="0.2">
      <c r="A240" t="s">
        <v>518</v>
      </c>
      <c r="B240" s="165">
        <v>1.7044299541836719E-3</v>
      </c>
    </row>
    <row r="241" spans="1:2" x14ac:dyDescent="0.2">
      <c r="A241" t="s">
        <v>519</v>
      </c>
      <c r="B241" s="165">
        <v>2.1364552608502545E-2</v>
      </c>
    </row>
    <row r="242" spans="1:2" x14ac:dyDescent="0.2">
      <c r="A242" t="s">
        <v>520</v>
      </c>
      <c r="B242" s="165">
        <v>5.0159930212271006E-3</v>
      </c>
    </row>
    <row r="243" spans="1:2" x14ac:dyDescent="0.2">
      <c r="A243" t="s">
        <v>521</v>
      </c>
      <c r="B243" s="165">
        <v>2.4133391838525669E-3</v>
      </c>
    </row>
    <row r="244" spans="1:2" x14ac:dyDescent="0.2">
      <c r="A244" t="s">
        <v>522</v>
      </c>
      <c r="B244" s="165">
        <v>1.0455563853622106E-2</v>
      </c>
    </row>
    <row r="245" spans="1:2" x14ac:dyDescent="0.2">
      <c r="A245" t="s">
        <v>523</v>
      </c>
      <c r="B245" s="165">
        <v>2.5607569947128365E-2</v>
      </c>
    </row>
    <row r="246" spans="1:2" x14ac:dyDescent="0.2">
      <c r="A246" t="s">
        <v>524</v>
      </c>
      <c r="B246" s="165">
        <v>8.8527404258797564E-3</v>
      </c>
    </row>
    <row r="247" spans="1:2" x14ac:dyDescent="0.2">
      <c r="A247" t="s">
        <v>525</v>
      </c>
      <c r="B247" s="165">
        <v>3.9373802823562797E-3</v>
      </c>
    </row>
    <row r="248" spans="1:2" x14ac:dyDescent="0.2">
      <c r="A248" t="s">
        <v>526</v>
      </c>
      <c r="B248" s="165">
        <v>4.2876687211745954E-3</v>
      </c>
    </row>
    <row r="249" spans="1:2" x14ac:dyDescent="0.2">
      <c r="A249" t="s">
        <v>527</v>
      </c>
      <c r="B249" s="165">
        <v>4.0469051958541419E-3</v>
      </c>
    </row>
    <row r="250" spans="1:2" x14ac:dyDescent="0.2">
      <c r="A250" t="s">
        <v>528</v>
      </c>
      <c r="B250" s="165">
        <v>1.2326988722381449E-2</v>
      </c>
    </row>
    <row r="251" spans="1:2" x14ac:dyDescent="0.2">
      <c r="A251" t="s">
        <v>529</v>
      </c>
      <c r="B251" s="165">
        <v>2.0945908305943957E-2</v>
      </c>
    </row>
    <row r="252" spans="1:2" x14ac:dyDescent="0.2">
      <c r="A252" t="s">
        <v>530</v>
      </c>
      <c r="B252" s="165">
        <v>2.035374529872731E-2</v>
      </c>
    </row>
    <row r="253" spans="1:2" x14ac:dyDescent="0.2">
      <c r="A253" t="s">
        <v>531</v>
      </c>
      <c r="B253" s="165">
        <v>4.6118276953029938E-3</v>
      </c>
    </row>
    <row r="254" spans="1:2" x14ac:dyDescent="0.2">
      <c r="A254" t="s">
        <v>532</v>
      </c>
      <c r="B254" s="165">
        <v>3.4277533466538078E-2</v>
      </c>
    </row>
    <row r="255" spans="1:2" x14ac:dyDescent="0.2">
      <c r="A255" t="s">
        <v>533</v>
      </c>
      <c r="B255" s="165">
        <v>1.5212556805363072E-2</v>
      </c>
    </row>
    <row r="256" spans="1:2" x14ac:dyDescent="0.2">
      <c r="A256" t="s">
        <v>534</v>
      </c>
      <c r="B256" s="165">
        <v>8.3637855900572568E-3</v>
      </c>
    </row>
    <row r="257" spans="1:2" x14ac:dyDescent="0.2">
      <c r="A257" t="s">
        <v>535</v>
      </c>
      <c r="B257" s="165">
        <v>5.0215896369742528E-3</v>
      </c>
    </row>
    <row r="258" spans="1:2" x14ac:dyDescent="0.2">
      <c r="A258" t="s">
        <v>536</v>
      </c>
      <c r="B258" s="165">
        <v>6.256831630922317E-3</v>
      </c>
    </row>
    <row r="259" spans="1:2" x14ac:dyDescent="0.2">
      <c r="A259" t="s">
        <v>537</v>
      </c>
      <c r="B259" s="165">
        <v>4.7777931334030913E-3</v>
      </c>
    </row>
    <row r="260" spans="1:2" x14ac:dyDescent="0.2">
      <c r="A260" t="s">
        <v>538</v>
      </c>
      <c r="B260" s="165">
        <v>8.8109412427786384E-3</v>
      </c>
    </row>
    <row r="261" spans="1:2" x14ac:dyDescent="0.2">
      <c r="A261" t="s">
        <v>539</v>
      </c>
      <c r="B261" s="165">
        <v>4.2586140147115757E-3</v>
      </c>
    </row>
    <row r="262" spans="1:2" x14ac:dyDescent="0.2">
      <c r="A262" t="s">
        <v>540</v>
      </c>
      <c r="B262" s="165">
        <v>1.2263197777216468E-2</v>
      </c>
    </row>
    <row r="263" spans="1:2" x14ac:dyDescent="0.2">
      <c r="A263" t="s">
        <v>541</v>
      </c>
      <c r="B263" s="165">
        <v>7.4953233227160118E-3</v>
      </c>
    </row>
    <row r="264" spans="1:2" x14ac:dyDescent="0.2">
      <c r="A264" t="s">
        <v>542</v>
      </c>
      <c r="B264" s="165">
        <v>1.7491800718413244E-2</v>
      </c>
    </row>
    <row r="265" spans="1:2" x14ac:dyDescent="0.2">
      <c r="A265" t="s">
        <v>543</v>
      </c>
      <c r="B265" s="165">
        <v>2.099929241514688E-3</v>
      </c>
    </row>
    <row r="266" spans="1:2" x14ac:dyDescent="0.2">
      <c r="A266" t="s">
        <v>544</v>
      </c>
      <c r="B266" s="165">
        <v>2.5266153166854733E-3</v>
      </c>
    </row>
    <row r="267" spans="1:2" x14ac:dyDescent="0.2">
      <c r="A267" t="s">
        <v>545</v>
      </c>
      <c r="B267" s="165">
        <v>6.0607899756802273E-2</v>
      </c>
    </row>
    <row r="268" spans="1:2" x14ac:dyDescent="0.2">
      <c r="A268" t="s">
        <v>546</v>
      </c>
      <c r="B268" s="165">
        <v>2.1311455618811752E-2</v>
      </c>
    </row>
    <row r="269" spans="1:2" x14ac:dyDescent="0.2">
      <c r="A269" t="s">
        <v>547</v>
      </c>
      <c r="B269" s="165">
        <v>8.1656738674513365E-3</v>
      </c>
    </row>
    <row r="270" spans="1:2" x14ac:dyDescent="0.2">
      <c r="A270" t="s">
        <v>548</v>
      </c>
      <c r="B270" s="165">
        <v>9.975551867516105E-3</v>
      </c>
    </row>
    <row r="271" spans="1:2" x14ac:dyDescent="0.2">
      <c r="A271" t="s">
        <v>549</v>
      </c>
      <c r="B271" s="165">
        <v>1.2587427544756486E-2</v>
      </c>
    </row>
    <row r="272" spans="1:2" x14ac:dyDescent="0.2">
      <c r="A272" t="s">
        <v>550</v>
      </c>
      <c r="B272" s="165">
        <v>3.7334328915437746E-3</v>
      </c>
    </row>
    <row r="273" spans="1:2" x14ac:dyDescent="0.2">
      <c r="A273" t="s">
        <v>551</v>
      </c>
      <c r="B273" s="165">
        <v>3.9168328628040094E-2</v>
      </c>
    </row>
    <row r="274" spans="1:2" x14ac:dyDescent="0.2">
      <c r="A274" t="s">
        <v>552</v>
      </c>
      <c r="B274" s="165">
        <v>7.979314289495951E-3</v>
      </c>
    </row>
    <row r="275" spans="1:2" x14ac:dyDescent="0.2">
      <c r="A275" t="s">
        <v>553</v>
      </c>
      <c r="B275" s="165">
        <v>7.7078242616068359E-4</v>
      </c>
    </row>
    <row r="276" spans="1:2" x14ac:dyDescent="0.2">
      <c r="A276" t="s">
        <v>554</v>
      </c>
      <c r="B276" s="165">
        <v>1.0550467711254487E-2</v>
      </c>
    </row>
    <row r="277" spans="1:2" x14ac:dyDescent="0.2">
      <c r="A277" t="s">
        <v>555</v>
      </c>
      <c r="B277" s="165">
        <v>8.8230978061486533E-3</v>
      </c>
    </row>
    <row r="278" spans="1:2" x14ac:dyDescent="0.2">
      <c r="A278" t="s">
        <v>556</v>
      </c>
      <c r="B278" s="165">
        <v>2.6527570789865871E-2</v>
      </c>
    </row>
    <row r="279" spans="1:2" x14ac:dyDescent="0.2">
      <c r="A279" t="s">
        <v>557</v>
      </c>
      <c r="B279" s="165">
        <v>3.157593764373889E-3</v>
      </c>
    </row>
    <row r="280" spans="1:2" x14ac:dyDescent="0.2">
      <c r="A280" t="s">
        <v>558</v>
      </c>
      <c r="B280" s="165">
        <v>8.149893672050117E-3</v>
      </c>
    </row>
    <row r="281" spans="1:2" x14ac:dyDescent="0.2">
      <c r="A281" t="s">
        <v>559</v>
      </c>
      <c r="B281" s="165">
        <v>1.4747997423257898E-2</v>
      </c>
    </row>
    <row r="282" spans="1:2" x14ac:dyDescent="0.2">
      <c r="A282" t="s">
        <v>560</v>
      </c>
      <c r="B282" s="165">
        <v>7.1443937455418303E-3</v>
      </c>
    </row>
    <row r="283" spans="1:2" x14ac:dyDescent="0.2">
      <c r="A283" t="s">
        <v>561</v>
      </c>
      <c r="B283" s="165">
        <v>3.7729006732899799E-2</v>
      </c>
    </row>
    <row r="284" spans="1:2" x14ac:dyDescent="0.2">
      <c r="A284" t="s">
        <v>562</v>
      </c>
      <c r="B284" s="165">
        <v>1.2153312393504548E-2</v>
      </c>
    </row>
    <row r="285" spans="1:2" x14ac:dyDescent="0.2">
      <c r="A285" t="s">
        <v>563</v>
      </c>
      <c r="B285" s="165">
        <v>4.2302437739700095E-3</v>
      </c>
    </row>
    <row r="286" spans="1:2" x14ac:dyDescent="0.2">
      <c r="A286" t="s">
        <v>564</v>
      </c>
      <c r="B286" s="165">
        <v>3.6524340893848345E-2</v>
      </c>
    </row>
    <row r="287" spans="1:2" x14ac:dyDescent="0.2">
      <c r="A287" t="s">
        <v>565</v>
      </c>
      <c r="B287" s="165">
        <v>4.4447418633875836E-2</v>
      </c>
    </row>
    <row r="288" spans="1:2" x14ac:dyDescent="0.2">
      <c r="A288" t="s">
        <v>566</v>
      </c>
      <c r="B288" s="165">
        <v>2.1866208761097513E-2</v>
      </c>
    </row>
    <row r="289" spans="1:2" x14ac:dyDescent="0.2">
      <c r="A289" t="s">
        <v>567</v>
      </c>
      <c r="B289" s="165">
        <v>4.6968227375598862E-3</v>
      </c>
    </row>
    <row r="290" spans="1:2" x14ac:dyDescent="0.2">
      <c r="A290" t="s">
        <v>568</v>
      </c>
      <c r="B290" s="165">
        <v>7.9302937220181099E-3</v>
      </c>
    </row>
    <row r="291" spans="1:2" x14ac:dyDescent="0.2">
      <c r="A291" t="s">
        <v>569</v>
      </c>
      <c r="B291" s="165">
        <v>1.3540124672361577E-2</v>
      </c>
    </row>
    <row r="292" spans="1:2" x14ac:dyDescent="0.2">
      <c r="A292" t="s">
        <v>570</v>
      </c>
      <c r="B292" s="165">
        <v>4.8627897056732544E-3</v>
      </c>
    </row>
    <row r="293" spans="1:2" x14ac:dyDescent="0.2">
      <c r="A293" t="s">
        <v>571</v>
      </c>
      <c r="B293" s="165">
        <v>6.2674226168377206E-3</v>
      </c>
    </row>
    <row r="294" spans="1:2" x14ac:dyDescent="0.2">
      <c r="A294" t="s">
        <v>572</v>
      </c>
      <c r="B294" s="165">
        <v>1.3266998341625208E-2</v>
      </c>
    </row>
    <row r="295" spans="1:2" x14ac:dyDescent="0.2">
      <c r="A295" t="s">
        <v>573</v>
      </c>
      <c r="B295" s="165">
        <v>4.8491101367036365E-3</v>
      </c>
    </row>
    <row r="296" spans="1:2" x14ac:dyDescent="0.2">
      <c r="A296" t="s">
        <v>574</v>
      </c>
      <c r="B296" s="165">
        <v>9.5916374705645856E-3</v>
      </c>
    </row>
    <row r="297" spans="1:2" x14ac:dyDescent="0.2">
      <c r="A297" t="s">
        <v>575</v>
      </c>
      <c r="B297" s="165">
        <v>1.9426719335561633E-2</v>
      </c>
    </row>
    <row r="298" spans="1:2" x14ac:dyDescent="0.2">
      <c r="A298" t="s">
        <v>576</v>
      </c>
      <c r="B298" s="165">
        <v>5.8443947584411174E-3</v>
      </c>
    </row>
    <row r="299" spans="1:2" x14ac:dyDescent="0.2">
      <c r="A299" t="s">
        <v>577</v>
      </c>
      <c r="B299" s="165">
        <v>4.2720482243480537E-3</v>
      </c>
    </row>
    <row r="300" spans="1:2" x14ac:dyDescent="0.2">
      <c r="A300" t="s">
        <v>578</v>
      </c>
      <c r="B300" s="165">
        <v>2.4030549475130617E-2</v>
      </c>
    </row>
    <row r="301" spans="1:2" x14ac:dyDescent="0.2">
      <c r="A301" t="s">
        <v>579</v>
      </c>
      <c r="B301" s="165">
        <v>1.2937323440846863E-2</v>
      </c>
    </row>
    <row r="302" spans="1:2" x14ac:dyDescent="0.2">
      <c r="A302" t="s">
        <v>580</v>
      </c>
      <c r="B302" s="165">
        <v>1.0029839279096002E-2</v>
      </c>
    </row>
    <row r="303" spans="1:2" x14ac:dyDescent="0.2">
      <c r="A303" t="s">
        <v>581</v>
      </c>
      <c r="B303" s="165">
        <v>3.5223561487990739E-2</v>
      </c>
    </row>
    <row r="304" spans="1:2" x14ac:dyDescent="0.2">
      <c r="A304" t="s">
        <v>582</v>
      </c>
      <c r="B304" s="165">
        <v>2.8851920521494396E-2</v>
      </c>
    </row>
    <row r="305" spans="1:2" x14ac:dyDescent="0.2">
      <c r="A305" t="s">
        <v>583</v>
      </c>
      <c r="B305" s="165">
        <v>0.30339788120994809</v>
      </c>
    </row>
    <row r="306" spans="1:2" x14ac:dyDescent="0.2">
      <c r="A306" t="s">
        <v>584</v>
      </c>
      <c r="B306" s="165">
        <v>4.5202703660143688E-3</v>
      </c>
    </row>
    <row r="307" spans="1:2" x14ac:dyDescent="0.2">
      <c r="A307" t="s">
        <v>585</v>
      </c>
      <c r="B307" s="165">
        <v>2.1646761171261672E-2</v>
      </c>
    </row>
    <row r="308" spans="1:2" x14ac:dyDescent="0.2">
      <c r="A308" t="s">
        <v>586</v>
      </c>
      <c r="B308" s="165">
        <v>8.0407397480568212E-4</v>
      </c>
    </row>
    <row r="309" spans="1:2" x14ac:dyDescent="0.2">
      <c r="A309" t="s">
        <v>587</v>
      </c>
      <c r="B309" s="165">
        <v>1.6259036005450471E-2</v>
      </c>
    </row>
    <row r="310" spans="1:2" x14ac:dyDescent="0.2">
      <c r="A310" t="s">
        <v>588</v>
      </c>
      <c r="B310" s="165">
        <v>3.1021802401575488E-3</v>
      </c>
    </row>
    <row r="311" spans="1:2" x14ac:dyDescent="0.2">
      <c r="A311" t="s">
        <v>589</v>
      </c>
      <c r="B311" s="165">
        <v>2.3969598316930893E-2</v>
      </c>
    </row>
    <row r="312" spans="1:2" x14ac:dyDescent="0.2">
      <c r="A312" t="s">
        <v>590</v>
      </c>
      <c r="B312" s="165">
        <v>5.375374100566723E-3</v>
      </c>
    </row>
    <row r="313" spans="1:2" x14ac:dyDescent="0.2">
      <c r="A313" t="s">
        <v>591</v>
      </c>
      <c r="B313" s="165">
        <v>2.3970895607230622E-2</v>
      </c>
    </row>
    <row r="314" spans="1:2" x14ac:dyDescent="0.2">
      <c r="A314" t="s">
        <v>592</v>
      </c>
      <c r="B314" s="165">
        <v>8.6604809445917242E-3</v>
      </c>
    </row>
    <row r="315" spans="1:2" x14ac:dyDescent="0.2">
      <c r="A315" t="s">
        <v>593</v>
      </c>
      <c r="B315" s="165">
        <v>1.7115355377186867E-2</v>
      </c>
    </row>
    <row r="316" spans="1:2" x14ac:dyDescent="0.2">
      <c r="A316" t="s">
        <v>594</v>
      </c>
      <c r="B316" s="165">
        <v>7.3662111892747965E-3</v>
      </c>
    </row>
    <row r="317" spans="1:2" x14ac:dyDescent="0.2">
      <c r="A317" t="s">
        <v>595</v>
      </c>
      <c r="B317" s="165">
        <v>2.799861028795651E-3</v>
      </c>
    </row>
    <row r="318" spans="1:2" x14ac:dyDescent="0.2">
      <c r="A318" t="s">
        <v>596</v>
      </c>
      <c r="B318" s="165">
        <v>1.1709393409723571E-2</v>
      </c>
    </row>
    <row r="319" spans="1:2" x14ac:dyDescent="0.2">
      <c r="A319" t="s">
        <v>597</v>
      </c>
      <c r="B319" s="165">
        <v>4.6720900910237149E-3</v>
      </c>
    </row>
    <row r="320" spans="1:2" x14ac:dyDescent="0.2">
      <c r="A320" t="s">
        <v>598</v>
      </c>
      <c r="B320" s="165">
        <v>3.3861410085862863E-3</v>
      </c>
    </row>
    <row r="321" spans="1:2" x14ac:dyDescent="0.2">
      <c r="A321" t="s">
        <v>599</v>
      </c>
      <c r="B321" s="165">
        <v>5.3089800558024178E-3</v>
      </c>
    </row>
    <row r="322" spans="1:2" x14ac:dyDescent="0.2">
      <c r="A322" t="s">
        <v>600</v>
      </c>
      <c r="B322" s="165">
        <v>3.4488325334977032E-3</v>
      </c>
    </row>
    <row r="323" spans="1:2" x14ac:dyDescent="0.2">
      <c r="A323" t="s">
        <v>601</v>
      </c>
      <c r="B323" s="165">
        <v>2.0939135869989843E-3</v>
      </c>
    </row>
    <row r="324" spans="1:2" x14ac:dyDescent="0.2">
      <c r="A324" t="s">
        <v>602</v>
      </c>
      <c r="B324" s="165">
        <v>5.8644894708020116E-3</v>
      </c>
    </row>
    <row r="325" spans="1:2" x14ac:dyDescent="0.2">
      <c r="A325" t="s">
        <v>603</v>
      </c>
      <c r="B325" s="165">
        <v>1.0075002155234346E-2</v>
      </c>
    </row>
    <row r="326" spans="1:2" x14ac:dyDescent="0.2">
      <c r="A326" t="s">
        <v>604</v>
      </c>
      <c r="B326" s="165">
        <v>9.2239807435314167E-2</v>
      </c>
    </row>
    <row r="327" spans="1:2" x14ac:dyDescent="0.2">
      <c r="A327" t="s">
        <v>605</v>
      </c>
      <c r="B327" s="165">
        <v>2.3489572820278554E-2</v>
      </c>
    </row>
    <row r="328" spans="1:2" x14ac:dyDescent="0.2">
      <c r="A328" t="s">
        <v>606</v>
      </c>
      <c r="B328" s="165">
        <v>3.5845964768537486E-3</v>
      </c>
    </row>
    <row r="329" spans="1:2" x14ac:dyDescent="0.2">
      <c r="A329" t="s">
        <v>607</v>
      </c>
      <c r="B329" s="165">
        <v>5.8202688365789401E-2</v>
      </c>
    </row>
    <row r="330" spans="1:2" x14ac:dyDescent="0.2">
      <c r="A330" t="s">
        <v>608</v>
      </c>
      <c r="B330" s="165">
        <v>9.1367048597392336E-3</v>
      </c>
    </row>
    <row r="331" spans="1:2" x14ac:dyDescent="0.2">
      <c r="A331" t="s">
        <v>609</v>
      </c>
      <c r="B331" s="165">
        <v>1.1006405975612773E-2</v>
      </c>
    </row>
    <row r="332" spans="1:2" x14ac:dyDescent="0.2">
      <c r="A332" t="s">
        <v>610</v>
      </c>
      <c r="B332" s="165">
        <v>1.872828257955074E-2</v>
      </c>
    </row>
    <row r="333" spans="1:2" x14ac:dyDescent="0.2">
      <c r="A333" t="s">
        <v>611</v>
      </c>
      <c r="B333" s="165">
        <v>1.0246931169717375E-2</v>
      </c>
    </row>
    <row r="334" spans="1:2" x14ac:dyDescent="0.2">
      <c r="A334" t="s">
        <v>612</v>
      </c>
      <c r="B334" s="165">
        <v>6.2630629258097231E-2</v>
      </c>
    </row>
    <row r="335" spans="1:2" x14ac:dyDescent="0.2">
      <c r="A335" t="s">
        <v>613</v>
      </c>
      <c r="B335" s="165">
        <v>3.6430900426385753E-3</v>
      </c>
    </row>
    <row r="336" spans="1:2" x14ac:dyDescent="0.2">
      <c r="A336" t="s">
        <v>614</v>
      </c>
      <c r="B336" s="165">
        <v>5.0138285773366417E-2</v>
      </c>
    </row>
    <row r="337" spans="1:2" x14ac:dyDescent="0.2">
      <c r="A337" t="s">
        <v>615</v>
      </c>
      <c r="B337" s="165">
        <v>1.0546444920901663E-3</v>
      </c>
    </row>
    <row r="338" spans="1:2" x14ac:dyDescent="0.2">
      <c r="A338" t="s">
        <v>616</v>
      </c>
      <c r="B338" s="165">
        <v>2.6835640951720519E-2</v>
      </c>
    </row>
    <row r="339" spans="1:2" x14ac:dyDescent="0.2">
      <c r="A339" t="s">
        <v>617</v>
      </c>
      <c r="B339" s="165">
        <v>2.0613502451311116E-2</v>
      </c>
    </row>
    <row r="340" spans="1:2" x14ac:dyDescent="0.2">
      <c r="A340" t="s">
        <v>618</v>
      </c>
      <c r="B340" s="165">
        <v>5.2824374675743239E-3</v>
      </c>
    </row>
    <row r="341" spans="1:2" x14ac:dyDescent="0.2">
      <c r="A341" t="s">
        <v>619</v>
      </c>
      <c r="B341" s="165">
        <v>2.9925633903772064E-3</v>
      </c>
    </row>
    <row r="342" spans="1:2" x14ac:dyDescent="0.2">
      <c r="A342" t="s">
        <v>620</v>
      </c>
      <c r="B342" s="165">
        <v>1.5088102226130813E-2</v>
      </c>
    </row>
    <row r="343" spans="1:2" x14ac:dyDescent="0.2">
      <c r="A343" t="s">
        <v>621</v>
      </c>
      <c r="B343" s="165">
        <v>9.5728065440112801E-3</v>
      </c>
    </row>
    <row r="344" spans="1:2" x14ac:dyDescent="0.2">
      <c r="A344" t="s">
        <v>622</v>
      </c>
      <c r="B344" s="165">
        <v>6.3173662444234585E-3</v>
      </c>
    </row>
    <row r="345" spans="1:2" x14ac:dyDescent="0.2">
      <c r="A345" t="s">
        <v>623</v>
      </c>
      <c r="B345" s="165">
        <v>1.8265796667329987E-2</v>
      </c>
    </row>
    <row r="346" spans="1:2" x14ac:dyDescent="0.2">
      <c r="A346" t="s">
        <v>624</v>
      </c>
      <c r="B346" s="165">
        <v>6.7725493509053535E-3</v>
      </c>
    </row>
    <row r="347" spans="1:2" x14ac:dyDescent="0.2">
      <c r="A347" t="s">
        <v>625</v>
      </c>
      <c r="B347" s="165">
        <v>3.1841711608865092E-2</v>
      </c>
    </row>
    <row r="348" spans="1:2" x14ac:dyDescent="0.2">
      <c r="A348" t="s">
        <v>626</v>
      </c>
      <c r="B348" s="165">
        <v>1.7737014583272662E-2</v>
      </c>
    </row>
    <row r="349" spans="1:2" x14ac:dyDescent="0.2">
      <c r="A349" t="s">
        <v>627</v>
      </c>
      <c r="B349" s="165">
        <v>1.5434639345989236E-2</v>
      </c>
    </row>
    <row r="350" spans="1:2" x14ac:dyDescent="0.2">
      <c r="A350" t="s">
        <v>628</v>
      </c>
      <c r="B350" s="165">
        <v>1.0989797744764633E-2</v>
      </c>
    </row>
    <row r="351" spans="1:2" x14ac:dyDescent="0.2">
      <c r="A351" t="s">
        <v>629</v>
      </c>
      <c r="B351" s="165">
        <v>3.073978272115882E-2</v>
      </c>
    </row>
    <row r="352" spans="1:2" x14ac:dyDescent="0.2">
      <c r="A352" t="s">
        <v>630</v>
      </c>
      <c r="B352" s="165">
        <v>2.0160650618304486E-2</v>
      </c>
    </row>
    <row r="353" spans="1:2" x14ac:dyDescent="0.2">
      <c r="A353" t="s">
        <v>631</v>
      </c>
      <c r="B353" s="165">
        <v>7.3524236122220442E-3</v>
      </c>
    </row>
    <row r="354" spans="1:2" x14ac:dyDescent="0.2">
      <c r="A354" t="s">
        <v>632</v>
      </c>
      <c r="B354" s="165">
        <v>7.4303104866124906E-3</v>
      </c>
    </row>
    <row r="355" spans="1:2" x14ac:dyDescent="0.2">
      <c r="A355" t="s">
        <v>633</v>
      </c>
      <c r="B355" s="165">
        <v>6.0444753992338687E-3</v>
      </c>
    </row>
    <row r="356" spans="1:2" x14ac:dyDescent="0.2">
      <c r="A356" t="s">
        <v>634</v>
      </c>
      <c r="B356" s="165">
        <v>2.5659841452438967E-2</v>
      </c>
    </row>
    <row r="357" spans="1:2" x14ac:dyDescent="0.2">
      <c r="A357" t="s">
        <v>635</v>
      </c>
      <c r="B357" s="165">
        <v>7.2092964634115604E-3</v>
      </c>
    </row>
    <row r="358" spans="1:2" x14ac:dyDescent="0.2">
      <c r="A358" t="s">
        <v>636</v>
      </c>
      <c r="B358" s="165">
        <v>1.3398469038396681E-2</v>
      </c>
    </row>
    <row r="359" spans="1:2" x14ac:dyDescent="0.2">
      <c r="A359" t="s">
        <v>637</v>
      </c>
      <c r="B359" s="165">
        <v>5.4085377631833105E-3</v>
      </c>
    </row>
    <row r="360" spans="1:2" x14ac:dyDescent="0.2">
      <c r="A360" t="s">
        <v>638</v>
      </c>
      <c r="B360" s="165">
        <v>4.3095927696548833E-3</v>
      </c>
    </row>
    <row r="361" spans="1:2" x14ac:dyDescent="0.2">
      <c r="A361" t="s">
        <v>639</v>
      </c>
      <c r="B361" s="165">
        <v>2.5102863056122745E-2</v>
      </c>
    </row>
    <row r="362" spans="1:2" x14ac:dyDescent="0.2">
      <c r="A362" t="s">
        <v>640</v>
      </c>
      <c r="B362" s="165">
        <v>1.7636874487038934E-2</v>
      </c>
    </row>
    <row r="363" spans="1:2" x14ac:dyDescent="0.2">
      <c r="A363" t="s">
        <v>641</v>
      </c>
      <c r="B363" s="165">
        <v>2.5450719284053559E-2</v>
      </c>
    </row>
    <row r="364" spans="1:2" x14ac:dyDescent="0.2">
      <c r="A364" t="s">
        <v>642</v>
      </c>
      <c r="B364" s="165">
        <v>9.4369124924118392E-3</v>
      </c>
    </row>
    <row r="365" spans="1:2" x14ac:dyDescent="0.2">
      <c r="A365" t="s">
        <v>643</v>
      </c>
      <c r="B365" s="165">
        <v>3.4442164120304708E-2</v>
      </c>
    </row>
    <row r="366" spans="1:2" x14ac:dyDescent="0.2">
      <c r="A366" t="s">
        <v>644</v>
      </c>
      <c r="B366" s="165">
        <v>4.0998665609468373E-3</v>
      </c>
    </row>
    <row r="367" spans="1:2" x14ac:dyDescent="0.2">
      <c r="A367" t="s">
        <v>645</v>
      </c>
      <c r="B367" s="165">
        <v>2.3370468877500505E-2</v>
      </c>
    </row>
    <row r="368" spans="1:2" x14ac:dyDescent="0.2">
      <c r="A368" t="s">
        <v>646</v>
      </c>
      <c r="B368" s="165">
        <v>3.2725254315083843E-2</v>
      </c>
    </row>
    <row r="369" spans="1:2" x14ac:dyDescent="0.2">
      <c r="A369" t="s">
        <v>647</v>
      </c>
      <c r="B369" s="165">
        <v>6.7845686547250688E-3</v>
      </c>
    </row>
    <row r="370" spans="1:2" x14ac:dyDescent="0.2">
      <c r="A370" t="s">
        <v>648</v>
      </c>
      <c r="B370" s="165">
        <v>0.14533998815436669</v>
      </c>
    </row>
    <row r="371" spans="1:2" x14ac:dyDescent="0.2">
      <c r="A371" t="s">
        <v>649</v>
      </c>
      <c r="B371" s="165">
        <v>1.4051637310536271E-2</v>
      </c>
    </row>
    <row r="372" spans="1:2" x14ac:dyDescent="0.2">
      <c r="A372" t="s">
        <v>650</v>
      </c>
      <c r="B372" s="165">
        <v>3.4662979309786769E-2</v>
      </c>
    </row>
    <row r="373" spans="1:2" x14ac:dyDescent="0.2">
      <c r="A373" t="s">
        <v>651</v>
      </c>
      <c r="B373" s="165">
        <v>4.0692262227257053E-2</v>
      </c>
    </row>
    <row r="374" spans="1:2" x14ac:dyDescent="0.2">
      <c r="A374" t="s">
        <v>652</v>
      </c>
      <c r="B374" s="165">
        <v>1.177792610491986E-2</v>
      </c>
    </row>
    <row r="375" spans="1:2" x14ac:dyDescent="0.2">
      <c r="A375" t="s">
        <v>653</v>
      </c>
      <c r="B375" s="165">
        <v>3.7724988376984216E-2</v>
      </c>
    </row>
    <row r="376" spans="1:2" x14ac:dyDescent="0.2">
      <c r="A376" t="s">
        <v>654</v>
      </c>
      <c r="B376" s="165">
        <v>2.9407650596957206E-2</v>
      </c>
    </row>
    <row r="377" spans="1:2" x14ac:dyDescent="0.2">
      <c r="A377" t="s">
        <v>655</v>
      </c>
      <c r="B377" s="165">
        <v>1.2944714703477333E-2</v>
      </c>
    </row>
    <row r="378" spans="1:2" x14ac:dyDescent="0.2">
      <c r="A378" t="s">
        <v>656</v>
      </c>
      <c r="B378" s="165">
        <v>2.199733474049495E-2</v>
      </c>
    </row>
    <row r="379" spans="1:2" x14ac:dyDescent="0.2">
      <c r="A379" t="s">
        <v>657</v>
      </c>
      <c r="B379" s="165">
        <v>2.000937207122774E-2</v>
      </c>
    </row>
    <row r="380" spans="1:2" x14ac:dyDescent="0.2">
      <c r="A380" t="s">
        <v>658</v>
      </c>
      <c r="B380" s="165">
        <v>9.3519008449981563E-3</v>
      </c>
    </row>
    <row r="381" spans="1:2" x14ac:dyDescent="0.2">
      <c r="A381" t="s">
        <v>659</v>
      </c>
      <c r="B381" s="165">
        <v>8.0146740056627072E-2</v>
      </c>
    </row>
    <row r="382" spans="1:2" x14ac:dyDescent="0.2">
      <c r="A382" t="s">
        <v>660</v>
      </c>
      <c r="B382" s="165">
        <v>3.3967646286078893E-3</v>
      </c>
    </row>
    <row r="383" spans="1:2" x14ac:dyDescent="0.2">
      <c r="A383" t="s">
        <v>661</v>
      </c>
      <c r="B383" s="165">
        <v>3.8911828176241693E-3</v>
      </c>
    </row>
    <row r="384" spans="1:2" x14ac:dyDescent="0.2">
      <c r="A384" t="s">
        <v>662</v>
      </c>
      <c r="B384" s="165">
        <v>3.5572895748465201E-3</v>
      </c>
    </row>
    <row r="385" spans="1:2" x14ac:dyDescent="0.2">
      <c r="A385" t="s">
        <v>663</v>
      </c>
      <c r="B385" s="165">
        <v>1.5319782733328211E-2</v>
      </c>
    </row>
    <row r="386" spans="1:2" x14ac:dyDescent="0.2">
      <c r="A386" t="s">
        <v>664</v>
      </c>
      <c r="B386" s="165">
        <v>6.7580144037340893E-3</v>
      </c>
    </row>
    <row r="387" spans="1:2" x14ac:dyDescent="0.2">
      <c r="A387" t="s">
        <v>665</v>
      </c>
      <c r="B387" s="165">
        <v>5.4444012349108345E-3</v>
      </c>
    </row>
    <row r="388" spans="1:2" x14ac:dyDescent="0.2">
      <c r="A388" t="s">
        <v>666</v>
      </c>
      <c r="B388" s="165">
        <v>1.0878863134657836E-2</v>
      </c>
    </row>
    <row r="389" spans="1:2" x14ac:dyDescent="0.2">
      <c r="A389" t="s">
        <v>667</v>
      </c>
      <c r="B389" s="165">
        <v>2.9208843229087981E-3</v>
      </c>
    </row>
    <row r="390" spans="1:2" x14ac:dyDescent="0.2">
      <c r="A390" t="s">
        <v>668</v>
      </c>
      <c r="B390" s="165">
        <v>2.8121463144460231E-2</v>
      </c>
    </row>
    <row r="391" spans="1:2" x14ac:dyDescent="0.2">
      <c r="A391" t="s">
        <v>669</v>
      </c>
      <c r="B391" s="165">
        <v>1.2870126062738199E-2</v>
      </c>
    </row>
    <row r="392" spans="1:2" x14ac:dyDescent="0.2">
      <c r="A392" t="s">
        <v>670</v>
      </c>
      <c r="B392" s="165">
        <v>1.8188827803235937E-2</v>
      </c>
    </row>
    <row r="393" spans="1:2" x14ac:dyDescent="0.2">
      <c r="A393" t="s">
        <v>671</v>
      </c>
      <c r="B393" s="165">
        <v>5.5067740864789836E-3</v>
      </c>
    </row>
    <row r="394" spans="1:2" x14ac:dyDescent="0.2">
      <c r="A394" t="s">
        <v>672</v>
      </c>
      <c r="B394" s="165">
        <v>8.4643486202622478E-3</v>
      </c>
    </row>
    <row r="395" spans="1:2" x14ac:dyDescent="0.2">
      <c r="A395" t="s">
        <v>673</v>
      </c>
      <c r="B395" s="165">
        <v>3.1501330292664387E-2</v>
      </c>
    </row>
    <row r="396" spans="1:2" x14ac:dyDescent="0.2">
      <c r="A396" t="s">
        <v>674</v>
      </c>
      <c r="B396" s="165">
        <v>1.5261706291120322E-2</v>
      </c>
    </row>
    <row r="397" spans="1:2" x14ac:dyDescent="0.2">
      <c r="A397" t="s">
        <v>675</v>
      </c>
      <c r="B397" s="165">
        <v>6.0272788396887904E-3</v>
      </c>
    </row>
    <row r="398" spans="1:2" x14ac:dyDescent="0.2">
      <c r="A398" t="s">
        <v>676</v>
      </c>
      <c r="B398" s="165">
        <v>2.189910364126928E-2</v>
      </c>
    </row>
    <row r="399" spans="1:2" x14ac:dyDescent="0.2">
      <c r="A399" t="s">
        <v>677</v>
      </c>
      <c r="B399" s="165">
        <v>1.303478131064338E-2</v>
      </c>
    </row>
    <row r="400" spans="1:2" x14ac:dyDescent="0.2">
      <c r="A400" t="s">
        <v>678</v>
      </c>
      <c r="B400" s="165">
        <v>1.3820314530161935E-2</v>
      </c>
    </row>
    <row r="401" spans="1:2" x14ac:dyDescent="0.2">
      <c r="A401" t="s">
        <v>679</v>
      </c>
      <c r="B401" s="165">
        <v>3.9260436619526972E-3</v>
      </c>
    </row>
    <row r="402" spans="1:2" x14ac:dyDescent="0.2">
      <c r="A402" t="s">
        <v>680</v>
      </c>
      <c r="B402" s="165">
        <v>3.8030281388373088E-3</v>
      </c>
    </row>
    <row r="403" spans="1:2" x14ac:dyDescent="0.2">
      <c r="A403" t="s">
        <v>681</v>
      </c>
      <c r="B403" s="165">
        <v>1.3167251697455197E-2</v>
      </c>
    </row>
    <row r="404" spans="1:2" x14ac:dyDescent="0.2">
      <c r="A404" t="s">
        <v>682</v>
      </c>
      <c r="B404" s="165">
        <v>8.1539231814605536E-3</v>
      </c>
    </row>
    <row r="405" spans="1:2" x14ac:dyDescent="0.2">
      <c r="A405" t="s">
        <v>683</v>
      </c>
      <c r="B405" s="165">
        <v>7.410263844592635E-2</v>
      </c>
    </row>
    <row r="406" spans="1:2" x14ac:dyDescent="0.2">
      <c r="A406" t="s">
        <v>684</v>
      </c>
      <c r="B406" s="165">
        <v>2.5709402341970205E-2</v>
      </c>
    </row>
    <row r="407" spans="1:2" x14ac:dyDescent="0.2">
      <c r="A407" t="s">
        <v>685</v>
      </c>
      <c r="B407" s="165">
        <v>5.5135835936118809E-3</v>
      </c>
    </row>
    <row r="408" spans="1:2" x14ac:dyDescent="0.2">
      <c r="A408" t="s">
        <v>686</v>
      </c>
      <c r="B408" s="165">
        <v>7.4997454837505513E-3</v>
      </c>
    </row>
    <row r="409" spans="1:2" x14ac:dyDescent="0.2">
      <c r="A409" t="s">
        <v>687</v>
      </c>
      <c r="B409" s="165">
        <v>4.3724042455006926E-3</v>
      </c>
    </row>
    <row r="410" spans="1:2" x14ac:dyDescent="0.2">
      <c r="A410" t="s">
        <v>688</v>
      </c>
      <c r="B410" s="165">
        <v>1.0843959744502715E-2</v>
      </c>
    </row>
    <row r="411" spans="1:2" x14ac:dyDescent="0.2">
      <c r="A411" t="s">
        <v>689</v>
      </c>
      <c r="B411" s="165">
        <v>4.3272948648337365E-3</v>
      </c>
    </row>
    <row r="412" spans="1:2" x14ac:dyDescent="0.2">
      <c r="A412" t="s">
        <v>690</v>
      </c>
      <c r="B412" s="165">
        <v>2.5932035995872946E-2</v>
      </c>
    </row>
    <row r="413" spans="1:2" x14ac:dyDescent="0.2">
      <c r="A413" t="s">
        <v>691</v>
      </c>
      <c r="B413" s="165">
        <v>1.0061148338445309E-2</v>
      </c>
    </row>
    <row r="414" spans="1:2" x14ac:dyDescent="0.2">
      <c r="A414" t="s">
        <v>692</v>
      </c>
      <c r="B414" s="165">
        <v>2.0682958407509305E-2</v>
      </c>
    </row>
    <row r="415" spans="1:2" x14ac:dyDescent="0.2">
      <c r="A415" t="s">
        <v>693</v>
      </c>
      <c r="B415" s="165">
        <v>1.6438523661620307E-2</v>
      </c>
    </row>
    <row r="416" spans="1:2" x14ac:dyDescent="0.2">
      <c r="A416" t="s">
        <v>694</v>
      </c>
      <c r="B416" s="165">
        <v>7.7067572435798462E-3</v>
      </c>
    </row>
    <row r="417" spans="1:2" x14ac:dyDescent="0.2">
      <c r="A417" t="s">
        <v>695</v>
      </c>
      <c r="B417" s="165">
        <v>3.4527967653799579E-3</v>
      </c>
    </row>
    <row r="418" spans="1:2" x14ac:dyDescent="0.2">
      <c r="A418" t="s">
        <v>696</v>
      </c>
      <c r="B418" s="165">
        <v>1.2831057739759828E-3</v>
      </c>
    </row>
    <row r="419" spans="1:2" x14ac:dyDescent="0.2">
      <c r="A419" t="s">
        <v>697</v>
      </c>
      <c r="B419" s="165">
        <v>0.13873058176452174</v>
      </c>
    </row>
    <row r="420" spans="1:2" x14ac:dyDescent="0.2">
      <c r="A420" t="s">
        <v>698</v>
      </c>
      <c r="B420" s="165">
        <v>3.7065598646732504E-3</v>
      </c>
    </row>
    <row r="421" spans="1:2" x14ac:dyDescent="0.2">
      <c r="A421" t="s">
        <v>699</v>
      </c>
      <c r="B421" s="165">
        <v>6.5195955790372188E-3</v>
      </c>
    </row>
    <row r="422" spans="1:2" x14ac:dyDescent="0.2">
      <c r="A422" t="s">
        <v>700</v>
      </c>
      <c r="B422" s="165">
        <v>6.9625423003617411E-3</v>
      </c>
    </row>
    <row r="423" spans="1:2" x14ac:dyDescent="0.2">
      <c r="A423" t="s">
        <v>701</v>
      </c>
      <c r="B423" s="165">
        <v>1.8700828810635704E-2</v>
      </c>
    </row>
    <row r="424" spans="1:2" x14ac:dyDescent="0.2">
      <c r="A424" t="s">
        <v>702</v>
      </c>
      <c r="B424" s="165">
        <v>8.4082814253419423E-3</v>
      </c>
    </row>
    <row r="425" spans="1:2" x14ac:dyDescent="0.2">
      <c r="A425" t="s">
        <v>703</v>
      </c>
      <c r="B425" s="165">
        <v>5.6265913194723368E-3</v>
      </c>
    </row>
    <row r="426" spans="1:2" x14ac:dyDescent="0.2">
      <c r="A426" t="s">
        <v>704</v>
      </c>
      <c r="B426" s="165">
        <v>3.1921898708809301E-3</v>
      </c>
    </row>
    <row r="427" spans="1:2" x14ac:dyDescent="0.2">
      <c r="A427" t="s">
        <v>705</v>
      </c>
      <c r="B427" s="165">
        <v>1.3133104289039122E-2</v>
      </c>
    </row>
    <row r="428" spans="1:2" x14ac:dyDescent="0.2">
      <c r="A428" t="s">
        <v>706</v>
      </c>
      <c r="B428" s="165">
        <v>7.1043418261736218E-3</v>
      </c>
    </row>
    <row r="429" spans="1:2" x14ac:dyDescent="0.2">
      <c r="A429" t="s">
        <v>707</v>
      </c>
      <c r="B429" s="165">
        <v>2.0851713607058026E-2</v>
      </c>
    </row>
    <row r="430" spans="1:2" x14ac:dyDescent="0.2">
      <c r="A430" t="s">
        <v>708</v>
      </c>
      <c r="B430" s="165">
        <v>9.4061249185516151E-3</v>
      </c>
    </row>
    <row r="431" spans="1:2" x14ac:dyDescent="0.2">
      <c r="A431" t="s">
        <v>709</v>
      </c>
      <c r="B431" s="165">
        <v>1.5758629972458638E-2</v>
      </c>
    </row>
    <row r="432" spans="1:2" x14ac:dyDescent="0.2">
      <c r="A432" t="s">
        <v>710</v>
      </c>
      <c r="B432" s="165">
        <v>9.6461992052300979E-3</v>
      </c>
    </row>
    <row r="433" spans="1:2" x14ac:dyDescent="0.2">
      <c r="A433" t="s">
        <v>711</v>
      </c>
      <c r="B433" s="165">
        <v>1.182354110088097E-2</v>
      </c>
    </row>
    <row r="434" spans="1:2" x14ac:dyDescent="0.2">
      <c r="A434" t="s">
        <v>712</v>
      </c>
      <c r="B434" s="165">
        <v>1.0229507570694824E-2</v>
      </c>
    </row>
    <row r="435" spans="1:2" x14ac:dyDescent="0.2">
      <c r="A435" t="s">
        <v>713</v>
      </c>
      <c r="B435" s="165">
        <v>7.3845543867474507E-3</v>
      </c>
    </row>
    <row r="436" spans="1:2" x14ac:dyDescent="0.2">
      <c r="A436" t="s">
        <v>714</v>
      </c>
      <c r="B436" s="165">
        <v>1.197864273001625E-2</v>
      </c>
    </row>
    <row r="437" spans="1:2" x14ac:dyDescent="0.2">
      <c r="A437" t="s">
        <v>715</v>
      </c>
      <c r="B437" s="165">
        <v>2.4378366862464619E-2</v>
      </c>
    </row>
  </sheetData>
  <phoneticPr fontId="5"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200</vt:i4>
      </vt:variant>
    </vt:vector>
  </HeadingPairs>
  <TitlesOfParts>
    <vt:vector size="210" baseType="lpstr">
      <vt:lpstr>Input</vt:lpstr>
      <vt:lpstr>Step 1</vt:lpstr>
      <vt:lpstr>Step 2</vt:lpstr>
      <vt:lpstr>Step 3</vt:lpstr>
      <vt:lpstr>Step 4</vt:lpstr>
      <vt:lpstr>Step 5</vt:lpstr>
      <vt:lpstr>Fiscal</vt:lpstr>
      <vt:lpstr>Defaults</vt:lpstr>
      <vt:lpstr>Lists</vt:lpstr>
      <vt:lpstr>Name Manager</vt:lpstr>
      <vt:lpstr>ColAutoMax</vt:lpstr>
      <vt:lpstr>ColAutoMax_CR</vt:lpstr>
      <vt:lpstr>ColAutoMax_HR</vt:lpstr>
      <vt:lpstr>ColAutoMax_LR</vt:lpstr>
      <vt:lpstr>ColAutoMin</vt:lpstr>
      <vt:lpstr>ColAutoMin_CR</vt:lpstr>
      <vt:lpstr>ColAutoMin_HR</vt:lpstr>
      <vt:lpstr>ColAutoMin_LR</vt:lpstr>
      <vt:lpstr>ColAutoPercent</vt:lpstr>
      <vt:lpstr>ColAutoPercent_CR</vt:lpstr>
      <vt:lpstr>ColAutoPercent_HR</vt:lpstr>
      <vt:lpstr>ColAutoPercent_LR</vt:lpstr>
      <vt:lpstr>ColAutoStdDev</vt:lpstr>
      <vt:lpstr>ColAutoStDev_CR</vt:lpstr>
      <vt:lpstr>ColAutoStDev_HR</vt:lpstr>
      <vt:lpstr>ColAutoStDev_LR</vt:lpstr>
      <vt:lpstr>ColBicycleMax</vt:lpstr>
      <vt:lpstr>ColBicycleMax_CR</vt:lpstr>
      <vt:lpstr>ColBicycleMax_HR</vt:lpstr>
      <vt:lpstr>ColBicycleMax_LR</vt:lpstr>
      <vt:lpstr>ColBicycleMin</vt:lpstr>
      <vt:lpstr>ColBicycleMin_CR</vt:lpstr>
      <vt:lpstr>ColBicycleMin_HR</vt:lpstr>
      <vt:lpstr>ColBicycleMin_LR</vt:lpstr>
      <vt:lpstr>ColBicyclePercent</vt:lpstr>
      <vt:lpstr>ColBicyclePercent_CR</vt:lpstr>
      <vt:lpstr>ColBicyclePercent_HR</vt:lpstr>
      <vt:lpstr>ColBicyclePercent_LR</vt:lpstr>
      <vt:lpstr>ColBicycleStdDev</vt:lpstr>
      <vt:lpstr>ColBicycleStDev_CR</vt:lpstr>
      <vt:lpstr>ColBicycleStDev_HR</vt:lpstr>
      <vt:lpstr>ColBicycleStDev_LR</vt:lpstr>
      <vt:lpstr>ColClimateBike</vt:lpstr>
      <vt:lpstr>ColClimatePed</vt:lpstr>
      <vt:lpstr>ColDropOffMax</vt:lpstr>
      <vt:lpstr>ColDropOffMax_CR</vt:lpstr>
      <vt:lpstr>ColDropOffMax_HR</vt:lpstr>
      <vt:lpstr>ColDropOffMax_LR</vt:lpstr>
      <vt:lpstr>ColDropOffMin</vt:lpstr>
      <vt:lpstr>ColDropOffMin_CR</vt:lpstr>
      <vt:lpstr>ColDropOffMin_HR</vt:lpstr>
      <vt:lpstr>ColDropOffMin_LR</vt:lpstr>
      <vt:lpstr>ColDropOffPercent</vt:lpstr>
      <vt:lpstr>ColDropOffPercent_CR</vt:lpstr>
      <vt:lpstr>ColDropOffPercent_HR</vt:lpstr>
      <vt:lpstr>ColDropOffPercent_LR</vt:lpstr>
      <vt:lpstr>ColDropOffStdDev</vt:lpstr>
      <vt:lpstr>ColDropOffStdDev_CR</vt:lpstr>
      <vt:lpstr>ColDropOffStDev_CR</vt:lpstr>
      <vt:lpstr>ColDropOffStDev_HR</vt:lpstr>
      <vt:lpstr>ColDropOffStDev_LR</vt:lpstr>
      <vt:lpstr>ColFeederBusPercent</vt:lpstr>
      <vt:lpstr>ColFeederMax</vt:lpstr>
      <vt:lpstr>ColFeederMax_CR</vt:lpstr>
      <vt:lpstr>ColFeederMax_HR</vt:lpstr>
      <vt:lpstr>ColFeederMax_LR</vt:lpstr>
      <vt:lpstr>ColFeederMin</vt:lpstr>
      <vt:lpstr>ColFeederMin_CR</vt:lpstr>
      <vt:lpstr>ColFeederMin_HR</vt:lpstr>
      <vt:lpstr>ColFeederMin_LR</vt:lpstr>
      <vt:lpstr>ColFeederPercent_CR</vt:lpstr>
      <vt:lpstr>ColFeederPercent_HR</vt:lpstr>
      <vt:lpstr>ColFeederPercent_LR</vt:lpstr>
      <vt:lpstr>ColFeederStdDev</vt:lpstr>
      <vt:lpstr>ColFeederStDev_CR</vt:lpstr>
      <vt:lpstr>ColFeederStDev_HR</vt:lpstr>
      <vt:lpstr>ColFeederStDev_LR</vt:lpstr>
      <vt:lpstr>ColParkingAvg</vt:lpstr>
      <vt:lpstr>ColParkingMax</vt:lpstr>
      <vt:lpstr>ColParkingMin</vt:lpstr>
      <vt:lpstr>ColParkingPrice</vt:lpstr>
      <vt:lpstr>ColParkingStdDev</vt:lpstr>
      <vt:lpstr>ColTopographyBike</vt:lpstr>
      <vt:lpstr>ColTopographyPed</vt:lpstr>
      <vt:lpstr>ColWalkMax</vt:lpstr>
      <vt:lpstr>ColWalkMax_CR</vt:lpstr>
      <vt:lpstr>ColWalkMax_HR</vt:lpstr>
      <vt:lpstr>ColWalkMax_LR</vt:lpstr>
      <vt:lpstr>ColWalkMin</vt:lpstr>
      <vt:lpstr>ColWalkMin_CR</vt:lpstr>
      <vt:lpstr>ColWalkMin_HR</vt:lpstr>
      <vt:lpstr>ColWalkMin_LR</vt:lpstr>
      <vt:lpstr>ColWalkPercent</vt:lpstr>
      <vt:lpstr>ColWalkPercent_CR</vt:lpstr>
      <vt:lpstr>ColWalkPercent_HR</vt:lpstr>
      <vt:lpstr>ColWalkPercent_LR</vt:lpstr>
      <vt:lpstr>ColWalkStdDev</vt:lpstr>
      <vt:lpstr>ColWalkStDev_CR</vt:lpstr>
      <vt:lpstr>ColWalkStDev_HR</vt:lpstr>
      <vt:lpstr>ColWalkStDev_LR</vt:lpstr>
      <vt:lpstr>DefaultAnnualization</vt:lpstr>
      <vt:lpstr>DefaultAutotoFeeder</vt:lpstr>
      <vt:lpstr>DefaultAutotoOther</vt:lpstr>
      <vt:lpstr>DefaultBikeParkingTurnover</vt:lpstr>
      <vt:lpstr>DefaultCapRecoveryFactor</vt:lpstr>
      <vt:lpstr>DefaultCoveredRackCost</vt:lpstr>
      <vt:lpstr>DefaultDailyParkingCollectionCost</vt:lpstr>
      <vt:lpstr>DefaultDailytoAnnual</vt:lpstr>
      <vt:lpstr>DefaultFareDiscount</vt:lpstr>
      <vt:lpstr>DefaultFeederElasticity</vt:lpstr>
      <vt:lpstr>DefaultLockerCost</vt:lpstr>
      <vt:lpstr>DefaultOthertoAuto</vt:lpstr>
      <vt:lpstr>DefaultParkandRidePercentage</vt:lpstr>
      <vt:lpstr>DefaultParkingCapCost2Levels</vt:lpstr>
      <vt:lpstr>DefaultParkingCapCost3to7Levels</vt:lpstr>
      <vt:lpstr>DefaultParkingCapCostSurface</vt:lpstr>
      <vt:lpstr>DefaultParkingCapCostUnderground</vt:lpstr>
      <vt:lpstr>DefaultParkingElasticity</vt:lpstr>
      <vt:lpstr>DefaultParkingOpCostStructure</vt:lpstr>
      <vt:lpstr>DefaultParkingOpCostSurface</vt:lpstr>
      <vt:lpstr>DefaultRackCost</vt:lpstr>
      <vt:lpstr>DefaultReservedParkingCollectionCost</vt:lpstr>
      <vt:lpstr>DefaultResTripSplitNonWork</vt:lpstr>
      <vt:lpstr>DefaultResTripSplitWork</vt:lpstr>
      <vt:lpstr>DefaultSpaceTurnover</vt:lpstr>
      <vt:lpstr>DefaultTransitCaptureOffice</vt:lpstr>
      <vt:lpstr>DefaultTransitCaptureResNonWork</vt:lpstr>
      <vt:lpstr>DefaultTransitCaptureResWork</vt:lpstr>
      <vt:lpstr>DefaultTransitCaptureRetail</vt:lpstr>
      <vt:lpstr>DefaultTripGenOffice</vt:lpstr>
      <vt:lpstr>DefaultTripGenRes</vt:lpstr>
      <vt:lpstr>DefaultTripGenRetail</vt:lpstr>
      <vt:lpstr>DefaultVehOcc</vt:lpstr>
      <vt:lpstr>FiscalAnnualCost</vt:lpstr>
      <vt:lpstr>FiscalAnnualFareRevenue</vt:lpstr>
      <vt:lpstr>FiscalAnnualRevenue</vt:lpstr>
      <vt:lpstr>FiscalCombinedParkingRevenue</vt:lpstr>
      <vt:lpstr>FiscalFeederBusCosts</vt:lpstr>
      <vt:lpstr>FiscalGroundRent</vt:lpstr>
      <vt:lpstr>FiscalOtherCapitalCosts</vt:lpstr>
      <vt:lpstr>FiscalOtherOperatingCosts</vt:lpstr>
      <vt:lpstr>FiscalParkingOperatingCosts</vt:lpstr>
      <vt:lpstr>InputAnalyst</vt:lpstr>
      <vt:lpstr>InputBicycleCommuteShare</vt:lpstr>
      <vt:lpstr>InputBicycleParkingSpaces</vt:lpstr>
      <vt:lpstr>InputCarParkingPrice</vt:lpstr>
      <vt:lpstr>InputCarParkingSpaces</vt:lpstr>
      <vt:lpstr>InputCityRegion</vt:lpstr>
      <vt:lpstr>InputClimate</vt:lpstr>
      <vt:lpstr>InputConnectingTransit</vt:lpstr>
      <vt:lpstr>InputDate</vt:lpstr>
      <vt:lpstr>InputFare</vt:lpstr>
      <vt:lpstr>InputJobs</vt:lpstr>
      <vt:lpstr>InputLandUse</vt:lpstr>
      <vt:lpstr>InputLineHaulMode</vt:lpstr>
      <vt:lpstr>InputMedianIncome</vt:lpstr>
      <vt:lpstr>InputModeSplitMethod</vt:lpstr>
      <vt:lpstr>InputMonthlyCarParkingPrice</vt:lpstr>
      <vt:lpstr>InputNewExisting</vt:lpstr>
      <vt:lpstr>InputParcelSize</vt:lpstr>
      <vt:lpstr>InputParkingChange</vt:lpstr>
      <vt:lpstr>InputParkingType</vt:lpstr>
      <vt:lpstr>InputPercentZeroCar</vt:lpstr>
      <vt:lpstr>InputPopulation</vt:lpstr>
      <vt:lpstr>InputReservedCarParkingSpaces</vt:lpstr>
      <vt:lpstr>InputRidershipMethod</vt:lpstr>
      <vt:lpstr>InputStationName</vt:lpstr>
      <vt:lpstr>InputStationType</vt:lpstr>
      <vt:lpstr>InputTopography</vt:lpstr>
      <vt:lpstr>InputTransferFee</vt:lpstr>
      <vt:lpstr>InputTransitAgency</vt:lpstr>
      <vt:lpstr>InputUtilization</vt:lpstr>
      <vt:lpstr>InputVehPerWorker</vt:lpstr>
      <vt:lpstr>InputWalkedtoWork</vt:lpstr>
      <vt:lpstr>InputWorkers</vt:lpstr>
      <vt:lpstr>LClimate</vt:lpstr>
      <vt:lpstr>LExist</vt:lpstr>
      <vt:lpstr>LLandUse</vt:lpstr>
      <vt:lpstr>LLineHaulMode</vt:lpstr>
      <vt:lpstr>LMetroRegion</vt:lpstr>
      <vt:lpstr>LModeSplitMethod</vt:lpstr>
      <vt:lpstr>LParkingType</vt:lpstr>
      <vt:lpstr>LRidershipMethod</vt:lpstr>
      <vt:lpstr>LTopography</vt:lpstr>
      <vt:lpstr>LTypology</vt:lpstr>
      <vt:lpstr>OutputAutoBoardings</vt:lpstr>
      <vt:lpstr>OutputAutoPercent</vt:lpstr>
      <vt:lpstr>OutputBicycleBoardings</vt:lpstr>
      <vt:lpstr>OutputBicyclePercent</vt:lpstr>
      <vt:lpstr>OutputBikeParkingSpaces</vt:lpstr>
      <vt:lpstr>OutputDailyFeederCost</vt:lpstr>
      <vt:lpstr>OutputDropOffBoardings</vt:lpstr>
      <vt:lpstr>OutputDropOffPercent</vt:lpstr>
      <vt:lpstr>OutputFeederBoardings</vt:lpstr>
      <vt:lpstr>OutputFeederPercent</vt:lpstr>
      <vt:lpstr>OutputNewParking</vt:lpstr>
      <vt:lpstr>OutputNewParkingCost</vt:lpstr>
      <vt:lpstr>OutputProposedCarParkingPrice</vt:lpstr>
      <vt:lpstr>OutputRidership</vt:lpstr>
      <vt:lpstr>OutputRidershipFeederBus</vt:lpstr>
      <vt:lpstr>OutputRidershipParkingPricing</vt:lpstr>
      <vt:lpstr>OutputStep4RidershipChange</vt:lpstr>
      <vt:lpstr>OutputTODTrips</vt:lpstr>
      <vt:lpstr>OutputWalkBoardings</vt:lpstr>
      <vt:lpstr>OutputWalkPercent</vt:lpstr>
      <vt:lpstr>RefColumn</vt:lpstr>
      <vt:lpstr>TableClimate</vt:lpstr>
      <vt:lpstr>TableTopography</vt:lpstr>
      <vt:lpstr>TableTransitCommuteShare</vt:lpstr>
      <vt:lpstr>TableTypologyAll</vt:lpstr>
    </vt:vector>
  </TitlesOfParts>
  <Company>Kittelson &amp; Associates,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Conor Semler</dc:creator>
  <cp:lastModifiedBy>Conor Semler</cp:lastModifiedBy>
  <dcterms:created xsi:type="dcterms:W3CDTF">2010-11-18T19:03:27Z</dcterms:created>
  <dcterms:modified xsi:type="dcterms:W3CDTF">2012-02-14T13:15:11Z</dcterms:modified>
</cp:coreProperties>
</file>