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lester1\AppData\Local\Microsoft\Windows\Temporary Internet Files\Content.Outlook\BC6CWUHA\"/>
    </mc:Choice>
  </mc:AlternateContent>
  <bookViews>
    <workbookView xWindow="0" yWindow="0" windowWidth="19140" windowHeight="6630" tabRatio="909" firstSheet="2" activeTab="7"/>
  </bookViews>
  <sheets>
    <sheet name="Disclaimers and Instructions" sheetId="7" state="hidden" r:id="rId1"/>
    <sheet name="Fleet Inventory" sheetId="10" r:id="rId2"/>
    <sheet name="Existing Staff" sheetId="1" r:id="rId3"/>
    <sheet name="Req Hours - Core Maintenance" sheetId="8" r:id="rId4"/>
    <sheet name="Sheet2" sheetId="14" state="hidden" r:id="rId5"/>
    <sheet name="Req Hours - Hvy Rep_Overhaul" sheetId="11" r:id="rId6"/>
    <sheet name="DropDown Lists" sheetId="4" state="hidden" r:id="rId7"/>
    <sheet name="Results - Staffing Sufficiency" sheetId="2" r:id="rId8"/>
    <sheet name="Results - Staffing Comparisons" sheetId="12" r:id="rId9"/>
    <sheet name="Benchmarks" sheetId="3" r:id="rId10"/>
    <sheet name="Sheet6" sheetId="6" state="hidden" r:id="rId11"/>
    <sheet name="Sheet1" sheetId="13" state="hidden" r:id="rId12"/>
  </sheets>
  <definedNames>
    <definedName name="_xlnm.Print_Area" localSheetId="2">'Existing Staff'!$A$1:$L$38</definedName>
    <definedName name="_xlnm.Print_Area" localSheetId="1">'Fleet Inventory'!$A$1:$F$22</definedName>
    <definedName name="_xlnm.Print_Area" localSheetId="3">'Req Hours - Core Maintenance'!$A$1:$BB$29</definedName>
    <definedName name="_xlnm.Print_Area" localSheetId="5">'Req Hours - Hvy Rep_Overhaul'!$A$1:$I$49</definedName>
    <definedName name="_xlnm.Print_Area" localSheetId="8">'Results - Staffing Comparisons'!$A$1:$J$33</definedName>
    <definedName name="_xlnm.Print_Area" localSheetId="7">'Results - Staffing Sufficiency'!$A$1:$H$29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8" l="1"/>
  <c r="P9" i="8"/>
  <c r="O10" i="8"/>
  <c r="P10" i="8"/>
  <c r="O18" i="8"/>
  <c r="P18" i="8"/>
  <c r="O19" i="8"/>
  <c r="P19" i="8"/>
  <c r="O27" i="8"/>
  <c r="P27" i="8"/>
  <c r="O28" i="8"/>
  <c r="P28" i="8"/>
  <c r="O36" i="8"/>
  <c r="P36" i="8"/>
  <c r="O37" i="8"/>
  <c r="P37" i="8"/>
  <c r="O45" i="8"/>
  <c r="P45" i="8"/>
  <c r="O46" i="8"/>
  <c r="P46" i="8"/>
  <c r="P54" i="8"/>
  <c r="P55" i="8"/>
  <c r="O54" i="8"/>
  <c r="O55" i="8"/>
  <c r="O63" i="8"/>
  <c r="P63" i="8"/>
  <c r="O64" i="8"/>
  <c r="P64" i="8"/>
  <c r="O72" i="8"/>
  <c r="P72" i="8"/>
  <c r="O73" i="8"/>
  <c r="P73" i="8"/>
  <c r="O81" i="8"/>
  <c r="P81" i="8"/>
  <c r="O82" i="8"/>
  <c r="P82" i="8"/>
  <c r="O90" i="8"/>
  <c r="P90" i="8"/>
  <c r="O91" i="8"/>
  <c r="P91" i="8"/>
  <c r="O99" i="8"/>
  <c r="P99" i="8"/>
  <c r="O100" i="8"/>
  <c r="P100" i="8"/>
  <c r="O108" i="8"/>
  <c r="P108" i="8"/>
  <c r="O109" i="8"/>
  <c r="P109" i="8"/>
  <c r="O117" i="8"/>
  <c r="P117" i="8"/>
  <c r="O118" i="8"/>
  <c r="P118" i="8"/>
  <c r="O126" i="8"/>
  <c r="P126" i="8"/>
  <c r="O127" i="8"/>
  <c r="P127" i="8"/>
  <c r="O135" i="8"/>
  <c r="P135" i="8"/>
  <c r="O136" i="8"/>
  <c r="P136" i="8"/>
  <c r="Q132" i="8"/>
  <c r="P132" i="8"/>
  <c r="O132" i="8"/>
  <c r="N132" i="8"/>
  <c r="M132" i="8"/>
  <c r="L132" i="8"/>
  <c r="K132" i="8"/>
  <c r="J132" i="8"/>
  <c r="Q123" i="8"/>
  <c r="P123" i="8"/>
  <c r="O123" i="8"/>
  <c r="N123" i="8"/>
  <c r="M123" i="8"/>
  <c r="L123" i="8"/>
  <c r="K123" i="8"/>
  <c r="J123" i="8"/>
  <c r="Q114" i="8"/>
  <c r="P114" i="8"/>
  <c r="O114" i="8"/>
  <c r="N114" i="8"/>
  <c r="M114" i="8"/>
  <c r="L114" i="8"/>
  <c r="K114" i="8"/>
  <c r="J114" i="8"/>
  <c r="Q105" i="8"/>
  <c r="P105" i="8"/>
  <c r="O105" i="8"/>
  <c r="N105" i="8"/>
  <c r="M105" i="8"/>
  <c r="L105" i="8"/>
  <c r="K105" i="8"/>
  <c r="J105" i="8"/>
  <c r="Q96" i="8"/>
  <c r="P96" i="8"/>
  <c r="O96" i="8"/>
  <c r="N96" i="8"/>
  <c r="M96" i="8"/>
  <c r="L96" i="8"/>
  <c r="K96" i="8"/>
  <c r="J96" i="8"/>
  <c r="Q87" i="8"/>
  <c r="P87" i="8"/>
  <c r="O87" i="8"/>
  <c r="N87" i="8"/>
  <c r="M87" i="8"/>
  <c r="L87" i="8"/>
  <c r="K87" i="8"/>
  <c r="J87" i="8"/>
  <c r="Q78" i="8"/>
  <c r="P78" i="8"/>
  <c r="O78" i="8"/>
  <c r="N78" i="8"/>
  <c r="M78" i="8"/>
  <c r="L78" i="8"/>
  <c r="K78" i="8"/>
  <c r="J78" i="8"/>
  <c r="Q69" i="8"/>
  <c r="P69" i="8"/>
  <c r="O69" i="8"/>
  <c r="N69" i="8"/>
  <c r="M69" i="8"/>
  <c r="L69" i="8"/>
  <c r="K69" i="8"/>
  <c r="J69" i="8"/>
  <c r="Q60" i="8"/>
  <c r="P60" i="8"/>
  <c r="O60" i="8"/>
  <c r="N60" i="8"/>
  <c r="M60" i="8"/>
  <c r="L60" i="8"/>
  <c r="K60" i="8"/>
  <c r="J60" i="8"/>
  <c r="Q51" i="8"/>
  <c r="P51" i="8"/>
  <c r="O51" i="8"/>
  <c r="N51" i="8"/>
  <c r="M51" i="8"/>
  <c r="L51" i="8"/>
  <c r="K51" i="8"/>
  <c r="J51" i="8"/>
  <c r="Q42" i="8"/>
  <c r="P42" i="8"/>
  <c r="O42" i="8"/>
  <c r="N42" i="8"/>
  <c r="M42" i="8"/>
  <c r="L42" i="8"/>
  <c r="K42" i="8"/>
  <c r="J42" i="8"/>
  <c r="Q33" i="8"/>
  <c r="P33" i="8"/>
  <c r="O33" i="8"/>
  <c r="N33" i="8"/>
  <c r="M33" i="8"/>
  <c r="L33" i="8"/>
  <c r="K33" i="8"/>
  <c r="J33" i="8"/>
  <c r="Q24" i="8"/>
  <c r="P24" i="8"/>
  <c r="O24" i="8"/>
  <c r="N24" i="8"/>
  <c r="M24" i="8"/>
  <c r="L24" i="8"/>
  <c r="K24" i="8"/>
  <c r="J24" i="8"/>
  <c r="Q15" i="8"/>
  <c r="P15" i="8"/>
  <c r="O15" i="8"/>
  <c r="N15" i="8"/>
  <c r="M15" i="8"/>
  <c r="L15" i="8"/>
  <c r="K15" i="8"/>
  <c r="J15" i="8"/>
  <c r="Q6" i="8"/>
  <c r="P6" i="8"/>
  <c r="O6" i="8"/>
  <c r="N6" i="8"/>
  <c r="M6" i="8"/>
  <c r="L6" i="8"/>
  <c r="K6" i="8"/>
  <c r="J6" i="8"/>
  <c r="B22" i="1" l="1"/>
  <c r="AO135" i="8" l="1"/>
  <c r="AN135" i="8"/>
  <c r="AM135" i="8"/>
  <c r="AL135" i="8"/>
  <c r="AK135" i="8"/>
  <c r="AJ135" i="8"/>
  <c r="AO126" i="8"/>
  <c r="AN126" i="8"/>
  <c r="AM126" i="8"/>
  <c r="AL126" i="8"/>
  <c r="AK126" i="8"/>
  <c r="AJ126" i="8"/>
  <c r="AO117" i="8"/>
  <c r="AN117" i="8"/>
  <c r="AM117" i="8"/>
  <c r="AL117" i="8"/>
  <c r="AK117" i="8"/>
  <c r="AJ117" i="8"/>
  <c r="AO108" i="8"/>
  <c r="AN108" i="8"/>
  <c r="AM108" i="8"/>
  <c r="AL108" i="8"/>
  <c r="AK108" i="8"/>
  <c r="AJ108" i="8"/>
  <c r="AO99" i="8"/>
  <c r="AN99" i="8"/>
  <c r="AM99" i="8"/>
  <c r="AL99" i="8"/>
  <c r="AK99" i="8"/>
  <c r="AJ99" i="8"/>
  <c r="AO90" i="8"/>
  <c r="AN90" i="8"/>
  <c r="AM90" i="8"/>
  <c r="AL90" i="8"/>
  <c r="AK90" i="8"/>
  <c r="AJ90" i="8"/>
  <c r="AO81" i="8"/>
  <c r="AN81" i="8"/>
  <c r="AM81" i="8"/>
  <c r="AL81" i="8"/>
  <c r="AK81" i="8"/>
  <c r="AJ81" i="8"/>
  <c r="AO72" i="8"/>
  <c r="AN72" i="8"/>
  <c r="AM72" i="8"/>
  <c r="AL72" i="8"/>
  <c r="AK72" i="8"/>
  <c r="AJ72" i="8"/>
  <c r="AO63" i="8"/>
  <c r="AN63" i="8"/>
  <c r="AM63" i="8"/>
  <c r="AL63" i="8"/>
  <c r="AK63" i="8"/>
  <c r="AJ63" i="8"/>
  <c r="AO54" i="8"/>
  <c r="AN54" i="8"/>
  <c r="AM54" i="8"/>
  <c r="AL54" i="8"/>
  <c r="AK54" i="8"/>
  <c r="AJ54" i="8"/>
  <c r="AO45" i="8"/>
  <c r="AN45" i="8"/>
  <c r="AM45" i="8"/>
  <c r="AL45" i="8"/>
  <c r="AK45" i="8"/>
  <c r="AJ45" i="8"/>
  <c r="AO36" i="8"/>
  <c r="AN36" i="8"/>
  <c r="AM36" i="8"/>
  <c r="AL36" i="8"/>
  <c r="AK36" i="8"/>
  <c r="AJ36" i="8"/>
  <c r="AO27" i="8"/>
  <c r="AN27" i="8"/>
  <c r="AM27" i="8"/>
  <c r="AL27" i="8"/>
  <c r="AK27" i="8"/>
  <c r="AJ27" i="8"/>
  <c r="AO18" i="8"/>
  <c r="AN18" i="8"/>
  <c r="AM18" i="8"/>
  <c r="AL18" i="8"/>
  <c r="AK18" i="8"/>
  <c r="AJ18" i="8"/>
  <c r="AK9" i="8"/>
  <c r="AL9" i="8"/>
  <c r="AM9" i="8"/>
  <c r="AN9" i="8"/>
  <c r="AO9" i="8"/>
  <c r="AH90" i="8"/>
  <c r="AG90" i="8"/>
  <c r="AF90" i="8"/>
  <c r="AE90" i="8"/>
  <c r="AD90" i="8"/>
  <c r="AC90" i="8"/>
  <c r="Z90" i="8"/>
  <c r="Y90" i="8"/>
  <c r="X90" i="8"/>
  <c r="W90" i="8"/>
  <c r="V90" i="8"/>
  <c r="U90" i="8"/>
  <c r="T90" i="8"/>
  <c r="Q90" i="8"/>
  <c r="N90" i="8"/>
  <c r="M90" i="8"/>
  <c r="L90" i="8"/>
  <c r="K90" i="8"/>
  <c r="J90" i="8"/>
  <c r="AH135" i="8"/>
  <c r="AG135" i="8"/>
  <c r="AF135" i="8"/>
  <c r="AE135" i="8"/>
  <c r="AD135" i="8"/>
  <c r="AC135" i="8"/>
  <c r="Z135" i="8"/>
  <c r="Y135" i="8"/>
  <c r="X135" i="8"/>
  <c r="W135" i="8"/>
  <c r="V135" i="8"/>
  <c r="U135" i="8"/>
  <c r="T135" i="8"/>
  <c r="Q135" i="8"/>
  <c r="N135" i="8"/>
  <c r="M135" i="8"/>
  <c r="L135" i="8"/>
  <c r="K135" i="8"/>
  <c r="J135" i="8"/>
  <c r="AH126" i="8"/>
  <c r="AG126" i="8"/>
  <c r="AF126" i="8"/>
  <c r="AE126" i="8"/>
  <c r="AD126" i="8"/>
  <c r="AC126" i="8"/>
  <c r="Z126" i="8"/>
  <c r="Y126" i="8"/>
  <c r="X126" i="8"/>
  <c r="W126" i="8"/>
  <c r="V126" i="8"/>
  <c r="U126" i="8"/>
  <c r="T126" i="8"/>
  <c r="Q126" i="8"/>
  <c r="N126" i="8"/>
  <c r="M126" i="8"/>
  <c r="L126" i="8"/>
  <c r="K126" i="8"/>
  <c r="J126" i="8"/>
  <c r="AH117" i="8"/>
  <c r="AG117" i="8"/>
  <c r="AF117" i="8"/>
  <c r="AE117" i="8"/>
  <c r="AD117" i="8"/>
  <c r="AC117" i="8"/>
  <c r="Z117" i="8"/>
  <c r="Y117" i="8"/>
  <c r="X117" i="8"/>
  <c r="W117" i="8"/>
  <c r="V117" i="8"/>
  <c r="U117" i="8"/>
  <c r="T117" i="8"/>
  <c r="Q117" i="8"/>
  <c r="N117" i="8"/>
  <c r="M117" i="8"/>
  <c r="L117" i="8"/>
  <c r="K117" i="8"/>
  <c r="J117" i="8"/>
  <c r="AH108" i="8"/>
  <c r="AG108" i="8"/>
  <c r="AF108" i="8"/>
  <c r="AE108" i="8"/>
  <c r="AD108" i="8"/>
  <c r="AC108" i="8"/>
  <c r="Z108" i="8"/>
  <c r="Y108" i="8"/>
  <c r="X108" i="8"/>
  <c r="W108" i="8"/>
  <c r="V108" i="8"/>
  <c r="U108" i="8"/>
  <c r="T108" i="8"/>
  <c r="Q108" i="8"/>
  <c r="N108" i="8"/>
  <c r="M108" i="8"/>
  <c r="L108" i="8"/>
  <c r="K108" i="8"/>
  <c r="J108" i="8"/>
  <c r="AH99" i="8"/>
  <c r="AG99" i="8"/>
  <c r="AF99" i="8"/>
  <c r="AE99" i="8"/>
  <c r="AD99" i="8"/>
  <c r="AC99" i="8"/>
  <c r="Z99" i="8"/>
  <c r="Y99" i="8"/>
  <c r="X99" i="8"/>
  <c r="W99" i="8"/>
  <c r="V99" i="8"/>
  <c r="U99" i="8"/>
  <c r="T99" i="8"/>
  <c r="Q99" i="8"/>
  <c r="N99" i="8"/>
  <c r="M99" i="8"/>
  <c r="L99" i="8"/>
  <c r="K99" i="8"/>
  <c r="J99" i="8"/>
  <c r="AH81" i="8"/>
  <c r="AG81" i="8"/>
  <c r="AF81" i="8"/>
  <c r="AE81" i="8"/>
  <c r="AD81" i="8"/>
  <c r="AC81" i="8"/>
  <c r="Z81" i="8"/>
  <c r="Y81" i="8"/>
  <c r="X81" i="8"/>
  <c r="W81" i="8"/>
  <c r="V81" i="8"/>
  <c r="U81" i="8"/>
  <c r="T81" i="8"/>
  <c r="Q81" i="8"/>
  <c r="N81" i="8"/>
  <c r="M81" i="8"/>
  <c r="L81" i="8"/>
  <c r="K81" i="8"/>
  <c r="J81" i="8"/>
  <c r="AH72" i="8"/>
  <c r="AG72" i="8"/>
  <c r="AF72" i="8"/>
  <c r="AE72" i="8"/>
  <c r="AD72" i="8"/>
  <c r="AC72" i="8"/>
  <c r="Z72" i="8"/>
  <c r="Y72" i="8"/>
  <c r="X72" i="8"/>
  <c r="W72" i="8"/>
  <c r="V72" i="8"/>
  <c r="U72" i="8"/>
  <c r="T72" i="8"/>
  <c r="Q72" i="8"/>
  <c r="N72" i="8"/>
  <c r="M72" i="8"/>
  <c r="L72" i="8"/>
  <c r="K72" i="8"/>
  <c r="J72" i="8"/>
  <c r="AH63" i="8"/>
  <c r="AG63" i="8"/>
  <c r="AF63" i="8"/>
  <c r="AE63" i="8"/>
  <c r="AD63" i="8"/>
  <c r="AC63" i="8"/>
  <c r="Z63" i="8"/>
  <c r="Y63" i="8"/>
  <c r="X63" i="8"/>
  <c r="W63" i="8"/>
  <c r="V63" i="8"/>
  <c r="U63" i="8"/>
  <c r="T63" i="8"/>
  <c r="Q63" i="8"/>
  <c r="N63" i="8"/>
  <c r="M63" i="8"/>
  <c r="L63" i="8"/>
  <c r="K63" i="8"/>
  <c r="J63" i="8"/>
  <c r="AH54" i="8"/>
  <c r="AG54" i="8"/>
  <c r="AF54" i="8"/>
  <c r="AE54" i="8"/>
  <c r="AD54" i="8"/>
  <c r="AC54" i="8"/>
  <c r="Z54" i="8"/>
  <c r="Y54" i="8"/>
  <c r="X54" i="8"/>
  <c r="W54" i="8"/>
  <c r="V54" i="8"/>
  <c r="U54" i="8"/>
  <c r="T54" i="8"/>
  <c r="Q54" i="8"/>
  <c r="N54" i="8"/>
  <c r="M54" i="8"/>
  <c r="L54" i="8"/>
  <c r="K54" i="8"/>
  <c r="J54" i="8"/>
  <c r="AH45" i="8"/>
  <c r="AG45" i="8"/>
  <c r="AF45" i="8"/>
  <c r="AE45" i="8"/>
  <c r="AD45" i="8"/>
  <c r="AC45" i="8"/>
  <c r="Z45" i="8"/>
  <c r="Y45" i="8"/>
  <c r="X45" i="8"/>
  <c r="W45" i="8"/>
  <c r="V45" i="8"/>
  <c r="U45" i="8"/>
  <c r="T45" i="8"/>
  <c r="Q45" i="8"/>
  <c r="N45" i="8"/>
  <c r="M45" i="8"/>
  <c r="L45" i="8"/>
  <c r="K45" i="8"/>
  <c r="J45" i="8"/>
  <c r="AH36" i="8"/>
  <c r="AG36" i="8"/>
  <c r="AF36" i="8"/>
  <c r="AE36" i="8"/>
  <c r="AD36" i="8"/>
  <c r="AC36" i="8"/>
  <c r="Z36" i="8"/>
  <c r="Y36" i="8"/>
  <c r="X36" i="8"/>
  <c r="W36" i="8"/>
  <c r="V36" i="8"/>
  <c r="U36" i="8"/>
  <c r="T36" i="8"/>
  <c r="Q36" i="8"/>
  <c r="N36" i="8"/>
  <c r="M36" i="8"/>
  <c r="L36" i="8"/>
  <c r="K36" i="8"/>
  <c r="J36" i="8"/>
  <c r="R34" i="8"/>
  <c r="Z34" i="8"/>
  <c r="AH27" i="8"/>
  <c r="AG27" i="8"/>
  <c r="AF27" i="8"/>
  <c r="AE27" i="8"/>
  <c r="AD27" i="8"/>
  <c r="AC27" i="8"/>
  <c r="AH18" i="8"/>
  <c r="AG18" i="8"/>
  <c r="AF18" i="8"/>
  <c r="AE18" i="8"/>
  <c r="AD18" i="8"/>
  <c r="AC18" i="8"/>
  <c r="AD9" i="8"/>
  <c r="AE9" i="8"/>
  <c r="AF9" i="8"/>
  <c r="AG9" i="8"/>
  <c r="AH9" i="8"/>
  <c r="AC9" i="8"/>
  <c r="I39" i="11" l="1"/>
  <c r="I38" i="11"/>
  <c r="I37" i="11"/>
  <c r="I36" i="11"/>
  <c r="I34" i="11"/>
  <c r="I33" i="11"/>
  <c r="I31" i="11"/>
  <c r="I30" i="11"/>
  <c r="I29" i="11"/>
  <c r="I28" i="11"/>
  <c r="I27" i="11"/>
  <c r="I25" i="11"/>
  <c r="I24" i="11"/>
  <c r="I23" i="11"/>
  <c r="I22" i="11"/>
  <c r="I20" i="11"/>
  <c r="I19" i="11"/>
  <c r="I18" i="11"/>
  <c r="I17" i="11"/>
  <c r="I15" i="11"/>
  <c r="I14" i="11"/>
  <c r="I9" i="11"/>
  <c r="I7" i="11"/>
  <c r="I6" i="11"/>
  <c r="I5" i="11"/>
  <c r="I4" i="11"/>
  <c r="I3" i="11"/>
  <c r="I2" i="11"/>
  <c r="I12" i="11"/>
  <c r="I13" i="11"/>
  <c r="E13" i="11"/>
  <c r="E39" i="11"/>
  <c r="E38" i="11"/>
  <c r="E37" i="11"/>
  <c r="E36" i="11"/>
  <c r="E34" i="11"/>
  <c r="E33" i="11"/>
  <c r="E31" i="11"/>
  <c r="E30" i="11"/>
  <c r="E29" i="11"/>
  <c r="E28" i="11"/>
  <c r="E27" i="11"/>
  <c r="E25" i="11"/>
  <c r="E24" i="11"/>
  <c r="E23" i="11"/>
  <c r="E22" i="11"/>
  <c r="E20" i="11"/>
  <c r="E19" i="11"/>
  <c r="E18" i="11"/>
  <c r="E17" i="11"/>
  <c r="E9" i="11"/>
  <c r="E7" i="11"/>
  <c r="E6" i="11"/>
  <c r="E5" i="11"/>
  <c r="E4" i="11"/>
  <c r="E3" i="11"/>
  <c r="E2" i="11"/>
  <c r="E15" i="11"/>
  <c r="E14" i="11"/>
  <c r="E12" i="11"/>
  <c r="Z133" i="8" l="1"/>
  <c r="R133" i="8"/>
  <c r="Z131" i="8"/>
  <c r="R131" i="8"/>
  <c r="Z130" i="8"/>
  <c r="R130" i="8"/>
  <c r="Z124" i="8"/>
  <c r="R124" i="8"/>
  <c r="Z122" i="8"/>
  <c r="R122" i="8"/>
  <c r="Z121" i="8"/>
  <c r="R121" i="8"/>
  <c r="Z115" i="8"/>
  <c r="R115" i="8"/>
  <c r="Z113" i="8"/>
  <c r="R113" i="8"/>
  <c r="Z112" i="8"/>
  <c r="R112" i="8"/>
  <c r="Z106" i="8"/>
  <c r="R106" i="8"/>
  <c r="Z104" i="8"/>
  <c r="R104" i="8"/>
  <c r="Z103" i="8"/>
  <c r="R103" i="8"/>
  <c r="Z97" i="8"/>
  <c r="R97" i="8"/>
  <c r="Z95" i="8"/>
  <c r="R95" i="8"/>
  <c r="Z94" i="8"/>
  <c r="R94" i="8"/>
  <c r="Z88" i="8"/>
  <c r="R88" i="8"/>
  <c r="Z86" i="8"/>
  <c r="R86" i="8"/>
  <c r="Z85" i="8"/>
  <c r="R85" i="8"/>
  <c r="Z79" i="8"/>
  <c r="R79" i="8"/>
  <c r="Z77" i="8"/>
  <c r="R77" i="8"/>
  <c r="Z76" i="8"/>
  <c r="R76" i="8"/>
  <c r="Z70" i="8"/>
  <c r="R70" i="8"/>
  <c r="Z68" i="8"/>
  <c r="R68" i="8"/>
  <c r="Z67" i="8"/>
  <c r="R67" i="8"/>
  <c r="Z61" i="8"/>
  <c r="R61" i="8"/>
  <c r="Z59" i="8"/>
  <c r="R59" i="8"/>
  <c r="Z58" i="8"/>
  <c r="R58" i="8"/>
  <c r="Z52" i="8"/>
  <c r="R52" i="8"/>
  <c r="Z50" i="8"/>
  <c r="R50" i="8"/>
  <c r="Z49" i="8"/>
  <c r="R49" i="8"/>
  <c r="Z43" i="8"/>
  <c r="R43" i="8"/>
  <c r="Z41" i="8"/>
  <c r="R41" i="8"/>
  <c r="Z40" i="8"/>
  <c r="R40" i="8"/>
  <c r="Z32" i="8"/>
  <c r="R32" i="8"/>
  <c r="Z31" i="8"/>
  <c r="R31" i="8"/>
  <c r="Z25" i="8"/>
  <c r="R25" i="8"/>
  <c r="Z23" i="8"/>
  <c r="R23" i="8"/>
  <c r="Z22" i="8"/>
  <c r="R22" i="8"/>
  <c r="Z16" i="8"/>
  <c r="R16" i="8"/>
  <c r="Z14" i="8"/>
  <c r="R14" i="8"/>
  <c r="Z13" i="8"/>
  <c r="R13" i="8"/>
  <c r="Z7" i="8"/>
  <c r="Z5" i="8"/>
  <c r="Z4" i="8"/>
  <c r="I33" i="1" l="1"/>
  <c r="E41" i="11" l="1"/>
  <c r="M20" i="10"/>
  <c r="M19" i="10"/>
  <c r="M18" i="10"/>
  <c r="M17" i="10"/>
  <c r="M16" i="10"/>
  <c r="M15" i="10"/>
  <c r="M14" i="10"/>
  <c r="M13" i="10"/>
  <c r="M12" i="10"/>
  <c r="M11" i="10"/>
  <c r="M10" i="10"/>
  <c r="M9" i="10"/>
  <c r="M8" i="10"/>
  <c r="M7" i="10"/>
  <c r="M6" i="10"/>
  <c r="M21" i="10" l="1"/>
  <c r="AQ156" i="8"/>
  <c r="AQ140" i="8"/>
  <c r="F129" i="8"/>
  <c r="E129" i="8"/>
  <c r="D129" i="8"/>
  <c r="C129" i="8"/>
  <c r="B129" i="8"/>
  <c r="A129" i="8"/>
  <c r="AW132" i="8"/>
  <c r="F120" i="8"/>
  <c r="E120" i="8"/>
  <c r="D120" i="8"/>
  <c r="C120" i="8"/>
  <c r="B120" i="8"/>
  <c r="A120" i="8"/>
  <c r="AW123" i="8"/>
  <c r="F111" i="8"/>
  <c r="E111" i="8"/>
  <c r="D111" i="8"/>
  <c r="C111" i="8"/>
  <c r="B111" i="8"/>
  <c r="A111" i="8"/>
  <c r="AW114" i="8"/>
  <c r="F102" i="8"/>
  <c r="E102" i="8"/>
  <c r="D102" i="8"/>
  <c r="C102" i="8"/>
  <c r="B102" i="8"/>
  <c r="A102" i="8"/>
  <c r="AW105" i="8"/>
  <c r="F93" i="8"/>
  <c r="E93" i="8"/>
  <c r="D93" i="8"/>
  <c r="C93" i="8"/>
  <c r="B93" i="8"/>
  <c r="A93" i="8"/>
  <c r="AW96" i="8"/>
  <c r="F84" i="8"/>
  <c r="E84" i="8"/>
  <c r="D84" i="8"/>
  <c r="C84" i="8"/>
  <c r="B84" i="8"/>
  <c r="A84" i="8"/>
  <c r="AW87" i="8"/>
  <c r="F75" i="8"/>
  <c r="E75" i="8"/>
  <c r="D75" i="8"/>
  <c r="C75" i="8"/>
  <c r="B75" i="8"/>
  <c r="A75" i="8"/>
  <c r="AW78" i="8"/>
  <c r="F66" i="8"/>
  <c r="E66" i="8"/>
  <c r="D66" i="8"/>
  <c r="C66" i="8"/>
  <c r="B66" i="8"/>
  <c r="A66" i="8"/>
  <c r="AW69" i="8"/>
  <c r="F57" i="8"/>
  <c r="E57" i="8"/>
  <c r="D57" i="8"/>
  <c r="C57" i="8"/>
  <c r="B57" i="8"/>
  <c r="A57" i="8"/>
  <c r="AW60" i="8"/>
  <c r="F48" i="8"/>
  <c r="E48" i="8"/>
  <c r="D48" i="8"/>
  <c r="C48" i="8"/>
  <c r="B48" i="8"/>
  <c r="A48" i="8"/>
  <c r="AW51" i="8"/>
  <c r="F39" i="8"/>
  <c r="E39" i="8"/>
  <c r="D39" i="8"/>
  <c r="C39" i="8"/>
  <c r="B39" i="8"/>
  <c r="A39" i="8"/>
  <c r="F30" i="8"/>
  <c r="E30" i="8"/>
  <c r="D30" i="8"/>
  <c r="C30" i="8"/>
  <c r="B30" i="8"/>
  <c r="A30" i="8"/>
  <c r="AW33" i="8"/>
  <c r="F21" i="8"/>
  <c r="E21" i="8"/>
  <c r="D21" i="8"/>
  <c r="C21" i="8"/>
  <c r="B21" i="8"/>
  <c r="A21" i="8"/>
  <c r="AW24" i="8"/>
  <c r="R90" i="8" l="1"/>
  <c r="AM24" i="8"/>
  <c r="AF24" i="8"/>
  <c r="W24" i="8"/>
  <c r="AL24" i="8"/>
  <c r="AE24" i="8"/>
  <c r="V24" i="8"/>
  <c r="AO24" i="8"/>
  <c r="AK24" i="8"/>
  <c r="AH24" i="8"/>
  <c r="AD24" i="8"/>
  <c r="Y24" i="8"/>
  <c r="U24" i="8"/>
  <c r="AN24" i="8"/>
  <c r="AJ24" i="8"/>
  <c r="AG24" i="8"/>
  <c r="AC24" i="8"/>
  <c r="X24" i="8"/>
  <c r="T24" i="8"/>
  <c r="R36" i="8"/>
  <c r="U27" i="8"/>
  <c r="T27" i="8"/>
  <c r="T28" i="8" s="1"/>
  <c r="W27" i="8"/>
  <c r="W28" i="8" s="1"/>
  <c r="Z27" i="8"/>
  <c r="V27" i="8"/>
  <c r="Y27" i="8"/>
  <c r="Y28" i="8" s="1"/>
  <c r="X27" i="8"/>
  <c r="Q27" i="8"/>
  <c r="N27" i="8"/>
  <c r="M27" i="8"/>
  <c r="R27" i="8"/>
  <c r="L27" i="8"/>
  <c r="K27" i="8"/>
  <c r="J27" i="8"/>
  <c r="R54" i="8"/>
  <c r="R126" i="8"/>
  <c r="R45" i="8"/>
  <c r="R81" i="8"/>
  <c r="R117" i="8"/>
  <c r="R72" i="8"/>
  <c r="R108" i="8"/>
  <c r="R63" i="8"/>
  <c r="R99" i="8"/>
  <c r="R135" i="8"/>
  <c r="U28" i="8"/>
  <c r="X28" i="8"/>
  <c r="V28" i="8"/>
  <c r="M28" i="8"/>
  <c r="L28" i="8"/>
  <c r="Q28" i="8"/>
  <c r="K28" i="8"/>
  <c r="J28" i="8"/>
  <c r="N28" i="8"/>
  <c r="AO37" i="8"/>
  <c r="AK37" i="8"/>
  <c r="AF37" i="8"/>
  <c r="AO33" i="8"/>
  <c r="AK33" i="8"/>
  <c r="AF33" i="8"/>
  <c r="AL37" i="8"/>
  <c r="AE37" i="8"/>
  <c r="AM33" i="8"/>
  <c r="AG33" i="8"/>
  <c r="AJ37" i="8"/>
  <c r="AD37" i="8"/>
  <c r="AL33" i="8"/>
  <c r="AE33" i="8"/>
  <c r="AM37" i="8"/>
  <c r="AN33" i="8"/>
  <c r="AC33" i="8"/>
  <c r="AH37" i="8"/>
  <c r="AJ33" i="8"/>
  <c r="AG37" i="8"/>
  <c r="AH33" i="8"/>
  <c r="AN37" i="8"/>
  <c r="AC37" i="8"/>
  <c r="AD33" i="8"/>
  <c r="V37" i="8"/>
  <c r="N37" i="8"/>
  <c r="J37" i="8"/>
  <c r="X33" i="8"/>
  <c r="T33" i="8"/>
  <c r="Y37" i="8"/>
  <c r="U37" i="8"/>
  <c r="M37" i="8"/>
  <c r="W33" i="8"/>
  <c r="X37" i="8"/>
  <c r="T37" i="8"/>
  <c r="L37" i="8"/>
  <c r="V33" i="8"/>
  <c r="W37" i="8"/>
  <c r="Q37" i="8"/>
  <c r="Y33" i="8"/>
  <c r="K37" i="8"/>
  <c r="U33" i="8"/>
  <c r="AO64" i="8"/>
  <c r="AK64" i="8"/>
  <c r="AF64" i="8"/>
  <c r="AO60" i="8"/>
  <c r="AK60" i="8"/>
  <c r="AF60" i="8"/>
  <c r="AN64" i="8"/>
  <c r="AH64" i="8"/>
  <c r="AC64" i="8"/>
  <c r="AJ60" i="8"/>
  <c r="AD60" i="8"/>
  <c r="AM64" i="8"/>
  <c r="AG64" i="8"/>
  <c r="AN60" i="8"/>
  <c r="AH60" i="8"/>
  <c r="AC60" i="8"/>
  <c r="AD64" i="8"/>
  <c r="AE60" i="8"/>
  <c r="AL64" i="8"/>
  <c r="AM60" i="8"/>
  <c r="AJ64" i="8"/>
  <c r="AL60" i="8"/>
  <c r="AE64" i="8"/>
  <c r="AG60" i="8"/>
  <c r="W64" i="8"/>
  <c r="Q64" i="8"/>
  <c r="K64" i="8"/>
  <c r="V60" i="8"/>
  <c r="V64" i="8"/>
  <c r="N64" i="8"/>
  <c r="J64" i="8"/>
  <c r="Y60" i="8"/>
  <c r="U60" i="8"/>
  <c r="Y64" i="8"/>
  <c r="U64" i="8"/>
  <c r="M64" i="8"/>
  <c r="X60" i="8"/>
  <c r="T60" i="8"/>
  <c r="X64" i="8"/>
  <c r="T64" i="8"/>
  <c r="L64" i="8"/>
  <c r="W60" i="8"/>
  <c r="AO100" i="8"/>
  <c r="AK100" i="8"/>
  <c r="AF100" i="8"/>
  <c r="AO96" i="8"/>
  <c r="AK96" i="8"/>
  <c r="AF96" i="8"/>
  <c r="AN100" i="8"/>
  <c r="AH100" i="8"/>
  <c r="AC100" i="8"/>
  <c r="AJ96" i="8"/>
  <c r="AD96" i="8"/>
  <c r="AM100" i="8"/>
  <c r="AG100" i="8"/>
  <c r="AN96" i="8"/>
  <c r="AH96" i="8"/>
  <c r="AC96" i="8"/>
  <c r="AD100" i="8"/>
  <c r="AE96" i="8"/>
  <c r="AL100" i="8"/>
  <c r="AM96" i="8"/>
  <c r="AJ100" i="8"/>
  <c r="AL96" i="8"/>
  <c r="AE100" i="8"/>
  <c r="AG96" i="8"/>
  <c r="W100" i="8"/>
  <c r="Q100" i="8"/>
  <c r="K100" i="8"/>
  <c r="Y96" i="8"/>
  <c r="U96" i="8"/>
  <c r="V100" i="8"/>
  <c r="N100" i="8"/>
  <c r="J100" i="8"/>
  <c r="X96" i="8"/>
  <c r="T96" i="8"/>
  <c r="Y100" i="8"/>
  <c r="U100" i="8"/>
  <c r="M100" i="8"/>
  <c r="W96" i="8"/>
  <c r="X100" i="8"/>
  <c r="T100" i="8"/>
  <c r="L100" i="8"/>
  <c r="V96" i="8"/>
  <c r="AO136" i="8"/>
  <c r="AK136" i="8"/>
  <c r="AF136" i="8"/>
  <c r="AO132" i="8"/>
  <c r="AK132" i="8"/>
  <c r="AF132" i="8"/>
  <c r="AN136" i="8"/>
  <c r="AH136" i="8"/>
  <c r="AC136" i="8"/>
  <c r="AJ132" i="8"/>
  <c r="AD132" i="8"/>
  <c r="AM136" i="8"/>
  <c r="AG136" i="8"/>
  <c r="AN132" i="8"/>
  <c r="AH132" i="8"/>
  <c r="AC132" i="8"/>
  <c r="AL136" i="8"/>
  <c r="AE136" i="8"/>
  <c r="AM132" i="8"/>
  <c r="AG132" i="8"/>
  <c r="AJ136" i="8"/>
  <c r="AD136" i="8"/>
  <c r="AL132" i="8"/>
  <c r="AE132" i="8"/>
  <c r="Y136" i="8"/>
  <c r="U136" i="8"/>
  <c r="M136" i="8"/>
  <c r="W132" i="8"/>
  <c r="X136" i="8"/>
  <c r="T136" i="8"/>
  <c r="L136" i="8"/>
  <c r="V132" i="8"/>
  <c r="W136" i="8"/>
  <c r="Q136" i="8"/>
  <c r="K136" i="8"/>
  <c r="Y132" i="8"/>
  <c r="U132" i="8"/>
  <c r="V136" i="8"/>
  <c r="N136" i="8"/>
  <c r="J136" i="8"/>
  <c r="X132" i="8"/>
  <c r="T132" i="8"/>
  <c r="AO28" i="8"/>
  <c r="AK28" i="8"/>
  <c r="AF28" i="8"/>
  <c r="AN28" i="8"/>
  <c r="AH28" i="8"/>
  <c r="AC28" i="8"/>
  <c r="AM28" i="8"/>
  <c r="AG28" i="8"/>
  <c r="AD28" i="8"/>
  <c r="AL28" i="8"/>
  <c r="AJ28" i="8"/>
  <c r="AE28" i="8"/>
  <c r="AW46" i="8"/>
  <c r="AO55" i="8"/>
  <c r="AK55" i="8"/>
  <c r="AF55" i="8"/>
  <c r="AO51" i="8"/>
  <c r="AK51" i="8"/>
  <c r="AF51" i="8"/>
  <c r="AL55" i="8"/>
  <c r="AE55" i="8"/>
  <c r="AM51" i="8"/>
  <c r="AG51" i="8"/>
  <c r="AJ55" i="8"/>
  <c r="AD55" i="8"/>
  <c r="AL51" i="8"/>
  <c r="AE51" i="8"/>
  <c r="AG55" i="8"/>
  <c r="AH51" i="8"/>
  <c r="AN55" i="8"/>
  <c r="AC55" i="8"/>
  <c r="AD51" i="8"/>
  <c r="AM55" i="8"/>
  <c r="AN51" i="8"/>
  <c r="AC51" i="8"/>
  <c r="AH55" i="8"/>
  <c r="AJ51" i="8"/>
  <c r="V55" i="8"/>
  <c r="N55" i="8"/>
  <c r="J55" i="8"/>
  <c r="X51" i="8"/>
  <c r="T51" i="8"/>
  <c r="Y55" i="8"/>
  <c r="U55" i="8"/>
  <c r="M55" i="8"/>
  <c r="W51" i="8"/>
  <c r="X55" i="8"/>
  <c r="T55" i="8"/>
  <c r="L55" i="8"/>
  <c r="V51" i="8"/>
  <c r="W55" i="8"/>
  <c r="Q55" i="8"/>
  <c r="K55" i="8"/>
  <c r="Y51" i="8"/>
  <c r="U51" i="8"/>
  <c r="AO91" i="8"/>
  <c r="AK91" i="8"/>
  <c r="AF91" i="8"/>
  <c r="AO87" i="8"/>
  <c r="AK87" i="8"/>
  <c r="AF87" i="8"/>
  <c r="AL91" i="8"/>
  <c r="AE91" i="8"/>
  <c r="AM87" i="8"/>
  <c r="AG87" i="8"/>
  <c r="AJ91" i="8"/>
  <c r="AD91" i="8"/>
  <c r="AL87" i="8"/>
  <c r="AE87" i="8"/>
  <c r="AG91" i="8"/>
  <c r="AH87" i="8"/>
  <c r="AN91" i="8"/>
  <c r="AC91" i="8"/>
  <c r="AD87" i="8"/>
  <c r="AM91" i="8"/>
  <c r="AN87" i="8"/>
  <c r="AC87" i="8"/>
  <c r="AH91" i="8"/>
  <c r="AJ87" i="8"/>
  <c r="Y91" i="8"/>
  <c r="U91" i="8"/>
  <c r="M91" i="8"/>
  <c r="W87" i="8"/>
  <c r="X91" i="8"/>
  <c r="T91" i="8"/>
  <c r="L91" i="8"/>
  <c r="V87" i="8"/>
  <c r="W91" i="8"/>
  <c r="Q91" i="8"/>
  <c r="K91" i="8"/>
  <c r="Y87" i="8"/>
  <c r="U87" i="8"/>
  <c r="V91" i="8"/>
  <c r="N91" i="8"/>
  <c r="J91" i="8"/>
  <c r="X87" i="8"/>
  <c r="T87" i="8"/>
  <c r="AO127" i="8"/>
  <c r="AK127" i="8"/>
  <c r="AF127" i="8"/>
  <c r="AO123" i="8"/>
  <c r="AK123" i="8"/>
  <c r="AF123" i="8"/>
  <c r="AL127" i="8"/>
  <c r="AE127" i="8"/>
  <c r="AM123" i="8"/>
  <c r="AG123" i="8"/>
  <c r="AJ127" i="8"/>
  <c r="AD127" i="8"/>
  <c r="AL123" i="8"/>
  <c r="AE123" i="8"/>
  <c r="AN127" i="8"/>
  <c r="AH127" i="8"/>
  <c r="AC127" i="8"/>
  <c r="AJ123" i="8"/>
  <c r="AD123" i="8"/>
  <c r="AM127" i="8"/>
  <c r="AC123" i="8"/>
  <c r="AG127" i="8"/>
  <c r="AN123" i="8"/>
  <c r="AH123" i="8"/>
  <c r="W127" i="8"/>
  <c r="Q127" i="8"/>
  <c r="K127" i="8"/>
  <c r="V123" i="8"/>
  <c r="V127" i="8"/>
  <c r="N127" i="8"/>
  <c r="J127" i="8"/>
  <c r="Y123" i="8"/>
  <c r="U123" i="8"/>
  <c r="Y127" i="8"/>
  <c r="U127" i="8"/>
  <c r="M127" i="8"/>
  <c r="X123" i="8"/>
  <c r="T123" i="8"/>
  <c r="X127" i="8"/>
  <c r="T127" i="8"/>
  <c r="L127" i="8"/>
  <c r="W123" i="8"/>
  <c r="AO46" i="8"/>
  <c r="AK46" i="8"/>
  <c r="AF46" i="8"/>
  <c r="AO42" i="8"/>
  <c r="AK42" i="8"/>
  <c r="AF42" i="8"/>
  <c r="AN46" i="8"/>
  <c r="AH46" i="8"/>
  <c r="AC46" i="8"/>
  <c r="AJ42" i="8"/>
  <c r="AD42" i="8"/>
  <c r="AM46" i="8"/>
  <c r="AG46" i="8"/>
  <c r="AN42" i="8"/>
  <c r="AH42" i="8"/>
  <c r="AC42" i="8"/>
  <c r="AJ46" i="8"/>
  <c r="AL42" i="8"/>
  <c r="AE46" i="8"/>
  <c r="AG42" i="8"/>
  <c r="AD46" i="8"/>
  <c r="AE42" i="8"/>
  <c r="AL46" i="8"/>
  <c r="AM42" i="8"/>
  <c r="X46" i="8"/>
  <c r="T46" i="8"/>
  <c r="L46" i="8"/>
  <c r="V42" i="8"/>
  <c r="W46" i="8"/>
  <c r="Q46" i="8"/>
  <c r="K46" i="8"/>
  <c r="Y42" i="8"/>
  <c r="U42" i="8"/>
  <c r="V46" i="8"/>
  <c r="N46" i="8"/>
  <c r="J46" i="8"/>
  <c r="X42" i="8"/>
  <c r="T42" i="8"/>
  <c r="Y46" i="8"/>
  <c r="U46" i="8"/>
  <c r="M46" i="8"/>
  <c r="W42" i="8"/>
  <c r="AO82" i="8"/>
  <c r="AK82" i="8"/>
  <c r="AF82" i="8"/>
  <c r="AO78" i="8"/>
  <c r="AK78" i="8"/>
  <c r="AF78" i="8"/>
  <c r="AN82" i="8"/>
  <c r="AH82" i="8"/>
  <c r="AC82" i="8"/>
  <c r="AJ78" i="8"/>
  <c r="AD78" i="8"/>
  <c r="AM82" i="8"/>
  <c r="AG82" i="8"/>
  <c r="AN78" i="8"/>
  <c r="AH78" i="8"/>
  <c r="AC78" i="8"/>
  <c r="AJ82" i="8"/>
  <c r="AL78" i="8"/>
  <c r="AE82" i="8"/>
  <c r="AG78" i="8"/>
  <c r="AD82" i="8"/>
  <c r="AE78" i="8"/>
  <c r="AL82" i="8"/>
  <c r="AM78" i="8"/>
  <c r="W82" i="8"/>
  <c r="Q82" i="8"/>
  <c r="K82" i="8"/>
  <c r="Y78" i="8"/>
  <c r="U78" i="8"/>
  <c r="V82" i="8"/>
  <c r="N82" i="8"/>
  <c r="J82" i="8"/>
  <c r="X78" i="8"/>
  <c r="T78" i="8"/>
  <c r="Y82" i="8"/>
  <c r="U82" i="8"/>
  <c r="M82" i="8"/>
  <c r="W78" i="8"/>
  <c r="X82" i="8"/>
  <c r="T82" i="8"/>
  <c r="L82" i="8"/>
  <c r="V78" i="8"/>
  <c r="AO118" i="8"/>
  <c r="AK118" i="8"/>
  <c r="AF118" i="8"/>
  <c r="AO114" i="8"/>
  <c r="AK114" i="8"/>
  <c r="AF114" i="8"/>
  <c r="AN118" i="8"/>
  <c r="AH118" i="8"/>
  <c r="AC118" i="8"/>
  <c r="AJ114" i="8"/>
  <c r="AD114" i="8"/>
  <c r="AM118" i="8"/>
  <c r="AG118" i="8"/>
  <c r="AN114" i="8"/>
  <c r="AH114" i="8"/>
  <c r="AC114" i="8"/>
  <c r="AL118" i="8"/>
  <c r="AE118" i="8"/>
  <c r="AM114" i="8"/>
  <c r="AG114" i="8"/>
  <c r="AE114" i="8"/>
  <c r="AJ118" i="8"/>
  <c r="AD118" i="8"/>
  <c r="AL114" i="8"/>
  <c r="V118" i="8"/>
  <c r="N118" i="8"/>
  <c r="J118" i="8"/>
  <c r="X114" i="8"/>
  <c r="T114" i="8"/>
  <c r="Y118" i="8"/>
  <c r="U118" i="8"/>
  <c r="M118" i="8"/>
  <c r="W114" i="8"/>
  <c r="X118" i="8"/>
  <c r="T118" i="8"/>
  <c r="L118" i="8"/>
  <c r="V114" i="8"/>
  <c r="W118" i="8"/>
  <c r="Q118" i="8"/>
  <c r="K118" i="8"/>
  <c r="Y114" i="8"/>
  <c r="U114" i="8"/>
  <c r="AO73" i="8"/>
  <c r="AK73" i="8"/>
  <c r="AF73" i="8"/>
  <c r="AO69" i="8"/>
  <c r="AK69" i="8"/>
  <c r="AF69" i="8"/>
  <c r="AL73" i="8"/>
  <c r="AE73" i="8"/>
  <c r="AM69" i="8"/>
  <c r="AG69" i="8"/>
  <c r="AJ73" i="8"/>
  <c r="AD73" i="8"/>
  <c r="AL69" i="8"/>
  <c r="AE69" i="8"/>
  <c r="AM73" i="8"/>
  <c r="AN69" i="8"/>
  <c r="AC69" i="8"/>
  <c r="AH73" i="8"/>
  <c r="AJ69" i="8"/>
  <c r="AG73" i="8"/>
  <c r="AH69" i="8"/>
  <c r="AN73" i="8"/>
  <c r="AC73" i="8"/>
  <c r="AD69" i="8"/>
  <c r="Y73" i="8"/>
  <c r="U73" i="8"/>
  <c r="M73" i="8"/>
  <c r="W69" i="8"/>
  <c r="X73" i="8"/>
  <c r="T73" i="8"/>
  <c r="L73" i="8"/>
  <c r="V69" i="8"/>
  <c r="W73" i="8"/>
  <c r="Q73" i="8"/>
  <c r="K73" i="8"/>
  <c r="Y69" i="8"/>
  <c r="U69" i="8"/>
  <c r="V73" i="8"/>
  <c r="N73" i="8"/>
  <c r="J73" i="8"/>
  <c r="X69" i="8"/>
  <c r="T69" i="8"/>
  <c r="AO109" i="8"/>
  <c r="AK109" i="8"/>
  <c r="AF109" i="8"/>
  <c r="AO105" i="8"/>
  <c r="AK105" i="8"/>
  <c r="AF105" i="8"/>
  <c r="AL109" i="8"/>
  <c r="AE109" i="8"/>
  <c r="AM105" i="8"/>
  <c r="AG105" i="8"/>
  <c r="AJ109" i="8"/>
  <c r="AD109" i="8"/>
  <c r="AL105" i="8"/>
  <c r="AE105" i="8"/>
  <c r="AN109" i="8"/>
  <c r="AH109" i="8"/>
  <c r="AN105" i="8"/>
  <c r="AC105" i="8"/>
  <c r="AM109" i="8"/>
  <c r="AJ105" i="8"/>
  <c r="AG109" i="8"/>
  <c r="AH105" i="8"/>
  <c r="AC109" i="8"/>
  <c r="AD105" i="8"/>
  <c r="X109" i="8"/>
  <c r="T109" i="8"/>
  <c r="L109" i="8"/>
  <c r="W105" i="8"/>
  <c r="W109" i="8"/>
  <c r="Q109" i="8"/>
  <c r="K109" i="8"/>
  <c r="V105" i="8"/>
  <c r="V109" i="8"/>
  <c r="N109" i="8"/>
  <c r="J109" i="8"/>
  <c r="Y105" i="8"/>
  <c r="U105" i="8"/>
  <c r="Y109" i="8"/>
  <c r="U109" i="8"/>
  <c r="M109" i="8"/>
  <c r="X105" i="8"/>
  <c r="T105" i="8"/>
  <c r="AU64" i="8"/>
  <c r="AU100" i="8"/>
  <c r="AU136" i="8"/>
  <c r="AU37" i="8"/>
  <c r="AU73" i="8"/>
  <c r="AU109" i="8"/>
  <c r="AU82" i="8"/>
  <c r="AU118" i="8"/>
  <c r="AU46" i="8"/>
  <c r="AU55" i="8"/>
  <c r="AU91" i="8"/>
  <c r="AU127" i="8"/>
  <c r="AT109" i="8"/>
  <c r="AT127" i="8"/>
  <c r="AT136" i="8"/>
  <c r="AT118" i="8"/>
  <c r="AT82" i="8"/>
  <c r="AT100" i="8"/>
  <c r="AT91" i="8"/>
  <c r="AT73" i="8"/>
  <c r="AT64" i="8"/>
  <c r="AT55" i="8"/>
  <c r="AT46" i="8"/>
  <c r="AW42" i="8"/>
  <c r="AT37" i="8"/>
  <c r="F12" i="8"/>
  <c r="E12" i="8"/>
  <c r="D12" i="8"/>
  <c r="C12" i="8"/>
  <c r="B12" i="8"/>
  <c r="A12" i="8"/>
  <c r="AW15" i="8"/>
  <c r="AO15" i="8" l="1"/>
  <c r="AK15" i="8"/>
  <c r="AH15" i="8"/>
  <c r="AD15" i="8"/>
  <c r="Y15" i="8"/>
  <c r="U15" i="8"/>
  <c r="AN15" i="8"/>
  <c r="AJ15" i="8"/>
  <c r="AG15" i="8"/>
  <c r="AC15" i="8"/>
  <c r="X15" i="8"/>
  <c r="T15" i="8"/>
  <c r="AM15" i="8"/>
  <c r="AF15" i="8"/>
  <c r="W15" i="8"/>
  <c r="AL15" i="8"/>
  <c r="AE15" i="8"/>
  <c r="V15" i="8"/>
  <c r="X18" i="8"/>
  <c r="W18" i="8"/>
  <c r="W19" i="8" s="1"/>
  <c r="Z18" i="8"/>
  <c r="Y18" i="8"/>
  <c r="U18" i="8"/>
  <c r="T18" i="8"/>
  <c r="T19" i="8" s="1"/>
  <c r="V18" i="8"/>
  <c r="V19" i="8" s="1"/>
  <c r="L18" i="8"/>
  <c r="Q18" i="8"/>
  <c r="N18" i="8"/>
  <c r="N19" i="8" s="1"/>
  <c r="J18" i="8"/>
  <c r="J19" i="8" s="1"/>
  <c r="M18" i="8"/>
  <c r="R18" i="8"/>
  <c r="K18" i="8"/>
  <c r="Z114" i="8"/>
  <c r="Z91" i="8"/>
  <c r="R96" i="8"/>
  <c r="Z100" i="8"/>
  <c r="Z60" i="8"/>
  <c r="R33" i="8"/>
  <c r="Z37" i="8"/>
  <c r="R28" i="8"/>
  <c r="Z42" i="8"/>
  <c r="R46" i="8"/>
  <c r="R87" i="8"/>
  <c r="R64" i="8"/>
  <c r="X19" i="8"/>
  <c r="Y19" i="8"/>
  <c r="U19" i="8"/>
  <c r="L19" i="8"/>
  <c r="Q19" i="8"/>
  <c r="K19" i="8"/>
  <c r="M19" i="8"/>
  <c r="R82" i="8"/>
  <c r="R42" i="8"/>
  <c r="Z46" i="8"/>
  <c r="R123" i="8"/>
  <c r="Z127" i="8"/>
  <c r="R24" i="8"/>
  <c r="Z33" i="8"/>
  <c r="AO19" i="8"/>
  <c r="AK19" i="8"/>
  <c r="AF19" i="8"/>
  <c r="AM19" i="8"/>
  <c r="AG19" i="8"/>
  <c r="AL19" i="8"/>
  <c r="AE19" i="8"/>
  <c r="AH19" i="8"/>
  <c r="AD19" i="8"/>
  <c r="AN19" i="8"/>
  <c r="AC19" i="8"/>
  <c r="AJ19" i="8"/>
  <c r="R105" i="8"/>
  <c r="Z109" i="8"/>
  <c r="Z69" i="8"/>
  <c r="R73" i="8"/>
  <c r="R118" i="8"/>
  <c r="R78" i="8"/>
  <c r="Z82" i="8"/>
  <c r="Z123" i="8"/>
  <c r="R127" i="8"/>
  <c r="Z51" i="8"/>
  <c r="R55" i="8"/>
  <c r="Z132" i="8"/>
  <c r="R136" i="8"/>
  <c r="Z28" i="8"/>
  <c r="Z105" i="8"/>
  <c r="R109" i="8"/>
  <c r="R69" i="8"/>
  <c r="Z73" i="8"/>
  <c r="R114" i="8"/>
  <c r="Z118" i="8"/>
  <c r="Z78" i="8"/>
  <c r="Z87" i="8"/>
  <c r="R91" i="8"/>
  <c r="R51" i="8"/>
  <c r="Z55" i="8"/>
  <c r="Z24" i="8"/>
  <c r="R132" i="8"/>
  <c r="Z136" i="8"/>
  <c r="R100" i="8"/>
  <c r="Z96" i="8"/>
  <c r="AP96" i="8" s="1"/>
  <c r="R60" i="8"/>
  <c r="Z64" i="8"/>
  <c r="R37" i="8"/>
  <c r="AW136" i="8"/>
  <c r="AW127" i="8"/>
  <c r="AW118" i="8"/>
  <c r="AW109" i="8"/>
  <c r="AW100" i="8"/>
  <c r="AW91" i="8"/>
  <c r="AW82" i="8"/>
  <c r="AW28" i="8"/>
  <c r="AW73" i="8"/>
  <c r="AW64" i="8"/>
  <c r="AW55" i="8"/>
  <c r="AW37" i="8"/>
  <c r="AP91" i="8" l="1"/>
  <c r="AR91" i="8" s="1"/>
  <c r="AP33" i="8"/>
  <c r="AR33" i="8" s="1"/>
  <c r="AP60" i="8"/>
  <c r="AR60" i="8" s="1"/>
  <c r="AP114" i="8"/>
  <c r="AR114" i="8" s="1"/>
  <c r="AP42" i="8"/>
  <c r="AR42" i="8" s="1"/>
  <c r="AP28" i="8"/>
  <c r="AP100" i="8"/>
  <c r="AR100" i="8" s="1"/>
  <c r="AP136" i="8"/>
  <c r="AR136" i="8" s="1"/>
  <c r="AP37" i="8"/>
  <c r="AR37" i="8" s="1"/>
  <c r="AP118" i="8"/>
  <c r="AR118" i="8" s="1"/>
  <c r="AP78" i="8"/>
  <c r="AR78" i="8" s="1"/>
  <c r="AZ78" i="8" s="1"/>
  <c r="AP127" i="8"/>
  <c r="AR127" i="8" s="1"/>
  <c r="AP132" i="8"/>
  <c r="AR132" i="8" s="1"/>
  <c r="BB132" i="8" s="1"/>
  <c r="AP55" i="8"/>
  <c r="AR55" i="8" s="1"/>
  <c r="R15" i="8"/>
  <c r="AP24" i="8"/>
  <c r="AR24" i="8" s="1"/>
  <c r="R19" i="8"/>
  <c r="Z19" i="8"/>
  <c r="AP87" i="8"/>
  <c r="AR87" i="8" s="1"/>
  <c r="AP69" i="8"/>
  <c r="AR69" i="8" s="1"/>
  <c r="AP105" i="8"/>
  <c r="AR105" i="8" s="1"/>
  <c r="AP82" i="8"/>
  <c r="AR82" i="8" s="1"/>
  <c r="AP46" i="8"/>
  <c r="AR46" i="8" s="1"/>
  <c r="AP51" i="8"/>
  <c r="AR51" i="8" s="1"/>
  <c r="AP109" i="8"/>
  <c r="AR109" i="8" s="1"/>
  <c r="AP73" i="8"/>
  <c r="AR73" i="8" s="1"/>
  <c r="Z15" i="8"/>
  <c r="AP123" i="8"/>
  <c r="AR123" i="8" s="1"/>
  <c r="AU123" i="8" s="1"/>
  <c r="AP64" i="8"/>
  <c r="AR64" i="8" s="1"/>
  <c r="AR96" i="8"/>
  <c r="BB96" i="8" s="1"/>
  <c r="AW19" i="8"/>
  <c r="I15" i="3"/>
  <c r="M15" i="3"/>
  <c r="L15" i="3"/>
  <c r="K15" i="3"/>
  <c r="J15" i="3"/>
  <c r="H15" i="3"/>
  <c r="G15" i="3"/>
  <c r="F15" i="3"/>
  <c r="E15" i="3"/>
  <c r="D15" i="3"/>
  <c r="C15" i="3"/>
  <c r="B15" i="3"/>
  <c r="M13" i="3"/>
  <c r="L13" i="3"/>
  <c r="K13" i="3"/>
  <c r="J13" i="3"/>
  <c r="I13" i="3"/>
  <c r="H13" i="3"/>
  <c r="G13" i="3"/>
  <c r="F13" i="3"/>
  <c r="E13" i="3"/>
  <c r="D13" i="3"/>
  <c r="C13" i="3"/>
  <c r="B13" i="3"/>
  <c r="M11" i="3"/>
  <c r="L11" i="3"/>
  <c r="K11" i="3"/>
  <c r="J11" i="3"/>
  <c r="I11" i="3"/>
  <c r="H11" i="3"/>
  <c r="G11" i="3"/>
  <c r="F11" i="3"/>
  <c r="E11" i="3"/>
  <c r="D11" i="3"/>
  <c r="C11" i="3"/>
  <c r="B11" i="3"/>
  <c r="M8" i="3"/>
  <c r="L8" i="3"/>
  <c r="K8" i="3"/>
  <c r="J8" i="3"/>
  <c r="I8" i="3"/>
  <c r="H8" i="3"/>
  <c r="G8" i="3"/>
  <c r="F8" i="3"/>
  <c r="A20" i="12"/>
  <c r="A18" i="12"/>
  <c r="A16" i="12"/>
  <c r="A11" i="12"/>
  <c r="A9" i="12"/>
  <c r="A5" i="12"/>
  <c r="E8" i="3"/>
  <c r="D8" i="3"/>
  <c r="C8" i="3"/>
  <c r="B8" i="3"/>
  <c r="M5" i="3"/>
  <c r="L5" i="3"/>
  <c r="K5" i="3"/>
  <c r="J5" i="3"/>
  <c r="I5" i="3"/>
  <c r="H5" i="3"/>
  <c r="G5" i="3"/>
  <c r="F5" i="3"/>
  <c r="E5" i="3"/>
  <c r="D5" i="3"/>
  <c r="C5" i="3"/>
  <c r="A15" i="3"/>
  <c r="A13" i="3"/>
  <c r="A11" i="3"/>
  <c r="A8" i="3"/>
  <c r="A5" i="3"/>
  <c r="AU1" i="8"/>
  <c r="E5" i="10"/>
  <c r="E2" i="8" s="1"/>
  <c r="B5" i="3"/>
  <c r="F25" i="2"/>
  <c r="D25" i="2"/>
  <c r="C25" i="2"/>
  <c r="BB78" i="8" l="1"/>
  <c r="AU78" i="8"/>
  <c r="AT78" i="8"/>
  <c r="AY78" i="8"/>
  <c r="AP19" i="8"/>
  <c r="AP15" i="8"/>
  <c r="AR15" i="8" s="1"/>
  <c r="BB15" i="8" s="1"/>
  <c r="AY24" i="8"/>
  <c r="BB24" i="8"/>
  <c r="AZ55" i="8"/>
  <c r="BB55" i="8"/>
  <c r="AY105" i="8"/>
  <c r="BB105" i="8"/>
  <c r="AZ118" i="8"/>
  <c r="BB118" i="8"/>
  <c r="AZ37" i="8"/>
  <c r="BB37" i="8"/>
  <c r="AY33" i="8"/>
  <c r="BB33" i="8"/>
  <c r="AY51" i="8"/>
  <c r="BB51" i="8"/>
  <c r="AZ136" i="8"/>
  <c r="BB136" i="8"/>
  <c r="AY123" i="8"/>
  <c r="BB123" i="8"/>
  <c r="AZ100" i="8"/>
  <c r="BB100" i="8"/>
  <c r="AZ127" i="8"/>
  <c r="BB127" i="8"/>
  <c r="AY69" i="8"/>
  <c r="BB69" i="8"/>
  <c r="AY60" i="8"/>
  <c r="BB60" i="8"/>
  <c r="AZ82" i="8"/>
  <c r="BB82" i="8"/>
  <c r="AZ109" i="8"/>
  <c r="BB109" i="8"/>
  <c r="AZ46" i="8"/>
  <c r="BB46" i="8"/>
  <c r="AY42" i="8"/>
  <c r="BB42" i="8"/>
  <c r="AZ73" i="8"/>
  <c r="BB73" i="8"/>
  <c r="AY87" i="8"/>
  <c r="BB87" i="8"/>
  <c r="AY114" i="8"/>
  <c r="BB114" i="8"/>
  <c r="AZ64" i="8"/>
  <c r="BB64" i="8"/>
  <c r="AZ91" i="8"/>
  <c r="BB91" i="8"/>
  <c r="AZ123" i="8"/>
  <c r="AT60" i="8"/>
  <c r="AZ60" i="8"/>
  <c r="AU105" i="8"/>
  <c r="AZ114" i="8"/>
  <c r="AY132" i="8"/>
  <c r="AZ132" i="8"/>
  <c r="AU60" i="8"/>
  <c r="AY118" i="8"/>
  <c r="AT123" i="8"/>
  <c r="AY96" i="8"/>
  <c r="AT96" i="8"/>
  <c r="AZ96" i="8"/>
  <c r="AU96" i="8"/>
  <c r="AU132" i="8"/>
  <c r="AZ105" i="8"/>
  <c r="AT105" i="8"/>
  <c r="AT132" i="8"/>
  <c r="AT114" i="8"/>
  <c r="AU114" i="8"/>
  <c r="AR28" i="8"/>
  <c r="AY136" i="8"/>
  <c r="AY127" i="8"/>
  <c r="AY109" i="8"/>
  <c r="AY100" i="8"/>
  <c r="AY91" i="8"/>
  <c r="AT87" i="8"/>
  <c r="AU87" i="8"/>
  <c r="AZ87" i="8"/>
  <c r="AY82" i="8"/>
  <c r="AY55" i="8"/>
  <c r="AY64" i="8"/>
  <c r="AY73" i="8"/>
  <c r="AT69" i="8"/>
  <c r="AU69" i="8"/>
  <c r="AZ69" i="8"/>
  <c r="AZ51" i="8"/>
  <c r="AT51" i="8"/>
  <c r="AU51" i="8"/>
  <c r="AY46" i="8"/>
  <c r="AU42" i="8"/>
  <c r="AZ42" i="8"/>
  <c r="AT42" i="8"/>
  <c r="AY37" i="8"/>
  <c r="AT33" i="8"/>
  <c r="AU33" i="8"/>
  <c r="AZ33" i="8"/>
  <c r="AT24" i="8"/>
  <c r="AU24" i="8"/>
  <c r="AZ24" i="8"/>
  <c r="E25" i="2"/>
  <c r="I41" i="11"/>
  <c r="R4" i="8"/>
  <c r="R7" i="8"/>
  <c r="R5" i="8"/>
  <c r="F3" i="8"/>
  <c r="H21" i="1"/>
  <c r="H29" i="1" s="1"/>
  <c r="B21" i="1"/>
  <c r="H19" i="1"/>
  <c r="B19" i="1"/>
  <c r="B29" i="1" l="1"/>
  <c r="H22" i="1"/>
  <c r="C4" i="2" s="1"/>
  <c r="AU28" i="8"/>
  <c r="BB28" i="8"/>
  <c r="B32" i="1"/>
  <c r="AW6" i="8"/>
  <c r="AY28" i="8"/>
  <c r="AT28" i="8"/>
  <c r="AZ28" i="8"/>
  <c r="AR19" i="8"/>
  <c r="AZ15" i="8"/>
  <c r="AU15" i="8"/>
  <c r="AT15" i="8"/>
  <c r="AY15" i="8"/>
  <c r="G25" i="2"/>
  <c r="H32" i="1"/>
  <c r="H33" i="1" s="1"/>
  <c r="B33" i="1" l="1"/>
  <c r="B34" i="1" s="1"/>
  <c r="AU19" i="8"/>
  <c r="BB19" i="8"/>
  <c r="H34" i="1"/>
  <c r="AY19" i="8"/>
  <c r="AZ19" i="8"/>
  <c r="AT19" i="8"/>
  <c r="B35" i="1" l="1"/>
  <c r="AR158" i="8" s="1"/>
  <c r="AR142" i="8" l="1"/>
  <c r="E43" i="11"/>
  <c r="E45" i="11" s="1"/>
  <c r="E49" i="11" s="1"/>
  <c r="I43" i="11"/>
  <c r="I45" i="11" s="1"/>
  <c r="I47" i="11" s="1"/>
  <c r="C5" i="2"/>
  <c r="D5" i="2" s="1"/>
  <c r="D4" i="2" s="1"/>
  <c r="H25" i="2" s="1"/>
  <c r="E47" i="11" l="1"/>
  <c r="D7" i="2"/>
  <c r="D18" i="2" s="1"/>
  <c r="I49" i="11"/>
  <c r="K7" i="10"/>
  <c r="K8" i="10"/>
  <c r="K9" i="10"/>
  <c r="K10" i="10"/>
  <c r="K11" i="10"/>
  <c r="K12" i="10"/>
  <c r="K13" i="10"/>
  <c r="K14" i="10"/>
  <c r="K15" i="10"/>
  <c r="K16" i="10"/>
  <c r="K17" i="10"/>
  <c r="K18" i="10"/>
  <c r="K19" i="10"/>
  <c r="K20" i="10"/>
  <c r="K6" i="10"/>
  <c r="I1" i="10"/>
  <c r="J7" i="10" l="1"/>
  <c r="K21" i="10"/>
  <c r="J10" i="10"/>
  <c r="J18" i="10"/>
  <c r="J6" i="10"/>
  <c r="J14" i="10"/>
  <c r="J17" i="10"/>
  <c r="J13" i="10"/>
  <c r="J9" i="10"/>
  <c r="J20" i="10"/>
  <c r="J16" i="10"/>
  <c r="J12" i="10"/>
  <c r="J8" i="10"/>
  <c r="J19" i="10"/>
  <c r="J15" i="10"/>
  <c r="J11" i="10"/>
  <c r="B3" i="8"/>
  <c r="AK6" i="8" s="1"/>
  <c r="AK10" i="8" l="1"/>
  <c r="AO10" i="8"/>
  <c r="AL6" i="8"/>
  <c r="AG6" i="8"/>
  <c r="AC6" i="8"/>
  <c r="AL10" i="8"/>
  <c r="AJ10" i="8"/>
  <c r="AO6" i="8"/>
  <c r="AF6" i="8"/>
  <c r="AH10" i="8"/>
  <c r="AH6" i="8"/>
  <c r="AM10" i="8"/>
  <c r="AN6" i="8"/>
  <c r="AE6" i="8"/>
  <c r="AN10" i="8"/>
  <c r="AM6" i="8"/>
  <c r="AD6" i="8"/>
  <c r="AG10" i="8"/>
  <c r="AJ6" i="8"/>
  <c r="V6" i="8"/>
  <c r="Y6" i="8"/>
  <c r="T6" i="8"/>
  <c r="X6" i="8"/>
  <c r="W6" i="8"/>
  <c r="U6" i="8"/>
  <c r="B5" i="12"/>
  <c r="J21" i="10"/>
  <c r="Z6" i="8" l="1"/>
  <c r="B18" i="12"/>
  <c r="B16" i="12"/>
  <c r="B20" i="12"/>
  <c r="R6" i="8"/>
  <c r="AP6" i="8" s="1"/>
  <c r="L7" i="10"/>
  <c r="L8" i="10"/>
  <c r="L9" i="10"/>
  <c r="L10" i="10"/>
  <c r="L11" i="10"/>
  <c r="L12" i="10"/>
  <c r="L13" i="10"/>
  <c r="L14" i="10"/>
  <c r="L15" i="10"/>
  <c r="L16" i="10"/>
  <c r="L17" i="10"/>
  <c r="L18" i="10"/>
  <c r="L19" i="10"/>
  <c r="L20" i="10"/>
  <c r="L6" i="10"/>
  <c r="L21" i="10" l="1"/>
  <c r="B6" i="12" s="1"/>
  <c r="E3" i="8"/>
  <c r="AJ9" i="8" s="1"/>
  <c r="D3" i="8"/>
  <c r="C3" i="8"/>
  <c r="A22" i="10"/>
  <c r="Q9" i="8" l="1"/>
  <c r="K9" i="8"/>
  <c r="N9" i="8"/>
  <c r="J9" i="8"/>
  <c r="M9" i="8"/>
  <c r="L9" i="8"/>
  <c r="AE10" i="8"/>
  <c r="AC10" i="8"/>
  <c r="AF10" i="8"/>
  <c r="AD10" i="8"/>
  <c r="W9" i="8"/>
  <c r="W10" i="8" s="1"/>
  <c r="Z9" i="8"/>
  <c r="V9" i="8"/>
  <c r="V10" i="8" s="1"/>
  <c r="Y9" i="8"/>
  <c r="U9" i="8"/>
  <c r="U10" i="8" s="1"/>
  <c r="X9" i="8"/>
  <c r="X10" i="8" s="1"/>
  <c r="T9" i="8"/>
  <c r="T10" i="8" s="1"/>
  <c r="Y10" i="8"/>
  <c r="R9" i="8"/>
  <c r="B4" i="12"/>
  <c r="I21" i="10"/>
  <c r="D12" i="12" s="1"/>
  <c r="Z10" i="8" l="1"/>
  <c r="AP140" i="8"/>
  <c r="B15" i="12"/>
  <c r="B17" i="12"/>
  <c r="D10" i="12"/>
  <c r="B19" i="12"/>
  <c r="D9" i="12"/>
  <c r="B3" i="12"/>
  <c r="D11" i="12" l="1"/>
  <c r="AR140" i="8"/>
  <c r="B5" i="2" s="1"/>
  <c r="F19" i="12"/>
  <c r="F15" i="12"/>
  <c r="E20" i="12"/>
  <c r="F18" i="12"/>
  <c r="F9" i="12"/>
  <c r="E18" i="12"/>
  <c r="E9" i="12"/>
  <c r="E16" i="12"/>
  <c r="E10" i="12"/>
  <c r="F11" i="12"/>
  <c r="F17" i="12"/>
  <c r="F12" i="12"/>
  <c r="F10" i="12"/>
  <c r="E15" i="12"/>
  <c r="E12" i="12"/>
  <c r="F16" i="12"/>
  <c r="E11" i="12"/>
  <c r="E17" i="12"/>
  <c r="F20" i="12"/>
  <c r="E19" i="12"/>
  <c r="G10" i="12" l="1"/>
  <c r="G11" i="12"/>
  <c r="G9" i="12"/>
  <c r="G12" i="12"/>
  <c r="D4" i="6"/>
  <c r="E4" i="6"/>
  <c r="F4" i="6"/>
  <c r="D5" i="6"/>
  <c r="D6" i="6"/>
  <c r="E6" i="6"/>
  <c r="F6" i="6"/>
  <c r="D7" i="6"/>
  <c r="E7" i="6"/>
  <c r="F7" i="6"/>
  <c r="D8" i="6"/>
  <c r="E8" i="6"/>
  <c r="F8" i="6"/>
  <c r="D9" i="6"/>
  <c r="E9" i="6"/>
  <c r="F9" i="6"/>
  <c r="D10" i="6"/>
  <c r="D11" i="6"/>
  <c r="E11" i="6"/>
  <c r="F11" i="6"/>
  <c r="D12" i="6"/>
  <c r="E12" i="6"/>
  <c r="F12" i="6"/>
  <c r="D14" i="6"/>
  <c r="E14" i="6"/>
  <c r="F14" i="6"/>
  <c r="D17" i="6"/>
  <c r="E17" i="6"/>
  <c r="F17" i="6"/>
  <c r="D18" i="6"/>
  <c r="D19" i="6"/>
  <c r="E19" i="6"/>
  <c r="F19" i="6"/>
  <c r="D20" i="6"/>
  <c r="E20" i="6"/>
  <c r="F20" i="6"/>
  <c r="D21" i="6"/>
  <c r="E21" i="6"/>
  <c r="F21" i="6"/>
  <c r="D24" i="6"/>
  <c r="E24" i="6"/>
  <c r="F24" i="6"/>
  <c r="D25" i="6"/>
  <c r="E25" i="6"/>
  <c r="F25" i="6"/>
  <c r="D26" i="6"/>
  <c r="E26" i="6"/>
  <c r="F26" i="6"/>
  <c r="D27" i="6"/>
  <c r="E27" i="6"/>
  <c r="F27" i="6"/>
  <c r="D28" i="6"/>
  <c r="E28" i="6"/>
  <c r="F28" i="6"/>
  <c r="F3" i="6"/>
  <c r="E3" i="6"/>
  <c r="D3" i="6"/>
  <c r="P29" i="6"/>
  <c r="T29" i="6" s="1"/>
  <c r="AB28" i="6"/>
  <c r="P28" i="6"/>
  <c r="T28" i="6" s="1"/>
  <c r="P27" i="6"/>
  <c r="AB27" i="6" s="1"/>
  <c r="P26" i="6"/>
  <c r="AB26" i="6" s="1"/>
  <c r="P25" i="6"/>
  <c r="T25" i="6" s="1"/>
  <c r="P24" i="6"/>
  <c r="AB24" i="6" s="1"/>
  <c r="P22" i="6"/>
  <c r="T22" i="6" s="1"/>
  <c r="P21" i="6"/>
  <c r="T21" i="6" s="1"/>
  <c r="AB20" i="6"/>
  <c r="P20" i="6"/>
  <c r="T20" i="6" s="1"/>
  <c r="P19" i="6"/>
  <c r="AB19" i="6" s="1"/>
  <c r="P18" i="6"/>
  <c r="T18" i="6" s="1"/>
  <c r="P17" i="6"/>
  <c r="AB17" i="6" s="1"/>
  <c r="P16" i="6"/>
  <c r="T16" i="6" s="1"/>
  <c r="P14" i="6"/>
  <c r="T14" i="6" s="1"/>
  <c r="P13" i="6"/>
  <c r="T13" i="6" s="1"/>
  <c r="P12" i="6"/>
  <c r="AB12" i="6" s="1"/>
  <c r="P11" i="6"/>
  <c r="T11" i="6" s="1"/>
  <c r="P10" i="6"/>
  <c r="T10" i="6" s="1"/>
  <c r="P9" i="6"/>
  <c r="AB9" i="6" s="1"/>
  <c r="P7" i="6"/>
  <c r="T7" i="6" s="1"/>
  <c r="AB6" i="6"/>
  <c r="P6" i="6"/>
  <c r="T6" i="6" s="1"/>
  <c r="P5" i="6"/>
  <c r="AB4" i="6"/>
  <c r="P4" i="6"/>
  <c r="T4" i="6" s="1"/>
  <c r="X3" i="6"/>
  <c r="P3" i="6"/>
  <c r="AB3" i="6" s="1"/>
  <c r="H3" i="6"/>
  <c r="AB25" i="6" l="1"/>
  <c r="T3" i="6"/>
  <c r="T24" i="6"/>
  <c r="T17" i="6"/>
  <c r="AB21" i="6"/>
  <c r="AB7" i="6"/>
  <c r="AB11" i="6"/>
  <c r="AB14" i="6"/>
  <c r="T19" i="6"/>
  <c r="T27" i="6"/>
  <c r="T9" i="6"/>
  <c r="T12" i="6"/>
  <c r="T26" i="6"/>
  <c r="AR6" i="8" l="1"/>
  <c r="BB6" i="8" s="1"/>
  <c r="AU6" i="8" l="1"/>
  <c r="AY6" i="8"/>
  <c r="AT6" i="8"/>
  <c r="AZ6" i="8"/>
  <c r="AR144" i="8" l="1"/>
  <c r="B4" i="2" s="1"/>
  <c r="AR146" i="8"/>
  <c r="C19" i="12"/>
  <c r="F5" i="2" l="1"/>
  <c r="C20" i="12"/>
  <c r="AR148" i="8"/>
  <c r="AR150" i="8"/>
  <c r="G18" i="12"/>
  <c r="G19" i="12"/>
  <c r="G17" i="12"/>
  <c r="G20" i="12"/>
  <c r="G16" i="12"/>
  <c r="G15" i="12"/>
  <c r="D10" i="2"/>
  <c r="C15" i="12" l="1"/>
  <c r="C26" i="2"/>
  <c r="D26" i="2"/>
  <c r="E26" i="2" l="1"/>
  <c r="G26" i="2"/>
  <c r="F26" i="2" l="1"/>
  <c r="C17" i="12"/>
  <c r="C16" i="12"/>
  <c r="C18" i="12"/>
  <c r="AW10" i="8"/>
  <c r="K10" i="8"/>
  <c r="N10" i="8"/>
  <c r="M10" i="8"/>
  <c r="L10" i="8"/>
  <c r="Q10" i="8"/>
  <c r="J10" i="8" l="1"/>
  <c r="R10" i="8" s="1"/>
  <c r="AP10" i="8" l="1"/>
  <c r="AR10" i="8" l="1"/>
  <c r="AP156" i="8"/>
  <c r="AR156" i="8" s="1"/>
  <c r="E5" i="2" s="1"/>
  <c r="D19" i="12" s="1"/>
  <c r="AR162" i="8" l="1"/>
  <c r="AR160" i="8"/>
  <c r="E4" i="2" s="1"/>
  <c r="D15" i="12" s="1"/>
  <c r="D20" i="12"/>
  <c r="BB10" i="8"/>
  <c r="AZ10" i="8"/>
  <c r="AT10" i="8"/>
  <c r="AU10" i="8"/>
  <c r="AY10" i="8"/>
  <c r="C27" i="2" l="1"/>
  <c r="AR164" i="8"/>
  <c r="D27" i="2"/>
  <c r="D14" i="2"/>
  <c r="AR166" i="8"/>
  <c r="E27" i="2" l="1"/>
  <c r="F27" i="2" s="1"/>
  <c r="G27" i="2"/>
  <c r="D16" i="12" s="1"/>
  <c r="D17" i="12" l="1"/>
  <c r="D18" i="12"/>
</calcChain>
</file>

<file path=xl/sharedStrings.xml><?xml version="1.0" encoding="utf-8"?>
<sst xmlns="http://schemas.openxmlformats.org/spreadsheetml/2006/main" count="987" uniqueCount="332">
  <si>
    <t>Fleet Characteristics</t>
  </si>
  <si>
    <t>Total</t>
  </si>
  <si>
    <t>Vacation, holidays and sick leave</t>
  </si>
  <si>
    <t>Training</t>
  </si>
  <si>
    <t>Meetings</t>
  </si>
  <si>
    <t>Total Fleet Size</t>
  </si>
  <si>
    <t>Total Fleet Annual Hours</t>
  </si>
  <si>
    <t>FTE Technicians per 1k Vehicle Hours</t>
  </si>
  <si>
    <t>Current Staffing Ratios:</t>
  </si>
  <si>
    <t>Your Peer Group is:</t>
  </si>
  <si>
    <t>Peer Group Average</t>
  </si>
  <si>
    <t>Peer Group Standard Deviation</t>
  </si>
  <si>
    <t>FTE Technicians per Vehicle</t>
  </si>
  <si>
    <t>Comparison of Your Agency to Peer Group</t>
  </si>
  <si>
    <t>MTA New York City Transit(NYCT)</t>
  </si>
  <si>
    <t>New York, NY</t>
  </si>
  <si>
    <t>Los Angeles County Metropolitan Transportation Authority(LACMTA)</t>
  </si>
  <si>
    <t>Los Angeles, CA</t>
  </si>
  <si>
    <t>King County Department of Transportation - Metro Transit Division (King County Metro)</t>
  </si>
  <si>
    <t>Seattle, WA</t>
  </si>
  <si>
    <t xml:space="preserve">Coast Mountain Transit (TransLink) Metro </t>
  </si>
  <si>
    <t>Vancouver, BC</t>
  </si>
  <si>
    <t>Minneapolis-St.Paul Metro Transit</t>
  </si>
  <si>
    <t>Minneapolis, MN</t>
  </si>
  <si>
    <t>Pace - Suburban Bus Division(PACE)</t>
  </si>
  <si>
    <t>Arlington Heights, IL</t>
  </si>
  <si>
    <t>Tri-County Metropolitan Transportation District of Oregon (TriMet)</t>
  </si>
  <si>
    <t>Portland, OR</t>
  </si>
  <si>
    <t>Alameda-Contra Costa Transit District (AC Transit)</t>
  </si>
  <si>
    <t>Oakland, CA</t>
  </si>
  <si>
    <t>Santa Clara Valley Transportation Authority (VTA)</t>
  </si>
  <si>
    <t>San Jose, CA</t>
  </si>
  <si>
    <t>Orange County Transportation Authority (OCTA)</t>
  </si>
  <si>
    <t>Orange, CA</t>
  </si>
  <si>
    <t>MV Transit, subcontractor to OCTA</t>
  </si>
  <si>
    <t>Milwaukee County Transit System(MCTS)</t>
  </si>
  <si>
    <t>Milwaukee, WI</t>
  </si>
  <si>
    <t xml:space="preserve">Rhode Island Public Transit Authority(RIPTA) </t>
  </si>
  <si>
    <t>Providence, RI</t>
  </si>
  <si>
    <t>Capital District Transportation Authority(CDTA)</t>
  </si>
  <si>
    <t>Albany, NY</t>
  </si>
  <si>
    <t>City of Tucson (COT) (Veolia Operation)</t>
  </si>
  <si>
    <t>Tucson, AZ</t>
  </si>
  <si>
    <t>San Mateo County Transit District (SamTrans)</t>
  </si>
  <si>
    <t>San Carlos, CA</t>
  </si>
  <si>
    <t>Golden Gate Bridge, Highway and Transportation District (GGBHTD)</t>
  </si>
  <si>
    <t>San Francisco, CA</t>
  </si>
  <si>
    <t>Clark County Public Transportation Benefit Area Authority (C-Tran)</t>
  </si>
  <si>
    <t>Vancouver, WA</t>
  </si>
  <si>
    <t>Potomac and Rappahannock Transportation Commission (PRTC)</t>
  </si>
  <si>
    <t>Woodbridge, VA</t>
  </si>
  <si>
    <t>Centre Area Transportation Authority (CATA)</t>
  </si>
  <si>
    <t>State College, PA</t>
  </si>
  <si>
    <t>Windsor Ontario,  Transit Windsor</t>
  </si>
  <si>
    <t>Windsor, ON</t>
  </si>
  <si>
    <t>na</t>
  </si>
  <si>
    <t>City of Tallahassee(StarMetro )</t>
  </si>
  <si>
    <t>Tallahassee, FL</t>
  </si>
  <si>
    <t>Norwalk Transit District</t>
  </si>
  <si>
    <t>Norwalk, CT</t>
  </si>
  <si>
    <t>Monterey-Salinas Transit (MST)</t>
  </si>
  <si>
    <t>Monterey, CA</t>
  </si>
  <si>
    <t>MV Transit, subonctractor to Monterey-Salinas Transit</t>
  </si>
  <si>
    <t>MV Transportation, Subcontractor to SamTrans)</t>
  </si>
  <si>
    <t>“Upstate” Subcontractor to CDTA for Saratoga Springs</t>
  </si>
  <si>
    <t>Saratoga Springs, NY</t>
  </si>
  <si>
    <t>NA</t>
  </si>
  <si>
    <t># of FTE Technicians Maintaining Fleet</t>
  </si>
  <si>
    <t>Projected Productive Hours per Technician per Year</t>
  </si>
  <si>
    <t># of Productive Maintenance Hours Available</t>
  </si>
  <si>
    <t>n/a</t>
  </si>
  <si>
    <t>Fleet Miles Reported</t>
  </si>
  <si>
    <t>Fleet Hours Reported</t>
  </si>
  <si>
    <t>VAMS</t>
  </si>
  <si>
    <t>50-99 Vehicles Maintained</t>
  </si>
  <si>
    <t>&lt;50 Vehicles Maintained</t>
  </si>
  <si>
    <t>Peer Group Averages</t>
  </si>
  <si>
    <t>Your Agency:</t>
  </si>
  <si>
    <t>Average</t>
  </si>
  <si>
    <t>Std Dev</t>
  </si>
  <si>
    <t>Vehicles Maintained per Technician</t>
  </si>
  <si>
    <t>Vehicle Hours per Technician</t>
  </si>
  <si>
    <t>Annual Hours Per Vehicle</t>
  </si>
  <si>
    <t>TCRP E-10 Task 2 Agency Survey Data</t>
  </si>
  <si>
    <t>Fleet Usage</t>
  </si>
  <si>
    <t>Maintenance Technician Current Staffing</t>
  </si>
  <si>
    <t>Technician hours per year per vehicle maintained (n=24)</t>
  </si>
  <si>
    <t>Technician hours per 10k Vehicle Miles (n=19)</t>
  </si>
  <si>
    <t>Technicians hour per 1k Vehicle Hours (n=17)</t>
  </si>
  <si>
    <t>Agency Name</t>
  </si>
  <si>
    <t>Location</t>
  </si>
  <si>
    <t>VOMS</t>
  </si>
  <si>
    <t>% Standard Coaches*</t>
  </si>
  <si>
    <t>% Articulated Coaches</t>
  </si>
  <si>
    <t>% Cut Aways</t>
  </si>
  <si>
    <t>Fleet Average Age</t>
  </si>
  <si>
    <t>Core Maintenance</t>
  </si>
  <si>
    <t>Supplemental Staff (Mech Helpers / Trainees)</t>
  </si>
  <si>
    <t>Heavy Repair</t>
  </si>
  <si>
    <t>Total Staffing Level</t>
  </si>
  <si>
    <t>N/A</t>
  </si>
  <si>
    <t>Annual hours per vehicle:</t>
  </si>
  <si>
    <t>Miles per vehicle</t>
  </si>
  <si>
    <t>hours per vehicle</t>
  </si>
  <si>
    <t>MPH</t>
  </si>
  <si>
    <t>Fleet Usage Comparison</t>
  </si>
  <si>
    <t>Note: for these ratios, if your agency's value is higher than the peer group, it represents a HIGHER level of staffing, and vice versa</t>
  </si>
  <si>
    <t>Yes</t>
  </si>
  <si>
    <t>No</t>
  </si>
  <si>
    <r>
      <t xml:space="preserve">If Yes, what % of these mechanics/technicians hours are </t>
    </r>
    <r>
      <rPr>
        <b/>
        <sz val="11"/>
        <color theme="1"/>
        <rFont val="Calibri"/>
        <family val="2"/>
        <scheme val="minor"/>
      </rPr>
      <t>NOT</t>
    </r>
    <r>
      <rPr>
        <sz val="11"/>
        <color theme="1"/>
        <rFont val="Calibri"/>
        <family val="2"/>
        <scheme val="minor"/>
      </rPr>
      <t xml:space="preserve"> spent on maintaining the fleet listed above:</t>
    </r>
  </si>
  <si>
    <t xml:space="preserve">If Yes, how many supervisors are there? </t>
  </si>
  <si>
    <t xml:space="preserve">If Yes, how many are in these positions? </t>
  </si>
  <si>
    <r>
      <rPr>
        <b/>
        <sz val="11"/>
        <color theme="1"/>
        <rFont val="Calibri"/>
        <family val="2"/>
        <scheme val="minor"/>
      </rPr>
      <t>Instructions</t>
    </r>
    <r>
      <rPr>
        <sz val="11"/>
        <color theme="1"/>
        <rFont val="Calibri"/>
        <family val="2"/>
        <scheme val="minor"/>
      </rPr>
      <t xml:space="preserve">: Enter the requested information on "Data Entry" worksheet in all green shaded tabs. </t>
    </r>
  </si>
  <si>
    <t>Transportation Research Board Disclaimer: This is an uncorrected draft as submitted by the Contractor. The opinions and conclusions expressed or implied herein are those of the Contractor. They are not necessarily those of the Transportation Research Board, the National Academies, or the program sponsors.</t>
  </si>
  <si>
    <t>If the usage of your fleet differs significantly from the peer group average, that may partially explain any significant differences in per vehicle staffing levels compared to your peer group indicated below.</t>
  </si>
  <si>
    <t>Thank your for your previous participation in the TCRP E-10 Maintenance Staffing survey. One of the results of the initial round of research is this draft staffing level calculator. We are seeking your feedback on its design, interface, and the type of information provided by the calculator.</t>
  </si>
  <si>
    <t>Do any supervisors spend any part of their time on direct maintenance tasks (i.e. PMs, Scheduled or Unscheduled Repairs, or Heavy maintenance/overhaul) of the fleet listed above? (Answer Yes or No)</t>
  </si>
  <si>
    <t>Paid Breaks/Lunch</t>
  </si>
  <si>
    <t>Other non-productive time</t>
  </si>
  <si>
    <r>
      <rPr>
        <b/>
        <sz val="11"/>
        <color theme="1"/>
        <rFont val="Calibri"/>
        <family val="2"/>
        <scheme val="minor"/>
      </rPr>
      <t>Notes</t>
    </r>
    <r>
      <rPr>
        <sz val="11"/>
        <color theme="1"/>
        <rFont val="Calibri"/>
        <family val="2"/>
        <scheme val="minor"/>
      </rPr>
      <t xml:space="preserve">: The results page will automatically calculate various current measures of your fleet usage and staffing ratios, and provide a comparison of your agency to a group of agencies with similar sized fleets. It is important to note that the data for each peer group is currently very limited and you </t>
    </r>
    <r>
      <rPr>
        <b/>
        <sz val="11"/>
        <color theme="1"/>
        <rFont val="Calibri"/>
        <family val="2"/>
        <scheme val="minor"/>
      </rPr>
      <t>will not be able to draw any statistically valid conclusions</t>
    </r>
    <r>
      <rPr>
        <sz val="11"/>
        <color theme="1"/>
        <rFont val="Calibri"/>
        <family val="2"/>
        <scheme val="minor"/>
      </rPr>
      <t xml:space="preserve"> based on the results shown here. Future versions of the calculator will include updated benchmarks based on a much larger data set.</t>
    </r>
  </si>
  <si>
    <t xml:space="preserve"> </t>
  </si>
  <si>
    <t>Brake Machining and other Machine Work</t>
  </si>
  <si>
    <t>Major Unit Overhaul</t>
  </si>
  <si>
    <t>Engine</t>
  </si>
  <si>
    <t>Transmission</t>
  </si>
  <si>
    <t>Differential</t>
  </si>
  <si>
    <t>Other</t>
  </si>
  <si>
    <t>Small Component Rebuild</t>
  </si>
  <si>
    <t>Starter</t>
  </si>
  <si>
    <t>Alternator</t>
  </si>
  <si>
    <t>Electric Motors</t>
  </si>
  <si>
    <t>Quantity</t>
  </si>
  <si>
    <t>Manufacturer</t>
  </si>
  <si>
    <t>Year</t>
  </si>
  <si>
    <t>Size</t>
  </si>
  <si>
    <t>Year(s)</t>
  </si>
  <si>
    <t>Scheduled</t>
  </si>
  <si>
    <t>Unscheduled</t>
  </si>
  <si>
    <t>Midlife Overhaul</t>
  </si>
  <si>
    <t>Other Programs and Campaigns</t>
  </si>
  <si>
    <t>Please provide the following information about your transit vehicle fleet at the facility or facilities you wish to analyze. Fleets can be broken down in whatever manner you wish:</t>
  </si>
  <si>
    <t>Hours per year per vehicle (optional)</t>
  </si>
  <si>
    <t>Total Required labor hours for Heavy Repair and Overhaul:</t>
  </si>
  <si>
    <t>Manufacturer / Model</t>
  </si>
  <si>
    <t>% of Core Maintenance Hours that are "Unscheduled" =</t>
  </si>
  <si>
    <t>Total Fleet Core Maintenance Hours</t>
  </si>
  <si>
    <t>Comparisons of Current Staffing Levels to Calculated Demanded Maintenance Levels</t>
  </si>
  <si>
    <t>Total Fleet Size:</t>
  </si>
  <si>
    <t>Fleet Years</t>
  </si>
  <si>
    <t>Fleet Hours</t>
  </si>
  <si>
    <t>Other 1</t>
  </si>
  <si>
    <t>Other 2</t>
  </si>
  <si>
    <t>Yearly Hours Required:</t>
  </si>
  <si>
    <t>Current Maintenance Technician Workforce</t>
  </si>
  <si>
    <t>&gt;1000 Vehicles  Maintained</t>
  </si>
  <si>
    <t>500-999 Vehicles Maintained</t>
  </si>
  <si>
    <t>100-249 Vehicles Maintained</t>
  </si>
  <si>
    <t>Note: We believe the number of agencies included in each peer group are reasonably representative of the total number of agencies in the peer group, but would like to expand the data set when possible. To have your agency included in the benchmark data set, please contact blester@edsisolutions.com to be included in future updates to this calculator</t>
  </si>
  <si>
    <t>Annual Total Maintenance Hours per Vehicle:</t>
  </si>
  <si>
    <t xml:space="preserve">Important Note: The peer group averages reported are from survey responses and/or visits to 68 transit agencies, with at least six in each peer group. The peer group averages themselves will be updated after more data is gathered and are expected to change. </t>
  </si>
  <si>
    <t># in Data Set:</t>
  </si>
  <si>
    <t>Comparisons of your current technician staffing level to technician staffing levels at similar sized agencies</t>
  </si>
  <si>
    <t>Expected Productive Hours Per Technician per year (Entered from "Current Staffing" data):</t>
  </si>
  <si>
    <t xml:space="preserve">% of time on Scheduled Maintenance </t>
  </si>
  <si>
    <t xml:space="preserve">% of time on Unscheduled Maintenance </t>
  </si>
  <si>
    <t>Length of shift in hours</t>
  </si>
  <si>
    <t>INPUT</t>
  </si>
  <si>
    <t>RESULT--HIDE THIS ROW</t>
  </si>
  <si>
    <t>Equivalent available work days</t>
  </si>
  <si>
    <t>If yes, what % of these supervisors hours are spent on direct maintenance of the fleet listed above?</t>
  </si>
  <si>
    <t>If yes, what % of those in these positions' hours are spent on direct maintenance of the fleet listed above?</t>
  </si>
  <si>
    <t>Annual Total Maintenance Hours per 1k Vehicle Hours:</t>
  </si>
  <si>
    <t>Operator's seats reupholstered</t>
  </si>
  <si>
    <t>Misc. Upholstery</t>
  </si>
  <si>
    <t>Body Work</t>
  </si>
  <si>
    <t xml:space="preserve"> Paint </t>
  </si>
  <si>
    <t>40' bus</t>
  </si>
  <si>
    <t>60' bus</t>
  </si>
  <si>
    <t>components</t>
  </si>
  <si>
    <t>NF with Hybrid conversion</t>
  </si>
  <si>
    <t>Nova</t>
  </si>
  <si>
    <t>Nabi frame support program (body and paint)</t>
  </si>
  <si>
    <r>
      <t xml:space="preserve">Is any of the above listed </t>
    </r>
    <r>
      <rPr>
        <b/>
        <sz val="11"/>
        <color theme="1"/>
        <rFont val="Calibri"/>
        <family val="2"/>
        <scheme val="minor"/>
      </rPr>
      <t>PART TIME</t>
    </r>
    <r>
      <rPr>
        <sz val="11"/>
        <color theme="1"/>
        <rFont val="Calibri"/>
        <family val="2"/>
        <scheme val="minor"/>
      </rPr>
      <t xml:space="preserve"> mechanics / technicians' time spent maintaining non-revenue vehicles, buildings, or other direct work not on the fleet identified above? (Answer Yes or No)</t>
    </r>
  </si>
  <si>
    <r>
      <t xml:space="preserve">Number of </t>
    </r>
    <r>
      <rPr>
        <b/>
        <sz val="11"/>
        <color theme="1"/>
        <rFont val="Calibri"/>
        <family val="2"/>
        <scheme val="minor"/>
      </rPr>
      <t>FULL TIME</t>
    </r>
    <r>
      <rPr>
        <sz val="11"/>
        <color theme="1"/>
        <rFont val="Calibri"/>
        <family val="2"/>
        <scheme val="minor"/>
      </rPr>
      <t xml:space="preserve"> Vehicle Mechanics / Technicians performing maintenance for this fleet:</t>
    </r>
  </si>
  <si>
    <r>
      <t xml:space="preserve">Is any of the above listed </t>
    </r>
    <r>
      <rPr>
        <b/>
        <sz val="11"/>
        <color theme="1"/>
        <rFont val="Calibri"/>
        <family val="2"/>
        <scheme val="minor"/>
      </rPr>
      <t>FULL TIME</t>
    </r>
    <r>
      <rPr>
        <sz val="11"/>
        <color theme="1"/>
        <rFont val="Calibri"/>
        <family val="2"/>
        <scheme val="minor"/>
      </rPr>
      <t xml:space="preserve"> mechanics / technicians' time spent maintaining non-revenue vehicles, buildings, or other direct work not on the fleet identified above? (Answer Yes or No)</t>
    </r>
  </si>
  <si>
    <r>
      <t xml:space="preserve">Number of </t>
    </r>
    <r>
      <rPr>
        <b/>
        <sz val="11"/>
        <color theme="1"/>
        <rFont val="Calibri"/>
        <family val="2"/>
        <scheme val="minor"/>
      </rPr>
      <t>PART TIME</t>
    </r>
    <r>
      <rPr>
        <sz val="11"/>
        <color theme="1"/>
        <rFont val="Calibri"/>
        <family val="2"/>
        <scheme val="minor"/>
      </rPr>
      <t xml:space="preserve"> Vehicle Mechanics / Technicians performing maintenance for this fleet:</t>
    </r>
  </si>
  <si>
    <t>Please complete the section below for part-time staff calculations</t>
  </si>
  <si>
    <t>Percentage of staff that is full time</t>
  </si>
  <si>
    <t>Percentage of staff that is part time</t>
  </si>
  <si>
    <t>Available hours per year</t>
  </si>
  <si>
    <t>Average scheduled hours per week</t>
  </si>
  <si>
    <t>result</t>
  </si>
  <si>
    <t>Average length of shift in hours</t>
  </si>
  <si>
    <t>Expected Productive Hours Per Part Time Technician:</t>
  </si>
  <si>
    <t>Total Number of FTE Technicians Needed for Heavy Repair and Overhaul:</t>
  </si>
  <si>
    <t>Total Number of Full Time Technicians Needed for Heavy Repair and Overhaul:</t>
  </si>
  <si>
    <t>Average annual overtime hours per technician assigned to core maintenance and heavy repair:</t>
  </si>
  <si>
    <t>Average annual overtime hours per part time technician assigned to core maintenance and heavy repair:</t>
  </si>
  <si>
    <t>Total of the Average Overtime Hours</t>
  </si>
  <si>
    <t>Hours per Year</t>
  </si>
  <si>
    <t xml:space="preserve"> Annual Completed Task</t>
  </si>
  <si>
    <t>Current Average Time/Task</t>
  </si>
  <si>
    <t>TOTALS ARE BASED ON EXISTING TIME FOR TASKS</t>
  </si>
  <si>
    <t>Total number of Full time technicians needed for Core Maintenance based on staff percentages</t>
  </si>
  <si>
    <t>Current Staff</t>
  </si>
  <si>
    <t>STAFF</t>
  </si>
  <si>
    <t>FULL TIME</t>
  </si>
  <si>
    <t>PART TIME</t>
  </si>
  <si>
    <t>Demanded Staff, Core and Heavy Repair</t>
  </si>
  <si>
    <t xml:space="preserve">Staff Summary Using Existing Full and Part Time Staffing Ratios </t>
  </si>
  <si>
    <r>
      <t xml:space="preserve">Your Agency With </t>
    </r>
    <r>
      <rPr>
        <b/>
        <i/>
        <sz val="11"/>
        <color rgb="FFFF0000"/>
        <rFont val="Calibri"/>
        <family val="2"/>
        <scheme val="minor"/>
      </rPr>
      <t>Current</t>
    </r>
    <r>
      <rPr>
        <b/>
        <sz val="11"/>
        <color theme="1"/>
        <rFont val="Calibri"/>
        <family val="2"/>
        <scheme val="minor"/>
      </rPr>
      <t xml:space="preserve"> Staff:</t>
    </r>
  </si>
  <si>
    <t>FTE</t>
  </si>
  <si>
    <r>
      <t>Total number of Part time technicians (</t>
    </r>
    <r>
      <rPr>
        <b/>
        <sz val="10"/>
        <color rgb="FFFF0000"/>
        <rFont val="Calibri"/>
        <family val="2"/>
        <scheme val="minor"/>
      </rPr>
      <t>FTE</t>
    </r>
    <r>
      <rPr>
        <sz val="10"/>
        <color theme="1"/>
        <rFont val="Calibri"/>
        <family val="2"/>
        <scheme val="minor"/>
      </rPr>
      <t>) needed for Core Maintenance based on staff percentages</t>
    </r>
  </si>
  <si>
    <t>Annual Productive Hours Demanded/Available from Full Time Technicians</t>
  </si>
  <si>
    <t>TOTAL</t>
  </si>
  <si>
    <t>Note: for these ratios only, if your agency's value is less than the peer group, it represents a HIGHER level of staffing, and vice versa</t>
  </si>
  <si>
    <t>Road calls</t>
  </si>
  <si>
    <t>Current Yearly Hours Required:</t>
  </si>
  <si>
    <t>Annual Maintenance Hours per Vehicle with No Overtime</t>
  </si>
  <si>
    <t>Demanded Total Annual Hours</t>
  </si>
  <si>
    <t>Current Average Hours Per Task</t>
  </si>
  <si>
    <t>Other Back shop Support Services</t>
  </si>
  <si>
    <t>Drive train (Removals/Replacements only; overhaul time listed below)</t>
  </si>
  <si>
    <t>Full Time Technician Staff Demanded / Available</t>
  </si>
  <si>
    <r>
      <t xml:space="preserve">Equivalent additional </t>
    </r>
    <r>
      <rPr>
        <b/>
        <sz val="10"/>
        <color theme="1"/>
        <rFont val="Calibri"/>
        <family val="2"/>
        <scheme val="minor"/>
      </rPr>
      <t>FULL</t>
    </r>
    <r>
      <rPr>
        <sz val="10"/>
        <color theme="1"/>
        <rFont val="Calibri"/>
        <family val="2"/>
        <scheme val="minor"/>
      </rPr>
      <t xml:space="preserve"> Time Staff needed to eliminate overtime  based on reported </t>
    </r>
    <r>
      <rPr>
        <b/>
        <sz val="10"/>
        <color theme="1"/>
        <rFont val="Calibri"/>
        <family val="2"/>
        <scheme val="minor"/>
      </rPr>
      <t>FULL</t>
    </r>
    <r>
      <rPr>
        <sz val="10"/>
        <color theme="1"/>
        <rFont val="Calibri"/>
        <family val="2"/>
        <scheme val="minor"/>
      </rPr>
      <t xml:space="preserve"> time Productive Hours on Current Staffing Tab (No overtime for Part time staff)</t>
    </r>
  </si>
  <si>
    <t>Total PM and Other Distance Based Maintenance Hours</t>
  </si>
  <si>
    <t>Revised Time/Task</t>
  </si>
  <si>
    <t>Revised Yearly Hours Required:</t>
  </si>
  <si>
    <t>Revised Hours Per Task</t>
  </si>
  <si>
    <t>Revised Total Annual Hours</t>
  </si>
  <si>
    <t xml:space="preserve">Equivalent staff needed to meet the calculated "Revised" staff level, based on times, task and interval changes. This is the difference between the current staff and the Revised calculated requirement. </t>
  </si>
  <si>
    <t>Revised Staff, Core and Heavy Repair</t>
  </si>
  <si>
    <t>Calculated Number of FTE Technicians Needed for Running Repair:</t>
  </si>
  <si>
    <t>TOTALS ARE BASED ON REVISED TIMES FOR TASKS</t>
  </si>
  <si>
    <r>
      <t>Total Annual Demanded Hours-</t>
    </r>
    <r>
      <rPr>
        <b/>
        <sz val="10"/>
        <color rgb="FFFF0000"/>
        <rFont val="Calibri"/>
        <family val="2"/>
        <scheme val="minor"/>
      </rPr>
      <t>Quick</t>
    </r>
    <r>
      <rPr>
        <sz val="10"/>
        <color theme="1"/>
        <rFont val="Calibri"/>
        <family val="2"/>
        <scheme val="minor"/>
      </rPr>
      <t xml:space="preserve"> Results</t>
    </r>
  </si>
  <si>
    <r>
      <t>Total Annual Revised Hours-</t>
    </r>
    <r>
      <rPr>
        <b/>
        <sz val="10"/>
        <color rgb="FFFF0000"/>
        <rFont val="Calibri"/>
        <family val="2"/>
        <scheme val="minor"/>
      </rPr>
      <t>Quick</t>
    </r>
    <r>
      <rPr>
        <sz val="10"/>
        <color theme="1"/>
        <rFont val="Calibri"/>
        <family val="2"/>
        <scheme val="minor"/>
      </rPr>
      <t xml:space="preserve"> Results</t>
    </r>
  </si>
  <si>
    <t xml:space="preserve">This is for Current Staff only </t>
  </si>
  <si>
    <t>Calculated Revised Annual Tasks</t>
  </si>
  <si>
    <t>Inspection Type, Name or Interval</t>
  </si>
  <si>
    <t>HVAC</t>
  </si>
  <si>
    <t>Revised Annual Completed Tasks</t>
  </si>
  <si>
    <t>State Inspection</t>
  </si>
  <si>
    <t>Air System</t>
  </si>
  <si>
    <t>Annual DPF</t>
  </si>
  <si>
    <t>Middle Axle Brake Relines</t>
  </si>
  <si>
    <t>Rear Brake Reline</t>
  </si>
  <si>
    <t>Front Brake Reline</t>
  </si>
  <si>
    <t>The YELLOW cells are used to provide instruction</t>
  </si>
  <si>
    <t>The GREEN cells are for the entry of existing fleet and staff data</t>
  </si>
  <si>
    <t>The LAVENDER cells are the calculated results based on the existing fleet and staff data</t>
  </si>
  <si>
    <t>The LIGHT BLUE cells are for the input of Revised data to be entered to calculate the staff level based on changes to distance, intervals, time etc.</t>
  </si>
  <si>
    <t>The DARK BLUE cells are the calculated results based on the Revised data inputs</t>
  </si>
  <si>
    <t>The cells with NO FILL are the results of current data entries and provide base line information used in the comparisons. The NO FILL cells also have general messages and other information</t>
  </si>
  <si>
    <t>The DARKER BRIGHT BLUE cells are only used on the Core Maintenance sheet in the PMI Option comparison cells and do not affect the calculations and are the results of the Option inputs</t>
  </si>
  <si>
    <t>The BRIGHT BLUE cells are only used on the Core Maintenance sheet in the PMI Option comparison cells and do not affect the calculations and are used to enter data to compare PMI intervals</t>
  </si>
  <si>
    <t>Revised Annual Time Required:</t>
  </si>
  <si>
    <t>Revised Yearly Hours Required</t>
  </si>
  <si>
    <t>A calculated Revised Staff that is less than the Current Available will be indicated by a number in parenthesis</t>
  </si>
  <si>
    <t xml:space="preserve">Please complete the section below for full time. </t>
  </si>
  <si>
    <t>Revised Distance</t>
  </si>
  <si>
    <t>Fleet Distance Travelled</t>
  </si>
  <si>
    <t>FTE with OT</t>
  </si>
  <si>
    <t>rehide</t>
  </si>
  <si>
    <t>Equivalent Productive Hours per FTE Technician</t>
  </si>
  <si>
    <t>Total Number of Part Time Technicians (FTE) Needed for Heavy Repair and Overhaul:</t>
  </si>
  <si>
    <r>
      <t xml:space="preserve">On this worksheet, include only the employees performing </t>
    </r>
    <r>
      <rPr>
        <b/>
        <i/>
        <sz val="11"/>
        <color theme="1"/>
        <rFont val="Calibri"/>
        <family val="2"/>
        <scheme val="minor"/>
      </rPr>
      <t>maintenance</t>
    </r>
    <r>
      <rPr>
        <i/>
        <sz val="11"/>
        <color theme="1"/>
        <rFont val="Calibri"/>
        <family val="2"/>
        <scheme val="minor"/>
      </rPr>
      <t xml:space="preserve"> on the fleet listed on the "Fleet Inventory" tab, including any employees assigned to heavy repair and overhaul.</t>
    </r>
  </si>
  <si>
    <t xml:space="preserve">Note: It is important that the fleet data and workforce data “match”. The fleet you list should be the one maintained by the workforce you identify; and the workforce identified should account for all those doing maintenance work on the fleet you have listed. For example, If you have a portion of your agency's fleet contracted out, you could use this calculator in four different ways: 1) based on your in-house fleet and in-house staff only, 2) based on the total fleet and total staff (both in-house and contracted out), 3) based on the subcontractor’s fleet and subcontractor’s staff only, or 4)  based on a specific garage's fleet and associated staff. Each of these analyses will work, as long as the sub-sets of employees and fleet match each other. </t>
  </si>
  <si>
    <r>
      <t xml:space="preserve">Annual Average </t>
    </r>
    <r>
      <rPr>
        <b/>
        <u/>
        <sz val="11"/>
        <color theme="1"/>
        <rFont val="Calibri"/>
        <family val="2"/>
        <scheme val="minor"/>
      </rPr>
      <t>hours</t>
    </r>
    <r>
      <rPr>
        <b/>
        <sz val="11"/>
        <color theme="1"/>
        <rFont val="Calibri"/>
        <family val="2"/>
        <scheme val="minor"/>
      </rPr>
      <t xml:space="preserve"> per maintenance staff identified in rows 5-9:</t>
    </r>
  </si>
  <si>
    <r>
      <t xml:space="preserve">Annual Average </t>
    </r>
    <r>
      <rPr>
        <b/>
        <u/>
        <sz val="11"/>
        <color theme="1"/>
        <rFont val="Calibri"/>
        <family val="2"/>
        <scheme val="minor"/>
      </rPr>
      <t>hours</t>
    </r>
    <r>
      <rPr>
        <b/>
        <sz val="11"/>
        <color theme="1"/>
        <rFont val="Calibri"/>
        <family val="2"/>
        <scheme val="minor"/>
      </rPr>
      <t xml:space="preserve"> per maintenance staff identified in rows 11-13:</t>
    </r>
  </si>
  <si>
    <r>
      <t xml:space="preserve">Time allotted for </t>
    </r>
    <r>
      <rPr>
        <b/>
        <sz val="11"/>
        <color theme="1"/>
        <rFont val="Calibri"/>
        <family val="2"/>
        <scheme val="minor"/>
      </rPr>
      <t>PAID</t>
    </r>
    <r>
      <rPr>
        <sz val="11"/>
        <color theme="1"/>
        <rFont val="Calibri"/>
        <family val="2"/>
        <scheme val="minor"/>
      </rPr>
      <t xml:space="preserve"> breaks </t>
    </r>
    <r>
      <rPr>
        <b/>
        <sz val="11"/>
        <color theme="1"/>
        <rFont val="Calibri"/>
        <family val="2"/>
        <scheme val="minor"/>
      </rPr>
      <t>per</t>
    </r>
    <r>
      <rPr>
        <sz val="11"/>
        <color theme="1"/>
        <rFont val="Calibri"/>
        <family val="2"/>
        <scheme val="minor"/>
      </rPr>
      <t xml:space="preserve"> shift in hours</t>
    </r>
  </si>
  <si>
    <r>
      <t xml:space="preserve">Completed task and current average is </t>
    </r>
    <r>
      <rPr>
        <b/>
        <sz val="10"/>
        <rFont val="Calibri"/>
        <family val="2"/>
        <scheme val="minor"/>
      </rPr>
      <t>from own maintenance records</t>
    </r>
  </si>
  <si>
    <t>Current Annual Hours Required:</t>
  </si>
  <si>
    <t xml:space="preserve"> Annual Completed Tasks</t>
  </si>
  <si>
    <t xml:space="preserve">In the columns to the right, enter time Based Seasonal or Annual Inspections such as HVAC, State Inspection, Annual DPF, etc.  </t>
  </si>
  <si>
    <t xml:space="preserve">In the columns to the right , enter tasks that have a correlation to distance traveled. </t>
  </si>
  <si>
    <t>Task Interval  (Distance)</t>
  </si>
  <si>
    <t>Task Interval  (Days)</t>
  </si>
  <si>
    <t>Current Annual Completed Tasks</t>
  </si>
  <si>
    <t>Quantity of Buses or Components for this task per year</t>
  </si>
  <si>
    <t>Revised Quantity of Buses or Components for this task per year</t>
  </si>
  <si>
    <r>
      <t xml:space="preserve">Comparison of Your Agency With </t>
    </r>
    <r>
      <rPr>
        <b/>
        <i/>
        <sz val="11"/>
        <color rgb="FFFF0000"/>
        <rFont val="Calibri"/>
        <family val="2"/>
        <scheme val="minor"/>
      </rPr>
      <t>Current</t>
    </r>
    <r>
      <rPr>
        <b/>
        <sz val="11"/>
        <color theme="1"/>
        <rFont val="Calibri"/>
        <family val="2"/>
        <scheme val="minor"/>
      </rPr>
      <t xml:space="preserve"> Staff Levels to Peer Group's Current Staff Levels</t>
    </r>
  </si>
  <si>
    <t>Mileage Based Preventive Maintenance Inspections (PMI)</t>
  </si>
  <si>
    <t>Time (Days) Based Preventive Maintenance Inspections (PMI)</t>
  </si>
  <si>
    <t xml:space="preserve"> PMI Mileage 1</t>
  </si>
  <si>
    <t xml:space="preserve"> PMI Mileage 2</t>
  </si>
  <si>
    <t xml:space="preserve"> PMI Mileage 3</t>
  </si>
  <si>
    <t xml:space="preserve"> PMI Mileage 4</t>
  </si>
  <si>
    <t xml:space="preserve"> PMI Mileage 5</t>
  </si>
  <si>
    <t xml:space="preserve"> PMI Mileage 6</t>
  </si>
  <si>
    <t xml:space="preserve"> PMI Days 1</t>
  </si>
  <si>
    <t xml:space="preserve"> PMI Days 2</t>
  </si>
  <si>
    <t xml:space="preserve"> PMI Days 3</t>
  </si>
  <si>
    <t xml:space="preserve"> PMI Days 4</t>
  </si>
  <si>
    <t xml:space="preserve"> PMI Days 5</t>
  </si>
  <si>
    <t xml:space="preserve"> PMI Days 6</t>
  </si>
  <si>
    <r>
      <t xml:space="preserve">Columns A-F Fleet Information is Entered Automatically From Fleet Inventory Worksheet. For  each fleet, columns G and H need to </t>
    </r>
    <r>
      <rPr>
        <u/>
        <sz val="11"/>
        <color theme="1"/>
        <rFont val="Calibri"/>
        <family val="2"/>
        <scheme val="minor"/>
      </rPr>
      <t>both</t>
    </r>
    <r>
      <rPr>
        <sz val="11"/>
        <color theme="1"/>
        <rFont val="Calibri"/>
        <family val="2"/>
        <scheme val="minor"/>
      </rPr>
      <t xml:space="preserve"> be left blank or  </t>
    </r>
    <r>
      <rPr>
        <u/>
        <sz val="11"/>
        <color theme="1"/>
        <rFont val="Calibri"/>
        <family val="2"/>
        <scheme val="minor"/>
      </rPr>
      <t>both</t>
    </r>
    <r>
      <rPr>
        <sz val="11"/>
        <color theme="1"/>
        <rFont val="Calibri"/>
        <family val="2"/>
        <scheme val="minor"/>
      </rPr>
      <t xml:space="preserve"> filled in, even if one value is not changing.</t>
    </r>
  </si>
  <si>
    <t>Days based PMI Totals</t>
  </si>
  <si>
    <r>
      <t>Repair of defects noted during PMIs</t>
    </r>
    <r>
      <rPr>
        <sz val="11"/>
        <color indexed="8"/>
        <rFont val="Calibri"/>
        <family val="2"/>
      </rPr>
      <t xml:space="preserve"> </t>
    </r>
    <r>
      <rPr>
        <i/>
        <sz val="11"/>
        <color indexed="8"/>
        <rFont val="Calibri"/>
        <family val="2"/>
      </rPr>
      <t>(list total annual hours for each sub-fleet, exclude any minor repairs already included in the inspection times in columns to left)</t>
    </r>
  </si>
  <si>
    <t>Unscheduled Maintenance &amp; Repairs (list total annual hours for each sub-fleet)</t>
  </si>
  <si>
    <t>Maintenance Hours Per Bus Per Year for each sub-fleet</t>
  </si>
  <si>
    <t>Actual Number of PMIs Performed Each Year by Sub-fleet</t>
  </si>
  <si>
    <t>Revised Number of Vehicles in Sub-fleet</t>
  </si>
  <si>
    <t>Revised Distance Traveled per Vehicle in this sub-fleet per Year</t>
  </si>
  <si>
    <t>Miles based PMI Totals</t>
  </si>
  <si>
    <t>Do any other positions (mechanic helpers, trainees, apprentices, etc.) spend any of their time on direct maintenance tasks (i.e. PMs, Scheduled or Unscheduled Repairs, or Heavy maintenance/overhaul) of the fleet listed above? (Answer Yes or No)</t>
  </si>
  <si>
    <t>To differentiate between 4-10s and 5-8s, etc., and calculate total number of shifts and annual hours of paid breaks</t>
  </si>
  <si>
    <t>List number of occurrences of each type of event for the entire set of buses entered on the "Fleet Inventory" worksheet, and the average number of hours per event. Use column B for quick results if that data is available or use columns C and D to get a more detailed result. If column B is used, leave columns C and D blank. For revised results, use column F for a quick revision, or use columns G and H together. If column F is used, leave columns G and H blank. Items in column A are starting examples but can be changed to match the types of work completed at your agency.</t>
  </si>
  <si>
    <t>If no results are shown in the dark blue Revised column D in rows 17, 19, and 21, return to the Core Maintenance sheet and enter a per unit distance travelled in column G for each sub-fleet. The Revised distance can be either the current or a projected mileage based on a change in service</t>
  </si>
  <si>
    <t>Hours per week for full time staff</t>
  </si>
  <si>
    <t>Subtotal of expected available productive hours</t>
  </si>
  <si>
    <t>Expected Productive Hours Per Full Time Technician:</t>
  </si>
  <si>
    <t>Other  Time and Distance Based Maintenance Activities -- If Additional Columns Are Required, Enter the Information on the Heavy Repair Sheet</t>
  </si>
  <si>
    <r>
      <t xml:space="preserve">Enter Unit of Measure to use throughout, either </t>
    </r>
    <r>
      <rPr>
        <b/>
        <sz val="11"/>
        <color rgb="FFFF0000"/>
        <rFont val="Calibri"/>
        <family val="2"/>
        <scheme val="minor"/>
      </rPr>
      <t>Miles</t>
    </r>
    <r>
      <rPr>
        <sz val="11"/>
        <color theme="1"/>
        <rFont val="Calibri"/>
        <family val="2"/>
        <scheme val="minor"/>
      </rPr>
      <t xml:space="preserve"> or </t>
    </r>
    <r>
      <rPr>
        <b/>
        <sz val="11"/>
        <color rgb="FFFF0000"/>
        <rFont val="Calibri"/>
        <family val="2"/>
        <scheme val="minor"/>
      </rPr>
      <t>Kilometers</t>
    </r>
  </si>
  <si>
    <t>Revised Staff Based on Revised Task, Times, Intervals</t>
  </si>
  <si>
    <r>
      <t xml:space="preserve">Your Agency With </t>
    </r>
    <r>
      <rPr>
        <b/>
        <i/>
        <sz val="11"/>
        <color theme="1"/>
        <rFont val="Calibri"/>
        <family val="2"/>
        <scheme val="minor"/>
      </rPr>
      <t>Revised</t>
    </r>
    <r>
      <rPr>
        <b/>
        <sz val="11"/>
        <color theme="1"/>
        <rFont val="Calibri"/>
        <family val="2"/>
        <scheme val="minor"/>
      </rPr>
      <t xml:space="preserve"> Staff Based On revised task data entry </t>
    </r>
  </si>
  <si>
    <r>
      <t xml:space="preserve">Your Agency With </t>
    </r>
    <r>
      <rPr>
        <b/>
        <i/>
        <sz val="11"/>
        <color theme="1"/>
        <rFont val="Calibri"/>
        <family val="2"/>
        <scheme val="minor"/>
      </rPr>
      <t>Calculated necessary</t>
    </r>
    <r>
      <rPr>
        <b/>
        <sz val="11"/>
        <color theme="1"/>
        <rFont val="Calibri"/>
        <family val="2"/>
        <scheme val="minor"/>
      </rPr>
      <t xml:space="preserve"> Staff Based On current task data entry</t>
    </r>
  </si>
  <si>
    <t>Calculated Necessary Staff Based on Existing Task, Times, Intervals</t>
  </si>
  <si>
    <t>SCROLL TO RIGHT TO SEE CURRENT CALCULATED NECESSARY RESULTS FROM CURRENT FLEET AND MAINTENANCE</t>
  </si>
  <si>
    <t>SCROLL TO RIGHT TO SEE RESULTS FOR REVISED FLEET AND MAINTENANCE</t>
  </si>
  <si>
    <t>Currently Available FTEs Including OT</t>
  </si>
  <si>
    <t>Currently Available FTEs (excluding OT)</t>
  </si>
  <si>
    <t>Vehicles maintained per FTE technician</t>
  </si>
  <si>
    <t>Revised Interval (Days)</t>
  </si>
  <si>
    <t>Revised Interval (Distance)</t>
  </si>
  <si>
    <t xml:space="preserve">Additional FTEs needed to meet the calculated "Demanded" staff level. This is the difference between the current staff and calculated requirement. </t>
  </si>
  <si>
    <t>Available Scheduled FTE from Part Time employees</t>
  </si>
  <si>
    <t>Available scheduled FTE from full time employees</t>
  </si>
  <si>
    <t xml:space="preserve"> PMI Mileage 7</t>
  </si>
  <si>
    <t xml:space="preserve"> PMI Mileage 8</t>
  </si>
  <si>
    <t>250-499 Vehicles Maintained</t>
  </si>
  <si>
    <t>If the comparison to your peer group for a measure says you are "Significantly (higher/lower/more/less) than average peer agency" it means by this measure you are more than one standard deviation above or below the Peer Group average. The guidebook will help you identify unique characteristics of your agency that may be driving the significant differences from your peer group on those measures.</t>
  </si>
  <si>
    <t>A difference between the Calculated necessary and the Current FTE staff level indicates reporting inconsistencies or incorrect data entry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</si>
</sst>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_);_(* \(#,##0\);_(* &quot;-&quot;??_);_(@_)"/>
    <numFmt numFmtId="165" formatCode="0.000"/>
    <numFmt numFmtId="166" formatCode="0.0"/>
    <numFmt numFmtId="167" formatCode="#,##0.0"/>
    <numFmt numFmtId="168" formatCode="0.0%"/>
    <numFmt numFmtId="169" formatCode="_(* #,##0.0_);_(* \(#,##0.0\);_(* &quot;-&quot;??_);_(@_)"/>
    <numFmt numFmtId="170" formatCode="_(* #,##0.000_);_(* \(#,##0.000\);_(* &quot;-&quot;??_);_(@_)"/>
    <numFmt numFmtId="171" formatCode="0.00_);[Red]\(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000000"/>
      <name val="Calibri"/>
      <family val="2"/>
      <scheme val="minor"/>
    </font>
    <font>
      <sz val="10"/>
      <color rgb="FF000000"/>
      <name val="Arial"/>
      <family val="2"/>
    </font>
    <font>
      <sz val="10"/>
      <color theme="1"/>
      <name val="Calibri"/>
      <family val="2"/>
      <scheme val="minor"/>
    </font>
    <font>
      <sz val="10"/>
      <color theme="1"/>
      <name val="Arial"/>
      <family val="2"/>
    </font>
    <font>
      <b/>
      <sz val="13"/>
      <color theme="1"/>
      <name val="Calibri"/>
      <family val="2"/>
      <scheme val="minor"/>
    </font>
    <font>
      <b/>
      <i/>
      <sz val="14"/>
      <color theme="1"/>
      <name val="Calibri"/>
      <family val="2"/>
      <scheme val="minor"/>
    </font>
    <font>
      <b/>
      <sz val="10"/>
      <color theme="1"/>
      <name val="Calibri"/>
      <family val="2"/>
      <scheme val="minor"/>
    </font>
    <font>
      <i/>
      <sz val="11"/>
      <color theme="1"/>
      <name val="Calibri"/>
      <family val="2"/>
      <scheme val="minor"/>
    </font>
    <font>
      <i/>
      <sz val="11"/>
      <color rgb="FF1F497D"/>
      <name val="Calibri"/>
      <family val="2"/>
      <scheme val="minor"/>
    </font>
    <font>
      <sz val="10"/>
      <color rgb="FFFF0000"/>
      <name val="Calibri"/>
      <family val="2"/>
      <scheme val="minor"/>
    </font>
    <font>
      <b/>
      <sz val="10"/>
      <color rgb="FFFF0000"/>
      <name val="Calibri"/>
      <family val="2"/>
      <scheme val="minor"/>
    </font>
    <font>
      <sz val="13"/>
      <color indexed="8"/>
      <name val="Calibri"/>
      <family val="2"/>
    </font>
    <font>
      <b/>
      <sz val="11"/>
      <color indexed="8"/>
      <name val="Calibri"/>
      <family val="2"/>
    </font>
    <font>
      <b/>
      <sz val="12"/>
      <color indexed="8"/>
      <name val="Calibri"/>
      <family val="2"/>
    </font>
    <font>
      <sz val="12"/>
      <color indexed="8"/>
      <name val="Calibri"/>
      <family val="2"/>
    </font>
    <font>
      <sz val="9"/>
      <color theme="1"/>
      <name val="Calibri"/>
      <family val="2"/>
      <scheme val="minor"/>
    </font>
    <font>
      <sz val="11"/>
      <color indexed="8"/>
      <name val="Calibri"/>
      <family val="2"/>
    </font>
    <font>
      <sz val="8.5"/>
      <color theme="1"/>
      <name val="Calibri"/>
      <family val="2"/>
      <scheme val="minor"/>
    </font>
    <font>
      <b/>
      <i/>
      <sz val="11"/>
      <color theme="1"/>
      <name val="Calibri"/>
      <family val="2"/>
      <scheme val="minor"/>
    </font>
    <font>
      <sz val="8"/>
      <color theme="1"/>
      <name val="Calibri"/>
      <family val="2"/>
      <scheme val="minor"/>
    </font>
    <font>
      <i/>
      <sz val="11"/>
      <color indexed="8"/>
      <name val="Calibri"/>
      <family val="2"/>
    </font>
    <font>
      <b/>
      <sz val="12"/>
      <color theme="1"/>
      <name val="Calibri"/>
      <family val="2"/>
      <scheme val="minor"/>
    </font>
    <font>
      <sz val="12"/>
      <color theme="1"/>
      <name val="Calibri"/>
      <family val="2"/>
      <scheme val="minor"/>
    </font>
    <font>
      <b/>
      <sz val="16"/>
      <color theme="1"/>
      <name val="Calibri"/>
      <family val="2"/>
      <scheme val="minor"/>
    </font>
    <font>
      <b/>
      <i/>
      <sz val="11"/>
      <color rgb="FFFF0000"/>
      <name val="Calibri"/>
      <family val="2"/>
      <scheme val="minor"/>
    </font>
    <font>
      <b/>
      <sz val="11"/>
      <color rgb="FFFF0000"/>
      <name val="Calibri"/>
      <family val="2"/>
      <scheme val="minor"/>
    </font>
    <font>
      <sz val="11"/>
      <color rgb="FFFF0000"/>
      <name val="Calibri"/>
      <family val="2"/>
      <scheme val="minor"/>
    </font>
    <font>
      <sz val="9"/>
      <color rgb="FFFF0000"/>
      <name val="Calibri"/>
      <family val="2"/>
      <scheme val="minor"/>
    </font>
    <font>
      <i/>
      <sz val="11"/>
      <color rgb="FFFF0000"/>
      <name val="Calibri"/>
      <family val="2"/>
      <scheme val="minor"/>
    </font>
    <font>
      <b/>
      <u/>
      <sz val="11"/>
      <color theme="1"/>
      <name val="Calibri"/>
      <family val="2"/>
      <scheme val="minor"/>
    </font>
    <font>
      <sz val="11"/>
      <name val="Calibri"/>
      <family val="2"/>
      <scheme val="minor"/>
    </font>
    <font>
      <sz val="10"/>
      <name val="Calibri"/>
      <family val="2"/>
      <scheme val="minor"/>
    </font>
    <font>
      <b/>
      <sz val="10"/>
      <name val="Calibri"/>
      <family val="2"/>
      <scheme val="minor"/>
    </font>
    <font>
      <u/>
      <sz val="11"/>
      <color theme="1"/>
      <name val="Calibri"/>
      <family val="2"/>
      <scheme val="minor"/>
    </font>
  </fonts>
  <fills count="18">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99FF"/>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rgb="FF33CCFF"/>
        <bgColor indexed="64"/>
      </patternFill>
    </fill>
    <fill>
      <patternFill patternType="solid">
        <fgColor rgb="FF3399FF"/>
        <bgColor indexed="64"/>
      </patternFill>
    </fill>
    <fill>
      <patternFill patternType="solid">
        <fgColor theme="9" tint="0.39997558519241921"/>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dashed">
        <color indexed="64"/>
      </left>
      <right/>
      <top style="dashed">
        <color indexed="64"/>
      </top>
      <bottom style="dashed">
        <color indexed="64"/>
      </bottom>
      <diagonal/>
    </border>
    <border>
      <left style="dashed">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41">
    <xf numFmtId="0" fontId="0" fillId="0" borderId="0" xfId="0"/>
    <xf numFmtId="0" fontId="2" fillId="0" borderId="0" xfId="0" applyFont="1"/>
    <xf numFmtId="0" fontId="0" fillId="0" borderId="1" xfId="0" applyBorder="1"/>
    <xf numFmtId="0" fontId="0" fillId="0" borderId="0" xfId="0" applyAlignment="1">
      <alignment wrapText="1"/>
    </xf>
    <xf numFmtId="0" fontId="0" fillId="0" borderId="0" xfId="0" applyBorder="1" applyAlignment="1">
      <alignment wrapText="1"/>
    </xf>
    <xf numFmtId="0" fontId="0" fillId="0" borderId="0" xfId="0" applyFill="1" applyBorder="1"/>
    <xf numFmtId="0" fontId="2" fillId="0" borderId="0" xfId="0" applyFont="1" applyAlignment="1">
      <alignment wrapText="1"/>
    </xf>
    <xf numFmtId="0" fontId="4" fillId="0" borderId="3" xfId="0" applyFont="1" applyBorder="1" applyAlignment="1">
      <alignment vertical="center"/>
    </xf>
    <xf numFmtId="0" fontId="5" fillId="0" borderId="0" xfId="0" applyFont="1" applyBorder="1" applyAlignment="1">
      <alignment vertical="center" wrapText="1"/>
    </xf>
    <xf numFmtId="0" fontId="6" fillId="0" borderId="4" xfId="0" applyFont="1" applyBorder="1" applyAlignment="1">
      <alignment horizontal="center"/>
    </xf>
    <xf numFmtId="0" fontId="6" fillId="0" borderId="5" xfId="0" applyFont="1" applyBorder="1" applyAlignment="1">
      <alignment horizontal="center"/>
    </xf>
    <xf numFmtId="0" fontId="4" fillId="0" borderId="6" xfId="0" applyFont="1" applyBorder="1" applyAlignment="1">
      <alignment vertical="center"/>
    </xf>
    <xf numFmtId="0" fontId="6" fillId="0" borderId="7" xfId="0" applyFont="1" applyBorder="1" applyAlignment="1">
      <alignment horizontal="center"/>
    </xf>
    <xf numFmtId="0" fontId="6" fillId="0" borderId="8" xfId="0" applyFont="1" applyBorder="1" applyAlignment="1">
      <alignment horizontal="center"/>
    </xf>
    <xf numFmtId="0" fontId="6" fillId="0" borderId="6" xfId="0" applyFont="1" applyBorder="1" applyAlignment="1">
      <alignment vertical="center"/>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164" fontId="6" fillId="0" borderId="4" xfId="0" applyNumberFormat="1" applyFont="1" applyBorder="1" applyAlignment="1">
      <alignment horizontal="center"/>
    </xf>
    <xf numFmtId="164" fontId="6" fillId="0" borderId="5"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164" fontId="6" fillId="0" borderId="10" xfId="0" applyNumberFormat="1" applyFont="1" applyBorder="1" applyAlignment="1">
      <alignment horizontal="center"/>
    </xf>
    <xf numFmtId="164" fontId="6" fillId="0" borderId="11" xfId="0" applyNumberFormat="1" applyFont="1" applyBorder="1" applyAlignment="1">
      <alignment horizontal="center"/>
    </xf>
    <xf numFmtId="166" fontId="0" fillId="0" borderId="0" xfId="0" applyNumberFormat="1"/>
    <xf numFmtId="0" fontId="0" fillId="0" borderId="0" xfId="0" applyBorder="1"/>
    <xf numFmtId="0" fontId="0" fillId="0" borderId="7" xfId="0" applyBorder="1" applyAlignment="1">
      <alignment horizontal="center"/>
    </xf>
    <xf numFmtId="0" fontId="0" fillId="0" borderId="8" xfId="0" applyBorder="1" applyAlignment="1">
      <alignment horizontal="center"/>
    </xf>
    <xf numFmtId="0" fontId="0" fillId="0" borderId="4" xfId="0" applyFont="1" applyBorder="1"/>
    <xf numFmtId="0" fontId="0" fillId="0" borderId="7" xfId="0" applyFont="1" applyBorder="1"/>
    <xf numFmtId="0" fontId="0" fillId="0" borderId="10" xfId="0" applyFont="1" applyBorder="1"/>
    <xf numFmtId="0" fontId="0" fillId="0" borderId="4" xfId="0" applyBorder="1"/>
    <xf numFmtId="0" fontId="0" fillId="0" borderId="7" xfId="0" applyBorder="1"/>
    <xf numFmtId="0" fontId="0" fillId="0" borderId="10" xfId="0" applyBorder="1"/>
    <xf numFmtId="0" fontId="8" fillId="0" borderId="0" xfId="0" applyFont="1"/>
    <xf numFmtId="0" fontId="9" fillId="0" borderId="0" xfId="0" applyFont="1" applyBorder="1" applyAlignment="1">
      <alignment horizontal="center" vertical="center"/>
    </xf>
    <xf numFmtId="0" fontId="6" fillId="0" borderId="0" xfId="0" applyFont="1" applyBorder="1"/>
    <xf numFmtId="0" fontId="10" fillId="0" borderId="0" xfId="0" applyFont="1" applyBorder="1"/>
    <xf numFmtId="0" fontId="6" fillId="0" borderId="12" xfId="0" applyFont="1" applyBorder="1" applyAlignment="1">
      <alignment horizontal="center"/>
    </xf>
    <xf numFmtId="0" fontId="6" fillId="0" borderId="13" xfId="0" applyFont="1" applyBorder="1" applyAlignment="1">
      <alignment horizontal="center"/>
    </xf>
    <xf numFmtId="0" fontId="6" fillId="0" borderId="12" xfId="0" applyFont="1" applyBorder="1" applyAlignment="1">
      <alignment horizontal="center" wrapText="1"/>
    </xf>
    <xf numFmtId="0" fontId="6" fillId="0" borderId="15"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2" xfId="0" applyFont="1" applyFill="1" applyBorder="1" applyAlignment="1">
      <alignment wrapText="1"/>
    </xf>
    <xf numFmtId="0" fontId="6" fillId="0" borderId="15" xfId="0" applyFont="1" applyFill="1" applyBorder="1" applyAlignment="1">
      <alignment wrapText="1"/>
    </xf>
    <xf numFmtId="0" fontId="6" fillId="0" borderId="13" xfId="0" applyFont="1" applyFill="1" applyBorder="1" applyAlignment="1">
      <alignment wrapText="1"/>
    </xf>
    <xf numFmtId="0" fontId="6" fillId="0" borderId="4" xfId="0" applyFont="1" applyFill="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5" xfId="0" applyFont="1" applyFill="1" applyBorder="1" applyAlignment="1">
      <alignment horizontal="center" vertical="center" textRotation="90" wrapText="1"/>
    </xf>
    <xf numFmtId="168" fontId="6" fillId="0" borderId="4" xfId="0" applyNumberFormat="1" applyFont="1" applyBorder="1" applyAlignment="1">
      <alignment horizontal="center"/>
    </xf>
    <xf numFmtId="168" fontId="6" fillId="0" borderId="16" xfId="0" applyNumberFormat="1" applyFont="1" applyBorder="1" applyAlignment="1">
      <alignment horizontal="center"/>
    </xf>
    <xf numFmtId="168" fontId="6" fillId="0" borderId="5" xfId="0" applyNumberFormat="1" applyFont="1" applyBorder="1" applyAlignment="1">
      <alignment horizontal="center"/>
    </xf>
    <xf numFmtId="166" fontId="6" fillId="0" borderId="5" xfId="0" applyNumberFormat="1" applyFont="1" applyBorder="1" applyAlignment="1">
      <alignment horizontal="center"/>
    </xf>
    <xf numFmtId="3" fontId="6" fillId="0" borderId="4" xfId="0" applyNumberFormat="1" applyFont="1" applyBorder="1" applyAlignment="1">
      <alignment horizontal="center"/>
    </xf>
    <xf numFmtId="1" fontId="6" fillId="0" borderId="16" xfId="0" applyNumberFormat="1" applyFont="1" applyBorder="1" applyAlignment="1">
      <alignment horizontal="center"/>
    </xf>
    <xf numFmtId="43" fontId="6" fillId="0" borderId="16" xfId="1" applyFont="1" applyBorder="1" applyAlignment="1">
      <alignment horizontal="center"/>
    </xf>
    <xf numFmtId="166" fontId="6" fillId="0" borderId="4" xfId="1" applyNumberFormat="1" applyFont="1" applyBorder="1" applyAlignment="1">
      <alignment horizontal="center"/>
    </xf>
    <xf numFmtId="166" fontId="6" fillId="0" borderId="16" xfId="1" applyNumberFormat="1" applyFont="1" applyBorder="1" applyAlignment="1">
      <alignment horizontal="center"/>
    </xf>
    <xf numFmtId="166" fontId="10" fillId="0" borderId="5" xfId="0" applyNumberFormat="1" applyFont="1" applyBorder="1" applyAlignment="1">
      <alignment horizontal="center"/>
    </xf>
    <xf numFmtId="166" fontId="6" fillId="0" borderId="4" xfId="0" applyNumberFormat="1" applyFont="1" applyBorder="1" applyAlignment="1">
      <alignment horizontal="center"/>
    </xf>
    <xf numFmtId="167" fontId="6" fillId="0" borderId="16" xfId="0" applyNumberFormat="1" applyFont="1" applyBorder="1" applyAlignment="1">
      <alignment horizontal="center"/>
    </xf>
    <xf numFmtId="167" fontId="6" fillId="0" borderId="4" xfId="0" applyNumberFormat="1" applyFont="1" applyBorder="1"/>
    <xf numFmtId="166" fontId="6" fillId="0" borderId="16" xfId="0" applyNumberFormat="1" applyFont="1" applyBorder="1"/>
    <xf numFmtId="43" fontId="6" fillId="0" borderId="5" xfId="0" applyNumberFormat="1" applyFont="1" applyBorder="1"/>
    <xf numFmtId="168" fontId="6" fillId="0" borderId="7" xfId="0" applyNumberFormat="1" applyFont="1" applyBorder="1" applyAlignment="1">
      <alignment horizontal="center"/>
    </xf>
    <xf numFmtId="168" fontId="6" fillId="0" borderId="0" xfId="0" applyNumberFormat="1" applyFont="1" applyBorder="1" applyAlignment="1">
      <alignment horizontal="center"/>
    </xf>
    <xf numFmtId="168" fontId="6" fillId="0" borderId="8" xfId="0" applyNumberFormat="1" applyFont="1" applyBorder="1" applyAlignment="1">
      <alignment horizontal="center"/>
    </xf>
    <xf numFmtId="166" fontId="6" fillId="0" borderId="8" xfId="0" applyNumberFormat="1" applyFont="1" applyBorder="1" applyAlignment="1">
      <alignment horizontal="center"/>
    </xf>
    <xf numFmtId="3" fontId="6" fillId="0" borderId="7" xfId="0" applyNumberFormat="1" applyFont="1" applyBorder="1" applyAlignment="1">
      <alignment horizontal="center"/>
    </xf>
    <xf numFmtId="1" fontId="6" fillId="0" borderId="0" xfId="0" applyNumberFormat="1" applyFont="1" applyBorder="1" applyAlignment="1">
      <alignment horizontal="center"/>
    </xf>
    <xf numFmtId="43" fontId="6" fillId="0" borderId="0" xfId="1" applyFont="1" applyBorder="1" applyAlignment="1">
      <alignment horizontal="center"/>
    </xf>
    <xf numFmtId="166" fontId="6" fillId="0" borderId="7" xfId="1" applyNumberFormat="1" applyFont="1" applyBorder="1" applyAlignment="1">
      <alignment horizontal="center"/>
    </xf>
    <xf numFmtId="166" fontId="6" fillId="0" borderId="0" xfId="1" applyNumberFormat="1" applyFont="1" applyBorder="1" applyAlignment="1">
      <alignment horizontal="center"/>
    </xf>
    <xf numFmtId="166" fontId="10" fillId="0" borderId="8" xfId="0" applyNumberFormat="1" applyFont="1" applyBorder="1" applyAlignment="1">
      <alignment horizontal="center"/>
    </xf>
    <xf numFmtId="166" fontId="6" fillId="0" borderId="7" xfId="0" applyNumberFormat="1" applyFont="1" applyBorder="1" applyAlignment="1">
      <alignment horizontal="center"/>
    </xf>
    <xf numFmtId="167" fontId="6" fillId="0" borderId="0" xfId="0" applyNumberFormat="1" applyFont="1" applyBorder="1" applyAlignment="1">
      <alignment horizontal="center"/>
    </xf>
    <xf numFmtId="167" fontId="6" fillId="0" borderId="7" xfId="0" applyNumberFormat="1" applyFont="1" applyBorder="1"/>
    <xf numFmtId="166" fontId="6" fillId="0" borderId="0" xfId="0" applyNumberFormat="1" applyFont="1" applyBorder="1"/>
    <xf numFmtId="43" fontId="6" fillId="0" borderId="8" xfId="0" applyNumberFormat="1" applyFont="1" applyBorder="1"/>
    <xf numFmtId="167" fontId="6" fillId="0" borderId="7" xfId="1" applyNumberFormat="1" applyFont="1" applyBorder="1" applyAlignment="1">
      <alignment horizontal="center"/>
    </xf>
    <xf numFmtId="167" fontId="6" fillId="0" borderId="0" xfId="1" applyNumberFormat="1" applyFont="1" applyBorder="1" applyAlignment="1">
      <alignment horizontal="center"/>
    </xf>
    <xf numFmtId="164" fontId="6" fillId="0" borderId="0" xfId="0" applyNumberFormat="1" applyFont="1" applyBorder="1" applyAlignment="1">
      <alignment horizontal="center"/>
    </xf>
    <xf numFmtId="166" fontId="10" fillId="0" borderId="8" xfId="1" applyNumberFormat="1" applyFont="1" applyBorder="1" applyAlignment="1">
      <alignment horizontal="center"/>
    </xf>
    <xf numFmtId="168" fontId="6" fillId="0" borderId="10" xfId="0" applyNumberFormat="1" applyFont="1" applyBorder="1" applyAlignment="1">
      <alignment horizontal="center"/>
    </xf>
    <xf numFmtId="168" fontId="6" fillId="0" borderId="17" xfId="0" applyNumberFormat="1" applyFont="1" applyBorder="1" applyAlignment="1">
      <alignment horizontal="center"/>
    </xf>
    <xf numFmtId="168" fontId="6" fillId="0" borderId="11" xfId="0" applyNumberFormat="1" applyFont="1" applyBorder="1" applyAlignment="1">
      <alignment horizontal="center"/>
    </xf>
    <xf numFmtId="166" fontId="6" fillId="0" borderId="11" xfId="0" applyNumberFormat="1" applyFont="1" applyBorder="1" applyAlignment="1">
      <alignment horizontal="center"/>
    </xf>
    <xf numFmtId="3" fontId="6" fillId="0" borderId="10" xfId="0" applyNumberFormat="1" applyFont="1" applyBorder="1" applyAlignment="1">
      <alignment horizontal="center"/>
    </xf>
    <xf numFmtId="1" fontId="6" fillId="0" borderId="17" xfId="0" applyNumberFormat="1" applyFont="1" applyBorder="1" applyAlignment="1">
      <alignment horizontal="center"/>
    </xf>
    <xf numFmtId="43" fontId="6" fillId="0" borderId="17" xfId="1" applyFont="1" applyBorder="1" applyAlignment="1">
      <alignment horizontal="center"/>
    </xf>
    <xf numFmtId="166" fontId="6" fillId="0" borderId="10" xfId="1" applyNumberFormat="1" applyFont="1" applyBorder="1" applyAlignment="1">
      <alignment horizontal="center"/>
    </xf>
    <xf numFmtId="166" fontId="6" fillId="0" borderId="17" xfId="1" applyNumberFormat="1" applyFont="1" applyBorder="1" applyAlignment="1">
      <alignment horizontal="center"/>
    </xf>
    <xf numFmtId="166" fontId="10" fillId="0" borderId="11" xfId="0" applyNumberFormat="1" applyFont="1" applyBorder="1" applyAlignment="1">
      <alignment horizontal="center"/>
    </xf>
    <xf numFmtId="167" fontId="6" fillId="0" borderId="17" xfId="1" applyNumberFormat="1" applyFont="1" applyBorder="1" applyAlignment="1">
      <alignment horizontal="center"/>
    </xf>
    <xf numFmtId="167" fontId="6" fillId="0" borderId="10" xfId="1" applyNumberFormat="1"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textRotation="90"/>
    </xf>
    <xf numFmtId="43" fontId="6" fillId="0" borderId="16" xfId="0" applyNumberFormat="1" applyFont="1" applyBorder="1" applyAlignment="1">
      <alignment horizontal="center"/>
    </xf>
    <xf numFmtId="0" fontId="0" fillId="0" borderId="10" xfId="0" applyFill="1" applyBorder="1"/>
    <xf numFmtId="0" fontId="11" fillId="0" borderId="0" xfId="0" applyFont="1"/>
    <xf numFmtId="0" fontId="0" fillId="0" borderId="0" xfId="0" applyAlignment="1">
      <alignment horizontal="center"/>
    </xf>
    <xf numFmtId="0" fontId="16" fillId="0" borderId="1" xfId="0" applyFont="1" applyBorder="1"/>
    <xf numFmtId="0" fontId="16" fillId="0" borderId="1" xfId="0" applyFont="1" applyFill="1" applyBorder="1" applyAlignment="1">
      <alignment wrapText="1"/>
    </xf>
    <xf numFmtId="0" fontId="16" fillId="0" borderId="0" xfId="0" applyFont="1"/>
    <xf numFmtId="0" fontId="0" fillId="0" borderId="0" xfId="0" applyFill="1"/>
    <xf numFmtId="0" fontId="0" fillId="0" borderId="0" xfId="0" applyFill="1" applyBorder="1" applyAlignment="1">
      <alignment horizontal="center" vertical="center"/>
    </xf>
    <xf numFmtId="166" fontId="0" fillId="0" borderId="0" xfId="0" applyNumberFormat="1" applyBorder="1"/>
    <xf numFmtId="0" fontId="19" fillId="0" borderId="0" xfId="0" applyFont="1"/>
    <xf numFmtId="43" fontId="0" fillId="0" borderId="0" xfId="1" applyFont="1" applyFill="1" applyBorder="1"/>
    <xf numFmtId="43" fontId="0" fillId="0" borderId="0" xfId="1" applyFont="1" applyFill="1"/>
    <xf numFmtId="43" fontId="0" fillId="0" borderId="1" xfId="1" applyFont="1" applyFill="1" applyBorder="1"/>
    <xf numFmtId="0" fontId="0" fillId="0" borderId="0" xfId="0" applyAlignment="1">
      <alignment horizontal="right"/>
    </xf>
    <xf numFmtId="0" fontId="6" fillId="0" borderId="0" xfId="0" applyFont="1" applyAlignment="1">
      <alignment horizontal="left" wrapText="1"/>
    </xf>
    <xf numFmtId="0" fontId="0" fillId="0" borderId="1" xfId="0" applyFill="1" applyBorder="1" applyAlignment="1">
      <alignment horizontal="center" vertical="center"/>
    </xf>
    <xf numFmtId="0" fontId="0" fillId="0" borderId="0" xfId="0" applyFill="1" applyAlignment="1">
      <alignment horizontal="center"/>
    </xf>
    <xf numFmtId="43" fontId="0" fillId="0" borderId="0" xfId="1" applyFont="1" applyFill="1" applyBorder="1" applyAlignment="1">
      <alignment horizontal="center"/>
    </xf>
    <xf numFmtId="166" fontId="2" fillId="0" borderId="0" xfId="0" applyNumberFormat="1" applyFont="1" applyFill="1" applyBorder="1"/>
    <xf numFmtId="0" fontId="11" fillId="0" borderId="0" xfId="0" applyFont="1" applyFill="1" applyBorder="1" applyAlignment="1">
      <alignment horizontal="center"/>
    </xf>
    <xf numFmtId="0" fontId="0" fillId="0" borderId="0" xfId="0" applyAlignment="1">
      <alignment horizontal="center"/>
    </xf>
    <xf numFmtId="168" fontId="0" fillId="0" borderId="0" xfId="2" applyNumberFormat="1" applyFont="1" applyFill="1"/>
    <xf numFmtId="0" fontId="18" fillId="0" borderId="2" xfId="0" applyFont="1" applyBorder="1" applyAlignment="1">
      <alignment horizontal="left" indent="2"/>
    </xf>
    <xf numFmtId="0" fontId="0" fillId="0" borderId="0" xfId="0" applyAlignment="1">
      <alignment horizontal="left"/>
    </xf>
    <xf numFmtId="0" fontId="17" fillId="0" borderId="1" xfId="0" applyFont="1" applyBorder="1" applyAlignment="1">
      <alignment horizontal="left" wrapText="1"/>
    </xf>
    <xf numFmtId="0" fontId="18" fillId="0" borderId="24" xfId="0" applyFont="1" applyBorder="1" applyAlignment="1">
      <alignment horizontal="left" indent="2"/>
    </xf>
    <xf numFmtId="0" fontId="17" fillId="0" borderId="24" xfId="0" applyFont="1" applyBorder="1" applyAlignment="1">
      <alignment horizontal="left"/>
    </xf>
    <xf numFmtId="0" fontId="18" fillId="0" borderId="23" xfId="0" applyFont="1" applyBorder="1" applyAlignment="1">
      <alignment horizontal="left" indent="2"/>
    </xf>
    <xf numFmtId="0" fontId="0" fillId="3" borderId="0" xfId="0" applyFill="1"/>
    <xf numFmtId="0" fontId="0" fillId="0" borderId="0" xfId="0" applyAlignment="1">
      <alignment horizontal="center" wrapText="1"/>
    </xf>
    <xf numFmtId="0" fontId="6" fillId="0" borderId="0" xfId="0" applyFont="1" applyAlignment="1">
      <alignment horizontal="left" vertical="center" wrapText="1"/>
    </xf>
    <xf numFmtId="43" fontId="0" fillId="0" borderId="1" xfId="0" applyNumberFormat="1" applyFill="1" applyBorder="1" applyAlignment="1">
      <alignment horizontal="center" vertical="center"/>
    </xf>
    <xf numFmtId="43" fontId="1" fillId="0" borderId="1" xfId="1" applyFont="1" applyFill="1" applyBorder="1" applyAlignment="1">
      <alignment horizontal="center" vertical="center"/>
    </xf>
    <xf numFmtId="0" fontId="0" fillId="4" borderId="0" xfId="0" applyFill="1" applyAlignment="1">
      <alignment wrapText="1"/>
    </xf>
    <xf numFmtId="0" fontId="0" fillId="0" borderId="0" xfId="0" applyNumberFormat="1" applyFont="1"/>
    <xf numFmtId="0" fontId="0" fillId="0" borderId="0" xfId="0" applyFont="1"/>
    <xf numFmtId="0" fontId="20" fillId="0" borderId="0" xfId="0" applyFont="1"/>
    <xf numFmtId="0" fontId="18" fillId="5" borderId="21" xfId="0" applyFont="1" applyFill="1" applyBorder="1" applyAlignment="1">
      <alignment horizontal="center" vertical="center" textRotation="90" wrapText="1"/>
    </xf>
    <xf numFmtId="43" fontId="0" fillId="5" borderId="0" xfId="1" applyFont="1" applyFill="1"/>
    <xf numFmtId="43" fontId="0" fillId="5" borderId="1" xfId="1" applyFont="1" applyFill="1" applyBorder="1"/>
    <xf numFmtId="43" fontId="0" fillId="5" borderId="0" xfId="1" applyFont="1" applyFill="1" applyBorder="1"/>
    <xf numFmtId="43" fontId="2" fillId="5" borderId="0" xfId="1" applyFont="1" applyFill="1" applyBorder="1"/>
    <xf numFmtId="166" fontId="3" fillId="5" borderId="0" xfId="0" applyNumberFormat="1" applyFont="1" applyFill="1"/>
    <xf numFmtId="168" fontId="0" fillId="5" borderId="0" xfId="2" applyNumberFormat="1" applyFont="1" applyFill="1"/>
    <xf numFmtId="0" fontId="0" fillId="5" borderId="0" xfId="0" applyFill="1"/>
    <xf numFmtId="1" fontId="0" fillId="2" borderId="27" xfId="0" applyNumberFormat="1" applyFill="1" applyBorder="1" applyAlignment="1">
      <alignment horizontal="center"/>
    </xf>
    <xf numFmtId="1" fontId="0" fillId="0" borderId="0" xfId="0" applyNumberFormat="1" applyBorder="1"/>
    <xf numFmtId="1" fontId="0" fillId="0" borderId="0" xfId="0" applyNumberFormat="1"/>
    <xf numFmtId="166" fontId="0" fillId="0" borderId="26" xfId="0" applyNumberFormat="1" applyFill="1" applyBorder="1" applyAlignment="1">
      <alignment horizontal="center" vertical="center"/>
    </xf>
    <xf numFmtId="9" fontId="0" fillId="0" borderId="0" xfId="2" applyFont="1" applyAlignment="1">
      <alignment horizontal="center"/>
    </xf>
    <xf numFmtId="1" fontId="0" fillId="0" borderId="1" xfId="0" applyNumberFormat="1" applyBorder="1"/>
    <xf numFmtId="1" fontId="0" fillId="6" borderId="1" xfId="0" applyNumberFormat="1" applyFill="1" applyBorder="1"/>
    <xf numFmtId="0" fontId="0" fillId="6" borderId="0" xfId="0" applyFill="1"/>
    <xf numFmtId="0" fontId="0" fillId="7" borderId="0" xfId="0" applyFill="1"/>
    <xf numFmtId="1" fontId="0" fillId="0" borderId="0" xfId="0" applyNumberFormat="1" applyFill="1"/>
    <xf numFmtId="166" fontId="0" fillId="0" borderId="1" xfId="0" applyNumberFormat="1" applyFill="1" applyBorder="1"/>
    <xf numFmtId="0" fontId="0" fillId="9" borderId="1" xfId="0" applyFill="1" applyBorder="1"/>
    <xf numFmtId="2" fontId="0" fillId="9" borderId="1" xfId="0" applyNumberFormat="1" applyFill="1" applyBorder="1"/>
    <xf numFmtId="39" fontId="0" fillId="0" borderId="1" xfId="0" applyNumberFormat="1" applyBorder="1"/>
    <xf numFmtId="0" fontId="0" fillId="0" borderId="1" xfId="0" applyFill="1" applyBorder="1"/>
    <xf numFmtId="0" fontId="18" fillId="0" borderId="23" xfId="0" applyFont="1" applyBorder="1" applyAlignment="1">
      <alignment horizontal="center" textRotation="90" wrapText="1"/>
    </xf>
    <xf numFmtId="0" fontId="23" fillId="8" borderId="30" xfId="0" applyFont="1" applyFill="1" applyBorder="1"/>
    <xf numFmtId="166" fontId="0" fillId="8" borderId="30" xfId="0" applyNumberFormat="1" applyFill="1" applyBorder="1"/>
    <xf numFmtId="0" fontId="23" fillId="9" borderId="0" xfId="0" applyFont="1" applyFill="1"/>
    <xf numFmtId="43" fontId="0" fillId="8" borderId="30" xfId="1" applyFont="1" applyFill="1" applyBorder="1"/>
    <xf numFmtId="169" fontId="0" fillId="8" borderId="30" xfId="0" applyNumberFormat="1" applyFill="1" applyBorder="1" applyAlignment="1">
      <alignment horizontal="center"/>
    </xf>
    <xf numFmtId="0" fontId="0" fillId="8" borderId="30" xfId="0" applyFill="1" applyBorder="1"/>
    <xf numFmtId="9" fontId="0" fillId="8" borderId="30" xfId="2" applyFont="1" applyFill="1" applyBorder="1" applyAlignment="1">
      <alignment horizontal="center"/>
    </xf>
    <xf numFmtId="9" fontId="0" fillId="8" borderId="29" xfId="2" applyFont="1" applyFill="1" applyBorder="1" applyAlignment="1">
      <alignment horizontal="center"/>
    </xf>
    <xf numFmtId="0" fontId="0" fillId="2" borderId="0" xfId="0" applyFill="1"/>
    <xf numFmtId="0" fontId="0" fillId="2" borderId="0" xfId="0" applyFill="1" applyAlignment="1">
      <alignment wrapText="1"/>
    </xf>
    <xf numFmtId="0" fontId="19" fillId="2" borderId="0" xfId="0" applyFont="1" applyFill="1"/>
    <xf numFmtId="1" fontId="0" fillId="2" borderId="0" xfId="0" applyNumberFormat="1" applyFill="1"/>
    <xf numFmtId="0" fontId="0" fillId="2" borderId="0" xfId="0" applyFill="1" applyAlignment="1">
      <alignment horizontal="center"/>
    </xf>
    <xf numFmtId="0" fontId="2" fillId="0" borderId="0" xfId="0" applyFont="1" applyFill="1"/>
    <xf numFmtId="49" fontId="0" fillId="9" borderId="1" xfId="0" applyNumberFormat="1" applyFill="1" applyBorder="1"/>
    <xf numFmtId="0" fontId="23" fillId="6" borderId="0" xfId="0" applyFont="1" applyFill="1"/>
    <xf numFmtId="41" fontId="0" fillId="0" borderId="0" xfId="1" applyNumberFormat="1" applyFont="1" applyFill="1"/>
    <xf numFmtId="166" fontId="0" fillId="0" borderId="0" xfId="2" applyNumberFormat="1" applyFont="1" applyFill="1"/>
    <xf numFmtId="0" fontId="2" fillId="0" borderId="1" xfId="0" applyFont="1" applyBorder="1" applyAlignment="1">
      <alignment horizontal="center" vertical="center"/>
    </xf>
    <xf numFmtId="166" fontId="0" fillId="0" borderId="1" xfId="0" applyNumberFormat="1" applyBorder="1"/>
    <xf numFmtId="0" fontId="25" fillId="0" borderId="0" xfId="0" applyFont="1" applyFill="1" applyAlignment="1">
      <alignment horizontal="center" vertical="center"/>
    </xf>
    <xf numFmtId="39" fontId="0" fillId="0" borderId="21" xfId="0" applyNumberFormat="1" applyBorder="1"/>
    <xf numFmtId="9" fontId="0" fillId="9" borderId="1" xfId="2" applyFont="1" applyFill="1" applyBorder="1"/>
    <xf numFmtId="0" fontId="0" fillId="9" borderId="1" xfId="2" applyNumberFormat="1" applyFont="1" applyFill="1" applyBorder="1"/>
    <xf numFmtId="166" fontId="0" fillId="6" borderId="1" xfId="0" applyNumberFormat="1" applyFill="1" applyBorder="1"/>
    <xf numFmtId="166" fontId="0" fillId="10" borderId="1" xfId="0" applyNumberFormat="1" applyFill="1" applyBorder="1"/>
    <xf numFmtId="166" fontId="0" fillId="10" borderId="26" xfId="0" applyNumberFormat="1" applyFill="1" applyBorder="1" applyAlignment="1">
      <alignment horizontal="center" vertical="center"/>
    </xf>
    <xf numFmtId="169" fontId="0" fillId="10" borderId="1" xfId="1" applyNumberFormat="1" applyFont="1" applyFill="1" applyBorder="1" applyAlignment="1">
      <alignment horizontal="center" vertical="center"/>
    </xf>
    <xf numFmtId="0" fontId="2" fillId="10" borderId="0" xfId="0" applyFont="1" applyFill="1"/>
    <xf numFmtId="0" fontId="3" fillId="10" borderId="0" xfId="0" applyFont="1" applyFill="1"/>
    <xf numFmtId="0" fontId="3" fillId="10" borderId="0" xfId="0" applyFont="1" applyFill="1" applyAlignment="1">
      <alignment horizontal="right"/>
    </xf>
    <xf numFmtId="166" fontId="3" fillId="10" borderId="0" xfId="0" applyNumberFormat="1" applyFont="1" applyFill="1"/>
    <xf numFmtId="0" fontId="0" fillId="0" borderId="14" xfId="0" applyBorder="1"/>
    <xf numFmtId="0" fontId="2" fillId="0" borderId="1" xfId="0" applyFont="1" applyBorder="1" applyAlignment="1">
      <alignment horizontal="center" vertical="center" wrapText="1"/>
    </xf>
    <xf numFmtId="0" fontId="2" fillId="0" borderId="1" xfId="0" applyFont="1" applyBorder="1" applyAlignment="1">
      <alignment vertical="center" wrapText="1"/>
    </xf>
    <xf numFmtId="167" fontId="0" fillId="0" borderId="1" xfId="0" applyNumberFormat="1" applyBorder="1" applyAlignment="1">
      <alignment vertical="center"/>
    </xf>
    <xf numFmtId="169" fontId="0" fillId="0" borderId="1" xfId="1" applyNumberFormat="1" applyFont="1" applyBorder="1" applyAlignment="1">
      <alignment horizontal="center" vertical="center" wrapText="1"/>
    </xf>
    <xf numFmtId="0" fontId="6" fillId="0" borderId="1" xfId="0" applyFont="1" applyBorder="1" applyAlignment="1">
      <alignment wrapText="1"/>
    </xf>
    <xf numFmtId="4" fontId="0" fillId="0" borderId="1" xfId="0" applyNumberFormat="1" applyBorder="1" applyAlignment="1">
      <alignment vertical="center"/>
    </xf>
    <xf numFmtId="2" fontId="0" fillId="0" borderId="1" xfId="0" applyNumberFormat="1" applyFont="1" applyBorder="1" applyAlignment="1">
      <alignment horizontal="right" vertical="center" wrapText="1"/>
    </xf>
    <xf numFmtId="0" fontId="2" fillId="10" borderId="1" xfId="0" applyFont="1" applyFill="1" applyBorder="1" applyAlignment="1">
      <alignment horizontal="center" vertical="center" wrapText="1"/>
    </xf>
    <xf numFmtId="0" fontId="0" fillId="0" borderId="1" xfId="0" applyFont="1" applyBorder="1" applyAlignment="1">
      <alignment wrapText="1"/>
    </xf>
    <xf numFmtId="2" fontId="0" fillId="11" borderId="1" xfId="0" applyNumberFormat="1" applyFont="1" applyFill="1" applyBorder="1" applyAlignment="1">
      <alignment horizontal="center" vertical="center" wrapText="1"/>
    </xf>
    <xf numFmtId="2" fontId="0" fillId="10" borderId="1" xfId="0" applyNumberFormat="1" applyFont="1" applyFill="1" applyBorder="1" applyAlignment="1">
      <alignment horizontal="center" vertical="center" wrapText="1"/>
    </xf>
    <xf numFmtId="0" fontId="0" fillId="11" borderId="1" xfId="0" applyFill="1" applyBorder="1" applyAlignment="1">
      <alignment wrapText="1" shrinkToFit="1"/>
    </xf>
    <xf numFmtId="4" fontId="0" fillId="11" borderId="1" xfId="1" applyNumberFormat="1" applyFont="1" applyFill="1" applyBorder="1" applyAlignment="1">
      <alignment horizontal="center" vertical="center" wrapText="1"/>
    </xf>
    <xf numFmtId="4" fontId="0" fillId="10" borderId="1" xfId="0" applyNumberFormat="1" applyFont="1" applyFill="1" applyBorder="1" applyAlignment="1">
      <alignment horizontal="center" vertical="center" wrapText="1"/>
    </xf>
    <xf numFmtId="169" fontId="0" fillId="11" borderId="1" xfId="1" applyNumberFormat="1" applyFont="1" applyFill="1" applyBorder="1" applyAlignment="1">
      <alignment horizontal="center" vertical="center" wrapText="1"/>
    </xf>
    <xf numFmtId="0" fontId="0" fillId="0" borderId="1" xfId="0" applyBorder="1" applyAlignment="1">
      <alignment wrapText="1"/>
    </xf>
    <xf numFmtId="165" fontId="0" fillId="12" borderId="1" xfId="0" applyNumberFormat="1" applyFill="1" applyBorder="1" applyAlignment="1">
      <alignment horizontal="center" vertical="center"/>
    </xf>
    <xf numFmtId="165" fontId="0" fillId="10" borderId="1" xfId="0" applyNumberFormat="1" applyFill="1" applyBorder="1" applyAlignment="1">
      <alignment horizontal="center" vertical="center"/>
    </xf>
    <xf numFmtId="170" fontId="0" fillId="12" borderId="1" xfId="1" applyNumberFormat="1" applyFont="1" applyFill="1" applyBorder="1" applyAlignment="1">
      <alignment horizontal="center" vertical="center" wrapText="1"/>
    </xf>
    <xf numFmtId="0" fontId="0" fillId="12" borderId="1" xfId="0" applyFill="1" applyBorder="1" applyAlignment="1">
      <alignment wrapText="1" shrinkToFit="1"/>
    </xf>
    <xf numFmtId="166" fontId="0" fillId="12" borderId="1" xfId="0" applyNumberFormat="1" applyFill="1" applyBorder="1" applyAlignment="1">
      <alignment horizontal="center" vertical="center"/>
    </xf>
    <xf numFmtId="166" fontId="0" fillId="10" borderId="1" xfId="0" applyNumberFormat="1" applyFill="1" applyBorder="1" applyAlignment="1">
      <alignment horizontal="center" vertical="center"/>
    </xf>
    <xf numFmtId="169" fontId="0" fillId="12" borderId="1" xfId="1" applyNumberFormat="1" applyFont="1" applyFill="1" applyBorder="1" applyAlignment="1">
      <alignment horizontal="center" vertical="center" wrapText="1"/>
    </xf>
    <xf numFmtId="43" fontId="0" fillId="10" borderId="1" xfId="0" applyNumberFormat="1" applyFill="1" applyBorder="1" applyAlignment="1">
      <alignment horizontal="center" vertical="center"/>
    </xf>
    <xf numFmtId="0" fontId="6" fillId="8" borderId="23" xfId="0" applyFont="1" applyFill="1" applyBorder="1" applyAlignment="1">
      <alignment horizontal="center" vertical="center"/>
    </xf>
    <xf numFmtId="0" fontId="6" fillId="8" borderId="24" xfId="0" applyFont="1" applyFill="1" applyBorder="1" applyAlignment="1">
      <alignment horizontal="center" vertical="center" wrapText="1" shrinkToFit="1"/>
    </xf>
    <xf numFmtId="0" fontId="6" fillId="8" borderId="24" xfId="0" applyFont="1" applyFill="1" applyBorder="1" applyAlignment="1">
      <alignment horizontal="center" vertical="center"/>
    </xf>
    <xf numFmtId="0" fontId="0" fillId="0" borderId="31" xfId="0" applyBorder="1" applyAlignment="1">
      <alignment horizontal="center" vertical="center" textRotation="90" wrapText="1"/>
    </xf>
    <xf numFmtId="0" fontId="0" fillId="0" borderId="1" xfId="0" applyBorder="1" applyAlignment="1">
      <alignment horizontal="center" vertical="center" textRotation="90" wrapText="1"/>
    </xf>
    <xf numFmtId="0" fontId="20" fillId="0" borderId="1" xfId="0" applyFont="1" applyBorder="1" applyAlignment="1">
      <alignment horizontal="center" vertical="center" textRotation="90" wrapText="1"/>
    </xf>
    <xf numFmtId="4" fontId="0" fillId="0" borderId="0" xfId="0" applyNumberFormat="1" applyFill="1"/>
    <xf numFmtId="10" fontId="0" fillId="0" borderId="29" xfId="0" applyNumberFormat="1" applyBorder="1"/>
    <xf numFmtId="0" fontId="0" fillId="9" borderId="29" xfId="0" applyFill="1" applyBorder="1"/>
    <xf numFmtId="0" fontId="0" fillId="0" borderId="29" xfId="0" applyBorder="1"/>
    <xf numFmtId="0" fontId="2" fillId="0" borderId="1" xfId="0" applyFont="1" applyFill="1" applyBorder="1" applyAlignment="1">
      <alignment wrapText="1"/>
    </xf>
    <xf numFmtId="0" fontId="0" fillId="0" borderId="1" xfId="0" applyFill="1" applyBorder="1" applyAlignment="1">
      <alignment wrapText="1"/>
    </xf>
    <xf numFmtId="0" fontId="0" fillId="6" borderId="1" xfId="0" applyFill="1" applyBorder="1" applyAlignment="1">
      <alignment wrapText="1"/>
    </xf>
    <xf numFmtId="0" fontId="2" fillId="0" borderId="1"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0" fillId="2" borderId="25" xfId="0" applyFill="1" applyBorder="1" applyAlignment="1">
      <alignment horizontal="center" vertical="center"/>
    </xf>
    <xf numFmtId="43" fontId="0" fillId="5" borderId="26" xfId="1" applyFont="1" applyFill="1" applyBorder="1"/>
    <xf numFmtId="43" fontId="0" fillId="2" borderId="18" xfId="1" applyFont="1" applyFill="1" applyBorder="1"/>
    <xf numFmtId="43" fontId="0" fillId="2" borderId="21" xfId="1" applyFont="1" applyFill="1" applyBorder="1"/>
    <xf numFmtId="43" fontId="0" fillId="2" borderId="23" xfId="1" applyFont="1" applyFill="1" applyBorder="1"/>
    <xf numFmtId="0" fontId="0" fillId="2" borderId="19" xfId="0" applyFill="1" applyBorder="1" applyAlignment="1">
      <alignment horizontal="center"/>
    </xf>
    <xf numFmtId="0" fontId="0" fillId="2" borderId="0" xfId="0" applyFill="1" applyBorder="1" applyAlignment="1">
      <alignment horizontal="center"/>
    </xf>
    <xf numFmtId="0" fontId="0" fillId="2" borderId="24" xfId="0" applyFill="1" applyBorder="1" applyAlignment="1">
      <alignment horizontal="center" vertical="center"/>
    </xf>
    <xf numFmtId="9" fontId="0" fillId="10" borderId="0" xfId="2" applyFont="1" applyFill="1" applyAlignment="1">
      <alignment horizontal="center"/>
    </xf>
    <xf numFmtId="0" fontId="23" fillId="10" borderId="28" xfId="0" applyFont="1" applyFill="1" applyBorder="1"/>
    <xf numFmtId="0" fontId="0" fillId="0" borderId="3" xfId="0" applyFont="1" applyBorder="1"/>
    <xf numFmtId="0" fontId="0" fillId="0" borderId="6" xfId="0" applyFont="1" applyBorder="1"/>
    <xf numFmtId="0" fontId="0" fillId="0" borderId="6" xfId="0" applyFill="1" applyBorder="1"/>
    <xf numFmtId="2" fontId="0" fillId="0" borderId="7" xfId="1" applyNumberFormat="1" applyFont="1" applyBorder="1" applyAlignment="1">
      <alignment horizontal="right"/>
    </xf>
    <xf numFmtId="2" fontId="0" fillId="0" borderId="8" xfId="1" applyNumberFormat="1" applyFont="1" applyBorder="1" applyAlignment="1">
      <alignment horizontal="right"/>
    </xf>
    <xf numFmtId="2" fontId="0" fillId="0" borderId="0" xfId="1" applyNumberFormat="1" applyFont="1" applyBorder="1" applyAlignment="1">
      <alignment horizontal="right"/>
    </xf>
    <xf numFmtId="2" fontId="0" fillId="0" borderId="4" xfId="0" applyNumberFormat="1" applyBorder="1" applyAlignment="1">
      <alignment horizontal="right"/>
    </xf>
    <xf numFmtId="2" fontId="0" fillId="0" borderId="5" xfId="0" applyNumberFormat="1" applyBorder="1" applyAlignment="1">
      <alignment horizontal="right"/>
    </xf>
    <xf numFmtId="2" fontId="0" fillId="0" borderId="7" xfId="0" applyNumberFormat="1" applyBorder="1" applyAlignment="1">
      <alignment horizontal="right"/>
    </xf>
    <xf numFmtId="2" fontId="0" fillId="0" borderId="8" xfId="0" applyNumberFormat="1" applyBorder="1" applyAlignment="1">
      <alignment horizontal="right"/>
    </xf>
    <xf numFmtId="0" fontId="0" fillId="10" borderId="1" xfId="0" applyFill="1" applyBorder="1"/>
    <xf numFmtId="0" fontId="0" fillId="10" borderId="1" xfId="0" applyFill="1" applyBorder="1" applyAlignment="1">
      <alignment horizontal="right"/>
    </xf>
    <xf numFmtId="4" fontId="0" fillId="9" borderId="26" xfId="1" applyNumberFormat="1" applyFont="1" applyFill="1" applyBorder="1"/>
    <xf numFmtId="4" fontId="0" fillId="8" borderId="30" xfId="0" applyNumberFormat="1" applyFill="1" applyBorder="1" applyAlignment="1">
      <alignment horizontal="center" vertical="center"/>
    </xf>
    <xf numFmtId="4" fontId="0" fillId="2" borderId="24" xfId="0" applyNumberFormat="1" applyFill="1" applyBorder="1" applyAlignment="1">
      <alignment horizontal="center" vertical="center"/>
    </xf>
    <xf numFmtId="3" fontId="0" fillId="2" borderId="28" xfId="0" applyNumberFormat="1" applyFill="1" applyBorder="1" applyAlignment="1">
      <alignment horizontal="center"/>
    </xf>
    <xf numFmtId="3" fontId="0" fillId="2" borderId="26" xfId="0" applyNumberFormat="1" applyFill="1" applyBorder="1" applyAlignment="1">
      <alignment horizontal="center" vertical="center"/>
    </xf>
    <xf numFmtId="3" fontId="0" fillId="9" borderId="26" xfId="0" applyNumberFormat="1" applyFill="1" applyBorder="1" applyAlignment="1">
      <alignment horizontal="center" vertical="center"/>
    </xf>
    <xf numFmtId="3" fontId="0" fillId="8" borderId="30" xfId="0" applyNumberFormat="1" applyFill="1" applyBorder="1" applyAlignment="1">
      <alignment horizontal="center" vertical="center"/>
    </xf>
    <xf numFmtId="1" fontId="0" fillId="0" borderId="1" xfId="0" applyNumberFormat="1" applyFill="1" applyBorder="1" applyAlignment="1">
      <alignment horizontal="right"/>
    </xf>
    <xf numFmtId="0" fontId="0" fillId="13" borderId="1" xfId="0" applyFill="1" applyBorder="1"/>
    <xf numFmtId="0" fontId="23" fillId="10" borderId="0" xfId="0" applyFont="1" applyFill="1"/>
    <xf numFmtId="0" fontId="2" fillId="6" borderId="0" xfId="0" applyFont="1" applyFill="1"/>
    <xf numFmtId="0" fontId="3" fillId="6" borderId="0" xfId="0" applyFont="1" applyFill="1"/>
    <xf numFmtId="0" fontId="3" fillId="6" borderId="0" xfId="0" applyFont="1" applyFill="1" applyAlignment="1">
      <alignment horizontal="right"/>
    </xf>
    <xf numFmtId="166" fontId="3" fillId="6" borderId="0" xfId="0" applyNumberFormat="1" applyFont="1" applyFill="1"/>
    <xf numFmtId="9" fontId="0" fillId="6" borderId="0" xfId="2" applyFont="1" applyFill="1" applyAlignment="1">
      <alignment horizontal="center"/>
    </xf>
    <xf numFmtId="0" fontId="23" fillId="6" borderId="28" xfId="0" applyFont="1" applyFill="1" applyBorder="1"/>
    <xf numFmtId="0" fontId="0" fillId="6" borderId="1" xfId="0" applyFill="1" applyBorder="1"/>
    <xf numFmtId="0" fontId="0" fillId="6" borderId="1" xfId="0" applyFill="1" applyBorder="1" applyAlignment="1">
      <alignment horizontal="right"/>
    </xf>
    <xf numFmtId="0" fontId="0" fillId="4" borderId="1" xfId="0" applyFill="1" applyBorder="1"/>
    <xf numFmtId="43" fontId="0" fillId="10" borderId="26" xfId="1" applyFont="1" applyFill="1" applyBorder="1"/>
    <xf numFmtId="169" fontId="0" fillId="10" borderId="26" xfId="0" applyNumberFormat="1" applyFill="1" applyBorder="1" applyAlignment="1">
      <alignment horizontal="center"/>
    </xf>
    <xf numFmtId="43" fontId="0" fillId="10" borderId="1" xfId="1" applyFont="1" applyFill="1" applyBorder="1"/>
    <xf numFmtId="43" fontId="0" fillId="6" borderId="1" xfId="1" applyFont="1" applyFill="1" applyBorder="1"/>
    <xf numFmtId="169" fontId="0" fillId="6" borderId="1" xfId="0" applyNumberFormat="1" applyFill="1" applyBorder="1" applyAlignment="1">
      <alignment horizontal="center"/>
    </xf>
    <xf numFmtId="4" fontId="0" fillId="4" borderId="28" xfId="0" applyNumberFormat="1" applyFill="1" applyBorder="1" applyAlignment="1">
      <alignment horizontal="center" vertical="center"/>
    </xf>
    <xf numFmtId="3" fontId="0" fillId="4" borderId="28" xfId="0" applyNumberFormat="1" applyFill="1" applyBorder="1" applyAlignment="1">
      <alignment horizontal="center" vertical="center"/>
    </xf>
    <xf numFmtId="0" fontId="23" fillId="4" borderId="0" xfId="0" applyFont="1" applyFill="1"/>
    <xf numFmtId="166" fontId="0" fillId="4" borderId="1" xfId="0" applyNumberFormat="1" applyFill="1" applyBorder="1"/>
    <xf numFmtId="0" fontId="17" fillId="0" borderId="1" xfId="0" applyFont="1" applyFill="1" applyBorder="1" applyAlignment="1">
      <alignment horizontal="left" wrapText="1"/>
    </xf>
    <xf numFmtId="166" fontId="0" fillId="6" borderId="1" xfId="0" applyNumberFormat="1" applyFill="1" applyBorder="1" applyAlignment="1">
      <alignment horizontal="right"/>
    </xf>
    <xf numFmtId="166" fontId="0" fillId="10" borderId="1" xfId="0" applyNumberFormat="1" applyFill="1" applyBorder="1" applyAlignment="1">
      <alignment horizontal="right"/>
    </xf>
    <xf numFmtId="0" fontId="21" fillId="6" borderId="14" xfId="0" applyFont="1" applyFill="1" applyBorder="1" applyAlignment="1">
      <alignment horizontal="center" vertical="center" wrapText="1"/>
    </xf>
    <xf numFmtId="166" fontId="0" fillId="6" borderId="26" xfId="0" applyNumberFormat="1" applyFill="1" applyBorder="1" applyAlignment="1">
      <alignment horizontal="center" vertical="center"/>
    </xf>
    <xf numFmtId="169" fontId="0" fillId="6" borderId="1" xfId="1" applyNumberFormat="1" applyFont="1" applyFill="1" applyBorder="1" applyAlignment="1">
      <alignment horizontal="center" vertical="center"/>
    </xf>
    <xf numFmtId="0" fontId="2" fillId="6" borderId="1" xfId="0"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wrapText="1"/>
    </xf>
    <xf numFmtId="165" fontId="0" fillId="6" borderId="1" xfId="0" applyNumberFormat="1" applyFill="1" applyBorder="1" applyAlignment="1">
      <alignment horizontal="center" vertical="center"/>
    </xf>
    <xf numFmtId="166" fontId="0" fillId="6" borderId="1" xfId="0" applyNumberFormat="1" applyFill="1" applyBorder="1" applyAlignment="1">
      <alignment horizontal="center" vertical="center"/>
    </xf>
    <xf numFmtId="1" fontId="0" fillId="0" borderId="1" xfId="0" applyNumberFormat="1" applyFill="1" applyBorder="1"/>
    <xf numFmtId="3" fontId="0" fillId="2" borderId="27" xfId="0" applyNumberFormat="1" applyFill="1" applyBorder="1" applyAlignment="1">
      <alignment horizontal="center" vertical="center"/>
    </xf>
    <xf numFmtId="0" fontId="18" fillId="9" borderId="27" xfId="0" applyFont="1" applyFill="1" applyBorder="1" applyAlignment="1">
      <alignment horizontal="center" textRotation="90" wrapText="1"/>
    </xf>
    <xf numFmtId="0" fontId="18" fillId="9" borderId="2" xfId="0" applyFont="1" applyFill="1" applyBorder="1" applyAlignment="1">
      <alignment horizontal="center" textRotation="90" wrapText="1"/>
    </xf>
    <xf numFmtId="4" fontId="0" fillId="2" borderId="19" xfId="0" applyNumberForma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 fontId="0" fillId="2" borderId="23" xfId="0" applyNumberFormat="1" applyFill="1" applyBorder="1" applyAlignment="1">
      <alignment horizontal="center" vertical="center"/>
    </xf>
    <xf numFmtId="0" fontId="0" fillId="5" borderId="0" xfId="0" applyFill="1" applyBorder="1"/>
    <xf numFmtId="0" fontId="0" fillId="2" borderId="19" xfId="0" applyFill="1" applyBorder="1"/>
    <xf numFmtId="0" fontId="0" fillId="2" borderId="0" xfId="0" applyFill="1" applyBorder="1"/>
    <xf numFmtId="0" fontId="23" fillId="8" borderId="30" xfId="0" applyFont="1" applyFill="1" applyBorder="1" applyAlignment="1">
      <alignment horizontal="right"/>
    </xf>
    <xf numFmtId="0" fontId="20" fillId="0" borderId="0" xfId="0" applyFont="1" applyAlignment="1">
      <alignment wrapText="1"/>
    </xf>
    <xf numFmtId="0" fontId="0" fillId="0" borderId="0" xfId="0" applyAlignment="1">
      <alignment horizontal="right" wrapText="1"/>
    </xf>
    <xf numFmtId="0" fontId="30" fillId="0" borderId="0" xfId="0" applyFont="1" applyFill="1" applyAlignment="1">
      <alignment horizontal="left"/>
    </xf>
    <xf numFmtId="0" fontId="31" fillId="0" borderId="0" xfId="0" applyFont="1"/>
    <xf numFmtId="0" fontId="32" fillId="0" borderId="0" xfId="0" applyFont="1" applyFill="1" applyBorder="1" applyAlignment="1">
      <alignment horizontal="center" wrapText="1"/>
    </xf>
    <xf numFmtId="0" fontId="30" fillId="0" borderId="0" xfId="0" applyFont="1"/>
    <xf numFmtId="0" fontId="13" fillId="0" borderId="0" xfId="0" applyFont="1" applyAlignment="1">
      <alignment horizontal="left"/>
    </xf>
    <xf numFmtId="0" fontId="35" fillId="3" borderId="0" xfId="0" applyFont="1" applyFill="1" applyAlignment="1">
      <alignment horizontal="left" vertical="center" wrapText="1"/>
    </xf>
    <xf numFmtId="0" fontId="6" fillId="3" borderId="1" xfId="0" applyFont="1" applyFill="1" applyBorder="1" applyAlignment="1">
      <alignment horizontal="left" vertical="center" wrapText="1"/>
    </xf>
    <xf numFmtId="0" fontId="0" fillId="9" borderId="0" xfId="0" applyFill="1"/>
    <xf numFmtId="43" fontId="0" fillId="10" borderId="0" xfId="0" applyNumberFormat="1" applyFill="1"/>
    <xf numFmtId="43" fontId="0" fillId="6" borderId="0" xfId="0" applyNumberFormat="1" applyFill="1"/>
    <xf numFmtId="0" fontId="0" fillId="3" borderId="24" xfId="0" applyFont="1" applyFill="1" applyBorder="1" applyAlignment="1">
      <alignment horizontal="left" vertical="center" wrapText="1"/>
    </xf>
    <xf numFmtId="43" fontId="0" fillId="10" borderId="1" xfId="1" applyFont="1" applyFill="1" applyBorder="1" applyAlignment="1">
      <alignment wrapText="1"/>
    </xf>
    <xf numFmtId="43" fontId="2" fillId="10" borderId="1" xfId="1" applyFont="1" applyFill="1" applyBorder="1"/>
    <xf numFmtId="43" fontId="0" fillId="6" borderId="1" xfId="1" applyFont="1" applyFill="1" applyBorder="1" applyAlignment="1">
      <alignment wrapText="1"/>
    </xf>
    <xf numFmtId="43" fontId="2" fillId="6" borderId="1" xfId="1" applyFont="1" applyFill="1" applyBorder="1"/>
    <xf numFmtId="0" fontId="0" fillId="4" borderId="27" xfId="0" applyFill="1" applyBorder="1" applyAlignment="1">
      <alignment horizontal="center" vertical="center" textRotation="90" wrapText="1"/>
    </xf>
    <xf numFmtId="1" fontId="0" fillId="9" borderId="28" xfId="0" applyNumberFormat="1" applyFill="1" applyBorder="1"/>
    <xf numFmtId="1" fontId="0" fillId="9" borderId="27" xfId="0" applyNumberFormat="1" applyFill="1" applyBorder="1"/>
    <xf numFmtId="166" fontId="0" fillId="9" borderId="1" xfId="0" applyNumberFormat="1" applyFill="1" applyBorder="1"/>
    <xf numFmtId="0" fontId="23" fillId="9" borderId="1" xfId="0" applyFont="1" applyFill="1" applyBorder="1"/>
    <xf numFmtId="0" fontId="23" fillId="10" borderId="1" xfId="0" applyFont="1" applyFill="1" applyBorder="1"/>
    <xf numFmtId="0" fontId="23" fillId="4" borderId="1" xfId="0" applyFont="1" applyFill="1" applyBorder="1"/>
    <xf numFmtId="0" fontId="23" fillId="6" borderId="1" xfId="0" applyFont="1" applyFill="1" applyBorder="1"/>
    <xf numFmtId="166" fontId="0" fillId="9" borderId="29" xfId="0" applyNumberFormat="1" applyFill="1" applyBorder="1"/>
    <xf numFmtId="166" fontId="0" fillId="10" borderId="29" xfId="0" applyNumberFormat="1" applyFill="1" applyBorder="1"/>
    <xf numFmtId="166" fontId="0" fillId="4" borderId="29" xfId="0" applyNumberFormat="1" applyFill="1" applyBorder="1"/>
    <xf numFmtId="166" fontId="0" fillId="6" borderId="29" xfId="0" applyNumberFormat="1" applyFill="1" applyBorder="1"/>
    <xf numFmtId="0" fontId="0" fillId="0" borderId="2" xfId="0" applyBorder="1" applyAlignment="1">
      <alignment vertical="center" wrapText="1"/>
    </xf>
    <xf numFmtId="0" fontId="2" fillId="0" borderId="1" xfId="0" applyFont="1" applyBorder="1" applyAlignment="1">
      <alignment horizontal="center" vertical="center" wrapText="1"/>
    </xf>
    <xf numFmtId="0" fontId="10" fillId="0" borderId="1" xfId="0" applyFont="1" applyFill="1" applyBorder="1" applyAlignment="1">
      <alignment horizontal="right" wrapText="1"/>
    </xf>
    <xf numFmtId="0" fontId="0" fillId="13" borderId="1" xfId="0" applyFill="1" applyBorder="1" applyAlignment="1">
      <alignment horizontal="right"/>
    </xf>
    <xf numFmtId="3" fontId="0" fillId="13" borderId="1" xfId="0" applyNumberFormat="1" applyFill="1" applyBorder="1" applyAlignment="1">
      <alignment horizontal="right"/>
    </xf>
    <xf numFmtId="1" fontId="20" fillId="13" borderId="1" xfId="0" applyNumberFormat="1" applyFont="1" applyFill="1" applyBorder="1" applyAlignment="1">
      <alignment horizontal="right"/>
    </xf>
    <xf numFmtId="0" fontId="6" fillId="9" borderId="1" xfId="0" applyFont="1" applyFill="1" applyBorder="1" applyAlignment="1">
      <alignment horizontal="center" vertical="center" textRotation="90" wrapText="1"/>
    </xf>
    <xf numFmtId="0" fontId="6" fillId="10" borderId="1" xfId="0" applyFont="1" applyFill="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6" borderId="1" xfId="0" applyFont="1" applyFill="1" applyBorder="1" applyAlignment="1">
      <alignment horizontal="center" vertical="center" textRotation="90" wrapText="1"/>
    </xf>
    <xf numFmtId="0" fontId="0" fillId="0" borderId="23" xfId="0" applyBorder="1" applyAlignment="1">
      <alignment vertical="center" wrapText="1"/>
    </xf>
    <xf numFmtId="0" fontId="0" fillId="0" borderId="22" xfId="0" applyBorder="1" applyAlignment="1">
      <alignment wrapText="1"/>
    </xf>
    <xf numFmtId="3" fontId="0" fillId="2" borderId="28" xfId="0" applyNumberFormat="1" applyFill="1" applyBorder="1" applyAlignment="1">
      <alignment horizontal="center" vertical="center"/>
    </xf>
    <xf numFmtId="166" fontId="0" fillId="4" borderId="26" xfId="0" applyNumberFormat="1" applyFill="1" applyBorder="1"/>
    <xf numFmtId="4" fontId="0" fillId="2" borderId="0" xfId="0" applyNumberFormat="1" applyFill="1" applyBorder="1" applyAlignment="1">
      <alignment horizontal="center" vertical="center"/>
    </xf>
    <xf numFmtId="0" fontId="0" fillId="2" borderId="0" xfId="0" applyFill="1" applyBorder="1" applyAlignment="1">
      <alignment horizontal="center" vertical="center"/>
    </xf>
    <xf numFmtId="0" fontId="0" fillId="2" borderId="22" xfId="0" applyFill="1" applyBorder="1" applyAlignment="1">
      <alignment horizontal="center" vertical="center"/>
    </xf>
    <xf numFmtId="9" fontId="0" fillId="2" borderId="21" xfId="2" applyFont="1" applyFill="1" applyBorder="1" applyAlignment="1">
      <alignment horizontal="center" wrapText="1"/>
    </xf>
    <xf numFmtId="9" fontId="0" fillId="2" borderId="0" xfId="2" applyFont="1" applyFill="1" applyBorder="1" applyAlignment="1">
      <alignment horizontal="center" wrapText="1"/>
    </xf>
    <xf numFmtId="0" fontId="19" fillId="0" borderId="1" xfId="0" applyFont="1" applyBorder="1"/>
    <xf numFmtId="166" fontId="0" fillId="0" borderId="4" xfId="1" applyNumberFormat="1" applyFont="1" applyBorder="1" applyAlignment="1">
      <alignment horizontal="right"/>
    </xf>
    <xf numFmtId="166" fontId="0" fillId="0" borderId="5" xfId="1" applyNumberFormat="1" applyFont="1" applyBorder="1" applyAlignment="1">
      <alignment horizontal="right"/>
    </xf>
    <xf numFmtId="166" fontId="0" fillId="0" borderId="7" xfId="1" applyNumberFormat="1" applyFont="1" applyBorder="1" applyAlignment="1">
      <alignment horizontal="right"/>
    </xf>
    <xf numFmtId="166" fontId="0" fillId="0" borderId="8" xfId="1" applyNumberFormat="1" applyFont="1" applyBorder="1" applyAlignment="1">
      <alignment horizontal="right"/>
    </xf>
    <xf numFmtId="166" fontId="0" fillId="0" borderId="4" xfId="0" applyNumberFormat="1" applyBorder="1" applyAlignment="1">
      <alignment horizontal="right"/>
    </xf>
    <xf numFmtId="166" fontId="0" fillId="0" borderId="5" xfId="0" applyNumberFormat="1" applyBorder="1" applyAlignment="1">
      <alignment horizontal="right"/>
    </xf>
    <xf numFmtId="166" fontId="0" fillId="0" borderId="7" xfId="0" applyNumberFormat="1" applyBorder="1" applyAlignment="1">
      <alignment horizontal="right"/>
    </xf>
    <xf numFmtId="166" fontId="0" fillId="0" borderId="8" xfId="0" applyNumberFormat="1" applyBorder="1" applyAlignment="1">
      <alignment horizontal="right"/>
    </xf>
    <xf numFmtId="166" fontId="0" fillId="0" borderId="10" xfId="0" applyNumberFormat="1" applyBorder="1" applyAlignment="1">
      <alignment horizontal="right"/>
    </xf>
    <xf numFmtId="166" fontId="0" fillId="0" borderId="11" xfId="0" applyNumberFormat="1" applyBorder="1" applyAlignment="1">
      <alignment horizontal="right"/>
    </xf>
    <xf numFmtId="1" fontId="0" fillId="0" borderId="7" xfId="1" applyNumberFormat="1" applyFont="1" applyBorder="1" applyAlignment="1">
      <alignment horizontal="right"/>
    </xf>
    <xf numFmtId="1" fontId="0" fillId="0" borderId="8" xfId="1" applyNumberFormat="1" applyFont="1" applyBorder="1" applyAlignment="1">
      <alignment horizontal="right"/>
    </xf>
    <xf numFmtId="1" fontId="0" fillId="0" borderId="0" xfId="1" applyNumberFormat="1" applyFont="1" applyBorder="1" applyAlignment="1">
      <alignment horizontal="right"/>
    </xf>
    <xf numFmtId="1" fontId="0" fillId="0" borderId="10" xfId="1" applyNumberFormat="1" applyFont="1" applyBorder="1" applyAlignment="1">
      <alignment horizontal="right"/>
    </xf>
    <xf numFmtId="1" fontId="0" fillId="0" borderId="11" xfId="1" applyNumberFormat="1" applyFont="1" applyBorder="1" applyAlignment="1">
      <alignment horizontal="right"/>
    </xf>
    <xf numFmtId="0" fontId="0" fillId="0" borderId="0" xfId="0" applyAlignment="1">
      <alignment horizontal="left" wrapText="1"/>
    </xf>
    <xf numFmtId="0" fontId="12" fillId="0" borderId="0" xfId="0" applyFont="1" applyAlignment="1">
      <alignment horizontal="left" vertical="center" wrapText="1"/>
    </xf>
    <xf numFmtId="0" fontId="15" fillId="3" borderId="2" xfId="0" applyFont="1" applyFill="1" applyBorder="1" applyAlignment="1">
      <alignment horizontal="left" vertical="center" wrapText="1"/>
    </xf>
    <xf numFmtId="0" fontId="15" fillId="3" borderId="30"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2" xfId="0" applyFill="1" applyBorder="1" applyAlignment="1">
      <alignment wrapText="1"/>
    </xf>
    <xf numFmtId="0" fontId="0" fillId="3" borderId="30" xfId="0" applyFill="1" applyBorder="1" applyAlignment="1">
      <alignment wrapText="1"/>
    </xf>
    <xf numFmtId="0" fontId="0" fillId="3" borderId="29" xfId="0" applyFill="1" applyBorder="1" applyAlignment="1">
      <alignment wrapText="1"/>
    </xf>
    <xf numFmtId="0" fontId="0" fillId="0" borderId="0" xfId="0" applyAlignment="1">
      <alignment wrapText="1"/>
    </xf>
    <xf numFmtId="0" fontId="0" fillId="9" borderId="2" xfId="0" applyFill="1" applyBorder="1" applyAlignment="1">
      <alignment wrapText="1"/>
    </xf>
    <xf numFmtId="0" fontId="0" fillId="9" borderId="29" xfId="0" applyFill="1" applyBorder="1" applyAlignment="1">
      <alignment wrapText="1"/>
    </xf>
    <xf numFmtId="0" fontId="0" fillId="6" borderId="2" xfId="0" applyFill="1" applyBorder="1" applyAlignment="1">
      <alignment wrapText="1"/>
    </xf>
    <xf numFmtId="0" fontId="0" fillId="6" borderId="30" xfId="0" applyFill="1" applyBorder="1" applyAlignment="1">
      <alignment wrapText="1"/>
    </xf>
    <xf numFmtId="0" fontId="0" fillId="6" borderId="29" xfId="0" applyFill="1" applyBorder="1" applyAlignment="1">
      <alignment wrapText="1"/>
    </xf>
    <xf numFmtId="1" fontId="0" fillId="0" borderId="2" xfId="0" applyNumberFormat="1" applyBorder="1" applyAlignment="1">
      <alignment wrapText="1"/>
    </xf>
    <xf numFmtId="1" fontId="0" fillId="0" borderId="29" xfId="0" applyNumberFormat="1" applyBorder="1" applyAlignment="1">
      <alignment wrapText="1"/>
    </xf>
    <xf numFmtId="1" fontId="0" fillId="6" borderId="2" xfId="0" applyNumberFormat="1" applyFill="1" applyBorder="1" applyAlignment="1">
      <alignment wrapText="1"/>
    </xf>
    <xf numFmtId="1" fontId="0" fillId="6" borderId="29" xfId="0" applyNumberFormat="1" applyFill="1" applyBorder="1" applyAlignment="1">
      <alignment wrapText="1"/>
    </xf>
    <xf numFmtId="0" fontId="11" fillId="3" borderId="2"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 xfId="0" applyFont="1" applyBorder="1" applyAlignment="1">
      <alignment wrapText="1"/>
    </xf>
    <xf numFmtId="0" fontId="2" fillId="0" borderId="30" xfId="0" applyFont="1" applyBorder="1" applyAlignment="1">
      <alignment wrapText="1"/>
    </xf>
    <xf numFmtId="0" fontId="2" fillId="0" borderId="29" xfId="0" applyFont="1" applyBorder="1" applyAlignment="1">
      <alignment wrapText="1"/>
    </xf>
    <xf numFmtId="0" fontId="0" fillId="0" borderId="2" xfId="0" applyBorder="1" applyAlignment="1">
      <alignment vertical="center" wrapText="1"/>
    </xf>
    <xf numFmtId="0" fontId="0" fillId="0" borderId="29" xfId="0" applyBorder="1" applyAlignment="1">
      <alignment vertical="center" wrapText="1"/>
    </xf>
    <xf numFmtId="0" fontId="2"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0" xfId="0" applyBorder="1" applyAlignment="1">
      <alignment wrapText="1"/>
    </xf>
    <xf numFmtId="0" fontId="0" fillId="0" borderId="29" xfId="0" applyBorder="1" applyAlignment="1">
      <alignment wrapText="1"/>
    </xf>
    <xf numFmtId="0" fontId="19" fillId="0" borderId="2" xfId="0" applyFont="1" applyBorder="1" applyAlignment="1">
      <alignment wrapText="1"/>
    </xf>
    <xf numFmtId="0" fontId="19" fillId="0" borderId="30" xfId="0" applyFont="1" applyBorder="1" applyAlignment="1">
      <alignment wrapText="1"/>
    </xf>
    <xf numFmtId="0" fontId="19" fillId="0" borderId="29" xfId="0" applyFont="1" applyBorder="1" applyAlignment="1">
      <alignment wrapText="1"/>
    </xf>
    <xf numFmtId="0" fontId="10" fillId="0" borderId="2" xfId="0" applyFont="1" applyBorder="1" applyAlignment="1">
      <alignment horizontal="right" wrapText="1"/>
    </xf>
    <xf numFmtId="0" fontId="10" fillId="0" borderId="30" xfId="0" applyFont="1" applyBorder="1" applyAlignment="1">
      <alignment horizontal="right" wrapText="1"/>
    </xf>
    <xf numFmtId="0" fontId="10" fillId="0" borderId="29" xfId="0" applyFont="1" applyBorder="1" applyAlignment="1">
      <alignment horizontal="right" wrapText="1"/>
    </xf>
    <xf numFmtId="0" fontId="34" fillId="3" borderId="21" xfId="0" applyFont="1" applyFill="1" applyBorder="1" applyAlignment="1">
      <alignment horizontal="left" vertical="center" wrapText="1"/>
    </xf>
    <xf numFmtId="0" fontId="34" fillId="3" borderId="22" xfId="0" applyFont="1" applyFill="1" applyBorder="1" applyAlignment="1">
      <alignment horizontal="left" vertical="center" wrapText="1"/>
    </xf>
    <xf numFmtId="0" fontId="13" fillId="0" borderId="0" xfId="0" applyFont="1" applyAlignment="1">
      <alignment horizontal="left" vertical="center" wrapText="1"/>
    </xf>
    <xf numFmtId="0" fontId="2" fillId="0" borderId="2" xfId="0" applyFont="1" applyFill="1" applyBorder="1" applyAlignment="1">
      <alignment wrapText="1"/>
    </xf>
    <xf numFmtId="0" fontId="0" fillId="9" borderId="30" xfId="0" applyFill="1" applyBorder="1" applyAlignment="1">
      <alignment wrapText="1"/>
    </xf>
    <xf numFmtId="2" fontId="0" fillId="0" borderId="30" xfId="0" applyNumberFormat="1" applyBorder="1" applyAlignment="1">
      <alignment wrapText="1"/>
    </xf>
    <xf numFmtId="2" fontId="0" fillId="0" borderId="29" xfId="0" applyNumberFormat="1" applyBorder="1" applyAlignment="1">
      <alignment wrapText="1"/>
    </xf>
    <xf numFmtId="0" fontId="11" fillId="3" borderId="2" xfId="0" applyFont="1" applyFill="1" applyBorder="1" applyAlignment="1">
      <alignment vertical="center" wrapText="1"/>
    </xf>
    <xf numFmtId="0" fontId="0" fillId="3" borderId="30" xfId="0" applyFill="1" applyBorder="1" applyAlignment="1">
      <alignment vertical="center" wrapText="1"/>
    </xf>
    <xf numFmtId="0" fontId="0" fillId="3" borderId="29" xfId="0" applyFill="1" applyBorder="1" applyAlignment="1">
      <alignment vertical="center" wrapText="1"/>
    </xf>
    <xf numFmtId="10" fontId="0" fillId="0" borderId="30" xfId="0" applyNumberFormat="1" applyBorder="1" applyAlignment="1">
      <alignment wrapText="1"/>
    </xf>
    <xf numFmtId="10" fontId="0" fillId="0" borderId="29" xfId="0" applyNumberFormat="1" applyBorder="1" applyAlignment="1">
      <alignment wrapText="1"/>
    </xf>
    <xf numFmtId="1" fontId="27" fillId="6" borderId="18" xfId="0" applyNumberFormat="1" applyFont="1" applyFill="1" applyBorder="1" applyAlignment="1">
      <alignment horizontal="center" vertical="center" wrapText="1"/>
    </xf>
    <xf numFmtId="0" fontId="27" fillId="6" borderId="19" xfId="0" applyFont="1" applyFill="1" applyBorder="1" applyAlignment="1">
      <alignment horizontal="center" vertical="center" wrapText="1"/>
    </xf>
    <xf numFmtId="0" fontId="0" fillId="0" borderId="20" xfId="0" applyBorder="1" applyAlignment="1">
      <alignment wrapText="1"/>
    </xf>
    <xf numFmtId="0" fontId="27" fillId="6" borderId="21"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0" fillId="0" borderId="22" xfId="0" applyBorder="1" applyAlignment="1">
      <alignment wrapText="1"/>
    </xf>
    <xf numFmtId="0" fontId="27" fillId="6" borderId="23" xfId="0" applyFont="1" applyFill="1" applyBorder="1" applyAlignment="1">
      <alignment horizontal="center" vertical="center" wrapText="1"/>
    </xf>
    <xf numFmtId="0" fontId="27" fillId="6" borderId="24" xfId="0" applyFont="1" applyFill="1" applyBorder="1" applyAlignment="1">
      <alignment horizontal="center" vertical="center" wrapText="1"/>
    </xf>
    <xf numFmtId="0" fontId="0" fillId="0" borderId="25" xfId="0" applyBorder="1" applyAlignment="1">
      <alignment wrapText="1"/>
    </xf>
    <xf numFmtId="1" fontId="27" fillId="10" borderId="18" xfId="0" applyNumberFormat="1" applyFont="1" applyFill="1" applyBorder="1" applyAlignment="1">
      <alignment horizontal="center" vertical="center" wrapText="1"/>
    </xf>
    <xf numFmtId="0" fontId="27" fillId="10" borderId="19"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27" fillId="10" borderId="23" xfId="0" applyFont="1" applyFill="1" applyBorder="1" applyAlignment="1">
      <alignment horizontal="center" vertical="center" wrapText="1"/>
    </xf>
    <xf numFmtId="0" fontId="27" fillId="1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0" fillId="0" borderId="31" xfId="0" applyBorder="1" applyAlignment="1">
      <alignment horizontal="center" vertical="center" wrapText="1"/>
    </xf>
    <xf numFmtId="0" fontId="6" fillId="0" borderId="1" xfId="0" applyFont="1" applyFill="1" applyBorder="1" applyAlignment="1">
      <alignment horizontal="center" vertical="center" wrapText="1" shrinkToFit="1"/>
    </xf>
    <xf numFmtId="0" fontId="0" fillId="0" borderId="1" xfId="0" applyBorder="1" applyAlignment="1">
      <alignment horizontal="center" vertical="center" wrapText="1" shrinkToFit="1"/>
    </xf>
    <xf numFmtId="0" fontId="6" fillId="0" borderId="1" xfId="0" applyFont="1" applyFill="1" applyBorder="1" applyAlignment="1">
      <alignment horizontal="center" vertical="center" wrapText="1"/>
    </xf>
    <xf numFmtId="0" fontId="0" fillId="0" borderId="1" xfId="0" applyBorder="1" applyAlignment="1">
      <alignment horizontal="center" vertical="center" wrapText="1"/>
    </xf>
    <xf numFmtId="3"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2" borderId="19" xfId="0" applyFill="1" applyBorder="1" applyAlignment="1">
      <alignment wrapText="1"/>
    </xf>
    <xf numFmtId="0" fontId="0" fillId="2" borderId="0" xfId="0" applyFill="1" applyBorder="1" applyAlignment="1">
      <alignment wrapText="1"/>
    </xf>
    <xf numFmtId="0" fontId="0" fillId="2" borderId="24" xfId="0" applyFill="1" applyBorder="1" applyAlignment="1">
      <alignment wrapText="1"/>
    </xf>
    <xf numFmtId="9" fontId="0" fillId="2" borderId="18" xfId="2" applyFont="1" applyFill="1" applyBorder="1" applyAlignment="1">
      <alignment horizontal="center" wrapText="1"/>
    </xf>
    <xf numFmtId="9" fontId="0" fillId="2" borderId="19" xfId="2" applyFont="1" applyFill="1" applyBorder="1" applyAlignment="1">
      <alignment horizontal="center" wrapText="1"/>
    </xf>
    <xf numFmtId="9" fontId="0" fillId="2" borderId="23" xfId="2" applyFont="1" applyFill="1" applyBorder="1" applyAlignment="1">
      <alignment horizontal="center" wrapText="1"/>
    </xf>
    <xf numFmtId="9" fontId="0" fillId="2" borderId="24" xfId="2" applyFont="1" applyFill="1" applyBorder="1" applyAlignment="1">
      <alignment horizontal="center" wrapText="1"/>
    </xf>
    <xf numFmtId="0" fontId="0" fillId="0" borderId="1" xfId="0" applyFill="1" applyBorder="1" applyAlignment="1">
      <alignment horizontal="center" vertical="center" wrapText="1" shrinkToFit="1"/>
    </xf>
    <xf numFmtId="0" fontId="0" fillId="0" borderId="27" xfId="0" applyBorder="1" applyAlignment="1">
      <alignment horizontal="center" textRotation="90" wrapText="1"/>
    </xf>
    <xf numFmtId="0" fontId="0" fillId="0" borderId="26" xfId="0" applyBorder="1" applyAlignment="1">
      <alignment horizontal="center" textRotation="90" wrapText="1"/>
    </xf>
    <xf numFmtId="1" fontId="16" fillId="0" borderId="27" xfId="0" applyNumberFormat="1" applyFont="1" applyBorder="1" applyAlignment="1">
      <alignment horizontal="center" vertical="center" wrapText="1"/>
    </xf>
    <xf numFmtId="0" fontId="0" fillId="0" borderId="26" xfId="0" applyBorder="1" applyAlignment="1">
      <alignment wrapText="1"/>
    </xf>
    <xf numFmtId="0" fontId="0" fillId="0" borderId="27" xfId="0" applyFill="1" applyBorder="1" applyAlignment="1">
      <alignment horizontal="center" vertical="center" textRotation="90" wrapText="1"/>
    </xf>
    <xf numFmtId="0" fontId="0" fillId="0" borderId="26" xfId="0" applyBorder="1" applyAlignment="1">
      <alignment vertical="center" wrapText="1"/>
    </xf>
    <xf numFmtId="0" fontId="18" fillId="0" borderId="27" xfId="0" applyFont="1" applyFill="1" applyBorder="1" applyAlignment="1">
      <alignment horizontal="center" vertical="center" textRotation="90" wrapText="1"/>
    </xf>
    <xf numFmtId="0" fontId="18" fillId="0" borderId="26" xfId="0" applyFont="1" applyFill="1" applyBorder="1" applyAlignment="1">
      <alignment horizontal="center" vertical="center" textRotation="90" wrapText="1"/>
    </xf>
    <xf numFmtId="0" fontId="18" fillId="0" borderId="28" xfId="0" applyFont="1" applyFill="1" applyBorder="1" applyAlignment="1">
      <alignment horizontal="center" vertical="center" textRotation="90" wrapText="1"/>
    </xf>
    <xf numFmtId="0" fontId="17" fillId="0" borderId="2" xfId="0" applyFont="1" applyBorder="1" applyAlignment="1">
      <alignment horizontal="center" vertical="center" wrapText="1"/>
    </xf>
    <xf numFmtId="1" fontId="20" fillId="3" borderId="23" xfId="0" applyNumberFormat="1" applyFont="1" applyFill="1" applyBorder="1" applyAlignment="1">
      <alignment horizontal="center" vertical="center" wrapText="1"/>
    </xf>
    <xf numFmtId="1" fontId="20" fillId="3" borderId="24" xfId="0" applyNumberFormat="1" applyFont="1" applyFill="1" applyBorder="1" applyAlignment="1">
      <alignment horizontal="center" vertical="center" wrapText="1"/>
    </xf>
    <xf numFmtId="1" fontId="20" fillId="3" borderId="25" xfId="0" applyNumberFormat="1" applyFont="1" applyFill="1" applyBorder="1" applyAlignment="1">
      <alignment horizontal="center" vertical="center" wrapText="1"/>
    </xf>
    <xf numFmtId="0" fontId="6" fillId="0" borderId="0" xfId="0" applyFont="1" applyAlignment="1">
      <alignment horizontal="right" wrapText="1"/>
    </xf>
    <xf numFmtId="0" fontId="0" fillId="0" borderId="0" xfId="0" applyAlignment="1">
      <alignment horizontal="right" wrapText="1"/>
    </xf>
    <xf numFmtId="1" fontId="3" fillId="10" borderId="18" xfId="0" applyNumberFormat="1" applyFont="1" applyFill="1" applyBorder="1" applyAlignment="1">
      <alignment horizontal="center" vertical="center" wrapText="1"/>
    </xf>
    <xf numFmtId="0" fontId="0" fillId="10" borderId="20" xfId="0" applyFill="1" applyBorder="1" applyAlignment="1">
      <alignment horizontal="center" vertical="center" wrapText="1"/>
    </xf>
    <xf numFmtId="0" fontId="0" fillId="10" borderId="21"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25" xfId="0" applyFill="1" applyBorder="1" applyAlignment="1">
      <alignment horizontal="center" vertical="center" wrapText="1"/>
    </xf>
    <xf numFmtId="1" fontId="3" fillId="6" borderId="18" xfId="0" applyNumberFormat="1" applyFont="1"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25" xfId="0" applyFill="1" applyBorder="1" applyAlignment="1">
      <alignment horizontal="center" vertical="center" wrapText="1"/>
    </xf>
    <xf numFmtId="0" fontId="17" fillId="0" borderId="27" xfId="0" applyFont="1" applyBorder="1" applyAlignment="1">
      <alignment horizontal="center" vertical="center" textRotation="90" wrapText="1"/>
    </xf>
    <xf numFmtId="0" fontId="17" fillId="0" borderId="28" xfId="0" applyFont="1" applyBorder="1" applyAlignment="1">
      <alignment horizontal="center" vertical="center" textRotation="90" wrapText="1"/>
    </xf>
    <xf numFmtId="1" fontId="16" fillId="0" borderId="1" xfId="0" applyNumberFormat="1" applyFont="1" applyBorder="1" applyAlignment="1">
      <alignment horizontal="center" vertical="center" wrapText="1"/>
    </xf>
    <xf numFmtId="0" fontId="0" fillId="3" borderId="3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2" xfId="0" applyFill="1" applyBorder="1" applyAlignment="1">
      <alignment horizontal="center" vertical="center" wrapText="1"/>
    </xf>
    <xf numFmtId="0" fontId="0" fillId="14" borderId="18" xfId="0" applyFill="1" applyBorder="1" applyAlignment="1">
      <alignment horizontal="center" vertical="center" wrapText="1"/>
    </xf>
    <xf numFmtId="0" fontId="0" fillId="14" borderId="19" xfId="0" applyFill="1" applyBorder="1" applyAlignment="1">
      <alignment horizontal="center" vertical="center" wrapText="1"/>
    </xf>
    <xf numFmtId="0" fontId="0" fillId="14" borderId="20" xfId="0" applyFill="1" applyBorder="1" applyAlignment="1">
      <alignment horizontal="center" vertical="center" wrapText="1"/>
    </xf>
    <xf numFmtId="0" fontId="0" fillId="14" borderId="21"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22" xfId="0" applyFill="1" applyBorder="1" applyAlignment="1">
      <alignment horizontal="center" vertical="center" wrapText="1"/>
    </xf>
    <xf numFmtId="0" fontId="0" fillId="14" borderId="23" xfId="0" applyFill="1" applyBorder="1" applyAlignment="1">
      <alignment horizontal="center" vertical="center" wrapText="1"/>
    </xf>
    <xf numFmtId="0" fontId="0" fillId="14" borderId="24" xfId="0" applyFill="1" applyBorder="1" applyAlignment="1">
      <alignment horizontal="center" vertical="center" wrapText="1"/>
    </xf>
    <xf numFmtId="0" fontId="0" fillId="14" borderId="25" xfId="0" applyFill="1" applyBorder="1" applyAlignment="1">
      <alignment horizontal="center" vertical="center" wrapText="1"/>
    </xf>
    <xf numFmtId="0" fontId="0" fillId="15" borderId="18" xfId="0" applyFill="1" applyBorder="1" applyAlignment="1">
      <alignment horizontal="center" vertical="center" wrapText="1"/>
    </xf>
    <xf numFmtId="0" fontId="0" fillId="15" borderId="19" xfId="0" applyFill="1" applyBorder="1" applyAlignment="1">
      <alignment horizontal="center" vertical="center" wrapText="1"/>
    </xf>
    <xf numFmtId="0" fontId="0" fillId="15" borderId="20" xfId="0" applyFill="1" applyBorder="1" applyAlignment="1">
      <alignment horizontal="center" vertical="center" wrapText="1"/>
    </xf>
    <xf numFmtId="0" fontId="0" fillId="15" borderId="21"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22" xfId="0" applyFill="1" applyBorder="1" applyAlignment="1">
      <alignment horizontal="center" vertical="center" wrapText="1"/>
    </xf>
    <xf numFmtId="0" fontId="0" fillId="15" borderId="23" xfId="0" applyFill="1" applyBorder="1" applyAlignment="1">
      <alignment horizontal="center" vertical="center" wrapText="1"/>
    </xf>
    <xf numFmtId="0" fontId="0" fillId="15" borderId="24" xfId="0" applyFill="1" applyBorder="1" applyAlignment="1">
      <alignment horizontal="center" vertical="center" wrapText="1"/>
    </xf>
    <xf numFmtId="0" fontId="0" fillId="15" borderId="25" xfId="0"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16" borderId="18" xfId="0" applyFill="1" applyBorder="1" applyAlignment="1">
      <alignment horizontal="center" vertical="center" wrapText="1"/>
    </xf>
    <xf numFmtId="0" fontId="0" fillId="16" borderId="19" xfId="0" applyFill="1" applyBorder="1" applyAlignment="1">
      <alignment horizontal="center" vertical="center" wrapText="1"/>
    </xf>
    <xf numFmtId="0" fontId="0" fillId="16" borderId="20" xfId="0" applyFill="1" applyBorder="1" applyAlignment="1">
      <alignment horizontal="center" vertical="center" wrapText="1"/>
    </xf>
    <xf numFmtId="0" fontId="0" fillId="16" borderId="21"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22" xfId="0" applyFill="1" applyBorder="1" applyAlignment="1">
      <alignment horizontal="center" vertical="center" wrapText="1"/>
    </xf>
    <xf numFmtId="0" fontId="0" fillId="16" borderId="23" xfId="0" applyFill="1" applyBorder="1" applyAlignment="1">
      <alignment horizontal="center" vertical="center" wrapText="1"/>
    </xf>
    <xf numFmtId="0" fontId="0" fillId="16" borderId="24" xfId="0" applyFill="1" applyBorder="1" applyAlignment="1">
      <alignment horizontal="center" vertical="center" wrapText="1"/>
    </xf>
    <xf numFmtId="0" fontId="0" fillId="16" borderId="25"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24" xfId="0" applyFill="1" applyBorder="1" applyAlignment="1">
      <alignment horizontal="center" vertical="center" wrapText="1"/>
    </xf>
    <xf numFmtId="0" fontId="0" fillId="17" borderId="18" xfId="0" applyFill="1" applyBorder="1" applyAlignment="1">
      <alignment horizontal="center" vertical="center" wrapText="1"/>
    </xf>
    <xf numFmtId="0" fontId="0" fillId="17" borderId="19" xfId="0" applyFill="1" applyBorder="1" applyAlignment="1">
      <alignment horizontal="center" vertical="center" wrapText="1"/>
    </xf>
    <xf numFmtId="0" fontId="0" fillId="17" borderId="20" xfId="0" applyFill="1" applyBorder="1" applyAlignment="1">
      <alignment horizontal="center" vertical="center" wrapText="1"/>
    </xf>
    <xf numFmtId="0" fontId="0" fillId="17" borderId="21"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22" xfId="0" applyFill="1" applyBorder="1" applyAlignment="1">
      <alignment horizontal="center" vertical="center" wrapText="1"/>
    </xf>
    <xf numFmtId="0" fontId="0" fillId="17" borderId="23" xfId="0" applyFill="1" applyBorder="1" applyAlignment="1">
      <alignment horizontal="center" vertical="center" wrapText="1"/>
    </xf>
    <xf numFmtId="0" fontId="0" fillId="17" borderId="24" xfId="0" applyFill="1" applyBorder="1" applyAlignment="1">
      <alignment horizontal="center" vertical="center" wrapText="1"/>
    </xf>
    <xf numFmtId="0" fontId="0" fillId="17" borderId="25"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4" xfId="0" applyFill="1" applyBorder="1" applyAlignment="1">
      <alignment horizontal="center" vertical="center" wrapText="1"/>
    </xf>
    <xf numFmtId="0" fontId="6" fillId="6" borderId="1" xfId="0" applyFont="1" applyFill="1" applyBorder="1" applyAlignment="1">
      <alignment wrapText="1"/>
    </xf>
    <xf numFmtId="0" fontId="2" fillId="0" borderId="1" xfId="0" applyFont="1" applyBorder="1" applyAlignment="1">
      <alignment horizontal="center" vertical="center" wrapText="1"/>
    </xf>
    <xf numFmtId="0" fontId="19" fillId="0" borderId="18" xfId="0" applyFont="1" applyFill="1" applyBorder="1" applyAlignment="1">
      <alignment wrapText="1"/>
    </xf>
    <xf numFmtId="0" fontId="19" fillId="0" borderId="19" xfId="0" applyFont="1" applyBorder="1" applyAlignment="1">
      <alignment wrapText="1"/>
    </xf>
    <xf numFmtId="0" fontId="19" fillId="0" borderId="21" xfId="0" applyFont="1" applyBorder="1" applyAlignment="1">
      <alignment wrapText="1"/>
    </xf>
    <xf numFmtId="0" fontId="19" fillId="0" borderId="0" xfId="0" applyFont="1" applyBorder="1" applyAlignment="1">
      <alignment wrapText="1"/>
    </xf>
    <xf numFmtId="0" fontId="19" fillId="0" borderId="23" xfId="0" applyFont="1" applyBorder="1" applyAlignment="1">
      <alignment wrapText="1"/>
    </xf>
    <xf numFmtId="0" fontId="19" fillId="0" borderId="24" xfId="0" applyFont="1" applyBorder="1" applyAlignment="1">
      <alignment wrapText="1"/>
    </xf>
    <xf numFmtId="171" fontId="2" fillId="6" borderId="27" xfId="0" applyNumberFormat="1" applyFont="1" applyFill="1" applyBorder="1" applyAlignment="1">
      <alignment horizontal="center" vertical="center" wrapText="1"/>
    </xf>
    <xf numFmtId="171" fontId="2" fillId="6" borderId="28" xfId="0" applyNumberFormat="1" applyFont="1" applyFill="1" applyBorder="1" applyAlignment="1">
      <alignment horizontal="center" vertical="center" wrapText="1"/>
    </xf>
    <xf numFmtId="171" fontId="2" fillId="6" borderId="26"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171" fontId="0" fillId="0" borderId="27" xfId="0" applyNumberFormat="1" applyBorder="1" applyAlignment="1">
      <alignment horizontal="center" vertical="center" wrapText="1"/>
    </xf>
    <xf numFmtId="171" fontId="0" fillId="0" borderId="28" xfId="0" applyNumberFormat="1" applyBorder="1" applyAlignment="1">
      <alignment horizontal="center" vertical="center" wrapText="1"/>
    </xf>
    <xf numFmtId="171" fontId="0" fillId="0" borderId="26" xfId="0" applyNumberFormat="1" applyBorder="1" applyAlignment="1">
      <alignment wrapText="1"/>
    </xf>
    <xf numFmtId="0" fontId="6" fillId="0" borderId="1" xfId="0" applyFont="1" applyBorder="1" applyAlignment="1">
      <alignment wrapText="1"/>
    </xf>
    <xf numFmtId="0" fontId="6" fillId="10" borderId="1" xfId="0" applyFont="1" applyFill="1" applyBorder="1" applyAlignment="1">
      <alignment wrapText="1"/>
    </xf>
    <xf numFmtId="43" fontId="6" fillId="0" borderId="18" xfId="0" applyNumberFormat="1" applyFont="1" applyBorder="1" applyAlignment="1">
      <alignment horizontal="center" vertical="center" wrapText="1"/>
    </xf>
    <xf numFmtId="0" fontId="0" fillId="0" borderId="19"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24" xfId="0" applyBorder="1" applyAlignment="1">
      <alignment wrapText="1"/>
    </xf>
    <xf numFmtId="0" fontId="6" fillId="0" borderId="19" xfId="0" applyFont="1" applyBorder="1" applyAlignment="1">
      <alignment wrapText="1"/>
    </xf>
    <xf numFmtId="0" fontId="6" fillId="0" borderId="0" xfId="0" applyFont="1" applyBorder="1" applyAlignment="1">
      <alignment wrapText="1"/>
    </xf>
    <xf numFmtId="0" fontId="6" fillId="0" borderId="23" xfId="0" applyFont="1" applyBorder="1" applyAlignment="1">
      <alignment wrapText="1"/>
    </xf>
    <xf numFmtId="0" fontId="6" fillId="0" borderId="24" xfId="0" applyFont="1" applyBorder="1" applyAlignment="1">
      <alignment wrapText="1"/>
    </xf>
    <xf numFmtId="0" fontId="0" fillId="0" borderId="2" xfId="0" applyFill="1" applyBorder="1" applyAlignment="1">
      <alignment wrapText="1"/>
    </xf>
    <xf numFmtId="0" fontId="0" fillId="0" borderId="0" xfId="0" applyFill="1" applyAlignment="1">
      <alignment vertical="top" wrapText="1"/>
    </xf>
    <xf numFmtId="0" fontId="6" fillId="0" borderId="18" xfId="0" applyFont="1" applyFill="1" applyBorder="1" applyAlignment="1">
      <alignment wrapText="1"/>
    </xf>
    <xf numFmtId="0" fontId="6" fillId="0" borderId="21" xfId="0" applyFont="1" applyBorder="1" applyAlignment="1">
      <alignment wrapText="1"/>
    </xf>
    <xf numFmtId="171" fontId="2" fillId="10" borderId="18" xfId="0" applyNumberFormat="1" applyFont="1" applyFill="1" applyBorder="1" applyAlignment="1">
      <alignment horizontal="center" vertical="center" wrapText="1"/>
    </xf>
    <xf numFmtId="171" fontId="2" fillId="10" borderId="21" xfId="0" applyNumberFormat="1" applyFont="1" applyFill="1" applyBorder="1" applyAlignment="1">
      <alignment horizontal="center" vertical="center" wrapText="1"/>
    </xf>
    <xf numFmtId="171" fontId="2" fillId="10" borderId="23" xfId="0" applyNumberFormat="1" applyFont="1" applyFill="1" applyBorder="1" applyAlignment="1">
      <alignment wrapText="1"/>
    </xf>
    <xf numFmtId="0" fontId="0" fillId="3" borderId="2"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0" fillId="0" borderId="0"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2" fillId="0" borderId="12"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164" fontId="0" fillId="0" borderId="1" xfId="1" applyNumberFormat="1" applyFont="1" applyBorder="1"/>
    <xf numFmtId="0" fontId="0" fillId="11" borderId="2" xfId="0" applyFill="1" applyBorder="1" applyAlignment="1">
      <alignment horizontal="left" vertical="center" wrapText="1"/>
    </xf>
    <xf numFmtId="0" fontId="0" fillId="11" borderId="30" xfId="0" applyFill="1" applyBorder="1" applyAlignment="1">
      <alignment horizontal="left" vertical="center" wrapText="1"/>
    </xf>
    <xf numFmtId="0" fontId="0" fillId="0" borderId="2" xfId="0" applyFill="1" applyBorder="1" applyAlignment="1">
      <alignment horizontal="left" vertical="center" wrapText="1"/>
    </xf>
    <xf numFmtId="0" fontId="0" fillId="0" borderId="30" xfId="0" applyFill="1" applyBorder="1" applyAlignment="1">
      <alignment horizontal="left" vertical="center" wrapText="1"/>
    </xf>
    <xf numFmtId="0" fontId="0" fillId="12" borderId="2" xfId="0" applyFill="1" applyBorder="1" applyAlignment="1">
      <alignment horizontal="left" vertical="center" wrapText="1"/>
    </xf>
    <xf numFmtId="0" fontId="0" fillId="12" borderId="30" xfId="0"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0" fillId="0" borderId="1" xfId="0" applyFill="1" applyBorder="1" applyAlignment="1">
      <alignment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8" xfId="0" applyBorder="1" applyAlignment="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165" fontId="6" fillId="3" borderId="18" xfId="0" applyNumberFormat="1" applyFont="1" applyFill="1" applyBorder="1" applyAlignment="1">
      <alignment horizontal="left" vertical="center" wrapText="1"/>
    </xf>
    <xf numFmtId="165" fontId="6" fillId="3" borderId="19" xfId="0" applyNumberFormat="1" applyFont="1" applyFill="1" applyBorder="1" applyAlignment="1">
      <alignment horizontal="left" vertical="center" wrapText="1"/>
    </xf>
    <xf numFmtId="165" fontId="6" fillId="3" borderId="20" xfId="0" applyNumberFormat="1" applyFont="1" applyFill="1" applyBorder="1" applyAlignment="1">
      <alignment horizontal="left" vertical="center" wrapText="1"/>
    </xf>
    <xf numFmtId="165" fontId="6" fillId="3" borderId="21" xfId="0" applyNumberFormat="1" applyFont="1" applyFill="1" applyBorder="1" applyAlignment="1">
      <alignment horizontal="left" vertical="center" wrapText="1"/>
    </xf>
    <xf numFmtId="165" fontId="6" fillId="3" borderId="0" xfId="0" applyNumberFormat="1" applyFont="1" applyFill="1" applyBorder="1" applyAlignment="1">
      <alignment horizontal="left" vertical="center" wrapText="1"/>
    </xf>
    <xf numFmtId="165" fontId="6" fillId="3" borderId="22" xfId="0" applyNumberFormat="1" applyFont="1" applyFill="1" applyBorder="1" applyAlignment="1">
      <alignment horizontal="left" vertical="center" wrapText="1"/>
    </xf>
    <xf numFmtId="165" fontId="6" fillId="3" borderId="23" xfId="0" applyNumberFormat="1" applyFont="1" applyFill="1" applyBorder="1" applyAlignment="1">
      <alignment horizontal="left" vertical="center" wrapText="1"/>
    </xf>
    <xf numFmtId="165" fontId="6" fillId="3" borderId="24" xfId="0" applyNumberFormat="1"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7" xfId="0" applyBorder="1" applyAlignment="1">
      <alignment horizontal="center"/>
    </xf>
    <xf numFmtId="0" fontId="10" fillId="0" borderId="7" xfId="0" applyFont="1" applyBorder="1" applyAlignment="1">
      <alignment horizontal="center" wrapText="1"/>
    </xf>
    <xf numFmtId="0" fontId="10" fillId="0" borderId="0" xfId="0" applyFont="1" applyBorder="1" applyAlignment="1">
      <alignment horizontal="center" wrapText="1"/>
    </xf>
    <xf numFmtId="0" fontId="10" fillId="0" borderId="12" xfId="0" applyFont="1" applyBorder="1" applyAlignment="1">
      <alignment horizontal="center"/>
    </xf>
    <xf numFmtId="0" fontId="10" fillId="0" borderId="15"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wrapText="1"/>
    </xf>
    <xf numFmtId="0" fontId="10" fillId="0" borderId="15" xfId="0" applyFont="1" applyBorder="1" applyAlignment="1">
      <alignment horizontal="center" wrapText="1"/>
    </xf>
    <xf numFmtId="0" fontId="10" fillId="0" borderId="13" xfId="0" applyFont="1" applyBorder="1" applyAlignment="1">
      <alignment horizontal="center" wrapText="1"/>
    </xf>
    <xf numFmtId="0" fontId="10" fillId="0" borderId="8"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99FF"/>
      <color rgb="FF3399FF"/>
      <color rgb="FF33CCFF"/>
      <color rgb="FFFFCCFF"/>
      <color rgb="FFCCFFFF"/>
      <color rgb="FFFFFF99"/>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8"/>
  <sheetViews>
    <sheetView workbookViewId="0">
      <selection activeCell="F12" sqref="F12"/>
    </sheetView>
  </sheetViews>
  <sheetFormatPr defaultRowHeight="15" x14ac:dyDescent="0.25"/>
  <sheetData>
    <row r="1" spans="1:11" ht="56.25" customHeight="1" x14ac:dyDescent="0.25">
      <c r="A1" s="374" t="s">
        <v>113</v>
      </c>
      <c r="B1" s="374"/>
      <c r="C1" s="374"/>
      <c r="D1" s="374"/>
      <c r="E1" s="374"/>
      <c r="F1" s="374"/>
      <c r="G1" s="374"/>
      <c r="H1" s="374"/>
      <c r="I1" s="374"/>
      <c r="J1" s="374"/>
      <c r="K1" s="3"/>
    </row>
    <row r="2" spans="1:11" ht="13.5" customHeight="1" x14ac:dyDescent="0.25"/>
    <row r="3" spans="1:11" ht="25.5" customHeight="1" x14ac:dyDescent="0.25">
      <c r="A3" s="373" t="s">
        <v>115</v>
      </c>
      <c r="B3" s="373"/>
      <c r="C3" s="373"/>
      <c r="D3" s="373"/>
      <c r="E3" s="373"/>
      <c r="F3" s="373"/>
      <c r="G3" s="373"/>
      <c r="H3" s="373"/>
      <c r="I3" s="373"/>
      <c r="J3" s="373"/>
    </row>
    <row r="4" spans="1:11" ht="25.5" customHeight="1" x14ac:dyDescent="0.25">
      <c r="A4" s="373"/>
      <c r="B4" s="373"/>
      <c r="C4" s="373"/>
      <c r="D4" s="373"/>
      <c r="E4" s="373"/>
      <c r="F4" s="373"/>
      <c r="G4" s="373"/>
      <c r="H4" s="373"/>
      <c r="I4" s="373"/>
      <c r="J4" s="373"/>
    </row>
    <row r="5" spans="1:11" ht="13.5" customHeight="1" x14ac:dyDescent="0.25"/>
    <row r="6" spans="1:11" x14ac:dyDescent="0.25">
      <c r="A6" t="s">
        <v>112</v>
      </c>
    </row>
    <row r="8" spans="1:11" ht="76.5" customHeight="1" x14ac:dyDescent="0.25">
      <c r="A8" s="373" t="s">
        <v>119</v>
      </c>
      <c r="B8" s="373"/>
      <c r="C8" s="373"/>
      <c r="D8" s="373"/>
      <c r="E8" s="373"/>
      <c r="F8" s="373"/>
      <c r="G8" s="373"/>
      <c r="H8" s="373"/>
      <c r="I8" s="373"/>
      <c r="J8" s="373"/>
    </row>
  </sheetData>
  <mergeCells count="3">
    <mergeCell ref="A3:J4"/>
    <mergeCell ref="A1:J1"/>
    <mergeCell ref="A8:J8"/>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1"/>
  <sheetViews>
    <sheetView zoomScaleNormal="100" workbookViewId="0">
      <pane xSplit="1" ySplit="3" topLeftCell="D4" activePane="bottomRight" state="frozen"/>
      <selection activeCell="F10" sqref="F10"/>
      <selection pane="topRight" activeCell="F10" sqref="F10"/>
      <selection pane="bottomLeft" activeCell="F10" sqref="F10"/>
      <selection pane="bottomRight" activeCell="F3" sqref="F3"/>
    </sheetView>
  </sheetViews>
  <sheetFormatPr defaultRowHeight="15" x14ac:dyDescent="0.25"/>
  <cols>
    <col min="1" max="1" width="58" bestFit="1" customWidth="1"/>
    <col min="2" max="13" width="11.7109375" customWidth="1"/>
  </cols>
  <sheetData>
    <row r="1" spans="1:13" ht="15.75" thickBot="1" x14ac:dyDescent="0.3">
      <c r="A1" t="s">
        <v>160</v>
      </c>
      <c r="B1" s="631">
        <v>6</v>
      </c>
      <c r="C1" s="631"/>
      <c r="D1" s="631">
        <v>7</v>
      </c>
      <c r="E1" s="631"/>
      <c r="F1" s="631">
        <v>12</v>
      </c>
      <c r="G1" s="631"/>
      <c r="H1" s="631">
        <v>17</v>
      </c>
      <c r="I1" s="631"/>
      <c r="J1" s="631">
        <v>17</v>
      </c>
      <c r="K1" s="631"/>
      <c r="L1" s="631">
        <v>9</v>
      </c>
      <c r="M1" s="631"/>
    </row>
    <row r="2" spans="1:13" ht="31.5" customHeight="1" x14ac:dyDescent="0.3">
      <c r="A2" s="37" t="s">
        <v>76</v>
      </c>
      <c r="B2" s="629" t="s">
        <v>154</v>
      </c>
      <c r="C2" s="630"/>
      <c r="D2" s="629" t="s">
        <v>155</v>
      </c>
      <c r="E2" s="630"/>
      <c r="F2" s="629" t="s">
        <v>329</v>
      </c>
      <c r="G2" s="630"/>
      <c r="H2" s="629" t="s">
        <v>156</v>
      </c>
      <c r="I2" s="630"/>
      <c r="J2" s="629" t="s">
        <v>74</v>
      </c>
      <c r="K2" s="630"/>
      <c r="L2" s="629" t="s">
        <v>75</v>
      </c>
      <c r="M2" s="630"/>
    </row>
    <row r="3" spans="1:13" ht="15.75" thickBot="1" x14ac:dyDescent="0.3">
      <c r="A3" s="1"/>
      <c r="B3" s="29" t="s">
        <v>78</v>
      </c>
      <c r="C3" s="30" t="s">
        <v>79</v>
      </c>
      <c r="D3" s="29" t="s">
        <v>78</v>
      </c>
      <c r="E3" s="30" t="s">
        <v>79</v>
      </c>
      <c r="F3" s="29" t="s">
        <v>78</v>
      </c>
      <c r="G3" s="30" t="s">
        <v>79</v>
      </c>
      <c r="H3" s="29" t="s">
        <v>78</v>
      </c>
      <c r="I3" s="30" t="s">
        <v>79</v>
      </c>
      <c r="J3" s="29" t="s">
        <v>78</v>
      </c>
      <c r="K3" s="30" t="s">
        <v>79</v>
      </c>
      <c r="L3" s="29" t="s">
        <v>78</v>
      </c>
      <c r="M3" s="30" t="s">
        <v>79</v>
      </c>
    </row>
    <row r="4" spans="1:13" x14ac:dyDescent="0.25">
      <c r="A4" s="31" t="s">
        <v>80</v>
      </c>
      <c r="B4" s="358">
        <v>3.4554219254982468</v>
      </c>
      <c r="C4" s="359">
        <v>1.2533142485831044</v>
      </c>
      <c r="D4" s="358">
        <v>4.3834055670326721</v>
      </c>
      <c r="E4" s="359">
        <v>2.0212988921328945</v>
      </c>
      <c r="F4" s="358">
        <v>4.8818672412121904</v>
      </c>
      <c r="G4" s="359">
        <v>3.0353311244301597</v>
      </c>
      <c r="H4" s="358">
        <v>5.7284141298620517</v>
      </c>
      <c r="I4" s="359">
        <v>1.9124042907392618</v>
      </c>
      <c r="J4" s="358">
        <v>7.2729315853202445</v>
      </c>
      <c r="K4" s="359">
        <v>2.6540848574299178</v>
      </c>
      <c r="L4" s="358">
        <v>8.0505060894577767</v>
      </c>
      <c r="M4" s="359">
        <v>4.3757667537606553</v>
      </c>
    </row>
    <row r="5" spans="1:13" x14ac:dyDescent="0.25">
      <c r="A5" s="32" t="str">
        <f>CONCATENATE("Vehicle ",'Fleet Inventory'!E3," per Technician")</f>
        <v>Vehicle  per Technician</v>
      </c>
      <c r="B5" s="368">
        <f>IF('Fleet Inventory'!E3="kilometers",1.609344*102227.230202005,102227.2302)</f>
        <v>102227.23020000001</v>
      </c>
      <c r="C5" s="369">
        <f>IF('Fleet Inventory'!E3="kilometers",1.609344*24681.484811127,24681.7848111269)</f>
        <v>24681.784811126901</v>
      </c>
      <c r="D5" s="370">
        <f>IF('Fleet Inventory'!E3="kilometers",1.609344*182502.482813586,182505.482813586)</f>
        <v>182505.48281358599</v>
      </c>
      <c r="E5" s="369">
        <f>IF('Fleet Inventory'!E3="kilometers",1.609344*107667.854891775,107667.854891775)</f>
        <v>107667.854891775</v>
      </c>
      <c r="F5" s="370">
        <f>IF('Fleet Inventory'!E3="kilometers",1.609344*176163.159786398,176163.159786398)</f>
        <v>176163.159786398</v>
      </c>
      <c r="G5" s="369">
        <f>IF('Fleet Inventory'!E3="kilometers",1.609344*54628.7903867048,54628.7903867048)</f>
        <v>54628.790386704801</v>
      </c>
      <c r="H5" s="370">
        <f>IF('Fleet Inventory'!E3="kilometers",1.609344*177627.97162963,177627.97162963)</f>
        <v>177627.97162962999</v>
      </c>
      <c r="I5" s="369">
        <f>IF('Fleet Inventory'!E3="kilometers",1.609344*55505.8661618743,55505.8661618743)</f>
        <v>55505.866161874299</v>
      </c>
      <c r="J5" s="370">
        <f>IF('Fleet Inventory'!E3="kilometers",1.609344*213378.29508976,213378.29508976)</f>
        <v>213378.29508976001</v>
      </c>
      <c r="K5" s="369">
        <f>IF('Fleet Inventory'!E3="kilometers",1.609344*79956.8554596415,79956.8554596415)</f>
        <v>79956.855459641505</v>
      </c>
      <c r="L5" s="370">
        <f>IF('Fleet Inventory'!E3="kilometers",1.609344*278508.58516667,278508.58516667)</f>
        <v>278508.58516666997</v>
      </c>
      <c r="M5" s="369">
        <f>IF('Fleet Inventory'!E3="kilometers",1.609344*89792.2025743713,89792.2025743713)</f>
        <v>89792.202574371302</v>
      </c>
    </row>
    <row r="6" spans="1:13" ht="15.75" thickBot="1" x14ac:dyDescent="0.3">
      <c r="A6" s="33" t="s">
        <v>81</v>
      </c>
      <c r="B6" s="371">
        <v>10300.987422312892</v>
      </c>
      <c r="C6" s="372">
        <v>1440.9753859807729</v>
      </c>
      <c r="D6" s="371">
        <v>10842.29995411916</v>
      </c>
      <c r="E6" s="372">
        <v>4158.8267623258344</v>
      </c>
      <c r="F6" s="371">
        <v>12263.549982830402</v>
      </c>
      <c r="G6" s="372">
        <v>3947.3230472161772</v>
      </c>
      <c r="H6" s="371">
        <v>13186.959385994818</v>
      </c>
      <c r="I6" s="372">
        <v>2914.215708592486</v>
      </c>
      <c r="J6" s="371">
        <v>14731.531834801421</v>
      </c>
      <c r="K6" s="372">
        <v>5222.5050608839192</v>
      </c>
      <c r="L6" s="371">
        <v>16974.813643556899</v>
      </c>
      <c r="M6" s="372">
        <v>5539.5900510085567</v>
      </c>
    </row>
    <row r="7" spans="1:13" x14ac:dyDescent="0.25">
      <c r="A7" s="34" t="s">
        <v>12</v>
      </c>
      <c r="B7" s="252">
        <v>0.31470799281326062</v>
      </c>
      <c r="C7" s="253">
        <v>8.7697577875904736E-2</v>
      </c>
      <c r="D7" s="252">
        <v>0.26822855407355489</v>
      </c>
      <c r="E7" s="253">
        <v>0.10733817789033213</v>
      </c>
      <c r="F7" s="252">
        <v>0.24979176011376958</v>
      </c>
      <c r="G7" s="253">
        <v>9.3315020465885273E-2</v>
      </c>
      <c r="H7" s="252">
        <v>0.19696120025702935</v>
      </c>
      <c r="I7" s="253">
        <v>7.5615452354727747E-2</v>
      </c>
      <c r="J7" s="252">
        <v>0.15735004776323991</v>
      </c>
      <c r="K7" s="253">
        <v>6.4026077703650291E-2</v>
      </c>
      <c r="L7" s="252">
        <v>0.14971208641956937</v>
      </c>
      <c r="M7" s="363">
        <v>5.7837594989250139E-2</v>
      </c>
    </row>
    <row r="8" spans="1:13" x14ac:dyDescent="0.25">
      <c r="A8" s="32" t="str">
        <f>CONCATENATE("FTE Technicians per 10k Vehicle ",'Fleet Inventory'!E3)</f>
        <v xml:space="preserve">FTE Technicians per 10k Vehicle </v>
      </c>
      <c r="B8" s="249">
        <f>IF('Fleet Inventory'!E3="kilometers",1.609344*0.102497474402619,0.102497474402619)</f>
        <v>0.102497474402619</v>
      </c>
      <c r="C8" s="250">
        <f>IF('Fleet Inventory'!E3="kilometers",1.609344*0.0238288517586352,0.0238288517586352)</f>
        <v>2.3828851758635201E-2</v>
      </c>
      <c r="D8" s="251">
        <f>IF('Fleet Inventory'!E3="kilometers",1.609344*0.0697282439344482,0.0697282439344482)</f>
        <v>6.9728243934448195E-2</v>
      </c>
      <c r="E8" s="250">
        <f>IF('Fleet Inventory'!E3="kilometers",1.609344*0.0324565271186712,0.0324565271186712)</f>
        <v>3.2456527118671197E-2</v>
      </c>
      <c r="F8" s="251">
        <f>IF('Fleet Inventory'!E3="kilometers",1.609344*0.061991558971969,0.061991558971969)</f>
        <v>6.1991558971969001E-2</v>
      </c>
      <c r="G8" s="250">
        <f>IF('Fleet Inventory'!E3="kilometers",1.609344*0.0205321994986365,0.0205321994986365)</f>
        <v>2.0532199498636501E-2</v>
      </c>
      <c r="H8" s="251">
        <f>IF('Fleet Inventory'!E3="kilometers",1.609344*0.0626384124897244,0.0626384124897244)</f>
        <v>6.2638412489724404E-2</v>
      </c>
      <c r="I8" s="250">
        <f>IF('Fleet Inventory'!E3="kilometers",1.609344*0.0245887345894662,0.0245887345894662)</f>
        <v>2.4588734589466199E-2</v>
      </c>
      <c r="J8" s="251">
        <f>IF('Fleet Inventory'!E3="kilometers",1.609344*0.0528461082684627,0.0528461082684627)</f>
        <v>5.2846108268462699E-2</v>
      </c>
      <c r="K8" s="250">
        <f>IF('Fleet Inventory'!E3="kilometers",1.609344*0.019871116711306,0.019871116711306)</f>
        <v>1.9871116711306001E-2</v>
      </c>
      <c r="L8" s="251">
        <f>IF('Fleet Inventory'!E3="kilometers",1.609344*0.0396274246640837,0.0396274246640837)</f>
        <v>3.9627424664083699E-2</v>
      </c>
      <c r="M8" s="361">
        <f>IF('Fleet Inventory'!E3="kilometers",1.609344*0.0145048927994488,0.0145048927994488)</f>
        <v>1.4504892799448801E-2</v>
      </c>
    </row>
    <row r="9" spans="1:13" ht="15.75" thickBot="1" x14ac:dyDescent="0.3">
      <c r="A9" s="36" t="s">
        <v>7</v>
      </c>
      <c r="B9" s="254">
        <v>9.8293503550946126E-2</v>
      </c>
      <c r="C9" s="255">
        <v>1.3055900830489136E-2</v>
      </c>
      <c r="D9" s="254">
        <v>0.1023813196622666</v>
      </c>
      <c r="E9" s="255">
        <v>3.4469684035215803E-2</v>
      </c>
      <c r="F9" s="254">
        <v>8.9390641245344918E-2</v>
      </c>
      <c r="G9" s="255">
        <v>3.1435775227682754E-2</v>
      </c>
      <c r="H9" s="254">
        <v>7.9638529212797932E-2</v>
      </c>
      <c r="I9" s="255">
        <v>1.9391226200456382E-2</v>
      </c>
      <c r="J9" s="254">
        <v>7.992957973434546E-2</v>
      </c>
      <c r="K9" s="255">
        <v>4.1244996059870198E-2</v>
      </c>
      <c r="L9" s="254">
        <v>6.4102248396432901E-2</v>
      </c>
      <c r="M9" s="365">
        <v>1.9648799738947776E-2</v>
      </c>
    </row>
    <row r="10" spans="1:13" x14ac:dyDescent="0.25">
      <c r="A10" s="34" t="s">
        <v>158</v>
      </c>
      <c r="B10" s="362">
        <v>484.04807916904082</v>
      </c>
      <c r="C10" s="363">
        <v>136.50233887289986</v>
      </c>
      <c r="D10" s="362">
        <v>459.48718202413221</v>
      </c>
      <c r="E10" s="363">
        <v>169.44169702719057</v>
      </c>
      <c r="F10" s="362">
        <v>410.14809361079529</v>
      </c>
      <c r="G10" s="363">
        <v>147.04961092983532</v>
      </c>
      <c r="H10" s="362">
        <v>337.23627870066321</v>
      </c>
      <c r="I10" s="363">
        <v>117.88212136906643</v>
      </c>
      <c r="J10" s="362">
        <v>246.99584936750276</v>
      </c>
      <c r="K10" s="363">
        <v>116.73549106515522</v>
      </c>
      <c r="L10" s="362">
        <v>237.06440532060276</v>
      </c>
      <c r="M10" s="363">
        <v>102.31573565101706</v>
      </c>
    </row>
    <row r="11" spans="1:13" x14ac:dyDescent="0.25">
      <c r="A11" s="32" t="str">
        <f>CONCATENATE("Annual Total Maintenance Hours per 10k Vehicle ",'Fleet Inventory'!E3)</f>
        <v xml:space="preserve">Annual Total Maintenance Hours per 10k Vehicle </v>
      </c>
      <c r="B11" s="360">
        <f>IF('Fleet Inventory'!E3="kilometers",1.609344*158.79329560001,158.79329560001)</f>
        <v>158.79329560001</v>
      </c>
      <c r="C11" s="361">
        <f>IF('Fleet Inventory'!E3="kilometers",1.609344*43.8022262153789,43.8022262153789)</f>
        <v>43.802226215378901</v>
      </c>
      <c r="D11" s="360">
        <f>IF('Fleet Inventory'!E3="kilometers",1.609344*114.298406846352,114.298406846352)</f>
        <v>114.29840684635199</v>
      </c>
      <c r="E11" s="361">
        <f>IF('Fleet Inventory'!E3="kilometers",1.609344*54.6094122512857,54.6094122512857)</f>
        <v>54.609412251285697</v>
      </c>
      <c r="F11" s="360">
        <f>IF('Fleet Inventory'!E3="kilometers",1.609344*97.6334512336952,97.6334512336952)</f>
        <v>97.633451233695197</v>
      </c>
      <c r="G11" s="361">
        <f>IF('Fleet Inventory'!E3="kilometers",1.609344*28.7514845495013,28.7514845495013)</f>
        <v>28.751484549501299</v>
      </c>
      <c r="H11" s="360">
        <f>IF('Fleet Inventory'!E3="kilometers",1.609344*108.325833106195,108.325833106195)</f>
        <v>108.32583310619501</v>
      </c>
      <c r="I11" s="361">
        <f>IF('Fleet Inventory'!E3="kilometers",1.609344*33.6620114587711,33.6620114587711)</f>
        <v>33.662011458771097</v>
      </c>
      <c r="J11" s="360">
        <f>IF('Fleet Inventory'!E3="kilometers",1.609344*84.5431023676678,84.5431023676678)</f>
        <v>84.5431023676678</v>
      </c>
      <c r="K11" s="361">
        <f>IF('Fleet Inventory'!E3="kilometers",1.609344*39.1517590157115,39.1517590157115)</f>
        <v>39.151759015711498</v>
      </c>
      <c r="L11" s="360">
        <f>IF('Fleet Inventory'!E3="kilometers",1.609344*62.8684909098604,62.8684909098604)</f>
        <v>62.868490909860398</v>
      </c>
      <c r="M11" s="361">
        <f>IF('Fleet Inventory'!E3="kilometers",1.609344*29.0836495563873,29.0836495563873)</f>
        <v>29.0836495563873</v>
      </c>
    </row>
    <row r="12" spans="1:13" ht="15.75" thickBot="1" x14ac:dyDescent="0.3">
      <c r="A12" s="35" t="s">
        <v>171</v>
      </c>
      <c r="B12" s="364">
        <v>150.07553741142149</v>
      </c>
      <c r="C12" s="365">
        <v>21.378226726421801</v>
      </c>
      <c r="D12" s="364">
        <v>166.25107472310896</v>
      </c>
      <c r="E12" s="365">
        <v>59.780173946696486</v>
      </c>
      <c r="F12" s="364">
        <v>142.26702568654943</v>
      </c>
      <c r="G12" s="365">
        <v>43.828711394551583</v>
      </c>
      <c r="H12" s="364">
        <v>142.71588208353057</v>
      </c>
      <c r="I12" s="365">
        <v>38.536373831844251</v>
      </c>
      <c r="J12" s="364">
        <v>127.28382223285725</v>
      </c>
      <c r="K12" s="365">
        <v>77.551713517886554</v>
      </c>
      <c r="L12" s="364">
        <v>102.25534533609314</v>
      </c>
      <c r="M12" s="365">
        <v>41.00998164182429</v>
      </c>
    </row>
    <row r="13" spans="1:13" x14ac:dyDescent="0.25">
      <c r="A13" s="246" t="str">
        <f>CONCATENATE("Annual ",'Fleet Inventory'!E3," per Vehicle")</f>
        <v>Annual  per Vehicle</v>
      </c>
      <c r="B13" s="358">
        <f>IF('Fleet Inventory'!E3="kilometers",1.609344*30847.2425491067,30847.2425491067)</f>
        <v>30847.242549106701</v>
      </c>
      <c r="C13" s="359">
        <f>IF('Fleet Inventory'!E3="kilometers",1.609344*6819.19642388217,6819.19642388217)</f>
        <v>6819.1964238821702</v>
      </c>
      <c r="D13" s="358">
        <f>IF('Fleet Inventory'!E3="kilometers",1.609344*40736.0273012554,40736.0273012554)</f>
        <v>40736.027301255403</v>
      </c>
      <c r="E13" s="359">
        <f>IF('Fleet Inventory'!E3="kilometers",1.609344*9545.28153069211,9545.28153069211)</f>
        <v>9545.2815306921093</v>
      </c>
      <c r="F13" s="358">
        <f>IF('Fleet Inventory'!E3="kilometers",1.609344*45120.7934400922,45120.7934400922)</f>
        <v>45120.793440092202</v>
      </c>
      <c r="G13" s="359">
        <f>IF('Fleet Inventory'!E3="kilometers",1.609344*8678.81380144513,8678.81380144513)</f>
        <v>8678.8138014451306</v>
      </c>
      <c r="H13" s="358">
        <f>IF('Fleet Inventory'!E3="kilometers",1.609344*33462.2555148975,33462.2555148975)</f>
        <v>33462.255514897501</v>
      </c>
      <c r="I13" s="359">
        <f>IF('Fleet Inventory'!E3="kilometers",1.609344*9638.69890047797,9638.69890047797)</f>
        <v>9638.6989004779698</v>
      </c>
      <c r="J13" s="358">
        <f>IF('Fleet Inventory'!E3="kilometers",1.609344*29361.8642789107,29361.8642789107)</f>
        <v>29361.8642789107</v>
      </c>
      <c r="K13" s="359">
        <f>IF('Fleet Inventory'!E3="kilometers",1.609344*6770.29591541434,6770.29591541434)</f>
        <v>6770.29591541434</v>
      </c>
      <c r="L13" s="358">
        <f>IF('Fleet Inventory'!E3="kilometers",1.609344*36055.5137291978,36055.5137291978)</f>
        <v>36055.513729197803</v>
      </c>
      <c r="M13" s="359">
        <f>IF('Fleet Inventory'!E3="kilometers",1.609344*10099.8013111776,10099.8013111776)</f>
        <v>10099.8013111776</v>
      </c>
    </row>
    <row r="14" spans="1:13" x14ac:dyDescent="0.25">
      <c r="A14" s="248" t="s">
        <v>101</v>
      </c>
      <c r="B14" s="364">
        <v>3151.8632348224096</v>
      </c>
      <c r="C14" s="365">
        <v>324.37882750204665</v>
      </c>
      <c r="D14" s="364">
        <v>2404.3979575122871</v>
      </c>
      <c r="E14" s="365">
        <v>614.43175241803817</v>
      </c>
      <c r="F14" s="364">
        <v>2975.9849002602928</v>
      </c>
      <c r="G14" s="365">
        <v>574.3825748828948</v>
      </c>
      <c r="H14" s="364">
        <v>2271.7036232994533</v>
      </c>
      <c r="I14" s="365">
        <v>731.31800137835432</v>
      </c>
      <c r="J14" s="364">
        <v>2003.3812158579058</v>
      </c>
      <c r="K14" s="365">
        <v>405.42057833302675</v>
      </c>
      <c r="L14" s="364">
        <v>2379.1048287968301</v>
      </c>
      <c r="M14" s="365">
        <v>820.22320484541524</v>
      </c>
    </row>
    <row r="15" spans="1:13" x14ac:dyDescent="0.25">
      <c r="A15" s="247" t="str">
        <f>CONCATENATE("Average ",'Fleet Inventory'!E3," per Hour in Operation")</f>
        <v>Average  per Hour in Operation</v>
      </c>
      <c r="B15" s="360">
        <f>IF('Fleet Inventory'!E3="kilometers",1.609344*10.1994688233665,10.1994688233665)</f>
        <v>10.1994688233665</v>
      </c>
      <c r="C15" s="361">
        <f>IF('Fleet Inventory'!E3="kilometers",1.609344*2.36682688968682,2.36682688968682)</f>
        <v>2.3668268896868199</v>
      </c>
      <c r="D15" s="360">
        <f>IF('Fleet Inventory'!E3="kilometers",1.609344*17.9230289729445,17.9230289729445)</f>
        <v>17.9230289729445</v>
      </c>
      <c r="E15" s="361">
        <f>IF('Fleet Inventory'!E3="kilometers",1.609344*5.65593850664383,5.65593850664383)</f>
        <v>5.6559385066438299</v>
      </c>
      <c r="F15" s="360">
        <f>IF('Fleet Inventory'!E3="kilometers",1.609344*14.6258199933816,14.6258199933816)</f>
        <v>14.625819993381601</v>
      </c>
      <c r="G15" s="361">
        <f>IF('Fleet Inventory'!E3="kilometers",1.609344*3.51128327554108,3.51128327554108)</f>
        <v>3.5112832755410799</v>
      </c>
      <c r="H15" s="360">
        <f>IF('Fleet Inventory'!E3="kilometers",1.609344*14.5680555225354,14.5680555225354)</f>
        <v>14.568055522535399</v>
      </c>
      <c r="I15" s="361">
        <f>IF('Fleet Inventory'!E3="kilometers",1.609344*2.85743872004368,2.85743872004368)</f>
        <v>2.8574387200436799</v>
      </c>
      <c r="J15" s="360">
        <f>IF('Fleet Inventory'!E3="kilometers",1.609344*14.0304614977185,14.0304614977185)</f>
        <v>14.0304614977185</v>
      </c>
      <c r="K15" s="361">
        <f>IF('Fleet Inventory'!E3="kilometers",1.609344*2.82847858196438,2.82847858196438)</f>
        <v>2.8284785819643798</v>
      </c>
      <c r="L15" s="360">
        <f>IF('Fleet Inventory'!E3="kilometers",1.609344*15.7852983391056,15.7852983391056)</f>
        <v>15.7852983391056</v>
      </c>
      <c r="M15" s="361">
        <f>IF('Fleet Inventory'!E3="kilometers",1.609344*3.45840983745727,3.45840983745727)</f>
        <v>3.4584098374572698</v>
      </c>
    </row>
    <row r="16" spans="1:13" ht="15.75" thickBot="1" x14ac:dyDescent="0.3">
      <c r="A16" s="102" t="s">
        <v>95</v>
      </c>
      <c r="B16" s="366">
        <v>8.4193812252273705</v>
      </c>
      <c r="C16" s="367">
        <v>0.70434426135633577</v>
      </c>
      <c r="D16" s="366">
        <v>9.1076601393910206</v>
      </c>
      <c r="E16" s="367">
        <v>3.2389886654892952</v>
      </c>
      <c r="F16" s="366">
        <v>7.0491238767446287</v>
      </c>
      <c r="G16" s="367">
        <v>1.8001957406069919</v>
      </c>
      <c r="H16" s="366">
        <v>8.6767095279949888</v>
      </c>
      <c r="I16" s="367">
        <v>2.2921419561264491</v>
      </c>
      <c r="J16" s="366">
        <v>7.5680832513505578</v>
      </c>
      <c r="K16" s="367">
        <v>2.5891028624109196</v>
      </c>
      <c r="L16" s="366">
        <v>8.33</v>
      </c>
      <c r="M16" s="367">
        <v>1</v>
      </c>
    </row>
    <row r="18" spans="1:7" x14ac:dyDescent="0.25">
      <c r="A18" s="620" t="s">
        <v>157</v>
      </c>
      <c r="B18" s="621"/>
      <c r="C18" s="621"/>
      <c r="D18" s="621"/>
      <c r="E18" s="621"/>
      <c r="F18" s="621"/>
      <c r="G18" s="622"/>
    </row>
    <row r="19" spans="1:7" x14ac:dyDescent="0.25">
      <c r="A19" s="623"/>
      <c r="B19" s="624"/>
      <c r="C19" s="624"/>
      <c r="D19" s="624"/>
      <c r="E19" s="624"/>
      <c r="F19" s="624"/>
      <c r="G19" s="625"/>
    </row>
    <row r="20" spans="1:7" x14ac:dyDescent="0.25">
      <c r="A20" s="623"/>
      <c r="B20" s="624"/>
      <c r="C20" s="624"/>
      <c r="D20" s="624"/>
      <c r="E20" s="624"/>
      <c r="F20" s="624"/>
      <c r="G20" s="625"/>
    </row>
    <row r="21" spans="1:7" x14ac:dyDescent="0.25">
      <c r="A21" s="626"/>
      <c r="B21" s="627"/>
      <c r="C21" s="627"/>
      <c r="D21" s="627"/>
      <c r="E21" s="627"/>
      <c r="F21" s="627"/>
      <c r="G21" s="628"/>
    </row>
  </sheetData>
  <mergeCells count="13">
    <mergeCell ref="L1:M1"/>
    <mergeCell ref="B1:C1"/>
    <mergeCell ref="D1:E1"/>
    <mergeCell ref="F1:G1"/>
    <mergeCell ref="H1:I1"/>
    <mergeCell ref="J1:K1"/>
    <mergeCell ref="A18:G21"/>
    <mergeCell ref="L2:M2"/>
    <mergeCell ref="B2:C2"/>
    <mergeCell ref="D2:E2"/>
    <mergeCell ref="F2:G2"/>
    <mergeCell ref="H2:I2"/>
    <mergeCell ref="J2:K2"/>
  </mergeCells>
  <printOptions headings="1"/>
  <pageMargins left="0.7" right="0.7" top="0.75" bottom="0.75" header="0.3" footer="0.3"/>
  <pageSetup scale="70" orientation="portrait" verticalDpi="0" r:id="rId1"/>
  <headerFooter>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29"/>
  <sheetViews>
    <sheetView workbookViewId="0">
      <selection activeCell="F15" sqref="F15"/>
    </sheetView>
  </sheetViews>
  <sheetFormatPr defaultRowHeight="15" x14ac:dyDescent="0.25"/>
  <cols>
    <col min="1" max="1" width="55.85546875" customWidth="1"/>
    <col min="2" max="2" width="19.140625" customWidth="1"/>
    <col min="3" max="3" width="0" hidden="1" customWidth="1"/>
    <col min="4" max="4" width="10" bestFit="1" customWidth="1"/>
    <col min="7" max="11" width="11" customWidth="1"/>
    <col min="12" max="12" width="12.5703125" customWidth="1"/>
    <col min="13" max="15" width="11.5703125" customWidth="1"/>
    <col min="16" max="16" width="13.28515625" customWidth="1"/>
    <col min="17" max="28" width="7.28515625" customWidth="1"/>
  </cols>
  <sheetData>
    <row r="1" spans="1:28" s="39" customFormat="1" ht="45.75" customHeight="1" thickBot="1" x14ac:dyDescent="0.25">
      <c r="A1" s="38" t="s">
        <v>83</v>
      </c>
      <c r="C1" s="634" t="s">
        <v>0</v>
      </c>
      <c r="D1" s="635"/>
      <c r="E1" s="635"/>
      <c r="F1" s="635"/>
      <c r="G1" s="635"/>
      <c r="H1" s="635"/>
      <c r="I1" s="635"/>
      <c r="J1" s="635"/>
      <c r="K1" s="636"/>
      <c r="L1" s="634" t="s">
        <v>84</v>
      </c>
      <c r="M1" s="636"/>
      <c r="N1" s="637" t="s">
        <v>85</v>
      </c>
      <c r="O1" s="638"/>
      <c r="P1" s="639"/>
      <c r="Q1" s="632" t="s">
        <v>86</v>
      </c>
      <c r="R1" s="633"/>
      <c r="S1" s="633"/>
      <c r="T1" s="633"/>
      <c r="U1" s="632" t="s">
        <v>87</v>
      </c>
      <c r="V1" s="633"/>
      <c r="W1" s="633"/>
      <c r="X1" s="640"/>
      <c r="Y1" s="632" t="s">
        <v>88</v>
      </c>
      <c r="Z1" s="633"/>
      <c r="AA1" s="633"/>
      <c r="AB1" s="633"/>
    </row>
    <row r="2" spans="1:28" s="39" customFormat="1" ht="111.75" customHeight="1" thickBot="1" x14ac:dyDescent="0.25">
      <c r="A2" s="40" t="s">
        <v>89</v>
      </c>
      <c r="B2" s="39" t="s">
        <v>90</v>
      </c>
      <c r="C2" s="41" t="s">
        <v>91</v>
      </c>
      <c r="D2" s="100" t="s">
        <v>102</v>
      </c>
      <c r="E2" s="100" t="s">
        <v>103</v>
      </c>
      <c r="F2" s="100" t="s">
        <v>104</v>
      </c>
      <c r="G2" s="42" t="s">
        <v>73</v>
      </c>
      <c r="H2" s="43" t="s">
        <v>92</v>
      </c>
      <c r="I2" s="44" t="s">
        <v>93</v>
      </c>
      <c r="J2" s="45" t="s">
        <v>94</v>
      </c>
      <c r="K2" s="46" t="s">
        <v>95</v>
      </c>
      <c r="L2" s="19" t="s">
        <v>71</v>
      </c>
      <c r="M2" s="20" t="s">
        <v>72</v>
      </c>
      <c r="N2" s="47" t="s">
        <v>67</v>
      </c>
      <c r="O2" s="48" t="s">
        <v>68</v>
      </c>
      <c r="P2" s="49" t="s">
        <v>69</v>
      </c>
      <c r="Q2" s="50" t="s">
        <v>96</v>
      </c>
      <c r="R2" s="51" t="s">
        <v>97</v>
      </c>
      <c r="S2" s="51" t="s">
        <v>98</v>
      </c>
      <c r="T2" s="52" t="s">
        <v>99</v>
      </c>
      <c r="U2" s="50" t="s">
        <v>96</v>
      </c>
      <c r="V2" s="51" t="s">
        <v>97</v>
      </c>
      <c r="W2" s="51" t="s">
        <v>98</v>
      </c>
      <c r="X2" s="52" t="s">
        <v>99</v>
      </c>
      <c r="Y2" s="50" t="s">
        <v>96</v>
      </c>
      <c r="Z2" s="51" t="s">
        <v>97</v>
      </c>
      <c r="AA2" s="51" t="s">
        <v>98</v>
      </c>
      <c r="AB2" s="52" t="s">
        <v>99</v>
      </c>
    </row>
    <row r="3" spans="1:28" s="39" customFormat="1" ht="13.5" thickBot="1" x14ac:dyDescent="0.25">
      <c r="A3" s="7" t="s">
        <v>14</v>
      </c>
      <c r="B3" s="8" t="s">
        <v>15</v>
      </c>
      <c r="C3" s="9">
        <v>3793</v>
      </c>
      <c r="D3" s="101">
        <f>L3/G3</f>
        <v>25676.048521778379</v>
      </c>
      <c r="E3" s="101">
        <f>M3/G3</f>
        <v>3415.1214172872942</v>
      </c>
      <c r="F3" s="99">
        <f>L3/M3</f>
        <v>7.5183413367989207</v>
      </c>
      <c r="G3" s="10">
        <v>4431</v>
      </c>
      <c r="H3" s="53">
        <f>1-I3</f>
        <v>0.83728278041074256</v>
      </c>
      <c r="I3" s="54">
        <v>0.1627172195892575</v>
      </c>
      <c r="J3" s="55">
        <v>0</v>
      </c>
      <c r="K3" s="56">
        <v>7.508041074249606</v>
      </c>
      <c r="L3" s="21">
        <v>113770571</v>
      </c>
      <c r="M3" s="22">
        <v>15132403</v>
      </c>
      <c r="N3" s="57">
        <v>1270.43</v>
      </c>
      <c r="O3" s="58">
        <v>1595</v>
      </c>
      <c r="P3" s="59">
        <f>N3*O3</f>
        <v>2026335.85</v>
      </c>
      <c r="Q3" s="60">
        <v>259.9227262468969</v>
      </c>
      <c r="R3" s="61">
        <v>55.200462649514783</v>
      </c>
      <c r="S3" s="61">
        <v>142.18573685398329</v>
      </c>
      <c r="T3" s="62">
        <f>P3/G3</f>
        <v>457.30892575039496</v>
      </c>
      <c r="U3" s="63">
        <v>101.23159177956487</v>
      </c>
      <c r="V3" s="64">
        <v>21.498815365882272</v>
      </c>
      <c r="W3" s="64">
        <v>55.376798627476347</v>
      </c>
      <c r="X3" s="62">
        <f>SUM(U3:W3)</f>
        <v>178.10720577292349</v>
      </c>
      <c r="Y3" s="65">
        <v>76.109366106625643</v>
      </c>
      <c r="Z3" s="66">
        <v>16.163543225752051</v>
      </c>
      <c r="AA3" s="66">
        <v>41.634167422054517</v>
      </c>
      <c r="AB3" s="67">
        <f>P3/(M3/1000)</f>
        <v>133.90707675443221</v>
      </c>
    </row>
    <row r="4" spans="1:28" s="39" customFormat="1" ht="13.5" thickBot="1" x14ac:dyDescent="0.25">
      <c r="A4" s="11" t="s">
        <v>16</v>
      </c>
      <c r="B4" s="8" t="s">
        <v>17</v>
      </c>
      <c r="C4" s="12">
        <v>1790</v>
      </c>
      <c r="D4" s="101">
        <f t="shared" ref="D4:D28" si="0">L4/G4</f>
        <v>30910.86731967943</v>
      </c>
      <c r="E4" s="101">
        <f t="shared" ref="E4:E28" si="1">M4/G4</f>
        <v>2789.4897595725733</v>
      </c>
      <c r="F4" s="99">
        <f t="shared" ref="F4:F28" si="2">L4/M4</f>
        <v>11.081190462737467</v>
      </c>
      <c r="G4" s="13">
        <v>2246</v>
      </c>
      <c r="H4" s="68">
        <v>0.82673267326732669</v>
      </c>
      <c r="I4" s="69">
        <v>0.17326732673267325</v>
      </c>
      <c r="J4" s="70">
        <v>0</v>
      </c>
      <c r="K4" s="71">
        <v>8.3364203027604642</v>
      </c>
      <c r="L4" s="23">
        <v>69425808</v>
      </c>
      <c r="M4" s="24">
        <v>6265194</v>
      </c>
      <c r="N4" s="72">
        <v>685.99999999999989</v>
      </c>
      <c r="O4" s="73">
        <v>1592</v>
      </c>
      <c r="P4" s="74">
        <f t="shared" ref="P4:P29" si="3">N4*O4</f>
        <v>1092111.9999999998</v>
      </c>
      <c r="Q4" s="75">
        <v>367.40006884133908</v>
      </c>
      <c r="R4" s="76">
        <v>41.681656172240622</v>
      </c>
      <c r="S4" s="76">
        <v>77.165826188557418</v>
      </c>
      <c r="T4" s="77">
        <f>P4/G4</f>
        <v>486.247551202137</v>
      </c>
      <c r="U4" s="78">
        <v>118.85789714073584</v>
      </c>
      <c r="V4" s="79">
        <v>13.484466722065726</v>
      </c>
      <c r="W4" s="79">
        <v>24.963979622606619</v>
      </c>
      <c r="X4" s="77">
        <v>157.30634348540818</v>
      </c>
      <c r="Y4" s="80">
        <v>131.70869962169527</v>
      </c>
      <c r="Z4" s="81">
        <v>14.942394403565546</v>
      </c>
      <c r="AA4" s="81">
        <v>27.663061290600091</v>
      </c>
      <c r="AB4" s="82">
        <f>P4/(M4/1000)</f>
        <v>174.31415531586089</v>
      </c>
    </row>
    <row r="5" spans="1:28" s="39" customFormat="1" ht="13.5" thickBot="1" x14ac:dyDescent="0.25">
      <c r="A5" s="11" t="s">
        <v>18</v>
      </c>
      <c r="B5" s="8" t="s">
        <v>19</v>
      </c>
      <c r="C5" s="12">
        <v>1228</v>
      </c>
      <c r="D5" s="101">
        <f t="shared" si="0"/>
        <v>24165.809065934067</v>
      </c>
      <c r="E5" s="101"/>
      <c r="F5" s="99"/>
      <c r="G5" s="13">
        <v>1456</v>
      </c>
      <c r="H5" s="68">
        <v>0.43818681318681318</v>
      </c>
      <c r="I5" s="69">
        <v>0.56181318681318682</v>
      </c>
      <c r="J5" s="70">
        <v>0</v>
      </c>
      <c r="K5" s="71">
        <v>8.6367445054945051</v>
      </c>
      <c r="L5" s="23">
        <v>35185418</v>
      </c>
      <c r="M5" s="24" t="s">
        <v>66</v>
      </c>
      <c r="N5" s="72">
        <v>248</v>
      </c>
      <c r="O5" s="73">
        <v>1500</v>
      </c>
      <c r="P5" s="74">
        <f t="shared" si="3"/>
        <v>372000</v>
      </c>
      <c r="Q5" s="75">
        <v>225.61813186813185</v>
      </c>
      <c r="R5" s="76">
        <v>29.876373626373628</v>
      </c>
      <c r="S5" s="76">
        <v>0</v>
      </c>
      <c r="T5" s="77">
        <v>255.49450549450549</v>
      </c>
      <c r="U5" s="78">
        <v>93.362540129550254</v>
      </c>
      <c r="V5" s="79">
        <v>0</v>
      </c>
      <c r="W5" s="79">
        <v>12.363076090214419</v>
      </c>
      <c r="X5" s="77">
        <v>105.72561621976467</v>
      </c>
      <c r="Y5" s="83" t="s">
        <v>66</v>
      </c>
      <c r="Z5" s="84" t="s">
        <v>66</v>
      </c>
      <c r="AA5" s="84" t="s">
        <v>66</v>
      </c>
      <c r="AB5" s="24" t="s">
        <v>66</v>
      </c>
    </row>
    <row r="6" spans="1:28" s="39" customFormat="1" ht="13.5" thickBot="1" x14ac:dyDescent="0.25">
      <c r="A6" s="11" t="s">
        <v>20</v>
      </c>
      <c r="B6" s="8" t="s">
        <v>21</v>
      </c>
      <c r="C6" s="12">
        <v>1223</v>
      </c>
      <c r="D6" s="101">
        <f t="shared" si="0"/>
        <v>39008.083909452987</v>
      </c>
      <c r="E6" s="101">
        <f t="shared" si="1"/>
        <v>3250.9785276073621</v>
      </c>
      <c r="F6" s="99">
        <f t="shared" si="2"/>
        <v>11.998874670563252</v>
      </c>
      <c r="G6" s="13">
        <v>1304</v>
      </c>
      <c r="H6" s="68">
        <v>0.81748466257668717</v>
      </c>
      <c r="I6" s="69">
        <v>0.18251533742331288</v>
      </c>
      <c r="J6" s="70">
        <v>0</v>
      </c>
      <c r="K6" s="71">
        <v>9.1963190184049086</v>
      </c>
      <c r="L6" s="23">
        <v>50866541.417926699</v>
      </c>
      <c r="M6" s="24">
        <v>4239276</v>
      </c>
      <c r="N6" s="72">
        <v>430</v>
      </c>
      <c r="O6" s="73">
        <v>1400</v>
      </c>
      <c r="P6" s="74">
        <f t="shared" si="3"/>
        <v>602000</v>
      </c>
      <c r="Q6" s="75">
        <v>458.43558282208591</v>
      </c>
      <c r="R6" s="76">
        <v>3.2208588957055215</v>
      </c>
      <c r="S6" s="76">
        <v>0</v>
      </c>
      <c r="T6" s="77">
        <f>P6/G6</f>
        <v>461.65644171779144</v>
      </c>
      <c r="U6" s="78">
        <v>117.52322515666845</v>
      </c>
      <c r="V6" s="79">
        <v>0.82569010648713181</v>
      </c>
      <c r="W6" s="79">
        <v>0</v>
      </c>
      <c r="X6" s="77">
        <v>118.34891526315558</v>
      </c>
      <c r="Y6" s="80">
        <v>141.01464495352508</v>
      </c>
      <c r="Z6" s="81">
        <v>0.99073521044631208</v>
      </c>
      <c r="AA6" s="81">
        <v>0</v>
      </c>
      <c r="AB6" s="82">
        <f>P6/(M6/1000)</f>
        <v>142.00538016397141</v>
      </c>
    </row>
    <row r="7" spans="1:28" s="39" customFormat="1" ht="13.5" thickBot="1" x14ac:dyDescent="0.25">
      <c r="A7" s="14" t="s">
        <v>22</v>
      </c>
      <c r="B7" s="15" t="s">
        <v>23</v>
      </c>
      <c r="C7" s="12">
        <v>742</v>
      </c>
      <c r="D7" s="101">
        <f t="shared" si="0"/>
        <v>34177.445838084379</v>
      </c>
      <c r="E7" s="101">
        <f t="shared" si="1"/>
        <v>2234.3911060433297</v>
      </c>
      <c r="F7" s="99">
        <f t="shared" si="2"/>
        <v>15.296089277139114</v>
      </c>
      <c r="G7" s="13">
        <v>877</v>
      </c>
      <c r="H7" s="68">
        <v>0.81071835803876846</v>
      </c>
      <c r="I7" s="69">
        <v>0.18928164196123148</v>
      </c>
      <c r="J7" s="70">
        <v>0</v>
      </c>
      <c r="K7" s="71">
        <v>5.4850627137970349</v>
      </c>
      <c r="L7" s="23">
        <v>29973620</v>
      </c>
      <c r="M7" s="24">
        <v>1959561</v>
      </c>
      <c r="N7" s="72">
        <v>313.5</v>
      </c>
      <c r="O7" s="73">
        <v>1586.6973180076629</v>
      </c>
      <c r="P7" s="74">
        <f t="shared" si="3"/>
        <v>497429.60919540236</v>
      </c>
      <c r="Q7" s="75">
        <v>338.09136581082328</v>
      </c>
      <c r="R7" s="76">
        <v>66.037003543078342</v>
      </c>
      <c r="S7" s="76">
        <v>163.06616792705893</v>
      </c>
      <c r="T7" s="77">
        <f>P7/G7</f>
        <v>567.1945372809605</v>
      </c>
      <c r="U7" s="78">
        <v>98.92236166872469</v>
      </c>
      <c r="V7" s="79">
        <v>19.321807678645321</v>
      </c>
      <c r="W7" s="79">
        <v>47.711630851405566</v>
      </c>
      <c r="X7" s="77">
        <v>165.95580019877556</v>
      </c>
      <c r="Y7" s="80">
        <v>151.31252755902574</v>
      </c>
      <c r="Z7" s="81">
        <v>29.554809524827093</v>
      </c>
      <c r="AA7" s="81">
        <v>72.98013650610045</v>
      </c>
      <c r="AB7" s="82">
        <f>P7/(M7/1000)</f>
        <v>253.84747358995324</v>
      </c>
    </row>
    <row r="8" spans="1:28" s="39" customFormat="1" ht="13.5" thickBot="1" x14ac:dyDescent="0.25">
      <c r="A8" s="14" t="s">
        <v>24</v>
      </c>
      <c r="B8" s="15" t="s">
        <v>25</v>
      </c>
      <c r="C8" s="12">
        <v>634</v>
      </c>
      <c r="D8" s="101">
        <f t="shared" si="0"/>
        <v>27589.406896551725</v>
      </c>
      <c r="E8" s="101">
        <f t="shared" si="1"/>
        <v>1633.5958620689655</v>
      </c>
      <c r="F8" s="99">
        <f t="shared" si="2"/>
        <v>16.888759048158622</v>
      </c>
      <c r="G8" s="13">
        <v>725</v>
      </c>
      <c r="H8" s="68">
        <v>0.9903448275862069</v>
      </c>
      <c r="I8" s="69">
        <v>0</v>
      </c>
      <c r="J8" s="70">
        <v>9.655172413793104E-3</v>
      </c>
      <c r="K8" s="71">
        <v>8.2696551724137937</v>
      </c>
      <c r="L8" s="23">
        <v>20002320</v>
      </c>
      <c r="M8" s="24">
        <v>1184357</v>
      </c>
      <c r="N8" s="72">
        <v>124</v>
      </c>
      <c r="O8" s="73" t="s">
        <v>70</v>
      </c>
      <c r="P8" s="85" t="s">
        <v>66</v>
      </c>
      <c r="Q8" s="75" t="s">
        <v>66</v>
      </c>
      <c r="R8" s="76" t="s">
        <v>66</v>
      </c>
      <c r="S8" s="76" t="s">
        <v>66</v>
      </c>
      <c r="T8" s="86" t="s">
        <v>66</v>
      </c>
      <c r="U8" s="75" t="s">
        <v>66</v>
      </c>
      <c r="V8" s="84" t="s">
        <v>66</v>
      </c>
      <c r="W8" s="84" t="s">
        <v>66</v>
      </c>
      <c r="X8" s="77" t="s">
        <v>66</v>
      </c>
      <c r="Y8" s="83" t="s">
        <v>66</v>
      </c>
      <c r="Z8" s="84" t="s">
        <v>66</v>
      </c>
      <c r="AA8" s="84" t="s">
        <v>66</v>
      </c>
      <c r="AB8" s="24" t="s">
        <v>66</v>
      </c>
    </row>
    <row r="9" spans="1:28" s="39" customFormat="1" ht="13.5" thickBot="1" x14ac:dyDescent="0.25">
      <c r="A9" s="11" t="s">
        <v>26</v>
      </c>
      <c r="B9" s="8" t="s">
        <v>27</v>
      </c>
      <c r="C9" s="12">
        <v>503</v>
      </c>
      <c r="D9" s="101">
        <f t="shared" si="0"/>
        <v>38115.51932773109</v>
      </c>
      <c r="E9" s="101">
        <f t="shared" si="1"/>
        <v>2954.4823529411765</v>
      </c>
      <c r="F9" s="99">
        <f t="shared" si="2"/>
        <v>12.900912841732573</v>
      </c>
      <c r="G9" s="13">
        <v>595</v>
      </c>
      <c r="H9" s="68">
        <v>1</v>
      </c>
      <c r="I9" s="69">
        <v>0</v>
      </c>
      <c r="J9" s="70">
        <v>0</v>
      </c>
      <c r="K9" s="71">
        <v>13.3</v>
      </c>
      <c r="L9" s="23">
        <v>22678734</v>
      </c>
      <c r="M9" s="24">
        <v>1757917</v>
      </c>
      <c r="N9" s="72">
        <v>152.30000000000001</v>
      </c>
      <c r="O9" s="73">
        <v>1593</v>
      </c>
      <c r="P9" s="74">
        <f t="shared" si="3"/>
        <v>242613.90000000002</v>
      </c>
      <c r="Q9" s="75">
        <v>368.50507563025212</v>
      </c>
      <c r="R9" s="76">
        <v>16.063865546218487</v>
      </c>
      <c r="S9" s="76">
        <v>23.185512605042017</v>
      </c>
      <c r="T9" s="77">
        <f t="shared" ref="T9:T14" si="4">P9/G9</f>
        <v>407.75445378151267</v>
      </c>
      <c r="U9" s="78">
        <v>96.681111035563106</v>
      </c>
      <c r="V9" s="79">
        <v>4.2145209692922014</v>
      </c>
      <c r="W9" s="79">
        <v>6.0829585990117447</v>
      </c>
      <c r="X9" s="77">
        <v>106.97859060386705</v>
      </c>
      <c r="Y9" s="80">
        <v>124.72745869116689</v>
      </c>
      <c r="Z9" s="81">
        <v>5.4371167694492977</v>
      </c>
      <c r="AA9" s="81">
        <v>7.8475718705718194</v>
      </c>
      <c r="AB9" s="82">
        <f>P9/(M9/1000)</f>
        <v>138.012147331188</v>
      </c>
    </row>
    <row r="10" spans="1:28" s="39" customFormat="1" ht="13.5" thickBot="1" x14ac:dyDescent="0.25">
      <c r="A10" s="11" t="s">
        <v>28</v>
      </c>
      <c r="B10" s="8" t="s">
        <v>29</v>
      </c>
      <c r="C10" s="12">
        <v>453</v>
      </c>
      <c r="D10" s="101">
        <f t="shared" si="0"/>
        <v>36181.782073813709</v>
      </c>
      <c r="E10" s="101"/>
      <c r="F10" s="99"/>
      <c r="G10" s="13">
        <v>569</v>
      </c>
      <c r="H10" s="68">
        <v>0.8312829525483304</v>
      </c>
      <c r="I10" s="69">
        <v>0.1687170474516696</v>
      </c>
      <c r="J10" s="70">
        <v>0</v>
      </c>
      <c r="K10" s="71">
        <v>9.3759226713532513</v>
      </c>
      <c r="L10" s="23">
        <v>20587434</v>
      </c>
      <c r="M10" s="24" t="s">
        <v>66</v>
      </c>
      <c r="N10" s="72">
        <v>236.35000000000002</v>
      </c>
      <c r="O10" s="73">
        <v>1541</v>
      </c>
      <c r="P10" s="74">
        <f t="shared" si="3"/>
        <v>364215.35000000003</v>
      </c>
      <c r="Q10" s="75">
        <v>472.86221441124781</v>
      </c>
      <c r="R10" s="76">
        <v>0</v>
      </c>
      <c r="S10" s="76">
        <v>167.23506151142354</v>
      </c>
      <c r="T10" s="77">
        <f t="shared" si="4"/>
        <v>640.09727592267143</v>
      </c>
      <c r="U10" s="78">
        <v>130.69069219602602</v>
      </c>
      <c r="V10" s="79">
        <v>0</v>
      </c>
      <c r="W10" s="79">
        <v>46.220791770358559</v>
      </c>
      <c r="X10" s="77">
        <v>176.91148396638459</v>
      </c>
      <c r="Y10" s="83" t="s">
        <v>66</v>
      </c>
      <c r="Z10" s="84" t="s">
        <v>66</v>
      </c>
      <c r="AA10" s="84" t="s">
        <v>66</v>
      </c>
      <c r="AB10" s="24" t="s">
        <v>66</v>
      </c>
    </row>
    <row r="11" spans="1:28" s="39" customFormat="1" ht="13.5" thickBot="1" x14ac:dyDescent="0.25">
      <c r="A11" s="11" t="s">
        <v>30</v>
      </c>
      <c r="B11" s="8" t="s">
        <v>31</v>
      </c>
      <c r="C11" s="12">
        <v>360</v>
      </c>
      <c r="D11" s="101">
        <f t="shared" si="0"/>
        <v>38283.154929577468</v>
      </c>
      <c r="E11" s="101">
        <f t="shared" si="1"/>
        <v>2798.1032863849764</v>
      </c>
      <c r="F11" s="99">
        <f t="shared" si="2"/>
        <v>13.681823367942068</v>
      </c>
      <c r="G11" s="13">
        <v>426</v>
      </c>
      <c r="H11" s="68">
        <v>0.80046948356807512</v>
      </c>
      <c r="I11" s="69">
        <v>9.3896713615023469E-2</v>
      </c>
      <c r="J11" s="70">
        <v>0.10563380281690141</v>
      </c>
      <c r="K11" s="71">
        <v>9.6507042253521114</v>
      </c>
      <c r="L11" s="23">
        <v>16308624</v>
      </c>
      <c r="M11" s="24">
        <v>1191992</v>
      </c>
      <c r="N11" s="72">
        <v>175.04999999999998</v>
      </c>
      <c r="O11" s="73">
        <v>1481</v>
      </c>
      <c r="P11" s="74">
        <f t="shared" si="3"/>
        <v>259249.05</v>
      </c>
      <c r="Q11" s="75">
        <v>450.731572769953</v>
      </c>
      <c r="R11" s="76">
        <v>0.69530516431924883</v>
      </c>
      <c r="S11" s="76">
        <v>157.13896713615023</v>
      </c>
      <c r="T11" s="77">
        <f t="shared" si="4"/>
        <v>608.56584507042248</v>
      </c>
      <c r="U11" s="78">
        <v>117.73626640727016</v>
      </c>
      <c r="V11" s="79">
        <v>0.18162169904708086</v>
      </c>
      <c r="W11" s="79">
        <v>41.046503984640275</v>
      </c>
      <c r="X11" s="77">
        <v>158.96439209095752</v>
      </c>
      <c r="Y11" s="80">
        <v>161.08468009852416</v>
      </c>
      <c r="Z11" s="81">
        <v>0.24849160061476921</v>
      </c>
      <c r="AA11" s="81">
        <v>56.159101738937842</v>
      </c>
      <c r="AB11" s="82">
        <f>P11/(M11/1000)</f>
        <v>217.49227343807675</v>
      </c>
    </row>
    <row r="12" spans="1:28" s="39" customFormat="1" ht="13.5" thickBot="1" x14ac:dyDescent="0.25">
      <c r="A12" s="14" t="s">
        <v>32</v>
      </c>
      <c r="B12" s="15" t="s">
        <v>33</v>
      </c>
      <c r="C12" s="12">
        <v>416</v>
      </c>
      <c r="D12" s="101">
        <f t="shared" si="0"/>
        <v>45810.747596153844</v>
      </c>
      <c r="E12" s="101">
        <f t="shared" si="1"/>
        <v>3754.7043269230771</v>
      </c>
      <c r="F12" s="99">
        <f t="shared" si="2"/>
        <v>12.200893494507211</v>
      </c>
      <c r="G12" s="13">
        <v>416</v>
      </c>
      <c r="H12" s="68">
        <v>0.91346153846153844</v>
      </c>
      <c r="I12" s="69">
        <v>8.6538461538461536E-2</v>
      </c>
      <c r="J12" s="70">
        <v>0</v>
      </c>
      <c r="K12" s="71">
        <v>8.1293269230769223</v>
      </c>
      <c r="L12" s="23">
        <v>19057271</v>
      </c>
      <c r="M12" s="24">
        <v>1561957</v>
      </c>
      <c r="N12" s="72">
        <v>131.01999999999998</v>
      </c>
      <c r="O12" s="73">
        <v>1403</v>
      </c>
      <c r="P12" s="74">
        <f t="shared" si="3"/>
        <v>183821.05999999997</v>
      </c>
      <c r="Q12" s="75">
        <v>403.26132211538459</v>
      </c>
      <c r="R12" s="76">
        <v>0</v>
      </c>
      <c r="S12" s="76">
        <v>38.616225961538461</v>
      </c>
      <c r="T12" s="77">
        <f t="shared" si="4"/>
        <v>441.87754807692301</v>
      </c>
      <c r="U12" s="78">
        <v>88.027666710516939</v>
      </c>
      <c r="V12" s="79">
        <v>0</v>
      </c>
      <c r="W12" s="79">
        <v>8.4295122843139492</v>
      </c>
      <c r="X12" s="77">
        <v>96.457178994830883</v>
      </c>
      <c r="Y12" s="80">
        <v>107.40161861049951</v>
      </c>
      <c r="Z12" s="81">
        <v>0</v>
      </c>
      <c r="AA12" s="81">
        <v>10.284758159155468</v>
      </c>
      <c r="AB12" s="82">
        <f>P12/(M12/1000)</f>
        <v>117.68637676965496</v>
      </c>
    </row>
    <row r="13" spans="1:28" s="39" customFormat="1" ht="13.5" thickBot="1" x14ac:dyDescent="0.25">
      <c r="A13" s="11" t="s">
        <v>34</v>
      </c>
      <c r="B13" s="8" t="s">
        <v>33</v>
      </c>
      <c r="C13" s="12">
        <v>400</v>
      </c>
      <c r="D13" s="101"/>
      <c r="E13" s="101"/>
      <c r="F13" s="99"/>
      <c r="G13" s="13">
        <v>400</v>
      </c>
      <c r="H13" s="68">
        <v>0.38249999999999995</v>
      </c>
      <c r="I13" s="69">
        <v>0</v>
      </c>
      <c r="J13" s="70">
        <v>0.61750000000000005</v>
      </c>
      <c r="K13" s="71" t="s">
        <v>100</v>
      </c>
      <c r="L13" s="23" t="s">
        <v>66</v>
      </c>
      <c r="M13" s="24" t="s">
        <v>66</v>
      </c>
      <c r="N13" s="72">
        <v>29</v>
      </c>
      <c r="O13" s="73">
        <v>1996.75</v>
      </c>
      <c r="P13" s="74">
        <f t="shared" si="3"/>
        <v>57905.75</v>
      </c>
      <c r="Q13" s="75">
        <v>138.27493749999999</v>
      </c>
      <c r="R13" s="76">
        <v>0</v>
      </c>
      <c r="S13" s="76">
        <v>6.4894375000000002</v>
      </c>
      <c r="T13" s="77">
        <f t="shared" si="4"/>
        <v>144.764375</v>
      </c>
      <c r="U13" s="75" t="s">
        <v>66</v>
      </c>
      <c r="V13" s="84" t="s">
        <v>66</v>
      </c>
      <c r="W13" s="84" t="s">
        <v>66</v>
      </c>
      <c r="X13" s="77" t="s">
        <v>66</v>
      </c>
      <c r="Y13" s="83" t="s">
        <v>66</v>
      </c>
      <c r="Z13" s="84" t="s">
        <v>66</v>
      </c>
      <c r="AA13" s="84" t="s">
        <v>66</v>
      </c>
      <c r="AB13" s="24" t="s">
        <v>66</v>
      </c>
    </row>
    <row r="14" spans="1:28" s="39" customFormat="1" ht="13.5" thickBot="1" x14ac:dyDescent="0.25">
      <c r="A14" s="11" t="s">
        <v>35</v>
      </c>
      <c r="B14" s="8" t="s">
        <v>36</v>
      </c>
      <c r="C14" s="12">
        <v>348</v>
      </c>
      <c r="D14" s="101">
        <f t="shared" si="0"/>
        <v>46535.33850129199</v>
      </c>
      <c r="E14" s="101">
        <f t="shared" si="1"/>
        <v>3579.6408268733849</v>
      </c>
      <c r="F14" s="99">
        <f t="shared" si="2"/>
        <v>13.000002165563071</v>
      </c>
      <c r="G14" s="13">
        <v>387</v>
      </c>
      <c r="H14" s="68">
        <v>1</v>
      </c>
      <c r="I14" s="69">
        <v>0</v>
      </c>
      <c r="J14" s="70">
        <v>0</v>
      </c>
      <c r="K14" s="71">
        <v>6.4</v>
      </c>
      <c r="L14" s="23">
        <v>18009176</v>
      </c>
      <c r="M14" s="24">
        <v>1385321</v>
      </c>
      <c r="N14" s="72">
        <v>100</v>
      </c>
      <c r="O14" s="73">
        <v>1706</v>
      </c>
      <c r="P14" s="74">
        <f t="shared" si="3"/>
        <v>170600</v>
      </c>
      <c r="Q14" s="75">
        <v>365.4454780361757</v>
      </c>
      <c r="R14" s="76">
        <v>17.633074935400519</v>
      </c>
      <c r="S14" s="76">
        <v>57.748320413436687</v>
      </c>
      <c r="T14" s="77">
        <f t="shared" si="4"/>
        <v>440.8268733850129</v>
      </c>
      <c r="U14" s="78">
        <v>78.530744549334187</v>
      </c>
      <c r="V14" s="79">
        <v>3.7891794716204674</v>
      </c>
      <c r="W14" s="79">
        <v>12.409562769557029</v>
      </c>
      <c r="X14" s="77">
        <v>94.729486790511686</v>
      </c>
      <c r="Y14" s="80">
        <v>102.08998492046248</v>
      </c>
      <c r="Z14" s="81">
        <v>4.9259341336773215</v>
      </c>
      <c r="AA14" s="81">
        <v>16.132434287793227</v>
      </c>
      <c r="AB14" s="82">
        <f>P14/(M14/1000)</f>
        <v>123.14835334193303</v>
      </c>
    </row>
    <row r="15" spans="1:28" s="39" customFormat="1" ht="13.5" thickBot="1" x14ac:dyDescent="0.25">
      <c r="A15" s="14" t="s">
        <v>37</v>
      </c>
      <c r="B15" s="15" t="s">
        <v>38</v>
      </c>
      <c r="C15" s="12">
        <v>347</v>
      </c>
      <c r="D15" s="101"/>
      <c r="E15" s="101"/>
      <c r="F15" s="99"/>
      <c r="G15" s="13">
        <v>379</v>
      </c>
      <c r="H15" s="68">
        <v>0.58575197889182062</v>
      </c>
      <c r="I15" s="69">
        <v>0.41424802110817943</v>
      </c>
      <c r="J15" s="70">
        <v>0</v>
      </c>
      <c r="K15" s="71" t="s">
        <v>100</v>
      </c>
      <c r="L15" s="23" t="s">
        <v>66</v>
      </c>
      <c r="M15" s="24" t="s">
        <v>66</v>
      </c>
      <c r="N15" s="72">
        <v>73.239999999999995</v>
      </c>
      <c r="O15" s="73" t="s">
        <v>70</v>
      </c>
      <c r="P15" s="85" t="s">
        <v>66</v>
      </c>
      <c r="Q15" s="75" t="s">
        <v>66</v>
      </c>
      <c r="R15" s="76" t="s">
        <v>66</v>
      </c>
      <c r="S15" s="76" t="s">
        <v>66</v>
      </c>
      <c r="T15" s="77" t="s">
        <v>66</v>
      </c>
      <c r="U15" s="75" t="s">
        <v>66</v>
      </c>
      <c r="V15" s="84" t="s">
        <v>66</v>
      </c>
      <c r="W15" s="84" t="s">
        <v>66</v>
      </c>
      <c r="X15" s="77" t="s">
        <v>66</v>
      </c>
      <c r="Y15" s="83" t="s">
        <v>66</v>
      </c>
      <c r="Z15" s="84" t="s">
        <v>66</v>
      </c>
      <c r="AA15" s="84" t="s">
        <v>66</v>
      </c>
      <c r="AB15" s="24" t="s">
        <v>66</v>
      </c>
    </row>
    <row r="16" spans="1:28" s="39" customFormat="1" ht="13.5" thickBot="1" x14ac:dyDescent="0.25">
      <c r="A16" s="11" t="s">
        <v>39</v>
      </c>
      <c r="B16" s="8" t="s">
        <v>40</v>
      </c>
      <c r="C16" s="12">
        <v>224</v>
      </c>
      <c r="D16" s="101"/>
      <c r="E16" s="101"/>
      <c r="F16" s="99"/>
      <c r="G16" s="13">
        <v>272</v>
      </c>
      <c r="H16" s="68">
        <v>0.85943775100401609</v>
      </c>
      <c r="I16" s="69">
        <v>0</v>
      </c>
      <c r="J16" s="70">
        <v>0.14056224899598393</v>
      </c>
      <c r="K16" s="71">
        <v>5.5955882352941178</v>
      </c>
      <c r="L16" s="23" t="s">
        <v>66</v>
      </c>
      <c r="M16" s="24" t="s">
        <v>66</v>
      </c>
      <c r="N16" s="72">
        <v>71</v>
      </c>
      <c r="O16" s="73">
        <v>1696</v>
      </c>
      <c r="P16" s="74">
        <f t="shared" si="3"/>
        <v>120416</v>
      </c>
      <c r="Q16" s="75">
        <v>399.05882352941177</v>
      </c>
      <c r="R16" s="76">
        <v>43.647058823529413</v>
      </c>
      <c r="S16" s="76">
        <v>0</v>
      </c>
      <c r="T16" s="77">
        <f t="shared" ref="T16:T22" si="5">P16/G16</f>
        <v>442.70588235294116</v>
      </c>
      <c r="U16" s="75" t="s">
        <v>66</v>
      </c>
      <c r="V16" s="84" t="s">
        <v>66</v>
      </c>
      <c r="W16" s="84" t="s">
        <v>66</v>
      </c>
      <c r="X16" s="77" t="s">
        <v>66</v>
      </c>
      <c r="Y16" s="83" t="s">
        <v>66</v>
      </c>
      <c r="Z16" s="84" t="s">
        <v>66</v>
      </c>
      <c r="AA16" s="84" t="s">
        <v>66</v>
      </c>
      <c r="AB16" s="24" t="s">
        <v>66</v>
      </c>
    </row>
    <row r="17" spans="1:28" s="39" customFormat="1" ht="13.5" thickBot="1" x14ac:dyDescent="0.25">
      <c r="A17" s="14" t="s">
        <v>41</v>
      </c>
      <c r="B17" s="15" t="s">
        <v>42</v>
      </c>
      <c r="C17" s="12">
        <v>211</v>
      </c>
      <c r="D17" s="101">
        <f t="shared" si="0"/>
        <v>32034.777777777777</v>
      </c>
      <c r="E17" s="101">
        <f t="shared" si="1"/>
        <v>2559.563492063492</v>
      </c>
      <c r="F17" s="99">
        <f t="shared" si="2"/>
        <v>12.515719136137424</v>
      </c>
      <c r="G17" s="13">
        <v>252</v>
      </c>
      <c r="H17" s="68">
        <v>1</v>
      </c>
      <c r="I17" s="69">
        <v>0</v>
      </c>
      <c r="J17" s="70">
        <v>0</v>
      </c>
      <c r="K17" s="71">
        <v>5.47</v>
      </c>
      <c r="L17" s="23">
        <v>8072764</v>
      </c>
      <c r="M17" s="24">
        <v>645010</v>
      </c>
      <c r="N17" s="72">
        <v>58</v>
      </c>
      <c r="O17" s="73">
        <v>1622</v>
      </c>
      <c r="P17" s="74">
        <f t="shared" si="3"/>
        <v>94076</v>
      </c>
      <c r="Q17" s="75">
        <v>294.47023809523813</v>
      </c>
      <c r="R17" s="76">
        <v>0</v>
      </c>
      <c r="S17" s="76">
        <v>78.847222222222229</v>
      </c>
      <c r="T17" s="77">
        <f t="shared" si="5"/>
        <v>373.3174603174603</v>
      </c>
      <c r="U17" s="78">
        <v>91.922048012304089</v>
      </c>
      <c r="V17" s="79">
        <v>0</v>
      </c>
      <c r="W17" s="79">
        <v>24.613007391272681</v>
      </c>
      <c r="X17" s="77">
        <v>116.53505540357676</v>
      </c>
      <c r="Y17" s="80">
        <v>115.04705353405373</v>
      </c>
      <c r="Z17" s="81">
        <v>0</v>
      </c>
      <c r="AA17" s="81">
        <v>30.804948760484333</v>
      </c>
      <c r="AB17" s="82">
        <f>P17/(M17/1000)</f>
        <v>145.85200229453807</v>
      </c>
    </row>
    <row r="18" spans="1:28" s="39" customFormat="1" ht="13.5" thickBot="1" x14ac:dyDescent="0.25">
      <c r="A18" s="11" t="s">
        <v>43</v>
      </c>
      <c r="B18" s="8" t="s">
        <v>44</v>
      </c>
      <c r="C18" s="12">
        <v>187</v>
      </c>
      <c r="D18" s="101">
        <f t="shared" si="0"/>
        <v>26543.61842105263</v>
      </c>
      <c r="E18" s="101"/>
      <c r="F18" s="99"/>
      <c r="G18" s="13">
        <v>228</v>
      </c>
      <c r="H18" s="68">
        <v>0.82017543859649122</v>
      </c>
      <c r="I18" s="69">
        <v>0.17982456140350878</v>
      </c>
      <c r="J18" s="70">
        <v>0</v>
      </c>
      <c r="K18" s="71">
        <v>7.85</v>
      </c>
      <c r="L18" s="23">
        <v>6051945</v>
      </c>
      <c r="M18" s="24" t="s">
        <v>66</v>
      </c>
      <c r="N18" s="72">
        <v>84</v>
      </c>
      <c r="O18" s="73">
        <v>1428</v>
      </c>
      <c r="P18" s="74">
        <f t="shared" si="3"/>
        <v>119952</v>
      </c>
      <c r="Q18" s="75">
        <v>420.88421052631583</v>
      </c>
      <c r="R18" s="76">
        <v>0</v>
      </c>
      <c r="S18" s="76">
        <v>105.22105263157893</v>
      </c>
      <c r="T18" s="77">
        <f t="shared" si="5"/>
        <v>526.10526315789468</v>
      </c>
      <c r="U18" s="78">
        <v>158.56323876043157</v>
      </c>
      <c r="V18" s="79">
        <v>0</v>
      </c>
      <c r="W18" s="79">
        <v>39.640809690107886</v>
      </c>
      <c r="X18" s="77">
        <v>198.20404845053946</v>
      </c>
      <c r="Y18" s="83" t="s">
        <v>66</v>
      </c>
      <c r="Z18" s="84" t="s">
        <v>66</v>
      </c>
      <c r="AA18" s="84" t="s">
        <v>66</v>
      </c>
      <c r="AB18" s="24" t="s">
        <v>66</v>
      </c>
    </row>
    <row r="19" spans="1:28" s="39" customFormat="1" ht="13.5" thickBot="1" x14ac:dyDescent="0.25">
      <c r="A19" s="11" t="s">
        <v>45</v>
      </c>
      <c r="B19" s="8" t="s">
        <v>46</v>
      </c>
      <c r="C19" s="12">
        <v>156</v>
      </c>
      <c r="D19" s="101">
        <f t="shared" si="0"/>
        <v>27341.734042553191</v>
      </c>
      <c r="E19" s="101">
        <f t="shared" si="1"/>
        <v>2028.7180851063829</v>
      </c>
      <c r="F19" s="99">
        <f t="shared" si="2"/>
        <v>13.477345247365619</v>
      </c>
      <c r="G19" s="13">
        <v>188</v>
      </c>
      <c r="H19" s="68">
        <v>0.94680851063829785</v>
      </c>
      <c r="I19" s="69">
        <v>5.3191489361702128E-2</v>
      </c>
      <c r="J19" s="70">
        <v>0</v>
      </c>
      <c r="K19" s="71">
        <v>7.296489361702128</v>
      </c>
      <c r="L19" s="23">
        <v>5140246</v>
      </c>
      <c r="M19" s="24">
        <v>381399</v>
      </c>
      <c r="N19" s="72">
        <v>38.200000000000003</v>
      </c>
      <c r="O19" s="73">
        <v>1520</v>
      </c>
      <c r="P19" s="74">
        <f t="shared" si="3"/>
        <v>58064.000000000007</v>
      </c>
      <c r="Q19" s="75">
        <v>266</v>
      </c>
      <c r="R19" s="76">
        <v>0</v>
      </c>
      <c r="S19" s="76">
        <v>42.851063829787236</v>
      </c>
      <c r="T19" s="77">
        <f t="shared" si="5"/>
        <v>308.85106382978728</v>
      </c>
      <c r="U19" s="78">
        <v>97.287172637262913</v>
      </c>
      <c r="V19" s="79">
        <v>0</v>
      </c>
      <c r="W19" s="79">
        <v>15.672401671048432</v>
      </c>
      <c r="X19" s="77">
        <v>112.95957430831135</v>
      </c>
      <c r="Y19" s="80">
        <v>131.11728137724538</v>
      </c>
      <c r="Z19" s="81">
        <v>0</v>
      </c>
      <c r="AA19" s="81">
        <v>21.122236817610954</v>
      </c>
      <c r="AB19" s="82">
        <f>P19/(M19/1000)</f>
        <v>152.23951819485632</v>
      </c>
    </row>
    <row r="20" spans="1:28" s="39" customFormat="1" ht="13.5" thickBot="1" x14ac:dyDescent="0.25">
      <c r="A20" s="11" t="s">
        <v>47</v>
      </c>
      <c r="B20" s="8" t="s">
        <v>48</v>
      </c>
      <c r="C20" s="12">
        <v>134</v>
      </c>
      <c r="D20" s="101">
        <f t="shared" si="0"/>
        <v>38273.068749999999</v>
      </c>
      <c r="E20" s="101">
        <f t="shared" si="1"/>
        <v>2101.2468749999998</v>
      </c>
      <c r="F20" s="99">
        <f t="shared" si="2"/>
        <v>18.214456000083285</v>
      </c>
      <c r="G20" s="13">
        <v>160</v>
      </c>
      <c r="H20" s="68">
        <v>0.67500000000000004</v>
      </c>
      <c r="I20" s="69">
        <v>0</v>
      </c>
      <c r="J20" s="70">
        <v>0.32500000000000001</v>
      </c>
      <c r="K20" s="71">
        <v>7.7</v>
      </c>
      <c r="L20" s="23">
        <v>6123691</v>
      </c>
      <c r="M20" s="24">
        <v>336199.5</v>
      </c>
      <c r="N20" s="72">
        <v>24</v>
      </c>
      <c r="O20" s="73">
        <v>1595.1833333333334</v>
      </c>
      <c r="P20" s="74">
        <f t="shared" si="3"/>
        <v>38284.400000000001</v>
      </c>
      <c r="Q20" s="75">
        <v>219.33770833333335</v>
      </c>
      <c r="R20" s="76">
        <v>0</v>
      </c>
      <c r="S20" s="76">
        <v>19.939791666666668</v>
      </c>
      <c r="T20" s="77">
        <f t="shared" si="5"/>
        <v>239.2775</v>
      </c>
      <c r="U20" s="78">
        <v>57.308628625012815</v>
      </c>
      <c r="V20" s="79">
        <v>0</v>
      </c>
      <c r="W20" s="79">
        <v>5.2098753295466196</v>
      </c>
      <c r="X20" s="77">
        <v>62.518503954559435</v>
      </c>
      <c r="Y20" s="80">
        <v>104.38454945154092</v>
      </c>
      <c r="Z20" s="81">
        <v>0</v>
      </c>
      <c r="AA20" s="81">
        <v>9.4895044955946304</v>
      </c>
      <c r="AB20" s="82">
        <f>P20/(M20/1000)</f>
        <v>113.87405394713556</v>
      </c>
    </row>
    <row r="21" spans="1:28" s="39" customFormat="1" ht="13.5" thickBot="1" x14ac:dyDescent="0.25">
      <c r="A21" s="11" t="s">
        <v>49</v>
      </c>
      <c r="B21" s="8" t="s">
        <v>50</v>
      </c>
      <c r="C21" s="12">
        <v>113</v>
      </c>
      <c r="D21" s="101">
        <f t="shared" si="0"/>
        <v>23686.562962962962</v>
      </c>
      <c r="E21" s="101">
        <f t="shared" si="1"/>
        <v>1224.6518518518519</v>
      </c>
      <c r="F21" s="99">
        <f t="shared" si="2"/>
        <v>19.341466660214845</v>
      </c>
      <c r="G21" s="13">
        <v>135</v>
      </c>
      <c r="H21" s="68">
        <v>1</v>
      </c>
      <c r="I21" s="69">
        <v>0</v>
      </c>
      <c r="J21" s="70">
        <v>0</v>
      </c>
      <c r="K21" s="71">
        <v>7.6637037037037032</v>
      </c>
      <c r="L21" s="23">
        <v>3197686</v>
      </c>
      <c r="M21" s="24">
        <v>165328</v>
      </c>
      <c r="N21" s="72">
        <v>19.189999999999998</v>
      </c>
      <c r="O21" s="73">
        <v>1852</v>
      </c>
      <c r="P21" s="74">
        <f t="shared" si="3"/>
        <v>35539.879999999997</v>
      </c>
      <c r="Q21" s="75">
        <v>263.25837037037041</v>
      </c>
      <c r="R21" s="76">
        <v>0</v>
      </c>
      <c r="S21" s="76">
        <v>0</v>
      </c>
      <c r="T21" s="77">
        <f t="shared" si="5"/>
        <v>263.25837037037036</v>
      </c>
      <c r="U21" s="75" t="s">
        <v>66</v>
      </c>
      <c r="V21" s="84" t="s">
        <v>66</v>
      </c>
      <c r="W21" s="84" t="s">
        <v>66</v>
      </c>
      <c r="X21" s="77" t="s">
        <v>66</v>
      </c>
      <c r="Y21" s="80">
        <v>214.96588599632244</v>
      </c>
      <c r="Z21" s="81">
        <v>0</v>
      </c>
      <c r="AA21" s="81">
        <v>0</v>
      </c>
      <c r="AB21" s="82">
        <f>P21/(M21/1000)</f>
        <v>214.96588599632244</v>
      </c>
    </row>
    <row r="22" spans="1:28" s="39" customFormat="1" ht="13.5" thickBot="1" x14ac:dyDescent="0.25">
      <c r="A22" s="11" t="s">
        <v>51</v>
      </c>
      <c r="B22" s="8" t="s">
        <v>52</v>
      </c>
      <c r="C22" s="12">
        <v>103</v>
      </c>
      <c r="D22" s="101"/>
      <c r="E22" s="101"/>
      <c r="F22" s="99"/>
      <c r="G22" s="13">
        <v>117</v>
      </c>
      <c r="H22" s="68">
        <v>0.5641025641025641</v>
      </c>
      <c r="I22" s="69">
        <v>0</v>
      </c>
      <c r="J22" s="70">
        <v>0.4358974358974359</v>
      </c>
      <c r="K22" s="71">
        <v>8.2358333333333338</v>
      </c>
      <c r="L22" s="23" t="s">
        <v>66</v>
      </c>
      <c r="M22" s="24" t="s">
        <v>66</v>
      </c>
      <c r="N22" s="72">
        <v>13.1</v>
      </c>
      <c r="O22" s="73">
        <v>1589</v>
      </c>
      <c r="P22" s="74">
        <f t="shared" si="3"/>
        <v>20815.899999999998</v>
      </c>
      <c r="Q22" s="75">
        <v>160.93717948717949</v>
      </c>
      <c r="R22" s="76">
        <v>0</v>
      </c>
      <c r="S22" s="76">
        <v>16.976495726495727</v>
      </c>
      <c r="T22" s="77">
        <f t="shared" si="5"/>
        <v>177.91367521367519</v>
      </c>
      <c r="U22" s="75" t="s">
        <v>66</v>
      </c>
      <c r="V22" s="84" t="s">
        <v>66</v>
      </c>
      <c r="W22" s="84" t="s">
        <v>66</v>
      </c>
      <c r="X22" s="77" t="s">
        <v>66</v>
      </c>
      <c r="Y22" s="83" t="s">
        <v>66</v>
      </c>
      <c r="Z22" s="84" t="s">
        <v>66</v>
      </c>
      <c r="AA22" s="84" t="s">
        <v>66</v>
      </c>
      <c r="AB22" s="24" t="s">
        <v>66</v>
      </c>
    </row>
    <row r="23" spans="1:28" s="39" customFormat="1" ht="13.5" thickBot="1" x14ac:dyDescent="0.25">
      <c r="A23" s="11" t="s">
        <v>53</v>
      </c>
      <c r="B23" s="8" t="s">
        <v>54</v>
      </c>
      <c r="C23" s="12" t="s">
        <v>55</v>
      </c>
      <c r="D23" s="101"/>
      <c r="E23" s="101"/>
      <c r="F23" s="99"/>
      <c r="G23" s="13">
        <v>104</v>
      </c>
      <c r="H23" s="68">
        <v>1</v>
      </c>
      <c r="I23" s="69">
        <v>0</v>
      </c>
      <c r="J23" s="70">
        <v>0</v>
      </c>
      <c r="K23" s="71">
        <v>13.31423076923077</v>
      </c>
      <c r="L23" s="23" t="s">
        <v>66</v>
      </c>
      <c r="M23" s="24" t="s">
        <v>66</v>
      </c>
      <c r="N23" s="72">
        <v>18</v>
      </c>
      <c r="O23" s="73" t="s">
        <v>70</v>
      </c>
      <c r="P23" s="85" t="s">
        <v>66</v>
      </c>
      <c r="Q23" s="75" t="s">
        <v>66</v>
      </c>
      <c r="R23" s="76"/>
      <c r="S23" s="76" t="s">
        <v>66</v>
      </c>
      <c r="T23" s="77" t="s">
        <v>66</v>
      </c>
      <c r="U23" s="75" t="s">
        <v>66</v>
      </c>
      <c r="V23" s="84" t="s">
        <v>66</v>
      </c>
      <c r="W23" s="84" t="s">
        <v>66</v>
      </c>
      <c r="X23" s="77" t="s">
        <v>66</v>
      </c>
      <c r="Y23" s="83" t="s">
        <v>66</v>
      </c>
      <c r="Z23" s="84" t="s">
        <v>66</v>
      </c>
      <c r="AA23" s="84" t="s">
        <v>66</v>
      </c>
      <c r="AB23" s="24" t="s">
        <v>66</v>
      </c>
    </row>
    <row r="24" spans="1:28" s="39" customFormat="1" ht="13.5" thickBot="1" x14ac:dyDescent="0.25">
      <c r="A24" s="14" t="s">
        <v>56</v>
      </c>
      <c r="B24" s="15" t="s">
        <v>57</v>
      </c>
      <c r="C24" s="12">
        <v>77</v>
      </c>
      <c r="D24" s="101">
        <f t="shared" si="0"/>
        <v>30174.471910112359</v>
      </c>
      <c r="E24" s="101">
        <f t="shared" si="1"/>
        <v>2868.8651685393256</v>
      </c>
      <c r="F24" s="99">
        <f t="shared" si="2"/>
        <v>10.517912183888239</v>
      </c>
      <c r="G24" s="13">
        <v>89</v>
      </c>
      <c r="H24" s="68">
        <v>0.8089887640449438</v>
      </c>
      <c r="I24" s="69">
        <v>0</v>
      </c>
      <c r="J24" s="70">
        <v>0.19101123595505617</v>
      </c>
      <c r="K24" s="71">
        <v>3.7519101123595506</v>
      </c>
      <c r="L24" s="23">
        <v>2685528</v>
      </c>
      <c r="M24" s="24">
        <v>255329</v>
      </c>
      <c r="N24" s="72">
        <v>12.95</v>
      </c>
      <c r="O24" s="73">
        <v>1595</v>
      </c>
      <c r="P24" s="74">
        <f t="shared" si="3"/>
        <v>20655.25</v>
      </c>
      <c r="Q24" s="75">
        <v>223.12078651685394</v>
      </c>
      <c r="R24" s="76">
        <v>0</v>
      </c>
      <c r="S24" s="76">
        <v>8.9606741573033712</v>
      </c>
      <c r="T24" s="77">
        <f t="shared" ref="T24:T29" si="6">P24/G24</f>
        <v>232.08146067415731</v>
      </c>
      <c r="U24" s="78">
        <v>73.943559702226153</v>
      </c>
      <c r="V24" s="79">
        <v>0</v>
      </c>
      <c r="W24" s="79">
        <v>2.9696208715753478</v>
      </c>
      <c r="X24" s="77">
        <v>76.913180573801498</v>
      </c>
      <c r="Y24" s="80">
        <v>77.773186751211185</v>
      </c>
      <c r="Z24" s="81">
        <v>0</v>
      </c>
      <c r="AA24" s="81">
        <v>3.1234211546671156</v>
      </c>
      <c r="AB24" s="82">
        <f>P24/(M24/1000)</f>
        <v>80.896607905878298</v>
      </c>
    </row>
    <row r="25" spans="1:28" s="39" customFormat="1" ht="13.5" thickBot="1" x14ac:dyDescent="0.25">
      <c r="A25" s="14" t="s">
        <v>58</v>
      </c>
      <c r="B25" s="15" t="s">
        <v>59</v>
      </c>
      <c r="C25" s="12">
        <v>68</v>
      </c>
      <c r="D25" s="101">
        <f t="shared" si="0"/>
        <v>20164.875</v>
      </c>
      <c r="E25" s="101">
        <f t="shared" si="1"/>
        <v>2022.075</v>
      </c>
      <c r="F25" s="99">
        <f t="shared" si="2"/>
        <v>9.9723674937873223</v>
      </c>
      <c r="G25" s="13">
        <v>80</v>
      </c>
      <c r="H25" s="68">
        <v>0.63749999999999996</v>
      </c>
      <c r="I25" s="69">
        <v>0</v>
      </c>
      <c r="J25" s="70">
        <v>0.36249999999999999</v>
      </c>
      <c r="K25" s="71">
        <v>8.8476190476190482</v>
      </c>
      <c r="L25" s="23">
        <v>1613190</v>
      </c>
      <c r="M25" s="24">
        <v>161766</v>
      </c>
      <c r="N25" s="72">
        <v>7.89</v>
      </c>
      <c r="O25" s="73">
        <v>1852.75</v>
      </c>
      <c r="P25" s="74">
        <f t="shared" si="3"/>
        <v>14618.1975</v>
      </c>
      <c r="Q25" s="75">
        <v>156.38092261904762</v>
      </c>
      <c r="R25" s="76">
        <v>0</v>
      </c>
      <c r="S25" s="76">
        <v>17.645238095238096</v>
      </c>
      <c r="T25" s="77">
        <f t="shared" si="6"/>
        <v>182.72746875000001</v>
      </c>
      <c r="U25" s="78">
        <v>81.428706475988577</v>
      </c>
      <c r="V25" s="79">
        <v>0</v>
      </c>
      <c r="W25" s="79">
        <v>9.188006372466976</v>
      </c>
      <c r="X25" s="77">
        <v>90.616712848455549</v>
      </c>
      <c r="Y25" s="80">
        <v>81.203698552229767</v>
      </c>
      <c r="Z25" s="81">
        <v>0</v>
      </c>
      <c r="AA25" s="81">
        <v>9.162617608150045</v>
      </c>
      <c r="AB25" s="82">
        <f>P25/(M25/1000)</f>
        <v>90.36631616037981</v>
      </c>
    </row>
    <row r="26" spans="1:28" s="39" customFormat="1" ht="13.5" thickBot="1" x14ac:dyDescent="0.25">
      <c r="A26" s="11" t="s">
        <v>60</v>
      </c>
      <c r="B26" s="8" t="s">
        <v>61</v>
      </c>
      <c r="C26" s="12">
        <v>74</v>
      </c>
      <c r="D26" s="101">
        <f t="shared" si="0"/>
        <v>37011.775000000001</v>
      </c>
      <c r="E26" s="101">
        <f t="shared" si="1"/>
        <v>2170.75</v>
      </c>
      <c r="F26" s="99">
        <f t="shared" si="2"/>
        <v>17.050224576759184</v>
      </c>
      <c r="G26" s="13">
        <v>80</v>
      </c>
      <c r="H26" s="68">
        <v>1</v>
      </c>
      <c r="I26" s="69">
        <v>0</v>
      </c>
      <c r="J26" s="70">
        <v>0</v>
      </c>
      <c r="K26" s="71">
        <v>9.7924999999999986</v>
      </c>
      <c r="L26" s="23">
        <v>2960942</v>
      </c>
      <c r="M26" s="24">
        <v>173660</v>
      </c>
      <c r="N26" s="72">
        <v>16.84</v>
      </c>
      <c r="O26" s="73">
        <v>1532.25</v>
      </c>
      <c r="P26" s="74">
        <f t="shared" si="3"/>
        <v>25803.09</v>
      </c>
      <c r="Q26" s="75">
        <v>266.22843750000004</v>
      </c>
      <c r="R26" s="76">
        <v>28.729687500000001</v>
      </c>
      <c r="S26" s="76">
        <v>27.580500000000001</v>
      </c>
      <c r="T26" s="77">
        <f t="shared" si="6"/>
        <v>322.53862500000002</v>
      </c>
      <c r="U26" s="78">
        <v>71.930740284679672</v>
      </c>
      <c r="V26" s="79">
        <v>7.7623101026632737</v>
      </c>
      <c r="W26" s="79">
        <v>7.4518176985567433</v>
      </c>
      <c r="X26" s="77">
        <v>87.144868085899688</v>
      </c>
      <c r="Y26" s="80">
        <v>122.64352758263274</v>
      </c>
      <c r="Z26" s="81">
        <v>13.234913048485547</v>
      </c>
      <c r="AA26" s="81">
        <v>12.705516526546125</v>
      </c>
      <c r="AB26" s="82">
        <f>P26/(M26/1000)</f>
        <v>148.5839571576644</v>
      </c>
    </row>
    <row r="27" spans="1:28" s="39" customFormat="1" ht="12.75" customHeight="1" thickBot="1" x14ac:dyDescent="0.25">
      <c r="A27" s="11" t="s">
        <v>62</v>
      </c>
      <c r="B27" s="8" t="s">
        <v>61</v>
      </c>
      <c r="C27" s="12">
        <v>49</v>
      </c>
      <c r="D27" s="101">
        <f t="shared" si="0"/>
        <v>33020.532258064515</v>
      </c>
      <c r="E27" s="101">
        <f t="shared" si="1"/>
        <v>1960.0967741935483</v>
      </c>
      <c r="F27" s="99">
        <f t="shared" si="2"/>
        <v>16.846378552737686</v>
      </c>
      <c r="G27" s="13">
        <v>62</v>
      </c>
      <c r="H27" s="68">
        <v>0.12903225806451613</v>
      </c>
      <c r="I27" s="69">
        <v>0</v>
      </c>
      <c r="J27" s="70">
        <v>0.87096774193548387</v>
      </c>
      <c r="K27" s="71">
        <v>6.0483870967741939</v>
      </c>
      <c r="L27" s="23">
        <v>2047273</v>
      </c>
      <c r="M27" s="24">
        <v>121526</v>
      </c>
      <c r="N27" s="72">
        <v>6</v>
      </c>
      <c r="O27" s="73">
        <v>1548</v>
      </c>
      <c r="P27" s="74">
        <f t="shared" si="3"/>
        <v>9288</v>
      </c>
      <c r="Q27" s="75">
        <v>149.80645161290323</v>
      </c>
      <c r="R27" s="76">
        <v>0</v>
      </c>
      <c r="S27" s="76">
        <v>0</v>
      </c>
      <c r="T27" s="77">
        <f t="shared" si="6"/>
        <v>149.80645161290323</v>
      </c>
      <c r="U27" s="78">
        <v>45.36766713574594</v>
      </c>
      <c r="V27" s="79">
        <v>0</v>
      </c>
      <c r="W27" s="79">
        <v>0</v>
      </c>
      <c r="X27" s="77">
        <v>45.36766713574594</v>
      </c>
      <c r="Y27" s="80">
        <v>76.428089462337283</v>
      </c>
      <c r="Z27" s="81">
        <v>0</v>
      </c>
      <c r="AA27" s="81">
        <v>0</v>
      </c>
      <c r="AB27" s="82">
        <f>P27/(M27/1000)</f>
        <v>76.428089462337283</v>
      </c>
    </row>
    <row r="28" spans="1:28" s="39" customFormat="1" ht="13.5" thickBot="1" x14ac:dyDescent="0.25">
      <c r="A28" s="11" t="s">
        <v>63</v>
      </c>
      <c r="B28" s="8" t="s">
        <v>46</v>
      </c>
      <c r="C28" s="12">
        <v>51</v>
      </c>
      <c r="D28" s="101">
        <f t="shared" si="0"/>
        <v>31555.881355932204</v>
      </c>
      <c r="E28" s="101">
        <f t="shared" si="1"/>
        <v>2467.2711864406779</v>
      </c>
      <c r="F28" s="99">
        <f t="shared" si="2"/>
        <v>12.789790408672175</v>
      </c>
      <c r="G28" s="13">
        <v>59</v>
      </c>
      <c r="H28" s="68">
        <v>0.76271186440677963</v>
      </c>
      <c r="I28" s="69">
        <v>0.23728813559322035</v>
      </c>
      <c r="J28" s="70">
        <v>0</v>
      </c>
      <c r="K28" s="71">
        <v>9.4</v>
      </c>
      <c r="L28" s="23">
        <v>1861797</v>
      </c>
      <c r="M28" s="24">
        <v>145569</v>
      </c>
      <c r="N28" s="72">
        <v>7.7299999999999995</v>
      </c>
      <c r="O28" s="73">
        <v>1428</v>
      </c>
      <c r="P28" s="74">
        <f t="shared" si="3"/>
        <v>11038.439999999999</v>
      </c>
      <c r="Q28" s="75">
        <v>156.83796610169492</v>
      </c>
      <c r="R28" s="76">
        <v>20.572881355932203</v>
      </c>
      <c r="S28" s="76">
        <v>9.68135593220339</v>
      </c>
      <c r="T28" s="77">
        <f t="shared" si="6"/>
        <v>187.09220338983047</v>
      </c>
      <c r="U28" s="78">
        <v>49.701659203446994</v>
      </c>
      <c r="V28" s="79">
        <v>6.5195077658842502</v>
      </c>
      <c r="W28" s="79">
        <v>3.0680036545337654</v>
      </c>
      <c r="X28" s="77">
        <v>59.289170623865012</v>
      </c>
      <c r="Y28" s="80">
        <v>63.567380417533961</v>
      </c>
      <c r="Z28" s="81">
        <v>8.3383137893370165</v>
      </c>
      <c r="AA28" s="81">
        <v>3.923912371452714</v>
      </c>
      <c r="AB28" s="82">
        <f>P28/(M28/1000)</f>
        <v>75.829606578323677</v>
      </c>
    </row>
    <row r="29" spans="1:28" s="39" customFormat="1" ht="26.25" thickBot="1" x14ac:dyDescent="0.25">
      <c r="A29" s="16" t="s">
        <v>64</v>
      </c>
      <c r="B29" s="15" t="s">
        <v>65</v>
      </c>
      <c r="C29" s="17">
        <v>10</v>
      </c>
      <c r="D29" s="101"/>
      <c r="E29" s="101"/>
      <c r="F29" s="99"/>
      <c r="G29" s="18">
        <v>15</v>
      </c>
      <c r="H29" s="87">
        <v>1</v>
      </c>
      <c r="I29" s="88">
        <v>0</v>
      </c>
      <c r="J29" s="89">
        <v>0</v>
      </c>
      <c r="K29" s="90">
        <v>8.33</v>
      </c>
      <c r="L29" s="25" t="s">
        <v>66</v>
      </c>
      <c r="M29" s="26" t="s">
        <v>66</v>
      </c>
      <c r="N29" s="91">
        <v>3.5000000000000004</v>
      </c>
      <c r="O29" s="92">
        <v>1696</v>
      </c>
      <c r="P29" s="93">
        <f t="shared" si="3"/>
        <v>5936.0000000000009</v>
      </c>
      <c r="Q29" s="94">
        <v>395.73333333333335</v>
      </c>
      <c r="R29" s="95">
        <v>0</v>
      </c>
      <c r="S29" s="95">
        <v>0</v>
      </c>
      <c r="T29" s="96">
        <f t="shared" si="6"/>
        <v>395.73333333333341</v>
      </c>
      <c r="U29" s="94" t="s">
        <v>66</v>
      </c>
      <c r="V29" s="97" t="s">
        <v>66</v>
      </c>
      <c r="W29" s="97" t="s">
        <v>66</v>
      </c>
      <c r="X29" s="96" t="s">
        <v>66</v>
      </c>
      <c r="Y29" s="98" t="s">
        <v>66</v>
      </c>
      <c r="Z29" s="97" t="s">
        <v>66</v>
      </c>
      <c r="AA29" s="97" t="s">
        <v>66</v>
      </c>
      <c r="AB29" s="26" t="s">
        <v>66</v>
      </c>
    </row>
  </sheetData>
  <mergeCells count="6">
    <mergeCell ref="Y1:AB1"/>
    <mergeCell ref="C1:K1"/>
    <mergeCell ref="L1:M1"/>
    <mergeCell ref="N1:P1"/>
    <mergeCell ref="Q1:T1"/>
    <mergeCell ref="U1:X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
  <sheetViews>
    <sheetView workbookViewId="0">
      <selection activeCell="J13" sqref="J13"/>
    </sheetView>
  </sheetViews>
  <sheetFormatPr defaultRowHeight="15" x14ac:dyDescent="0.25"/>
  <sheetData>
    <row r="1" spans="1:8" x14ac:dyDescent="0.25">
      <c r="A1" s="617"/>
      <c r="B1" s="617"/>
      <c r="C1" s="617"/>
      <c r="D1" s="617"/>
      <c r="E1" s="617"/>
      <c r="F1" s="617"/>
      <c r="G1" s="617"/>
      <c r="H1" s="617"/>
    </row>
    <row r="2" spans="1:8" x14ac:dyDescent="0.25">
      <c r="A2" s="617"/>
      <c r="B2" s="617"/>
      <c r="C2" s="617"/>
      <c r="D2" s="617"/>
      <c r="E2" s="617"/>
      <c r="F2" s="617"/>
      <c r="G2" s="617"/>
      <c r="H2" s="617"/>
    </row>
    <row r="3" spans="1:8" x14ac:dyDescent="0.25">
      <c r="A3" s="617"/>
      <c r="B3" s="617"/>
      <c r="C3" s="617"/>
      <c r="D3" s="617"/>
      <c r="E3" s="617"/>
      <c r="F3" s="617"/>
      <c r="G3" s="617"/>
      <c r="H3" s="617"/>
    </row>
  </sheetData>
  <mergeCells count="1">
    <mergeCell ref="A1: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79998168889431442"/>
  </sheetPr>
  <dimension ref="A1:M22"/>
  <sheetViews>
    <sheetView zoomScaleNormal="100" zoomScaleSheetLayoutView="100" workbookViewId="0">
      <pane ySplit="5" topLeftCell="A6" activePane="bottomLeft" state="frozen"/>
      <selection activeCell="A3" sqref="A3:D3"/>
      <selection pane="bottomLeft" activeCell="A10" sqref="A10"/>
    </sheetView>
  </sheetViews>
  <sheetFormatPr defaultRowHeight="15" x14ac:dyDescent="0.25"/>
  <cols>
    <col min="1" max="1" width="9.42578125" customWidth="1"/>
    <col min="2" max="2" width="38" customWidth="1"/>
    <col min="3" max="3" width="10.85546875" bestFit="1" customWidth="1"/>
    <col min="4" max="4" width="10.5703125" customWidth="1"/>
    <col min="5" max="5" width="23.42578125" style="108" customWidth="1"/>
    <col min="6" max="6" width="23.42578125" customWidth="1"/>
    <col min="8" max="8" width="9.140625" customWidth="1"/>
    <col min="9" max="9" width="9.140625" hidden="1" customWidth="1"/>
    <col min="10" max="10" width="12.85546875" style="137" hidden="1" customWidth="1"/>
    <col min="11" max="11" width="13.42578125" style="137" hidden="1" customWidth="1"/>
    <col min="12" max="12" width="13.7109375" style="137" hidden="1" customWidth="1"/>
    <col min="13" max="13" width="14.140625" style="137" hidden="1" customWidth="1"/>
    <col min="14" max="15" width="9.140625" customWidth="1"/>
  </cols>
  <sheetData>
    <row r="1" spans="1:13" ht="55.5" customHeight="1" x14ac:dyDescent="0.25">
      <c r="A1" s="375" t="s">
        <v>140</v>
      </c>
      <c r="B1" s="376"/>
      <c r="C1" s="376"/>
      <c r="D1" s="376"/>
      <c r="E1" s="376"/>
      <c r="F1" s="377"/>
      <c r="I1">
        <f ca="1">YEAR(TODAY())</f>
        <v>2015</v>
      </c>
      <c r="J1" s="136"/>
    </row>
    <row r="3" spans="1:13" x14ac:dyDescent="0.25">
      <c r="A3" s="378" t="s">
        <v>312</v>
      </c>
      <c r="B3" s="379"/>
      <c r="C3" s="379"/>
      <c r="D3" s="380"/>
      <c r="E3" s="158"/>
    </row>
    <row r="5" spans="1:13" s="107" customFormat="1" ht="45" x14ac:dyDescent="0.25">
      <c r="A5" s="105" t="s">
        <v>131</v>
      </c>
      <c r="B5" s="105" t="s">
        <v>143</v>
      </c>
      <c r="C5" s="105" t="s">
        <v>135</v>
      </c>
      <c r="D5" s="105" t="s">
        <v>134</v>
      </c>
      <c r="E5" s="106" t="str">
        <f>CONCATENATE(E3," per year per vehicle")</f>
        <v xml:space="preserve"> per year per vehicle</v>
      </c>
      <c r="F5" s="106" t="s">
        <v>141</v>
      </c>
      <c r="J5" s="138" t="s">
        <v>148</v>
      </c>
      <c r="K5" s="309" t="s">
        <v>260</v>
      </c>
      <c r="L5" s="138" t="s">
        <v>149</v>
      </c>
      <c r="M5" s="309" t="s">
        <v>259</v>
      </c>
    </row>
    <row r="6" spans="1:13" s="107" customFormat="1" ht="16.5" customHeight="1" x14ac:dyDescent="0.25">
      <c r="A6" s="341"/>
      <c r="B6" s="266"/>
      <c r="C6" s="341"/>
      <c r="D6" s="341"/>
      <c r="E6" s="342"/>
      <c r="F6" s="343"/>
      <c r="J6" s="138">
        <f ca="1">(I$1-C6)*A6</f>
        <v>0</v>
      </c>
      <c r="K6" s="138">
        <f>E6*A6</f>
        <v>0</v>
      </c>
      <c r="L6" s="138">
        <f>F6*A6</f>
        <v>0</v>
      </c>
      <c r="M6" s="138">
        <f>('Req Hours - Core Maintenance'!H3)*A6</f>
        <v>0</v>
      </c>
    </row>
    <row r="7" spans="1:13" ht="16.5" customHeight="1" x14ac:dyDescent="0.25">
      <c r="A7" s="341"/>
      <c r="B7" s="266"/>
      <c r="C7" s="341"/>
      <c r="D7" s="341"/>
      <c r="E7" s="342"/>
      <c r="F7" s="343"/>
      <c r="J7" s="138">
        <f t="shared" ref="J7:J20" ca="1" si="0">(I$1-C7)*A7</f>
        <v>0</v>
      </c>
      <c r="K7" s="138">
        <f t="shared" ref="K7:K20" si="1">E7*A7</f>
        <v>0</v>
      </c>
      <c r="L7" s="138">
        <f t="shared" ref="L7:L20" si="2">F7*A7</f>
        <v>0</v>
      </c>
      <c r="M7" s="138">
        <f>('Req Hours - Core Maintenance'!H12)*A7</f>
        <v>0</v>
      </c>
    </row>
    <row r="8" spans="1:13" ht="16.5" customHeight="1" x14ac:dyDescent="0.25">
      <c r="A8" s="341"/>
      <c r="B8" s="266"/>
      <c r="C8" s="341"/>
      <c r="D8" s="341"/>
      <c r="E8" s="342"/>
      <c r="F8" s="343"/>
      <c r="J8" s="138">
        <f t="shared" ca="1" si="0"/>
        <v>0</v>
      </c>
      <c r="K8" s="138">
        <f t="shared" si="1"/>
        <v>0</v>
      </c>
      <c r="L8" s="138">
        <f t="shared" si="2"/>
        <v>0</v>
      </c>
      <c r="M8" s="138">
        <f>('Req Hours - Core Maintenance'!H21)*A8</f>
        <v>0</v>
      </c>
    </row>
    <row r="9" spans="1:13" ht="16.5" customHeight="1" x14ac:dyDescent="0.25">
      <c r="A9" s="341"/>
      <c r="B9" s="266"/>
      <c r="C9" s="341"/>
      <c r="D9" s="341"/>
      <c r="E9" s="342"/>
      <c r="F9" s="343"/>
      <c r="J9" s="138">
        <f t="shared" ca="1" si="0"/>
        <v>0</v>
      </c>
      <c r="K9" s="138">
        <f t="shared" si="1"/>
        <v>0</v>
      </c>
      <c r="L9" s="138">
        <f t="shared" si="2"/>
        <v>0</v>
      </c>
      <c r="M9" s="138">
        <f>('Req Hours - Core Maintenance'!H30)*A9</f>
        <v>0</v>
      </c>
    </row>
    <row r="10" spans="1:13" ht="16.5" customHeight="1" x14ac:dyDescent="0.25">
      <c r="A10" s="341"/>
      <c r="B10" s="266"/>
      <c r="C10" s="341"/>
      <c r="D10" s="341"/>
      <c r="E10" s="342"/>
      <c r="F10" s="343"/>
      <c r="J10" s="138">
        <f t="shared" ca="1" si="0"/>
        <v>0</v>
      </c>
      <c r="K10" s="138">
        <f t="shared" si="1"/>
        <v>0</v>
      </c>
      <c r="L10" s="138">
        <f t="shared" si="2"/>
        <v>0</v>
      </c>
      <c r="M10" s="138">
        <f>('Req Hours - Core Maintenance'!H39)*A10</f>
        <v>0</v>
      </c>
    </row>
    <row r="11" spans="1:13" ht="16.5" customHeight="1" x14ac:dyDescent="0.25">
      <c r="A11" s="341"/>
      <c r="B11" s="266"/>
      <c r="C11" s="341"/>
      <c r="D11" s="341"/>
      <c r="E11" s="342"/>
      <c r="F11" s="343"/>
      <c r="J11" s="138">
        <f t="shared" ca="1" si="0"/>
        <v>0</v>
      </c>
      <c r="K11" s="138">
        <f t="shared" si="1"/>
        <v>0</v>
      </c>
      <c r="L11" s="138">
        <f t="shared" si="2"/>
        <v>0</v>
      </c>
      <c r="M11" s="138">
        <f>('Req Hours - Core Maintenance'!H48)*A11</f>
        <v>0</v>
      </c>
    </row>
    <row r="12" spans="1:13" ht="16.5" customHeight="1" x14ac:dyDescent="0.25">
      <c r="A12" s="341"/>
      <c r="B12" s="266"/>
      <c r="C12" s="341"/>
      <c r="D12" s="341"/>
      <c r="E12" s="342"/>
      <c r="F12" s="343"/>
      <c r="J12" s="138">
        <f t="shared" ca="1" si="0"/>
        <v>0</v>
      </c>
      <c r="K12" s="138">
        <f t="shared" si="1"/>
        <v>0</v>
      </c>
      <c r="L12" s="138">
        <f t="shared" si="2"/>
        <v>0</v>
      </c>
      <c r="M12" s="138">
        <f>('Req Hours - Core Maintenance'!H57)*A12</f>
        <v>0</v>
      </c>
    </row>
    <row r="13" spans="1:13" ht="16.5" customHeight="1" x14ac:dyDescent="0.25">
      <c r="A13" s="341"/>
      <c r="B13" s="266"/>
      <c r="C13" s="341"/>
      <c r="D13" s="341"/>
      <c r="E13" s="342"/>
      <c r="F13" s="343"/>
      <c r="J13" s="138">
        <f t="shared" ca="1" si="0"/>
        <v>0</v>
      </c>
      <c r="K13" s="138">
        <f t="shared" si="1"/>
        <v>0</v>
      </c>
      <c r="L13" s="138">
        <f t="shared" si="2"/>
        <v>0</v>
      </c>
      <c r="M13" s="138">
        <f>('Req Hours - Core Maintenance'!H66)*A13</f>
        <v>0</v>
      </c>
    </row>
    <row r="14" spans="1:13" ht="16.5" customHeight="1" x14ac:dyDescent="0.25">
      <c r="A14" s="341"/>
      <c r="B14" s="266"/>
      <c r="C14" s="341"/>
      <c r="D14" s="341"/>
      <c r="E14" s="342"/>
      <c r="F14" s="343"/>
      <c r="J14" s="138">
        <f t="shared" ca="1" si="0"/>
        <v>0</v>
      </c>
      <c r="K14" s="138">
        <f t="shared" si="1"/>
        <v>0</v>
      </c>
      <c r="L14" s="138">
        <f t="shared" si="2"/>
        <v>0</v>
      </c>
      <c r="M14" s="138">
        <f>('Req Hours - Core Maintenance'!H75)*A14</f>
        <v>0</v>
      </c>
    </row>
    <row r="15" spans="1:13" ht="16.5" customHeight="1" x14ac:dyDescent="0.25">
      <c r="A15" s="341"/>
      <c r="B15" s="266"/>
      <c r="C15" s="341"/>
      <c r="D15" s="341"/>
      <c r="E15" s="342"/>
      <c r="F15" s="343"/>
      <c r="J15" s="138">
        <f t="shared" ca="1" si="0"/>
        <v>0</v>
      </c>
      <c r="K15" s="138">
        <f t="shared" si="1"/>
        <v>0</v>
      </c>
      <c r="L15" s="138">
        <f t="shared" si="2"/>
        <v>0</v>
      </c>
      <c r="M15" s="138">
        <f>('Req Hours - Core Maintenance'!H84)*A15</f>
        <v>0</v>
      </c>
    </row>
    <row r="16" spans="1:13" ht="16.5" customHeight="1" x14ac:dyDescent="0.25">
      <c r="A16" s="341"/>
      <c r="B16" s="266"/>
      <c r="C16" s="341"/>
      <c r="D16" s="341"/>
      <c r="E16" s="342"/>
      <c r="F16" s="343"/>
      <c r="J16" s="138">
        <f t="shared" ca="1" si="0"/>
        <v>0</v>
      </c>
      <c r="K16" s="138">
        <f t="shared" si="1"/>
        <v>0</v>
      </c>
      <c r="L16" s="138">
        <f t="shared" si="2"/>
        <v>0</v>
      </c>
      <c r="M16" s="138">
        <f>('Req Hours - Core Maintenance'!H93)*A16</f>
        <v>0</v>
      </c>
    </row>
    <row r="17" spans="1:13" ht="16.5" customHeight="1" x14ac:dyDescent="0.25">
      <c r="A17" s="341"/>
      <c r="B17" s="266"/>
      <c r="C17" s="341"/>
      <c r="D17" s="341"/>
      <c r="E17" s="342"/>
      <c r="F17" s="343"/>
      <c r="J17" s="138">
        <f t="shared" ca="1" si="0"/>
        <v>0</v>
      </c>
      <c r="K17" s="138">
        <f t="shared" si="1"/>
        <v>0</v>
      </c>
      <c r="L17" s="138">
        <f t="shared" si="2"/>
        <v>0</v>
      </c>
      <c r="M17" s="138">
        <f>('Req Hours - Core Maintenance'!H102)*A17</f>
        <v>0</v>
      </c>
    </row>
    <row r="18" spans="1:13" ht="16.5" customHeight="1" x14ac:dyDescent="0.25">
      <c r="A18" s="341"/>
      <c r="B18" s="266"/>
      <c r="C18" s="341"/>
      <c r="D18" s="341"/>
      <c r="E18" s="342"/>
      <c r="F18" s="343"/>
      <c r="J18" s="138">
        <f t="shared" ca="1" si="0"/>
        <v>0</v>
      </c>
      <c r="K18" s="138">
        <f t="shared" si="1"/>
        <v>0</v>
      </c>
      <c r="L18" s="138">
        <f t="shared" si="2"/>
        <v>0</v>
      </c>
      <c r="M18" s="138">
        <f>('Req Hours - Core Maintenance'!H111)*A18</f>
        <v>0</v>
      </c>
    </row>
    <row r="19" spans="1:13" ht="16.5" customHeight="1" x14ac:dyDescent="0.25">
      <c r="A19" s="341"/>
      <c r="B19" s="266"/>
      <c r="C19" s="341"/>
      <c r="D19" s="341"/>
      <c r="E19" s="342"/>
      <c r="F19" s="343"/>
      <c r="J19" s="138">
        <f t="shared" ca="1" si="0"/>
        <v>0</v>
      </c>
      <c r="K19" s="138">
        <f t="shared" si="1"/>
        <v>0</v>
      </c>
      <c r="L19" s="138">
        <f t="shared" si="2"/>
        <v>0</v>
      </c>
      <c r="M19" s="138">
        <f>('Req Hours - Core Maintenance'!H120)*A19</f>
        <v>0</v>
      </c>
    </row>
    <row r="20" spans="1:13" ht="16.5" customHeight="1" x14ac:dyDescent="0.25">
      <c r="A20" s="341"/>
      <c r="B20" s="266"/>
      <c r="C20" s="341"/>
      <c r="D20" s="341"/>
      <c r="E20" s="342"/>
      <c r="F20" s="343"/>
      <c r="J20" s="138">
        <f t="shared" ca="1" si="0"/>
        <v>0</v>
      </c>
      <c r="K20" s="138">
        <f t="shared" si="1"/>
        <v>0</v>
      </c>
      <c r="L20" s="138">
        <f t="shared" si="2"/>
        <v>0</v>
      </c>
      <c r="M20" s="138">
        <f>('Req Hours - Core Maintenance'!H129)*A20</f>
        <v>0</v>
      </c>
    </row>
    <row r="21" spans="1:13" x14ac:dyDescent="0.25">
      <c r="A21" s="1" t="s">
        <v>147</v>
      </c>
      <c r="E21" s="176"/>
      <c r="H21" s="115"/>
      <c r="I21" s="115" t="e">
        <f ca="1">J21/A22</f>
        <v>#DIV/0!</v>
      </c>
      <c r="J21" s="138">
        <f ca="1">SUM(J6:J20)</f>
        <v>0</v>
      </c>
      <c r="K21" s="138">
        <f>SUM(K6:K20)</f>
        <v>0</v>
      </c>
      <c r="L21" s="138">
        <f>SUM(L6:L20)</f>
        <v>0</v>
      </c>
      <c r="M21" s="138">
        <f>SUM(M6:M20)</f>
        <v>0</v>
      </c>
    </row>
    <row r="22" spans="1:13" x14ac:dyDescent="0.25">
      <c r="A22">
        <f>SUM(A6:A20)</f>
        <v>0</v>
      </c>
      <c r="E22" s="226"/>
    </row>
  </sheetData>
  <mergeCells count="2">
    <mergeCell ref="A1:F1"/>
    <mergeCell ref="A3:D3"/>
  </mergeCells>
  <printOptions headings="1"/>
  <pageMargins left="0.7" right="0.7" top="0.75" bottom="0.75" header="0.3" footer="0.3"/>
  <pageSetup orientation="landscape" verticalDpi="12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A1:T37"/>
  <sheetViews>
    <sheetView topLeftCell="A28" zoomScaleNormal="100" zoomScaleSheetLayoutView="90" workbookViewId="0">
      <selection activeCell="B30" sqref="B30"/>
    </sheetView>
  </sheetViews>
  <sheetFormatPr defaultRowHeight="15" x14ac:dyDescent="0.25"/>
  <cols>
    <col min="1" max="1" width="40.5703125" bestFit="1" customWidth="1"/>
    <col min="2" max="2" width="9.7109375" customWidth="1"/>
    <col min="3" max="3" width="21" customWidth="1"/>
    <col min="4" max="4" width="9.7109375" customWidth="1"/>
    <col min="5" max="5" width="24.5703125" customWidth="1"/>
    <col min="6" max="6" width="9.7109375" customWidth="1"/>
    <col min="8" max="9" width="5.28515625" customWidth="1"/>
    <col min="10" max="10" width="0" hidden="1" customWidth="1"/>
  </cols>
  <sheetData>
    <row r="1" spans="1:20" ht="15" customHeight="1" x14ac:dyDescent="0.25">
      <c r="A1" s="1" t="s">
        <v>153</v>
      </c>
      <c r="B1" s="103"/>
      <c r="N1" s="415"/>
      <c r="O1" s="415"/>
      <c r="P1" s="415"/>
      <c r="Q1" s="415"/>
      <c r="R1" s="415"/>
      <c r="S1" s="415"/>
      <c r="T1" s="415"/>
    </row>
    <row r="2" spans="1:20" ht="15" customHeight="1" x14ac:dyDescent="0.25">
      <c r="A2" s="1"/>
      <c r="B2" s="103"/>
      <c r="N2" s="415"/>
      <c r="O2" s="415"/>
      <c r="P2" s="415"/>
      <c r="Q2" s="415"/>
      <c r="R2" s="415"/>
      <c r="S2" s="415"/>
      <c r="T2" s="415"/>
    </row>
    <row r="3" spans="1:20" ht="45" customHeight="1" x14ac:dyDescent="0.25">
      <c r="A3" s="420" t="s">
        <v>265</v>
      </c>
      <c r="B3" s="421"/>
      <c r="C3" s="421"/>
      <c r="D3" s="421"/>
      <c r="E3" s="421"/>
      <c r="F3" s="421"/>
      <c r="G3" s="421"/>
      <c r="H3" s="421"/>
      <c r="I3" s="421"/>
      <c r="J3" s="421"/>
      <c r="K3" s="421"/>
      <c r="L3" s="422"/>
      <c r="N3" s="415"/>
      <c r="O3" s="415"/>
      <c r="P3" s="415"/>
      <c r="Q3" s="415"/>
      <c r="R3" s="415"/>
      <c r="S3" s="415"/>
      <c r="T3" s="415"/>
    </row>
    <row r="4" spans="1:20" ht="91.5" customHeight="1" x14ac:dyDescent="0.25">
      <c r="A4" s="391" t="s">
        <v>266</v>
      </c>
      <c r="B4" s="392"/>
      <c r="C4" s="392"/>
      <c r="D4" s="392"/>
      <c r="E4" s="392"/>
      <c r="F4" s="392"/>
      <c r="G4" s="392"/>
      <c r="H4" s="392"/>
      <c r="I4" s="392"/>
      <c r="J4" s="392"/>
      <c r="K4" s="392"/>
      <c r="L4" s="393"/>
      <c r="N4" s="415"/>
      <c r="O4" s="415"/>
      <c r="P4" s="415"/>
      <c r="Q4" s="415"/>
      <c r="R4" s="415"/>
      <c r="S4" s="415"/>
      <c r="T4" s="415"/>
    </row>
    <row r="5" spans="1:20" ht="15" customHeight="1" x14ac:dyDescent="0.25">
      <c r="A5" s="1"/>
      <c r="B5" s="103"/>
      <c r="N5" s="415"/>
      <c r="O5" s="415"/>
      <c r="P5" s="415"/>
      <c r="Q5" s="415"/>
      <c r="R5" s="415"/>
      <c r="S5" s="415"/>
      <c r="T5" s="415"/>
    </row>
    <row r="6" spans="1:20" ht="29.25" customHeight="1" x14ac:dyDescent="0.25">
      <c r="A6" s="400" t="s">
        <v>183</v>
      </c>
      <c r="B6" s="401"/>
      <c r="C6" s="158"/>
      <c r="N6" s="415"/>
      <c r="O6" s="415"/>
      <c r="P6" s="415"/>
      <c r="Q6" s="415"/>
      <c r="R6" s="415"/>
      <c r="S6" s="415"/>
      <c r="T6" s="415"/>
    </row>
    <row r="7" spans="1:20" x14ac:dyDescent="0.25">
      <c r="B7" s="5"/>
      <c r="N7" s="415"/>
      <c r="O7" s="415"/>
      <c r="P7" s="415"/>
      <c r="Q7" s="415"/>
      <c r="R7" s="415"/>
      <c r="S7" s="415"/>
      <c r="T7" s="415"/>
    </row>
    <row r="8" spans="1:20" ht="90" x14ac:dyDescent="0.25">
      <c r="A8" s="211" t="s">
        <v>184</v>
      </c>
      <c r="B8" s="158"/>
      <c r="C8" s="211" t="s">
        <v>109</v>
      </c>
      <c r="D8" s="185"/>
      <c r="N8" s="415"/>
      <c r="O8" s="415"/>
      <c r="P8" s="415"/>
      <c r="Q8" s="415"/>
      <c r="R8" s="415"/>
      <c r="S8" s="415"/>
      <c r="T8" s="415"/>
    </row>
    <row r="9" spans="1:20" ht="75" x14ac:dyDescent="0.25">
      <c r="A9" s="211" t="s">
        <v>116</v>
      </c>
      <c r="B9" s="158"/>
      <c r="C9" s="211" t="s">
        <v>110</v>
      </c>
      <c r="D9" s="186"/>
      <c r="E9" s="211" t="s">
        <v>169</v>
      </c>
      <c r="F9" s="185"/>
      <c r="N9" s="415"/>
      <c r="O9" s="415"/>
      <c r="P9" s="415"/>
      <c r="Q9" s="415"/>
      <c r="R9" s="415"/>
      <c r="S9" s="415"/>
      <c r="T9" s="415"/>
    </row>
    <row r="10" spans="1:20" ht="90" x14ac:dyDescent="0.25">
      <c r="A10" s="211" t="s">
        <v>304</v>
      </c>
      <c r="B10" s="158"/>
      <c r="C10" s="211" t="s">
        <v>111</v>
      </c>
      <c r="D10" s="158"/>
      <c r="E10" s="211" t="s">
        <v>170</v>
      </c>
      <c r="F10" s="185"/>
      <c r="N10" s="415"/>
      <c r="O10" s="415"/>
      <c r="P10" s="415"/>
      <c r="Q10" s="415"/>
      <c r="R10" s="415"/>
      <c r="S10" s="415"/>
      <c r="T10" s="415"/>
    </row>
    <row r="11" spans="1:20" ht="15" customHeight="1" x14ac:dyDescent="0.25">
      <c r="A11" s="1"/>
      <c r="B11" s="103"/>
      <c r="N11" s="415"/>
      <c r="O11" s="415"/>
      <c r="P11" s="415"/>
      <c r="Q11" s="415"/>
      <c r="R11" s="415"/>
      <c r="S11" s="415"/>
      <c r="T11" s="415"/>
    </row>
    <row r="12" spans="1:20" ht="29.25" customHeight="1" x14ac:dyDescent="0.25">
      <c r="A12" s="400" t="s">
        <v>185</v>
      </c>
      <c r="B12" s="401"/>
      <c r="C12" s="158"/>
      <c r="N12" s="415"/>
      <c r="O12" s="415"/>
      <c r="P12" s="415"/>
      <c r="Q12" s="415"/>
      <c r="R12" s="415"/>
      <c r="S12" s="415"/>
      <c r="T12" s="415"/>
    </row>
    <row r="13" spans="1:20" x14ac:dyDescent="0.25">
      <c r="B13" s="5"/>
      <c r="N13" s="415"/>
      <c r="O13" s="415"/>
      <c r="P13" s="415"/>
      <c r="Q13" s="415"/>
      <c r="R13" s="415"/>
      <c r="S13" s="415"/>
      <c r="T13" s="415"/>
    </row>
    <row r="14" spans="1:20" ht="90" x14ac:dyDescent="0.25">
      <c r="A14" s="211" t="s">
        <v>182</v>
      </c>
      <c r="B14" s="158"/>
      <c r="C14" s="211" t="s">
        <v>109</v>
      </c>
      <c r="D14" s="185"/>
      <c r="N14" s="415"/>
      <c r="O14" s="415"/>
      <c r="P14" s="415"/>
      <c r="Q14" s="415"/>
      <c r="R14" s="415"/>
      <c r="S14" s="415"/>
      <c r="T14" s="415"/>
    </row>
    <row r="15" spans="1:20" x14ac:dyDescent="0.25">
      <c r="N15" s="415"/>
      <c r="O15" s="415"/>
      <c r="P15" s="415"/>
      <c r="Q15" s="415"/>
      <c r="R15" s="415"/>
      <c r="S15" s="415"/>
      <c r="T15" s="415"/>
    </row>
    <row r="16" spans="1:20" x14ac:dyDescent="0.25">
      <c r="N16" s="415"/>
      <c r="O16" s="415"/>
      <c r="P16" s="415"/>
      <c r="Q16" s="415"/>
      <c r="R16" s="415"/>
      <c r="S16" s="415"/>
      <c r="T16" s="415"/>
    </row>
    <row r="17" spans="1:20" x14ac:dyDescent="0.25">
      <c r="A17" s="402" t="s">
        <v>258</v>
      </c>
      <c r="B17" s="381"/>
      <c r="E17" s="397" t="s">
        <v>186</v>
      </c>
      <c r="F17" s="398"/>
      <c r="G17" s="399"/>
      <c r="H17" s="381"/>
      <c r="I17" s="381"/>
      <c r="N17" s="415"/>
      <c r="O17" s="415"/>
      <c r="P17" s="415"/>
      <c r="Q17" s="415"/>
      <c r="R17" s="415"/>
      <c r="S17" s="415"/>
      <c r="T17" s="415"/>
    </row>
    <row r="18" spans="1:20" x14ac:dyDescent="0.25">
      <c r="A18" s="403"/>
      <c r="B18" s="381"/>
      <c r="E18" s="397"/>
      <c r="F18" s="398"/>
      <c r="G18" s="399"/>
      <c r="H18" s="381"/>
      <c r="I18" s="381"/>
      <c r="N18" s="415"/>
      <c r="O18" s="415"/>
      <c r="P18" s="415"/>
      <c r="Q18" s="415"/>
      <c r="R18" s="415"/>
      <c r="S18" s="415"/>
      <c r="T18" s="415"/>
    </row>
    <row r="19" spans="1:20" x14ac:dyDescent="0.25">
      <c r="A19" s="2" t="s">
        <v>187</v>
      </c>
      <c r="B19" s="227" t="e">
        <f>C6/(C6+C12)</f>
        <v>#DIV/0!</v>
      </c>
      <c r="E19" s="404" t="s">
        <v>188</v>
      </c>
      <c r="F19" s="405"/>
      <c r="G19" s="406"/>
      <c r="H19" s="423" t="e">
        <f>C12/(C6+C12)</f>
        <v>#DIV/0!</v>
      </c>
      <c r="I19" s="424"/>
      <c r="J19" s="155" t="s">
        <v>191</v>
      </c>
      <c r="N19" s="415"/>
      <c r="O19" s="415"/>
      <c r="P19" s="415"/>
      <c r="Q19" s="415"/>
      <c r="R19" s="415"/>
      <c r="S19" s="415"/>
      <c r="T19" s="415"/>
    </row>
    <row r="20" spans="1:20" x14ac:dyDescent="0.25">
      <c r="A20" s="2" t="s">
        <v>308</v>
      </c>
      <c r="B20" s="228"/>
      <c r="E20" s="404" t="s">
        <v>190</v>
      </c>
      <c r="F20" s="405"/>
      <c r="G20" s="406"/>
      <c r="H20" s="417"/>
      <c r="I20" s="383"/>
      <c r="J20" s="130" t="s">
        <v>166</v>
      </c>
      <c r="N20" s="415"/>
      <c r="O20" s="415"/>
      <c r="P20" s="415"/>
      <c r="Q20" s="415"/>
      <c r="R20" s="415"/>
      <c r="S20" s="415"/>
      <c r="T20" s="415"/>
    </row>
    <row r="21" spans="1:20" x14ac:dyDescent="0.25">
      <c r="A21" s="2" t="s">
        <v>189</v>
      </c>
      <c r="B21" s="229">
        <f>B20*52</f>
        <v>0</v>
      </c>
      <c r="E21" s="404" t="s">
        <v>189</v>
      </c>
      <c r="F21" s="405"/>
      <c r="G21" s="406"/>
      <c r="H21" s="405">
        <f>H20*52</f>
        <v>0</v>
      </c>
      <c r="I21" s="406"/>
      <c r="J21" s="155" t="s">
        <v>191</v>
      </c>
      <c r="N21" s="415"/>
      <c r="O21" s="415"/>
      <c r="P21" s="415"/>
      <c r="Q21" s="415"/>
      <c r="R21" s="415"/>
      <c r="S21" s="415"/>
      <c r="T21" s="415"/>
    </row>
    <row r="22" spans="1:20" ht="15" customHeight="1" x14ac:dyDescent="0.25">
      <c r="A22" s="357" t="s">
        <v>326</v>
      </c>
      <c r="B22" s="2">
        <f>C6-(C6*D8)+(D9*F9)+(D10*F10)</f>
        <v>0</v>
      </c>
      <c r="E22" s="407" t="s">
        <v>325</v>
      </c>
      <c r="F22" s="408"/>
      <c r="G22" s="409"/>
      <c r="H22" s="418" t="e">
        <f>(H21/B21)*(C12-C12*D14)</f>
        <v>#DIV/0!</v>
      </c>
      <c r="I22" s="419"/>
      <c r="N22" s="415"/>
      <c r="O22" s="415"/>
      <c r="P22" s="415"/>
      <c r="Q22" s="415"/>
      <c r="R22" s="415"/>
      <c r="S22" s="415"/>
      <c r="T22" s="415"/>
    </row>
    <row r="23" spans="1:20" ht="30" x14ac:dyDescent="0.25">
      <c r="A23" s="230" t="s">
        <v>267</v>
      </c>
      <c r="E23" s="416" t="s">
        <v>268</v>
      </c>
      <c r="F23" s="405"/>
      <c r="G23" s="406"/>
      <c r="H23" s="381"/>
      <c r="I23" s="381"/>
      <c r="N23" s="415"/>
      <c r="O23" s="415"/>
      <c r="P23" s="415"/>
      <c r="Q23" s="415"/>
      <c r="R23" s="415"/>
      <c r="S23" s="415"/>
      <c r="T23" s="415"/>
    </row>
    <row r="24" spans="1:20" x14ac:dyDescent="0.25">
      <c r="N24" s="415"/>
      <c r="O24" s="415"/>
      <c r="P24" s="415"/>
      <c r="Q24" s="415"/>
      <c r="R24" s="415"/>
      <c r="S24" s="415"/>
      <c r="T24" s="415"/>
    </row>
    <row r="25" spans="1:20" x14ac:dyDescent="0.25">
      <c r="A25" s="231" t="s">
        <v>2</v>
      </c>
      <c r="B25" s="158"/>
      <c r="E25" s="404" t="s">
        <v>2</v>
      </c>
      <c r="F25" s="405"/>
      <c r="G25" s="406"/>
      <c r="H25" s="382"/>
      <c r="I25" s="383"/>
      <c r="N25" s="415"/>
      <c r="O25" s="415"/>
      <c r="P25" s="415"/>
      <c r="Q25" s="415"/>
      <c r="R25" s="415"/>
      <c r="S25" s="415"/>
      <c r="T25" s="415"/>
    </row>
    <row r="26" spans="1:20" x14ac:dyDescent="0.25">
      <c r="A26" s="231" t="s">
        <v>3</v>
      </c>
      <c r="B26" s="158"/>
      <c r="E26" s="404" t="s">
        <v>3</v>
      </c>
      <c r="F26" s="405"/>
      <c r="G26" s="406"/>
      <c r="H26" s="382"/>
      <c r="I26" s="383"/>
    </row>
    <row r="27" spans="1:20" x14ac:dyDescent="0.25">
      <c r="A27" s="231" t="s">
        <v>4</v>
      </c>
      <c r="B27" s="158"/>
      <c r="E27" s="404" t="s">
        <v>4</v>
      </c>
      <c r="F27" s="405"/>
      <c r="G27" s="406"/>
      <c r="H27" s="382"/>
      <c r="I27" s="383"/>
    </row>
    <row r="28" spans="1:20" x14ac:dyDescent="0.25">
      <c r="A28" s="231" t="s">
        <v>118</v>
      </c>
      <c r="B28" s="158"/>
      <c r="E28" s="404" t="s">
        <v>118</v>
      </c>
      <c r="F28" s="405"/>
      <c r="G28" s="406"/>
      <c r="H28" s="382"/>
      <c r="I28" s="383"/>
    </row>
    <row r="29" spans="1:20" x14ac:dyDescent="0.25">
      <c r="A29" s="340" t="s">
        <v>309</v>
      </c>
      <c r="B29" s="2">
        <f>B21-B25-B26-B27-B28</f>
        <v>0</v>
      </c>
      <c r="E29" s="410" t="s">
        <v>309</v>
      </c>
      <c r="F29" s="411"/>
      <c r="G29" s="412"/>
      <c r="H29" s="404">
        <f>H21-H25-H26-H27-H28</f>
        <v>0</v>
      </c>
      <c r="I29" s="406"/>
    </row>
    <row r="30" spans="1:20" ht="30" customHeight="1" x14ac:dyDescent="0.25">
      <c r="A30" s="231" t="s">
        <v>165</v>
      </c>
      <c r="B30" s="158"/>
      <c r="C30" s="413" t="s">
        <v>305</v>
      </c>
      <c r="D30" s="414"/>
      <c r="E30" s="404" t="s">
        <v>192</v>
      </c>
      <c r="F30" s="405"/>
      <c r="G30" s="406"/>
      <c r="H30" s="382"/>
      <c r="I30" s="383"/>
      <c r="J30" s="130" t="s">
        <v>166</v>
      </c>
    </row>
    <row r="31" spans="1:20" ht="30" customHeight="1" x14ac:dyDescent="0.25">
      <c r="A31" s="231" t="s">
        <v>269</v>
      </c>
      <c r="B31" s="159"/>
      <c r="C31" s="413"/>
      <c r="D31" s="414"/>
      <c r="E31" s="404" t="s">
        <v>269</v>
      </c>
      <c r="F31" s="405"/>
      <c r="G31" s="406"/>
      <c r="H31" s="382"/>
      <c r="I31" s="383"/>
      <c r="J31" s="130" t="s">
        <v>166</v>
      </c>
    </row>
    <row r="32" spans="1:20" hidden="1" x14ac:dyDescent="0.25">
      <c r="A32" s="232" t="s">
        <v>168</v>
      </c>
      <c r="B32" s="153" t="e">
        <f>B29/B30</f>
        <v>#DIV/0!</v>
      </c>
      <c r="C32" s="314" t="s">
        <v>262</v>
      </c>
      <c r="E32" s="384" t="s">
        <v>168</v>
      </c>
      <c r="F32" s="385"/>
      <c r="G32" s="386"/>
      <c r="H32" s="389" t="e">
        <f>H29/H30</f>
        <v>#DIV/0!</v>
      </c>
      <c r="I32" s="390"/>
      <c r="J32" s="154" t="s">
        <v>167</v>
      </c>
      <c r="K32" s="154"/>
      <c r="L32" s="154"/>
    </row>
    <row r="33" spans="1:12" ht="15" hidden="1" customHeight="1" x14ac:dyDescent="0.25">
      <c r="A33" s="232" t="s">
        <v>117</v>
      </c>
      <c r="B33" s="153" t="e">
        <f>B31*B32</f>
        <v>#DIV/0!</v>
      </c>
      <c r="C33" s="314" t="s">
        <v>262</v>
      </c>
      <c r="E33" s="384" t="s">
        <v>117</v>
      </c>
      <c r="F33" s="385"/>
      <c r="G33" s="386"/>
      <c r="H33" s="389" t="e">
        <f>H32*H31</f>
        <v>#DIV/0!</v>
      </c>
      <c r="I33" s="390" t="e">
        <f t="shared" ref="I33" si="0">((I21/I30)-(I25/I30))*I31</f>
        <v>#DIV/0!</v>
      </c>
      <c r="J33" s="154" t="s">
        <v>167</v>
      </c>
      <c r="K33" s="154"/>
      <c r="L33" s="154"/>
    </row>
    <row r="34" spans="1:12" ht="30" x14ac:dyDescent="0.25">
      <c r="A34" s="233" t="s">
        <v>310</v>
      </c>
      <c r="B34" s="152" t="e">
        <f>B29-B33</f>
        <v>#DIV/0!</v>
      </c>
      <c r="E34" s="394" t="s">
        <v>193</v>
      </c>
      <c r="F34" s="395"/>
      <c r="G34" s="396"/>
      <c r="H34" s="387" t="e">
        <f>H29-H33</f>
        <v>#DIV/0!</v>
      </c>
      <c r="I34" s="388"/>
    </row>
    <row r="35" spans="1:12" ht="30" x14ac:dyDescent="0.25">
      <c r="A35" s="339" t="s">
        <v>263</v>
      </c>
      <c r="B35" s="182" t="e">
        <f>(B19*B34)+(H19*H34)</f>
        <v>#DIV/0!</v>
      </c>
    </row>
    <row r="37" spans="1:12" ht="45" x14ac:dyDescent="0.25">
      <c r="A37" s="230" t="s">
        <v>196</v>
      </c>
      <c r="B37" s="158"/>
      <c r="E37" s="397" t="s">
        <v>197</v>
      </c>
      <c r="F37" s="398"/>
      <c r="G37" s="399"/>
      <c r="H37" s="382"/>
      <c r="I37" s="383"/>
    </row>
  </sheetData>
  <mergeCells count="42">
    <mergeCell ref="C30:D31"/>
    <mergeCell ref="E32:G32"/>
    <mergeCell ref="N1:T25"/>
    <mergeCell ref="A6:B6"/>
    <mergeCell ref="E23:G23"/>
    <mergeCell ref="E25:G25"/>
    <mergeCell ref="E26:G26"/>
    <mergeCell ref="H29:I29"/>
    <mergeCell ref="H30:I30"/>
    <mergeCell ref="H31:I31"/>
    <mergeCell ref="H20:I20"/>
    <mergeCell ref="H21:I21"/>
    <mergeCell ref="H22:I22"/>
    <mergeCell ref="A3:L3"/>
    <mergeCell ref="H19:I19"/>
    <mergeCell ref="H17:I18"/>
    <mergeCell ref="A4:L4"/>
    <mergeCell ref="E34:G34"/>
    <mergeCell ref="E37:G37"/>
    <mergeCell ref="A12:B12"/>
    <mergeCell ref="A17:A18"/>
    <mergeCell ref="B17:B18"/>
    <mergeCell ref="E17:G18"/>
    <mergeCell ref="E19:G19"/>
    <mergeCell ref="E20:G20"/>
    <mergeCell ref="E21:G21"/>
    <mergeCell ref="E22:G22"/>
    <mergeCell ref="E27:G27"/>
    <mergeCell ref="E28:G28"/>
    <mergeCell ref="E29:G29"/>
    <mergeCell ref="E30:G30"/>
    <mergeCell ref="E31:G31"/>
    <mergeCell ref="E33:G33"/>
    <mergeCell ref="H34:I34"/>
    <mergeCell ref="H37:I37"/>
    <mergeCell ref="H33:I33"/>
    <mergeCell ref="H32:I32"/>
    <mergeCell ref="H23:I23"/>
    <mergeCell ref="H25:I25"/>
    <mergeCell ref="H26:I26"/>
    <mergeCell ref="H27:I27"/>
    <mergeCell ref="H28:I28"/>
  </mergeCells>
  <dataValidations count="2">
    <dataValidation type="whole" allowBlank="1" showInputMessage="1" showErrorMessage="1" sqref="B37 B25:B28">
      <formula1>0</formula1>
      <formula2>2080</formula2>
    </dataValidation>
    <dataValidation type="decimal" allowBlank="1" showInputMessage="1" showErrorMessage="1" error="Please enter a positive whole number" sqref="C12 C6">
      <formula1>0</formula1>
      <formula2>999999999999999000000</formula2>
    </dataValidation>
  </dataValidations>
  <printOptions headings="1"/>
  <pageMargins left="0.7" right="0.7" top="0.75" bottom="0.75" header="0.3" footer="0.3"/>
  <pageSetup scale="77" orientation="landscape" r:id="rId1"/>
  <headerFooter>
    <oddHeader>&amp;C&amp;A</oddHeader>
  </headerFooter>
  <extLst>
    <ext xmlns:x14="http://schemas.microsoft.com/office/spreadsheetml/2009/9/main" uri="{CCE6A557-97BC-4b89-ADB6-D9C93CAAB3DF}">
      <x14:dataValidations xmlns:xm="http://schemas.microsoft.com/office/excel/2006/main" count="1">
        <x14:dataValidation type="list" showInputMessage="1" showErrorMessage="1" error="Must select Yes or No">
          <x14:formula1>
            <xm:f>'DropDown Lists'!$A$1:$A$2</xm:f>
          </x14:formula1>
          <xm:sqref>B8:B10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BB252"/>
  <sheetViews>
    <sheetView zoomScale="80" zoomScaleNormal="80" zoomScaleSheetLayoutView="90" workbookViewId="0">
      <pane xSplit="8" ySplit="2" topLeftCell="AP3" activePane="bottomRight" state="frozen"/>
      <selection activeCell="F10" sqref="F10"/>
      <selection pane="topRight" activeCell="F10" sqref="F10"/>
      <selection pane="bottomLeft" activeCell="F10" sqref="F10"/>
      <selection pane="bottomRight" activeCell="E12" sqref="E12:E19"/>
    </sheetView>
  </sheetViews>
  <sheetFormatPr defaultRowHeight="15" x14ac:dyDescent="0.25"/>
  <cols>
    <col min="1" max="1" width="4.42578125" customWidth="1"/>
    <col min="2" max="2" width="22.140625" style="3" customWidth="1"/>
    <col min="3" max="3" width="6.28515625" customWidth="1"/>
    <col min="4" max="4" width="3.85546875" customWidth="1"/>
    <col min="5" max="6" width="8.140625" customWidth="1"/>
    <col min="7" max="8" width="11" customWidth="1"/>
    <col min="9" max="9" width="26.5703125" style="111" customWidth="1"/>
    <col min="10" max="18" width="8.5703125" customWidth="1"/>
    <col min="19" max="19" width="26.5703125" style="111" customWidth="1"/>
    <col min="20" max="26" width="8.5703125" customWidth="1"/>
    <col min="27" max="27" width="21.140625" style="149" customWidth="1"/>
    <col min="28" max="28" width="24.85546875" style="111" customWidth="1"/>
    <col min="29" max="29" width="12" bestFit="1" customWidth="1"/>
    <col min="30" max="34" width="8.7109375" customWidth="1"/>
    <col min="35" max="35" width="24.85546875" style="111" customWidth="1"/>
    <col min="36" max="36" width="17" bestFit="1" customWidth="1"/>
    <col min="37" max="37" width="8.7109375" customWidth="1"/>
    <col min="38" max="38" width="9.28515625" customWidth="1"/>
    <col min="39" max="41" width="8.7109375" customWidth="1"/>
    <col min="42" max="42" width="16.28515625" style="108" customWidth="1"/>
    <col min="43" max="43" width="16.5703125" style="104" customWidth="1"/>
    <col min="44" max="44" width="16.5703125" style="108" customWidth="1"/>
    <col min="45" max="45" width="2.85546875" style="146" customWidth="1"/>
    <col min="46" max="47" width="12.28515625" style="122" customWidth="1"/>
    <col min="48" max="48" width="2.7109375" style="146" customWidth="1"/>
    <col min="49" max="49" width="11.140625" customWidth="1"/>
    <col min="50" max="50" width="2.7109375" style="146" customWidth="1"/>
    <col min="53" max="53" width="29.42578125" style="111" customWidth="1"/>
    <col min="54" max="54" width="12.28515625" bestFit="1" customWidth="1"/>
  </cols>
  <sheetData>
    <row r="1" spans="1:54" ht="54.75" customHeight="1" x14ac:dyDescent="0.25">
      <c r="A1" s="488" t="s">
        <v>295</v>
      </c>
      <c r="B1" s="489"/>
      <c r="C1" s="489"/>
      <c r="D1" s="489"/>
      <c r="E1" s="489"/>
      <c r="F1" s="489"/>
      <c r="G1" s="489"/>
      <c r="H1" s="490"/>
      <c r="I1" s="467" t="s">
        <v>281</v>
      </c>
      <c r="J1" s="405"/>
      <c r="K1" s="405"/>
      <c r="L1" s="405"/>
      <c r="M1" s="405"/>
      <c r="N1" s="405"/>
      <c r="O1" s="405"/>
      <c r="P1" s="405"/>
      <c r="Q1" s="405"/>
      <c r="R1" s="406"/>
      <c r="S1" s="467" t="s">
        <v>282</v>
      </c>
      <c r="T1" s="405"/>
      <c r="U1" s="405"/>
      <c r="V1" s="405"/>
      <c r="W1" s="405"/>
      <c r="X1" s="405"/>
      <c r="Y1" s="405"/>
      <c r="Z1" s="406"/>
      <c r="AA1" s="487" t="s">
        <v>297</v>
      </c>
      <c r="AB1" s="468" t="s">
        <v>311</v>
      </c>
      <c r="AC1" s="469"/>
      <c r="AD1" s="469"/>
      <c r="AE1" s="469"/>
      <c r="AF1" s="469"/>
      <c r="AG1" s="469"/>
      <c r="AH1" s="469"/>
      <c r="AI1" s="469"/>
      <c r="AJ1" s="469"/>
      <c r="AK1" s="469"/>
      <c r="AL1" s="469"/>
      <c r="AM1" s="469"/>
      <c r="AN1" s="469"/>
      <c r="AO1" s="470"/>
      <c r="AP1" s="462" t="s">
        <v>225</v>
      </c>
      <c r="AQ1" s="485" t="s">
        <v>298</v>
      </c>
      <c r="AR1" s="466" t="s">
        <v>145</v>
      </c>
      <c r="AS1" s="139"/>
      <c r="AT1" s="466" t="s">
        <v>299</v>
      </c>
      <c r="AU1" s="466" t="str">
        <f>CONCATENATE("Maintenance Hours Per 10k vehicle ",'Fleet Inventory'!E3, " by subfleet")</f>
        <v>Maintenance Hours Per 10k vehicle  by subfleet</v>
      </c>
      <c r="AW1" s="464" t="s">
        <v>300</v>
      </c>
      <c r="AY1" s="458" t="s">
        <v>163</v>
      </c>
      <c r="AZ1" s="458" t="s">
        <v>164</v>
      </c>
      <c r="BA1" s="460"/>
    </row>
    <row r="2" spans="1:54" ht="126.75" customHeight="1" x14ac:dyDescent="0.25">
      <c r="A2" s="223" t="s">
        <v>131</v>
      </c>
      <c r="B2" s="224" t="s">
        <v>132</v>
      </c>
      <c r="C2" s="225" t="s">
        <v>133</v>
      </c>
      <c r="D2" s="225" t="s">
        <v>134</v>
      </c>
      <c r="E2" s="224" t="str">
        <f>'Fleet Inventory'!E5</f>
        <v xml:space="preserve"> per year per vehicle</v>
      </c>
      <c r="F2" s="224" t="s">
        <v>199</v>
      </c>
      <c r="G2" s="326" t="s">
        <v>301</v>
      </c>
      <c r="H2" s="326" t="s">
        <v>302</v>
      </c>
      <c r="I2" s="316" t="s">
        <v>270</v>
      </c>
      <c r="J2" s="162" t="s">
        <v>283</v>
      </c>
      <c r="K2" s="162" t="s">
        <v>284</v>
      </c>
      <c r="L2" s="162" t="s">
        <v>285</v>
      </c>
      <c r="M2" s="162" t="s">
        <v>286</v>
      </c>
      <c r="N2" s="162" t="s">
        <v>287</v>
      </c>
      <c r="O2" s="162" t="s">
        <v>288</v>
      </c>
      <c r="P2" s="162" t="s">
        <v>327</v>
      </c>
      <c r="Q2" s="162" t="s">
        <v>328</v>
      </c>
      <c r="R2" s="162" t="s">
        <v>303</v>
      </c>
      <c r="S2" s="316" t="s">
        <v>270</v>
      </c>
      <c r="T2" s="162" t="s">
        <v>289</v>
      </c>
      <c r="U2" s="162" t="s">
        <v>290</v>
      </c>
      <c r="V2" s="162" t="s">
        <v>291</v>
      </c>
      <c r="W2" s="162" t="s">
        <v>292</v>
      </c>
      <c r="X2" s="162" t="s">
        <v>293</v>
      </c>
      <c r="Y2" s="162" t="s">
        <v>294</v>
      </c>
      <c r="Z2" s="162" t="s">
        <v>296</v>
      </c>
      <c r="AA2" s="487"/>
      <c r="AB2" s="317" t="s">
        <v>273</v>
      </c>
      <c r="AC2" s="299" t="s">
        <v>239</v>
      </c>
      <c r="AD2" s="300" t="s">
        <v>241</v>
      </c>
      <c r="AE2" s="300" t="s">
        <v>242</v>
      </c>
      <c r="AF2" s="300" t="s">
        <v>243</v>
      </c>
      <c r="AG2" s="300" t="s">
        <v>150</v>
      </c>
      <c r="AH2" s="300" t="s">
        <v>151</v>
      </c>
      <c r="AI2" s="317" t="s">
        <v>274</v>
      </c>
      <c r="AJ2" s="300" t="s">
        <v>246</v>
      </c>
      <c r="AK2" s="300" t="s">
        <v>244</v>
      </c>
      <c r="AL2" s="300" t="s">
        <v>245</v>
      </c>
      <c r="AM2" s="300" t="s">
        <v>216</v>
      </c>
      <c r="AN2" s="300" t="s">
        <v>150</v>
      </c>
      <c r="AO2" s="300" t="s">
        <v>151</v>
      </c>
      <c r="AP2" s="463"/>
      <c r="AQ2" s="486"/>
      <c r="AR2" s="466"/>
      <c r="AS2" s="139"/>
      <c r="AT2" s="466"/>
      <c r="AU2" s="466"/>
      <c r="AW2" s="465"/>
      <c r="AY2" s="459"/>
      <c r="AZ2" s="459"/>
      <c r="BA2" s="461"/>
    </row>
    <row r="3" spans="1:54" x14ac:dyDescent="0.25">
      <c r="A3" s="440">
        <v>299</v>
      </c>
      <c r="B3" s="442" t="str">
        <f>IF('Fleet Inventory'!B6="","N/A",'Fleet Inventory'!B6)</f>
        <v>N/A</v>
      </c>
      <c r="C3" s="444">
        <f>'Fleet Inventory'!C6</f>
        <v>0</v>
      </c>
      <c r="D3" s="444">
        <f>'Fleet Inventory'!D6</f>
        <v>0</v>
      </c>
      <c r="E3" s="444">
        <f>'Fleet Inventory'!E6</f>
        <v>0</v>
      </c>
      <c r="F3" s="444">
        <f>'Fleet Inventory'!F6</f>
        <v>0</v>
      </c>
      <c r="G3" s="448"/>
      <c r="H3" s="448"/>
      <c r="I3" s="165" t="s">
        <v>238</v>
      </c>
      <c r="J3" s="177"/>
      <c r="K3" s="177"/>
      <c r="L3" s="177"/>
      <c r="M3" s="177"/>
      <c r="N3" s="177"/>
      <c r="O3" s="177"/>
      <c r="P3" s="177"/>
      <c r="Q3" s="177"/>
      <c r="R3" s="161" t="s">
        <v>100</v>
      </c>
      <c r="S3" s="165" t="s">
        <v>238</v>
      </c>
      <c r="T3" s="177"/>
      <c r="U3" s="177"/>
      <c r="V3" s="177"/>
      <c r="W3" s="177"/>
      <c r="X3" s="177"/>
      <c r="Y3" s="177"/>
      <c r="Z3" s="161" t="s">
        <v>100</v>
      </c>
      <c r="AA3" s="147"/>
      <c r="AB3" s="330" t="s">
        <v>276</v>
      </c>
      <c r="AC3" s="318"/>
      <c r="AD3" s="327"/>
      <c r="AE3" s="328"/>
      <c r="AF3" s="328"/>
      <c r="AG3" s="328"/>
      <c r="AH3" s="328"/>
      <c r="AI3" s="330" t="s">
        <v>275</v>
      </c>
      <c r="AJ3" s="318"/>
      <c r="AK3" s="327"/>
      <c r="AL3" s="328"/>
      <c r="AM3" s="328"/>
      <c r="AN3" s="328"/>
      <c r="AO3" s="328"/>
      <c r="AP3" s="238"/>
      <c r="AQ3" s="241"/>
      <c r="AR3" s="241"/>
      <c r="AS3" s="241"/>
      <c r="AT3" s="241"/>
      <c r="AU3" s="241"/>
      <c r="AV3" s="305"/>
      <c r="AW3" s="306"/>
      <c r="AY3" s="450"/>
      <c r="AZ3" s="450"/>
      <c r="BA3" s="427"/>
    </row>
    <row r="4" spans="1:54" x14ac:dyDescent="0.25">
      <c r="A4" s="440"/>
      <c r="B4" s="442"/>
      <c r="C4" s="444"/>
      <c r="D4" s="444"/>
      <c r="E4" s="444"/>
      <c r="F4" s="444"/>
      <c r="G4" s="448"/>
      <c r="H4" s="448"/>
      <c r="I4" s="165" t="s">
        <v>277</v>
      </c>
      <c r="J4" s="158"/>
      <c r="K4" s="158"/>
      <c r="L4" s="158"/>
      <c r="M4" s="158"/>
      <c r="N4" s="158"/>
      <c r="O4" s="158"/>
      <c r="P4" s="158"/>
      <c r="Q4" s="158"/>
      <c r="R4" s="297">
        <f>SUM(J4:Q4)</f>
        <v>0</v>
      </c>
      <c r="S4" s="165" t="s">
        <v>277</v>
      </c>
      <c r="T4" s="158"/>
      <c r="U4" s="158"/>
      <c r="V4" s="158"/>
      <c r="W4" s="158"/>
      <c r="X4" s="158"/>
      <c r="Y4" s="158"/>
      <c r="Z4" s="297">
        <f>SUM(T4:Y4)</f>
        <v>0</v>
      </c>
      <c r="AA4" s="261"/>
      <c r="AB4" s="330" t="s">
        <v>272</v>
      </c>
      <c r="AC4" s="329"/>
      <c r="AD4" s="329"/>
      <c r="AE4" s="329"/>
      <c r="AF4" s="329"/>
      <c r="AG4" s="329"/>
      <c r="AH4" s="329"/>
      <c r="AI4" s="330" t="s">
        <v>200</v>
      </c>
      <c r="AJ4" s="329"/>
      <c r="AK4" s="329"/>
      <c r="AL4" s="329"/>
      <c r="AM4" s="329"/>
      <c r="AN4" s="329"/>
      <c r="AO4" s="329"/>
      <c r="AP4" s="239"/>
      <c r="AQ4" s="242"/>
      <c r="AR4" s="242"/>
      <c r="AS4" s="242"/>
      <c r="AT4" s="242"/>
      <c r="AU4" s="242"/>
      <c r="AV4" s="305"/>
      <c r="AW4" s="171"/>
      <c r="AY4" s="451"/>
      <c r="AZ4" s="451"/>
      <c r="BA4" s="430"/>
    </row>
    <row r="5" spans="1:54" x14ac:dyDescent="0.25">
      <c r="A5" s="440"/>
      <c r="B5" s="442"/>
      <c r="C5" s="444"/>
      <c r="D5" s="444"/>
      <c r="E5" s="444"/>
      <c r="F5" s="444"/>
      <c r="G5" s="448"/>
      <c r="H5" s="448"/>
      <c r="I5" s="165" t="s">
        <v>201</v>
      </c>
      <c r="J5" s="158"/>
      <c r="K5" s="158"/>
      <c r="L5" s="158"/>
      <c r="M5" s="158"/>
      <c r="N5" s="158"/>
      <c r="O5" s="158"/>
      <c r="P5" s="158"/>
      <c r="Q5" s="158"/>
      <c r="R5" s="157" t="e">
        <f>AVERAGE(J5:Q5)</f>
        <v>#DIV/0!</v>
      </c>
      <c r="S5" s="165" t="s">
        <v>201</v>
      </c>
      <c r="T5" s="158"/>
      <c r="U5" s="158"/>
      <c r="V5" s="158"/>
      <c r="W5" s="158"/>
      <c r="X5" s="158"/>
      <c r="Y5" s="158"/>
      <c r="Z5" s="157" t="e">
        <f>AVERAGE(T5:Y5)</f>
        <v>#DIV/0!</v>
      </c>
      <c r="AA5" s="262"/>
      <c r="AB5" s="330" t="s">
        <v>201</v>
      </c>
      <c r="AC5" s="329"/>
      <c r="AD5" s="329"/>
      <c r="AE5" s="329"/>
      <c r="AF5" s="329"/>
      <c r="AG5" s="329"/>
      <c r="AH5" s="329"/>
      <c r="AI5" s="330" t="s">
        <v>201</v>
      </c>
      <c r="AJ5" s="329"/>
      <c r="AK5" s="329"/>
      <c r="AL5" s="329"/>
      <c r="AM5" s="329"/>
      <c r="AN5" s="329"/>
      <c r="AO5" s="329"/>
      <c r="AP5" s="240"/>
      <c r="AQ5" s="243"/>
      <c r="AR5" s="243"/>
      <c r="AS5" s="243"/>
      <c r="AT5" s="243"/>
      <c r="AU5" s="243"/>
      <c r="AV5" s="305"/>
      <c r="AW5" s="307"/>
      <c r="AY5" s="452"/>
      <c r="AZ5" s="452"/>
      <c r="BA5" s="433"/>
    </row>
    <row r="6" spans="1:54" x14ac:dyDescent="0.25">
      <c r="A6" s="441"/>
      <c r="B6" s="457"/>
      <c r="C6" s="445"/>
      <c r="D6" s="445"/>
      <c r="E6" s="445"/>
      <c r="F6" s="445"/>
      <c r="G6" s="449"/>
      <c r="H6" s="449"/>
      <c r="I6" s="267" t="s">
        <v>271</v>
      </c>
      <c r="J6" s="188">
        <f>IF(OR($B3="N/A",J3="",J4="",J5=""),0,J5*J4)</f>
        <v>0</v>
      </c>
      <c r="K6" s="188">
        <f t="shared" ref="K6:P6" si="0">IF(OR($B3="N/A",K3="",K4="",K5=""),0,K5*K4)</f>
        <v>0</v>
      </c>
      <c r="L6" s="188">
        <f t="shared" si="0"/>
        <v>0</v>
      </c>
      <c r="M6" s="188">
        <f t="shared" si="0"/>
        <v>0</v>
      </c>
      <c r="N6" s="188">
        <f t="shared" si="0"/>
        <v>0</v>
      </c>
      <c r="O6" s="188">
        <f t="shared" si="0"/>
        <v>0</v>
      </c>
      <c r="P6" s="188">
        <f t="shared" si="0"/>
        <v>0</v>
      </c>
      <c r="Q6" s="188">
        <f>IF(OR($B3="N/A",Q3="",Q4="",Q5=""),0,Q5*Q4)</f>
        <v>0</v>
      </c>
      <c r="R6" s="188">
        <f>SUM(J6:Q6)</f>
        <v>0</v>
      </c>
      <c r="S6" s="267" t="s">
        <v>271</v>
      </c>
      <c r="T6" s="188">
        <f>IF(OR($B3="N/A",T3="",T4="",T5=""),0,T5*T4)</f>
        <v>0</v>
      </c>
      <c r="U6" s="188">
        <f t="shared" ref="U6:Y6" si="1">IF(OR($B3="N/A",U3="",U4="",U5=""),0,U5*U4)</f>
        <v>0</v>
      </c>
      <c r="V6" s="188">
        <f t="shared" si="1"/>
        <v>0</v>
      </c>
      <c r="W6" s="188">
        <f t="shared" si="1"/>
        <v>0</v>
      </c>
      <c r="X6" s="188">
        <f t="shared" si="1"/>
        <v>0</v>
      </c>
      <c r="Y6" s="188">
        <f t="shared" si="1"/>
        <v>0</v>
      </c>
      <c r="Z6" s="188">
        <f>SUM(T6:Y6)</f>
        <v>0</v>
      </c>
      <c r="AA6" s="263"/>
      <c r="AB6" s="331" t="s">
        <v>152</v>
      </c>
      <c r="AC6" s="188">
        <f>IF(OR($B3="N/A",AC4="",AC5=""),0,AC5*AC4)</f>
        <v>0</v>
      </c>
      <c r="AD6" s="188">
        <f t="shared" ref="AD6" si="2">IF(OR($B3="N/A",AD4="",AD5=""),0,AD5*AD4)</f>
        <v>0</v>
      </c>
      <c r="AE6" s="188">
        <f>IF(OR($B3="N/A",AE4="",AE5=""),0,AE5*AE4)</f>
        <v>0</v>
      </c>
      <c r="AF6" s="188">
        <f t="shared" ref="AF6" si="3">IF(OR($B3="N/A",AF4="",AF5=""),0,AF5*AF4)</f>
        <v>0</v>
      </c>
      <c r="AG6" s="188">
        <f>IF(OR($B3="N/A",AG4="",AG5=""),0,AG5*AG4)</f>
        <v>0</v>
      </c>
      <c r="AH6" s="188">
        <f t="shared" ref="AH6" si="4">IF(OR($B3="N/A",AH4="",AH5=""),0,AH5*AH4)</f>
        <v>0</v>
      </c>
      <c r="AI6" s="331" t="s">
        <v>152</v>
      </c>
      <c r="AJ6" s="188">
        <f>IF(OR($B3="N/A",AJ4="",AJ5=""),0,AJ5*AJ4)</f>
        <v>0</v>
      </c>
      <c r="AK6" s="188">
        <f t="shared" ref="AK6" si="5">IF(OR($B3="N/A",AK4="",AK5=""),0,AK5*AK4)</f>
        <v>0</v>
      </c>
      <c r="AL6" s="188">
        <f>IF(OR($B3="N/A",AL4="",AL5=""),0,AL5*AL4)</f>
        <v>0</v>
      </c>
      <c r="AM6" s="188">
        <f t="shared" ref="AM6" si="6">IF(OR($B3="N/A",AM4="",AM5=""),0,AM5*AM4)</f>
        <v>0</v>
      </c>
      <c r="AN6" s="188">
        <f>IF(OR($B3="N/A",AN4="",AN5=""),0,AN5*AN4)</f>
        <v>0</v>
      </c>
      <c r="AO6" s="188">
        <f t="shared" ref="AO6" si="7">IF(OR($B3="N/A",AO4="",AO5=""),0,AO5*AO4)</f>
        <v>0</v>
      </c>
      <c r="AP6" s="279">
        <f>SUM(AC6:AH6)+SUM(AJ6:AO6)+R6+Z6+AA6</f>
        <v>0</v>
      </c>
      <c r="AQ6" s="258"/>
      <c r="AR6" s="277">
        <f>AP6+AQ6</f>
        <v>0</v>
      </c>
      <c r="AS6" s="237"/>
      <c r="AT6" s="278">
        <f>IF($B4="N/A","N/A",AR6/A3)</f>
        <v>0</v>
      </c>
      <c r="AU6" s="278" t="e">
        <f>IF($B4="N/A","N/A",AR6/(E3*A3/10000))</f>
        <v>#DIV/0!</v>
      </c>
      <c r="AW6" s="278">
        <f>R4</f>
        <v>0</v>
      </c>
      <c r="AY6" s="244" t="e">
        <f>AP6/AR6</f>
        <v>#DIV/0!</v>
      </c>
      <c r="AZ6" s="244" t="e">
        <f>AQ6/AR6</f>
        <v>#DIV/0!</v>
      </c>
      <c r="BA6" s="245" t="s">
        <v>217</v>
      </c>
      <c r="BB6" s="319">
        <f>AR6</f>
        <v>0</v>
      </c>
    </row>
    <row r="7" spans="1:54" x14ac:dyDescent="0.25">
      <c r="A7" s="441"/>
      <c r="B7" s="457"/>
      <c r="C7" s="445"/>
      <c r="D7" s="445"/>
      <c r="E7" s="445"/>
      <c r="F7" s="445"/>
      <c r="G7" s="449"/>
      <c r="H7" s="449"/>
      <c r="I7" s="284" t="s">
        <v>226</v>
      </c>
      <c r="J7" s="285"/>
      <c r="K7" s="285"/>
      <c r="L7" s="285"/>
      <c r="M7" s="285"/>
      <c r="N7" s="285"/>
      <c r="O7" s="285"/>
      <c r="P7" s="285"/>
      <c r="Q7" s="285"/>
      <c r="R7" s="157" t="e">
        <f>AVERAGE(J7:Q7)</f>
        <v>#DIV/0!</v>
      </c>
      <c r="S7" s="284" t="s">
        <v>226</v>
      </c>
      <c r="T7" s="285"/>
      <c r="U7" s="285"/>
      <c r="V7" s="285"/>
      <c r="W7" s="285"/>
      <c r="X7" s="285"/>
      <c r="Y7" s="285"/>
      <c r="Z7" s="157" t="e">
        <f>AVERAGE(T7:Y7)</f>
        <v>#DIV/0!</v>
      </c>
      <c r="AA7" s="298"/>
      <c r="AB7" s="332" t="s">
        <v>226</v>
      </c>
      <c r="AC7" s="285"/>
      <c r="AD7" s="285"/>
      <c r="AE7" s="285"/>
      <c r="AF7" s="285"/>
      <c r="AG7" s="285"/>
      <c r="AH7" s="285"/>
      <c r="AI7" s="332" t="s">
        <v>226</v>
      </c>
      <c r="AJ7" s="285"/>
      <c r="AK7" s="285"/>
      <c r="AL7" s="285"/>
      <c r="AM7" s="285"/>
      <c r="AN7" s="285"/>
      <c r="AO7" s="285"/>
      <c r="AP7" s="301"/>
      <c r="AQ7" s="301"/>
      <c r="AR7" s="302"/>
      <c r="AS7" s="302"/>
      <c r="AT7" s="302"/>
      <c r="AU7" s="303"/>
      <c r="AW7" s="171"/>
      <c r="AY7" s="453"/>
      <c r="AZ7" s="454"/>
      <c r="BA7" s="427"/>
    </row>
    <row r="8" spans="1:54" x14ac:dyDescent="0.25">
      <c r="A8" s="441"/>
      <c r="B8" s="457"/>
      <c r="C8" s="445"/>
      <c r="D8" s="445"/>
      <c r="E8" s="445"/>
      <c r="F8" s="445"/>
      <c r="G8" s="449"/>
      <c r="H8" s="449"/>
      <c r="I8" s="163"/>
      <c r="J8" s="164"/>
      <c r="K8" s="164"/>
      <c r="L8" s="164"/>
      <c r="M8" s="164"/>
      <c r="N8" s="164"/>
      <c r="O8" s="164"/>
      <c r="P8" s="164"/>
      <c r="Q8" s="164"/>
      <c r="R8" s="164"/>
      <c r="S8" s="163"/>
      <c r="T8" s="164"/>
      <c r="U8" s="164"/>
      <c r="V8" s="164"/>
      <c r="W8" s="164"/>
      <c r="X8" s="164"/>
      <c r="Y8" s="164"/>
      <c r="Z8" s="164"/>
      <c r="AA8" s="350"/>
      <c r="AB8" s="332" t="s">
        <v>322</v>
      </c>
      <c r="AC8" s="351"/>
      <c r="AD8" s="351"/>
      <c r="AE8" s="351"/>
      <c r="AF8" s="351"/>
      <c r="AG8" s="351"/>
      <c r="AH8" s="351"/>
      <c r="AI8" s="332" t="s">
        <v>323</v>
      </c>
      <c r="AJ8" s="285"/>
      <c r="AK8" s="285"/>
      <c r="AL8" s="285"/>
      <c r="AM8" s="285"/>
      <c r="AN8" s="285"/>
      <c r="AO8" s="285"/>
      <c r="AP8" s="352"/>
      <c r="AQ8" s="352"/>
      <c r="AR8" s="353"/>
      <c r="AS8" s="353"/>
      <c r="AT8" s="353"/>
      <c r="AU8" s="354"/>
      <c r="AW8" s="171"/>
      <c r="AY8" s="355"/>
      <c r="AZ8" s="356"/>
      <c r="BA8" s="349"/>
    </row>
    <row r="9" spans="1:54" x14ac:dyDescent="0.25">
      <c r="A9" s="441"/>
      <c r="B9" s="457"/>
      <c r="C9" s="445"/>
      <c r="D9" s="445"/>
      <c r="E9" s="445"/>
      <c r="F9" s="445"/>
      <c r="G9" s="449"/>
      <c r="H9" s="449"/>
      <c r="I9" s="178" t="s">
        <v>237</v>
      </c>
      <c r="J9" s="153">
        <f t="shared" ref="J9:Q9" si="8">IF(AND($G3="",$H3=""),J4,($H3*$G3)/($E3*$A3)*J4)</f>
        <v>0</v>
      </c>
      <c r="K9" s="153">
        <f t="shared" si="8"/>
        <v>0</v>
      </c>
      <c r="L9" s="153">
        <f t="shared" si="8"/>
        <v>0</v>
      </c>
      <c r="M9" s="153">
        <f t="shared" si="8"/>
        <v>0</v>
      </c>
      <c r="N9" s="153">
        <f t="shared" si="8"/>
        <v>0</v>
      </c>
      <c r="O9" s="153">
        <f t="shared" ref="O9:P9" si="9">IF(AND($G3="",$H3=""),O4,($H3*$G3)/($E3*$A3)*O4)</f>
        <v>0</v>
      </c>
      <c r="P9" s="153">
        <f t="shared" si="9"/>
        <v>0</v>
      </c>
      <c r="Q9" s="153">
        <f t="shared" si="8"/>
        <v>0</v>
      </c>
      <c r="R9" s="153" t="e">
        <f>($H3*$G3)/($E3*$A3)*R4</f>
        <v>#DIV/0!</v>
      </c>
      <c r="S9" s="178" t="s">
        <v>237</v>
      </c>
      <c r="T9" s="153">
        <f t="shared" ref="T9:Z9" si="10">IF($G3="",T4,($G3/$A3)*T4)</f>
        <v>0</v>
      </c>
      <c r="U9" s="153">
        <f t="shared" si="10"/>
        <v>0</v>
      </c>
      <c r="V9" s="153">
        <f t="shared" si="10"/>
        <v>0</v>
      </c>
      <c r="W9" s="153">
        <f t="shared" si="10"/>
        <v>0</v>
      </c>
      <c r="X9" s="153">
        <f t="shared" si="10"/>
        <v>0</v>
      </c>
      <c r="Y9" s="153">
        <f t="shared" si="10"/>
        <v>0</v>
      </c>
      <c r="Z9" s="153">
        <f t="shared" si="10"/>
        <v>0</v>
      </c>
      <c r="AA9" s="262"/>
      <c r="AB9" s="333" t="s">
        <v>240</v>
      </c>
      <c r="AC9" s="153">
        <f>IF($G3="",IF(AC8="",AC4,AC3/AC8*AC4),IF(AC4=0,0,$G3/$A3*AC3/AC8*AC4))</f>
        <v>0</v>
      </c>
      <c r="AD9" s="153">
        <f t="shared" ref="AD9:AH9" si="11">IF($G3="",IF(AD8="",AD4,AD3/AD8*AD4),IF(AD4=0,0,$G3/$A3*AD3/AD8*AD4))</f>
        <v>0</v>
      </c>
      <c r="AE9" s="153">
        <f t="shared" si="11"/>
        <v>0</v>
      </c>
      <c r="AF9" s="153">
        <f t="shared" si="11"/>
        <v>0</v>
      </c>
      <c r="AG9" s="153">
        <f t="shared" si="11"/>
        <v>0</v>
      </c>
      <c r="AH9" s="153">
        <f t="shared" si="11"/>
        <v>0</v>
      </c>
      <c r="AI9" s="333" t="s">
        <v>240</v>
      </c>
      <c r="AJ9" s="153">
        <f>IF(AND($G3="",$H3=""),IF(AJ8="",AJ4,AJ3/AJ8*AJ4),IF(AJ4=0,0,($G3*$H3)/($A3*$E3)*(AJ3/AJ8*AJ4)))</f>
        <v>0</v>
      </c>
      <c r="AK9" s="153">
        <f t="shared" ref="AK9:AO9" si="12">IF(AND($G3="",$H3=""),IF(AK8="",AK4,AK3/AK8*AK4),IF(AK4=0,0,($G3*$H3)/($A3*$E3)*(AK3/AK8*AK4)))</f>
        <v>0</v>
      </c>
      <c r="AL9" s="153">
        <f t="shared" si="12"/>
        <v>0</v>
      </c>
      <c r="AM9" s="153">
        <f t="shared" si="12"/>
        <v>0</v>
      </c>
      <c r="AN9" s="153">
        <f t="shared" si="12"/>
        <v>0</v>
      </c>
      <c r="AO9" s="153">
        <f t="shared" si="12"/>
        <v>0</v>
      </c>
      <c r="AP9" s="304"/>
      <c r="AQ9" s="260"/>
      <c r="AR9" s="243"/>
      <c r="AS9" s="243"/>
      <c r="AT9" s="243"/>
      <c r="AU9" s="236"/>
      <c r="AW9" s="307"/>
      <c r="AY9" s="455"/>
      <c r="AZ9" s="456"/>
      <c r="BA9" s="433"/>
    </row>
    <row r="10" spans="1:54" x14ac:dyDescent="0.25">
      <c r="A10" s="441"/>
      <c r="B10" s="457"/>
      <c r="C10" s="445"/>
      <c r="D10" s="445"/>
      <c r="E10" s="445"/>
      <c r="F10" s="445"/>
      <c r="G10" s="449"/>
      <c r="H10" s="449"/>
      <c r="I10" s="178" t="s">
        <v>255</v>
      </c>
      <c r="J10" s="187">
        <f>IF(OR($B3="N/A",J3="",J4="",J5=""),0,J7*J9)</f>
        <v>0</v>
      </c>
      <c r="K10" s="187">
        <f t="shared" ref="K10:Q10" si="13">IF(OR($B3="N/A",K3="",K4="",K5=""),0,K7*K9)</f>
        <v>0</v>
      </c>
      <c r="L10" s="187">
        <f t="shared" si="13"/>
        <v>0</v>
      </c>
      <c r="M10" s="187">
        <f t="shared" si="13"/>
        <v>0</v>
      </c>
      <c r="N10" s="187">
        <f t="shared" si="13"/>
        <v>0</v>
      </c>
      <c r="O10" s="187">
        <f t="shared" ref="O10:P10" si="14">IF(OR($B3="N/A",O3="",O4="",O5=""),0,O7*O9)</f>
        <v>0</v>
      </c>
      <c r="P10" s="187">
        <f t="shared" si="14"/>
        <v>0</v>
      </c>
      <c r="Q10" s="187">
        <f t="shared" si="13"/>
        <v>0</v>
      </c>
      <c r="R10" s="187">
        <f>SUM(J10:Q10)</f>
        <v>0</v>
      </c>
      <c r="S10" s="178" t="s">
        <v>255</v>
      </c>
      <c r="T10" s="187">
        <f>IF(OR($B3="N/A",T3="",T4="",T5=""),0,T7*T9)</f>
        <v>0</v>
      </c>
      <c r="U10" s="187">
        <f t="shared" ref="U10:Y10" si="15">IF(OR($B3="N/A",U3="",U4="",U5=""),0,U7*U9)</f>
        <v>0</v>
      </c>
      <c r="V10" s="187">
        <f t="shared" si="15"/>
        <v>0</v>
      </c>
      <c r="W10" s="187">
        <f t="shared" si="15"/>
        <v>0</v>
      </c>
      <c r="X10" s="187">
        <f t="shared" si="15"/>
        <v>0</v>
      </c>
      <c r="Y10" s="187">
        <f t="shared" si="15"/>
        <v>0</v>
      </c>
      <c r="Z10" s="187">
        <f>SUM(T10:Y10)</f>
        <v>0</v>
      </c>
      <c r="AA10" s="283"/>
      <c r="AB10" s="333" t="s">
        <v>256</v>
      </c>
      <c r="AC10" s="187">
        <f>IF(OR($B3="N/A",AC3="",AC4="",AC5=""),0,AC7*AC9)</f>
        <v>0</v>
      </c>
      <c r="AD10" s="187">
        <f t="shared" ref="AD10:AH10" si="16">IF(OR($B3="N/A",AD3="",AD4="",AD5=""),0,AD7*AD9)</f>
        <v>0</v>
      </c>
      <c r="AE10" s="187">
        <f t="shared" si="16"/>
        <v>0</v>
      </c>
      <c r="AF10" s="187">
        <f t="shared" si="16"/>
        <v>0</v>
      </c>
      <c r="AG10" s="187">
        <f t="shared" si="16"/>
        <v>0</v>
      </c>
      <c r="AH10" s="187">
        <f t="shared" si="16"/>
        <v>0</v>
      </c>
      <c r="AI10" s="333" t="s">
        <v>256</v>
      </c>
      <c r="AJ10" s="187">
        <f>IF(OR($B3="N/A",AJ3="",AJ4="",AJ5=""),0,AJ7*AJ9)</f>
        <v>0</v>
      </c>
      <c r="AK10" s="187">
        <f t="shared" ref="AK10:AO10" si="17">IF(OR($B3="N/A",AK3="",AK4="",AK5=""),0,AK7*AK9)</f>
        <v>0</v>
      </c>
      <c r="AL10" s="187">
        <f t="shared" si="17"/>
        <v>0</v>
      </c>
      <c r="AM10" s="187">
        <f t="shared" si="17"/>
        <v>0</v>
      </c>
      <c r="AN10" s="187">
        <f t="shared" si="17"/>
        <v>0</v>
      </c>
      <c r="AO10" s="187">
        <f t="shared" si="17"/>
        <v>0</v>
      </c>
      <c r="AP10" s="280">
        <f>SUM(AC10:AH10)+SUM(AJ10:AO10)+R10+Z10+AA10</f>
        <v>0</v>
      </c>
      <c r="AQ10" s="282"/>
      <c r="AR10" s="280">
        <f t="shared" ref="AR10" si="18">AP10+AQ10</f>
        <v>0</v>
      </c>
      <c r="AS10" s="141"/>
      <c r="AT10" s="281" t="str">
        <f>IF($B3="N/A","N/A",AR10/A3)</f>
        <v>N/A</v>
      </c>
      <c r="AU10" s="281" t="str">
        <f>IF($B3="N/A","N/A",AR10/(H3*A3/10000))</f>
        <v>N/A</v>
      </c>
      <c r="AW10" s="281" t="e">
        <f>R9</f>
        <v>#DIV/0!</v>
      </c>
      <c r="AY10" s="272" t="e">
        <f>AP10/AR10</f>
        <v>#DIV/0!</v>
      </c>
      <c r="AZ10" s="272" t="e">
        <f>AQ10/AR10</f>
        <v>#DIV/0!</v>
      </c>
      <c r="BA10" s="273" t="s">
        <v>227</v>
      </c>
      <c r="BB10" s="320">
        <f>AR10</f>
        <v>0</v>
      </c>
    </row>
    <row r="11" spans="1:54" x14ac:dyDescent="0.25">
      <c r="A11" s="220"/>
      <c r="B11" s="221"/>
      <c r="C11" s="222"/>
      <c r="D11" s="222"/>
      <c r="E11" s="222"/>
      <c r="F11" s="222"/>
      <c r="G11" s="222"/>
      <c r="H11" s="222"/>
      <c r="I11" s="163"/>
      <c r="J11" s="164"/>
      <c r="K11" s="164"/>
      <c r="L11" s="164"/>
      <c r="M11" s="164"/>
      <c r="N11" s="164"/>
      <c r="O11" s="164"/>
      <c r="P11" s="164"/>
      <c r="Q11" s="164"/>
      <c r="R11" s="164"/>
      <c r="S11" s="163"/>
      <c r="T11" s="164"/>
      <c r="U11" s="164"/>
      <c r="V11" s="164"/>
      <c r="W11" s="164"/>
      <c r="X11" s="164"/>
      <c r="Y11" s="164"/>
      <c r="Z11" s="164"/>
      <c r="AA11" s="264"/>
      <c r="AB11" s="163"/>
      <c r="AC11" s="164"/>
      <c r="AD11" s="164"/>
      <c r="AE11" s="164"/>
      <c r="AF11" s="164"/>
      <c r="AG11" s="164"/>
      <c r="AH11" s="164"/>
      <c r="AI11" s="308"/>
      <c r="AJ11" s="164"/>
      <c r="AK11" s="164"/>
      <c r="AL11" s="164"/>
      <c r="AM11" s="164"/>
      <c r="AN11" s="164"/>
      <c r="AO11" s="164"/>
      <c r="AP11" s="166"/>
      <c r="AQ11" s="259"/>
      <c r="AR11" s="166"/>
      <c r="AS11" s="166"/>
      <c r="AT11" s="167"/>
      <c r="AU11" s="167"/>
      <c r="AV11" s="168"/>
      <c r="AW11" s="167"/>
      <c r="AX11" s="168"/>
      <c r="AY11" s="169"/>
      <c r="AZ11" s="170"/>
      <c r="BA11" s="163"/>
    </row>
    <row r="12" spans="1:54" x14ac:dyDescent="0.25">
      <c r="A12" s="440">
        <f>'Fleet Inventory'!A7</f>
        <v>0</v>
      </c>
      <c r="B12" s="442" t="str">
        <f>IF('Fleet Inventory'!B7="","N/A",'Fleet Inventory'!B7)</f>
        <v>N/A</v>
      </c>
      <c r="C12" s="444">
        <f>'Fleet Inventory'!C7</f>
        <v>0</v>
      </c>
      <c r="D12" s="444">
        <f>'Fleet Inventory'!D7</f>
        <v>0</v>
      </c>
      <c r="E12" s="446">
        <f>'Fleet Inventory'!E7</f>
        <v>0</v>
      </c>
      <c r="F12" s="447">
        <f>'Fleet Inventory'!F7</f>
        <v>0</v>
      </c>
      <c r="G12" s="448"/>
      <c r="H12" s="448"/>
      <c r="I12" s="165" t="s">
        <v>238</v>
      </c>
      <c r="J12" s="177"/>
      <c r="K12" s="177"/>
      <c r="L12" s="177"/>
      <c r="M12" s="177"/>
      <c r="N12" s="177"/>
      <c r="O12" s="177"/>
      <c r="P12" s="177"/>
      <c r="Q12" s="177"/>
      <c r="R12" s="161" t="s">
        <v>100</v>
      </c>
      <c r="S12" s="165" t="s">
        <v>238</v>
      </c>
      <c r="T12" s="177"/>
      <c r="U12" s="177"/>
      <c r="V12" s="177"/>
      <c r="W12" s="177"/>
      <c r="X12" s="177"/>
      <c r="Y12" s="177"/>
      <c r="Z12" s="161" t="s">
        <v>100</v>
      </c>
      <c r="AA12" s="147"/>
      <c r="AB12" s="330" t="s">
        <v>276</v>
      </c>
      <c r="AC12" s="318"/>
      <c r="AD12" s="327"/>
      <c r="AE12" s="328"/>
      <c r="AF12" s="328"/>
      <c r="AG12" s="328"/>
      <c r="AH12" s="328"/>
      <c r="AI12" s="330" t="s">
        <v>275</v>
      </c>
      <c r="AJ12" s="318"/>
      <c r="AK12" s="327"/>
      <c r="AL12" s="328"/>
      <c r="AM12" s="328"/>
      <c r="AN12" s="328"/>
      <c r="AO12" s="328"/>
      <c r="AP12" s="238"/>
      <c r="AQ12" s="241"/>
      <c r="AR12" s="241"/>
      <c r="AS12" s="241"/>
      <c r="AT12" s="241"/>
      <c r="AU12" s="241"/>
      <c r="AV12" s="305"/>
      <c r="AW12" s="306"/>
      <c r="AY12" s="450"/>
      <c r="AZ12" s="450"/>
      <c r="BA12" s="427"/>
    </row>
    <row r="13" spans="1:54" x14ac:dyDescent="0.25">
      <c r="A13" s="440"/>
      <c r="B13" s="442"/>
      <c r="C13" s="444"/>
      <c r="D13" s="444"/>
      <c r="E13" s="444"/>
      <c r="F13" s="444"/>
      <c r="G13" s="448"/>
      <c r="H13" s="448"/>
      <c r="I13" s="165" t="s">
        <v>277</v>
      </c>
      <c r="J13" s="158"/>
      <c r="K13" s="158"/>
      <c r="L13" s="158"/>
      <c r="M13" s="158"/>
      <c r="N13" s="158"/>
      <c r="O13" s="158"/>
      <c r="P13" s="158"/>
      <c r="Q13" s="158"/>
      <c r="R13" s="297">
        <f>SUM(J13:Q13)</f>
        <v>0</v>
      </c>
      <c r="S13" s="165" t="s">
        <v>277</v>
      </c>
      <c r="T13" s="158"/>
      <c r="U13" s="158"/>
      <c r="V13" s="158"/>
      <c r="W13" s="158"/>
      <c r="X13" s="158"/>
      <c r="Y13" s="158"/>
      <c r="Z13" s="297">
        <f>SUM(T13:Y13)</f>
        <v>0</v>
      </c>
      <c r="AA13" s="261"/>
      <c r="AB13" s="330" t="s">
        <v>272</v>
      </c>
      <c r="AC13" s="329"/>
      <c r="AD13" s="329"/>
      <c r="AE13" s="329"/>
      <c r="AF13" s="329"/>
      <c r="AG13" s="329"/>
      <c r="AH13" s="329"/>
      <c r="AI13" s="330" t="s">
        <v>200</v>
      </c>
      <c r="AJ13" s="329"/>
      <c r="AK13" s="329"/>
      <c r="AL13" s="329"/>
      <c r="AM13" s="329"/>
      <c r="AN13" s="329"/>
      <c r="AO13" s="329"/>
      <c r="AP13" s="239"/>
      <c r="AQ13" s="242"/>
      <c r="AR13" s="242"/>
      <c r="AS13" s="242"/>
      <c r="AT13" s="242"/>
      <c r="AU13" s="242"/>
      <c r="AV13" s="305"/>
      <c r="AW13" s="171"/>
      <c r="AY13" s="451"/>
      <c r="AZ13" s="451"/>
      <c r="BA13" s="430"/>
    </row>
    <row r="14" spans="1:54" x14ac:dyDescent="0.25">
      <c r="A14" s="440"/>
      <c r="B14" s="442"/>
      <c r="C14" s="444"/>
      <c r="D14" s="444"/>
      <c r="E14" s="444"/>
      <c r="F14" s="444"/>
      <c r="G14" s="448"/>
      <c r="H14" s="448"/>
      <c r="I14" s="165" t="s">
        <v>201</v>
      </c>
      <c r="J14" s="158"/>
      <c r="K14" s="158"/>
      <c r="L14" s="158"/>
      <c r="M14" s="158"/>
      <c r="N14" s="158"/>
      <c r="O14" s="158"/>
      <c r="P14" s="158"/>
      <c r="Q14" s="158"/>
      <c r="R14" s="157" t="e">
        <f>AVERAGE(J14:Q14)</f>
        <v>#DIV/0!</v>
      </c>
      <c r="S14" s="165" t="s">
        <v>201</v>
      </c>
      <c r="T14" s="158"/>
      <c r="U14" s="158"/>
      <c r="V14" s="158"/>
      <c r="W14" s="158"/>
      <c r="X14" s="158"/>
      <c r="Y14" s="158"/>
      <c r="Z14" s="157" t="e">
        <f>AVERAGE(T14:Y14)</f>
        <v>#DIV/0!</v>
      </c>
      <c r="AA14" s="262"/>
      <c r="AB14" s="330" t="s">
        <v>201</v>
      </c>
      <c r="AC14" s="329"/>
      <c r="AD14" s="329"/>
      <c r="AE14" s="329"/>
      <c r="AF14" s="329"/>
      <c r="AG14" s="329"/>
      <c r="AH14" s="329"/>
      <c r="AI14" s="330" t="s">
        <v>201</v>
      </c>
      <c r="AJ14" s="329"/>
      <c r="AK14" s="329"/>
      <c r="AL14" s="329"/>
      <c r="AM14" s="329"/>
      <c r="AN14" s="329"/>
      <c r="AO14" s="329"/>
      <c r="AP14" s="240"/>
      <c r="AQ14" s="243"/>
      <c r="AR14" s="243"/>
      <c r="AS14" s="243"/>
      <c r="AT14" s="243"/>
      <c r="AU14" s="243"/>
      <c r="AV14" s="305"/>
      <c r="AW14" s="307"/>
      <c r="AY14" s="452"/>
      <c r="AZ14" s="452"/>
      <c r="BA14" s="433"/>
    </row>
    <row r="15" spans="1:54" x14ac:dyDescent="0.25">
      <c r="A15" s="441"/>
      <c r="B15" s="457"/>
      <c r="C15" s="445"/>
      <c r="D15" s="445"/>
      <c r="E15" s="445"/>
      <c r="F15" s="445"/>
      <c r="G15" s="449"/>
      <c r="H15" s="449"/>
      <c r="I15" s="267" t="s">
        <v>271</v>
      </c>
      <c r="J15" s="188">
        <f>IF(OR($B12="N/A",J12="",J13="",J14=""),0,J14*J13)</f>
        <v>0</v>
      </c>
      <c r="K15" s="188">
        <f t="shared" ref="K15:P15" si="19">IF(OR($B12="N/A",K12="",K13="",K14=""),0,K14*K13)</f>
        <v>0</v>
      </c>
      <c r="L15" s="188">
        <f t="shared" si="19"/>
        <v>0</v>
      </c>
      <c r="M15" s="188">
        <f t="shared" si="19"/>
        <v>0</v>
      </c>
      <c r="N15" s="188">
        <f t="shared" si="19"/>
        <v>0</v>
      </c>
      <c r="O15" s="188">
        <f t="shared" si="19"/>
        <v>0</v>
      </c>
      <c r="P15" s="188">
        <f t="shared" si="19"/>
        <v>0</v>
      </c>
      <c r="Q15" s="188">
        <f>IF(OR($B12="N/A",Q12="",Q13="",Q14=""),0,Q14*Q13)</f>
        <v>0</v>
      </c>
      <c r="R15" s="188">
        <f>SUM(J15:Q15)</f>
        <v>0</v>
      </c>
      <c r="S15" s="267" t="s">
        <v>271</v>
      </c>
      <c r="T15" s="188">
        <f>IF(OR($B12="N/A",T12="",T13="",T14=""),0,T14*T13)</f>
        <v>0</v>
      </c>
      <c r="U15" s="188">
        <f t="shared" ref="U15:Y15" si="20">IF(OR($B12="N/A",U12="",U13="",U14=""),0,U14*U13)</f>
        <v>0</v>
      </c>
      <c r="V15" s="188">
        <f t="shared" si="20"/>
        <v>0</v>
      </c>
      <c r="W15" s="188">
        <f t="shared" si="20"/>
        <v>0</v>
      </c>
      <c r="X15" s="188">
        <f t="shared" si="20"/>
        <v>0</v>
      </c>
      <c r="Y15" s="188">
        <f t="shared" si="20"/>
        <v>0</v>
      </c>
      <c r="Z15" s="188">
        <f>SUM(T15:Y15)</f>
        <v>0</v>
      </c>
      <c r="AA15" s="263"/>
      <c r="AB15" s="331" t="s">
        <v>152</v>
      </c>
      <c r="AC15" s="188">
        <f>IF(OR($B12="N/A",AC13="",AC14=""),0,AC14*AC13)</f>
        <v>0</v>
      </c>
      <c r="AD15" s="188">
        <f t="shared" ref="AD15" si="21">IF(OR($B12="N/A",AD13="",AD14=""),0,AD14*AD13)</f>
        <v>0</v>
      </c>
      <c r="AE15" s="188">
        <f>IF(OR($B12="N/A",AE13="",AE14=""),0,AE14*AE13)</f>
        <v>0</v>
      </c>
      <c r="AF15" s="188">
        <f t="shared" ref="AF15" si="22">IF(OR($B12="N/A",AF13="",AF14=""),0,AF14*AF13)</f>
        <v>0</v>
      </c>
      <c r="AG15" s="188">
        <f>IF(OR($B12="N/A",AG13="",AG14=""),0,AG14*AG13)</f>
        <v>0</v>
      </c>
      <c r="AH15" s="188">
        <f t="shared" ref="AH15" si="23">IF(OR($B12="N/A",AH13="",AH14=""),0,AH14*AH13)</f>
        <v>0</v>
      </c>
      <c r="AI15" s="331" t="s">
        <v>152</v>
      </c>
      <c r="AJ15" s="188">
        <f>IF(OR($B12="N/A",AJ13="",AJ14=""),0,AJ14*AJ13)</f>
        <v>0</v>
      </c>
      <c r="AK15" s="188">
        <f t="shared" ref="AK15" si="24">IF(OR($B12="N/A",AK13="",AK14=""),0,AK14*AK13)</f>
        <v>0</v>
      </c>
      <c r="AL15" s="188">
        <f>IF(OR($B12="N/A",AL13="",AL14=""),0,AL14*AL13)</f>
        <v>0</v>
      </c>
      <c r="AM15" s="188">
        <f t="shared" ref="AM15" si="25">IF(OR($B12="N/A",AM13="",AM14=""),0,AM14*AM13)</f>
        <v>0</v>
      </c>
      <c r="AN15" s="188">
        <f>IF(OR($B12="N/A",AN13="",AN14=""),0,AN14*AN13)</f>
        <v>0</v>
      </c>
      <c r="AO15" s="188">
        <f t="shared" ref="AO15" si="26">IF(OR($B12="N/A",AO13="",AO14=""),0,AO14*AO13)</f>
        <v>0</v>
      </c>
      <c r="AP15" s="279">
        <f>SUM(AC15:AH15)+SUM(AJ15:AO15)+R15+Z15+AA15</f>
        <v>0</v>
      </c>
      <c r="AQ15" s="258"/>
      <c r="AR15" s="277">
        <f>AP15+AQ15</f>
        <v>0</v>
      </c>
      <c r="AS15" s="237"/>
      <c r="AT15" s="278" t="e">
        <f>IF($B13="N/A","N/A",AR15/A12)</f>
        <v>#DIV/0!</v>
      </c>
      <c r="AU15" s="278" t="e">
        <f>IF($B13="N/A","N/A",AR15/(E12*A12/10000))</f>
        <v>#DIV/0!</v>
      </c>
      <c r="AW15" s="278">
        <f>R13</f>
        <v>0</v>
      </c>
      <c r="AY15" s="244" t="e">
        <f>AP15/AR15</f>
        <v>#DIV/0!</v>
      </c>
      <c r="AZ15" s="244" t="e">
        <f>AQ15/AR15</f>
        <v>#DIV/0!</v>
      </c>
      <c r="BA15" s="245" t="s">
        <v>217</v>
      </c>
      <c r="BB15" s="319">
        <f>AR15</f>
        <v>0</v>
      </c>
    </row>
    <row r="16" spans="1:54" x14ac:dyDescent="0.25">
      <c r="A16" s="441"/>
      <c r="B16" s="457"/>
      <c r="C16" s="445"/>
      <c r="D16" s="445"/>
      <c r="E16" s="445"/>
      <c r="F16" s="445"/>
      <c r="G16" s="449"/>
      <c r="H16" s="449"/>
      <c r="I16" s="284" t="s">
        <v>226</v>
      </c>
      <c r="J16" s="285"/>
      <c r="K16" s="285"/>
      <c r="L16" s="285"/>
      <c r="M16" s="285"/>
      <c r="N16" s="285"/>
      <c r="O16" s="285"/>
      <c r="P16" s="285"/>
      <c r="Q16" s="285"/>
      <c r="R16" s="157" t="e">
        <f>AVERAGE(J16:Q16)</f>
        <v>#DIV/0!</v>
      </c>
      <c r="S16" s="284" t="s">
        <v>226</v>
      </c>
      <c r="T16" s="285"/>
      <c r="U16" s="285"/>
      <c r="V16" s="285"/>
      <c r="W16" s="285"/>
      <c r="X16" s="285"/>
      <c r="Y16" s="285"/>
      <c r="Z16" s="157" t="e">
        <f>AVERAGE(T16:Y16)</f>
        <v>#DIV/0!</v>
      </c>
      <c r="AA16" s="298"/>
      <c r="AB16" s="332" t="s">
        <v>226</v>
      </c>
      <c r="AC16" s="285"/>
      <c r="AD16" s="285"/>
      <c r="AE16" s="285"/>
      <c r="AF16" s="285"/>
      <c r="AG16" s="285"/>
      <c r="AH16" s="285"/>
      <c r="AI16" s="332" t="s">
        <v>226</v>
      </c>
      <c r="AJ16" s="285"/>
      <c r="AK16" s="285"/>
      <c r="AL16" s="285"/>
      <c r="AM16" s="285"/>
      <c r="AN16" s="285"/>
      <c r="AO16" s="285"/>
      <c r="AP16" s="301"/>
      <c r="AQ16" s="301"/>
      <c r="AR16" s="302"/>
      <c r="AS16" s="302"/>
      <c r="AT16" s="302"/>
      <c r="AU16" s="303"/>
      <c r="AW16" s="171"/>
      <c r="AY16" s="453"/>
      <c r="AZ16" s="454"/>
      <c r="BA16" s="427"/>
    </row>
    <row r="17" spans="1:54" x14ac:dyDescent="0.25">
      <c r="A17" s="441"/>
      <c r="B17" s="457"/>
      <c r="C17" s="445"/>
      <c r="D17" s="445"/>
      <c r="E17" s="445"/>
      <c r="F17" s="445"/>
      <c r="G17" s="449"/>
      <c r="H17" s="449"/>
      <c r="I17" s="163"/>
      <c r="J17" s="164"/>
      <c r="K17" s="164"/>
      <c r="L17" s="164"/>
      <c r="M17" s="164"/>
      <c r="N17" s="164"/>
      <c r="O17" s="164"/>
      <c r="P17" s="164"/>
      <c r="Q17" s="164"/>
      <c r="R17" s="164"/>
      <c r="S17" s="163"/>
      <c r="T17" s="164"/>
      <c r="U17" s="164"/>
      <c r="V17" s="164"/>
      <c r="W17" s="164"/>
      <c r="X17" s="164"/>
      <c r="Y17" s="164"/>
      <c r="Z17" s="164"/>
      <c r="AA17" s="350"/>
      <c r="AB17" s="332" t="s">
        <v>322</v>
      </c>
      <c r="AC17" s="351"/>
      <c r="AD17" s="351"/>
      <c r="AE17" s="351"/>
      <c r="AF17" s="351"/>
      <c r="AG17" s="351"/>
      <c r="AH17" s="351"/>
      <c r="AI17" s="332" t="s">
        <v>323</v>
      </c>
      <c r="AJ17" s="285"/>
      <c r="AK17" s="285"/>
      <c r="AL17" s="285"/>
      <c r="AM17" s="285"/>
      <c r="AN17" s="285"/>
      <c r="AO17" s="285"/>
      <c r="AP17" s="352"/>
      <c r="AQ17" s="352"/>
      <c r="AR17" s="353"/>
      <c r="AS17" s="353"/>
      <c r="AT17" s="353"/>
      <c r="AU17" s="354"/>
      <c r="AW17" s="171"/>
      <c r="AY17" s="355"/>
      <c r="AZ17" s="356"/>
      <c r="BA17" s="349"/>
    </row>
    <row r="18" spans="1:54" x14ac:dyDescent="0.25">
      <c r="A18" s="441"/>
      <c r="B18" s="457"/>
      <c r="C18" s="445"/>
      <c r="D18" s="445"/>
      <c r="E18" s="445"/>
      <c r="F18" s="445"/>
      <c r="G18" s="449"/>
      <c r="H18" s="449"/>
      <c r="I18" s="178" t="s">
        <v>237</v>
      </c>
      <c r="J18" s="153">
        <f t="shared" ref="J18:Q18" si="27">IF(AND($G12="",$H12=""),J13,($H12*$G12)/($E12*$A12)*J13)</f>
        <v>0</v>
      </c>
      <c r="K18" s="153">
        <f t="shared" si="27"/>
        <v>0</v>
      </c>
      <c r="L18" s="153">
        <f t="shared" si="27"/>
        <v>0</v>
      </c>
      <c r="M18" s="153">
        <f t="shared" si="27"/>
        <v>0</v>
      </c>
      <c r="N18" s="153">
        <f t="shared" si="27"/>
        <v>0</v>
      </c>
      <c r="O18" s="153">
        <f t="shared" ref="O18:P18" si="28">IF(AND($G12="",$H12=""),O13,($H12*$G12)/($E12*$A12)*O13)</f>
        <v>0</v>
      </c>
      <c r="P18" s="153">
        <f t="shared" si="28"/>
        <v>0</v>
      </c>
      <c r="Q18" s="153">
        <f t="shared" si="27"/>
        <v>0</v>
      </c>
      <c r="R18" s="153" t="e">
        <f>($H12*$G12)/($E12*$A12)*R13</f>
        <v>#DIV/0!</v>
      </c>
      <c r="S18" s="178" t="s">
        <v>237</v>
      </c>
      <c r="T18" s="153">
        <f t="shared" ref="T18:Z18" si="29">IF($G12="",T13,($G12/$A12)*T13)</f>
        <v>0</v>
      </c>
      <c r="U18" s="153">
        <f t="shared" si="29"/>
        <v>0</v>
      </c>
      <c r="V18" s="153">
        <f t="shared" si="29"/>
        <v>0</v>
      </c>
      <c r="W18" s="153">
        <f t="shared" si="29"/>
        <v>0</v>
      </c>
      <c r="X18" s="153">
        <f t="shared" si="29"/>
        <v>0</v>
      </c>
      <c r="Y18" s="153">
        <f t="shared" si="29"/>
        <v>0</v>
      </c>
      <c r="Z18" s="153">
        <f t="shared" si="29"/>
        <v>0</v>
      </c>
      <c r="AA18" s="262"/>
      <c r="AB18" s="333" t="s">
        <v>240</v>
      </c>
      <c r="AC18" s="153">
        <f>IF($G12="",IF(AC17="",AC13,AC12/AC17*AC13),IF(AC13=0,0,$G12/$A12*AC12/AC17*AC13))</f>
        <v>0</v>
      </c>
      <c r="AD18" s="153">
        <f t="shared" ref="AD18" si="30">IF($G12="",IF(AD17="",AD13,AD12/AD17*AD13),IF(AD13=0,0,$G12/$A12*AD12/AD17*AD13))</f>
        <v>0</v>
      </c>
      <c r="AE18" s="153">
        <f t="shared" ref="AE18" si="31">IF($G12="",IF(AE17="",AE13,AE12/AE17*AE13),IF(AE13=0,0,$G12/$A12*AE12/AE17*AE13))</f>
        <v>0</v>
      </c>
      <c r="AF18" s="153">
        <f t="shared" ref="AF18" si="32">IF($G12="",IF(AF17="",AF13,AF12/AF17*AF13),IF(AF13=0,0,$G12/$A12*AF12/AF17*AF13))</f>
        <v>0</v>
      </c>
      <c r="AG18" s="153">
        <f t="shared" ref="AG18" si="33">IF($G12="",IF(AG17="",AG13,AG12/AG17*AG13),IF(AG13=0,0,$G12/$A12*AG12/AG17*AG13))</f>
        <v>0</v>
      </c>
      <c r="AH18" s="153">
        <f t="shared" ref="AH18" si="34">IF($G12="",IF(AH17="",AH13,AH12/AH17*AH13),IF(AH13=0,0,$G12/$A12*AH12/AH17*AH13))</f>
        <v>0</v>
      </c>
      <c r="AI18" s="333" t="s">
        <v>240</v>
      </c>
      <c r="AJ18" s="153">
        <f>IF(AND($G12="",$H12=""),IF(AJ17="",AJ13,AJ12/AJ17*AJ13),IF(AJ13=0,0,($G12*$H12)/($A12*$E12)*(AJ12/AJ17*AJ13)))</f>
        <v>0</v>
      </c>
      <c r="AK18" s="153">
        <f t="shared" ref="AK18" si="35">IF(AND($G12="",$H12=""),IF(AK17="",AK13,AK12/AK17*AK13),IF(AK13=0,0,($G12*$H12)/($A12*$E12)*(AK12/AK17*AK13)))</f>
        <v>0</v>
      </c>
      <c r="AL18" s="153">
        <f t="shared" ref="AL18" si="36">IF(AND($G12="",$H12=""),IF(AL17="",AL13,AL12/AL17*AL13),IF(AL13=0,0,($G12*$H12)/($A12*$E12)*(AL12/AL17*AL13)))</f>
        <v>0</v>
      </c>
      <c r="AM18" s="153">
        <f t="shared" ref="AM18" si="37">IF(AND($G12="",$H12=""),IF(AM17="",AM13,AM12/AM17*AM13),IF(AM13=0,0,($G12*$H12)/($A12*$E12)*(AM12/AM17*AM13)))</f>
        <v>0</v>
      </c>
      <c r="AN18" s="153">
        <f t="shared" ref="AN18" si="38">IF(AND($G12="",$H12=""),IF(AN17="",AN13,AN12/AN17*AN13),IF(AN13=0,0,($G12*$H12)/($A12*$E12)*(AN12/AN17*AN13)))</f>
        <v>0</v>
      </c>
      <c r="AO18" s="153">
        <f t="shared" ref="AO18" si="39">IF(AND($G12="",$H12=""),IF(AO17="",AO13,AO12/AO17*AO13),IF(AO13=0,0,($G12*$H12)/($A12*$E12)*(AO12/AO17*AO13)))</f>
        <v>0</v>
      </c>
      <c r="AP18" s="304"/>
      <c r="AQ18" s="260"/>
      <c r="AR18" s="243"/>
      <c r="AS18" s="243"/>
      <c r="AT18" s="243"/>
      <c r="AU18" s="236"/>
      <c r="AW18" s="307"/>
      <c r="AY18" s="455"/>
      <c r="AZ18" s="456"/>
      <c r="BA18" s="433"/>
    </row>
    <row r="19" spans="1:54" x14ac:dyDescent="0.25">
      <c r="A19" s="441"/>
      <c r="B19" s="457"/>
      <c r="C19" s="445"/>
      <c r="D19" s="445"/>
      <c r="E19" s="445"/>
      <c r="F19" s="445"/>
      <c r="G19" s="449"/>
      <c r="H19" s="449"/>
      <c r="I19" s="178" t="s">
        <v>255</v>
      </c>
      <c r="J19" s="187">
        <f>IF(OR($B12="N/A",J12="",J13="",J14=""),0,J16*J18)</f>
        <v>0</v>
      </c>
      <c r="K19" s="187">
        <f t="shared" ref="K19:Q19" si="40">IF(OR($B12="N/A",K12="",K13="",K14=""),0,K16*K18)</f>
        <v>0</v>
      </c>
      <c r="L19" s="187">
        <f t="shared" si="40"/>
        <v>0</v>
      </c>
      <c r="M19" s="187">
        <f t="shared" si="40"/>
        <v>0</v>
      </c>
      <c r="N19" s="187">
        <f t="shared" si="40"/>
        <v>0</v>
      </c>
      <c r="O19" s="187">
        <f t="shared" ref="O19:P19" si="41">IF(OR($B12="N/A",O12="",O13="",O14=""),0,O16*O18)</f>
        <v>0</v>
      </c>
      <c r="P19" s="187">
        <f t="shared" si="41"/>
        <v>0</v>
      </c>
      <c r="Q19" s="187">
        <f t="shared" si="40"/>
        <v>0</v>
      </c>
      <c r="R19" s="187">
        <f>SUM(J19:Q19)</f>
        <v>0</v>
      </c>
      <c r="S19" s="178" t="s">
        <v>255</v>
      </c>
      <c r="T19" s="187">
        <f>IF(OR($B12="N/A",T12="",T13="",T14=""),0,T16*T18)</f>
        <v>0</v>
      </c>
      <c r="U19" s="187">
        <f t="shared" ref="U19:Y19" si="42">IF(OR($B12="N/A",U12="",U13="",U14=""),0,U16*U18)</f>
        <v>0</v>
      </c>
      <c r="V19" s="187">
        <f t="shared" si="42"/>
        <v>0</v>
      </c>
      <c r="W19" s="187">
        <f t="shared" si="42"/>
        <v>0</v>
      </c>
      <c r="X19" s="187">
        <f t="shared" si="42"/>
        <v>0</v>
      </c>
      <c r="Y19" s="187">
        <f t="shared" si="42"/>
        <v>0</v>
      </c>
      <c r="Z19" s="187">
        <f>SUM(T19:Y19)</f>
        <v>0</v>
      </c>
      <c r="AA19" s="283"/>
      <c r="AB19" s="333" t="s">
        <v>256</v>
      </c>
      <c r="AC19" s="187">
        <f>IF(OR($B12="N/A",AC12="",AC13="",AC14=""),0,AC16*AC18)</f>
        <v>0</v>
      </c>
      <c r="AD19" s="187">
        <f t="shared" ref="AD19" si="43">IF(OR($B12="N/A",AD12="",AD13="",AD14=""),0,AD16*AD18)</f>
        <v>0</v>
      </c>
      <c r="AE19" s="187">
        <f t="shared" ref="AE19" si="44">IF(OR($B12="N/A",AE12="",AE13="",AE14=""),0,AE16*AE18)</f>
        <v>0</v>
      </c>
      <c r="AF19" s="187">
        <f t="shared" ref="AF19" si="45">IF(OR($B12="N/A",AF12="",AF13="",AF14=""),0,AF16*AF18)</f>
        <v>0</v>
      </c>
      <c r="AG19" s="187">
        <f t="shared" ref="AG19" si="46">IF(OR($B12="N/A",AG12="",AG13="",AG14=""),0,AG16*AG18)</f>
        <v>0</v>
      </c>
      <c r="AH19" s="187">
        <f t="shared" ref="AH19" si="47">IF(OR($B12="N/A",AH12="",AH13="",AH14=""),0,AH16*AH18)</f>
        <v>0</v>
      </c>
      <c r="AI19" s="333" t="s">
        <v>256</v>
      </c>
      <c r="AJ19" s="187">
        <f>IF(OR($B12="N/A",AJ12="",AJ13="",AJ14=""),0,AJ16*AJ18)</f>
        <v>0</v>
      </c>
      <c r="AK19" s="187">
        <f t="shared" ref="AK19" si="48">IF(OR($B12="N/A",AK12="",AK13="",AK14=""),0,AK16*AK18)</f>
        <v>0</v>
      </c>
      <c r="AL19" s="187">
        <f t="shared" ref="AL19" si="49">IF(OR($B12="N/A",AL12="",AL13="",AL14=""),0,AL16*AL18)</f>
        <v>0</v>
      </c>
      <c r="AM19" s="187">
        <f t="shared" ref="AM19" si="50">IF(OR($B12="N/A",AM12="",AM13="",AM14=""),0,AM16*AM18)</f>
        <v>0</v>
      </c>
      <c r="AN19" s="187">
        <f t="shared" ref="AN19" si="51">IF(OR($B12="N/A",AN12="",AN13="",AN14=""),0,AN16*AN18)</f>
        <v>0</v>
      </c>
      <c r="AO19" s="187">
        <f t="shared" ref="AO19" si="52">IF(OR($B12="N/A",AO12="",AO13="",AO14=""),0,AO16*AO18)</f>
        <v>0</v>
      </c>
      <c r="AP19" s="280">
        <f>SUM(AC19:AH19)+SUM(AJ19:AO19)+R19+Z19+AA19</f>
        <v>0</v>
      </c>
      <c r="AQ19" s="282"/>
      <c r="AR19" s="280">
        <f t="shared" ref="AR19" si="53">AP19+AQ19</f>
        <v>0</v>
      </c>
      <c r="AS19" s="141"/>
      <c r="AT19" s="281" t="str">
        <f>IF($B12="N/A","N/A",AR19/A12)</f>
        <v>N/A</v>
      </c>
      <c r="AU19" s="281" t="str">
        <f>IF($B12="N/A","N/A",AR19/(H12*A12/10000))</f>
        <v>N/A</v>
      </c>
      <c r="AW19" s="281" t="e">
        <f>R18</f>
        <v>#DIV/0!</v>
      </c>
      <c r="AY19" s="272" t="e">
        <f>AP19/AR19</f>
        <v>#DIV/0!</v>
      </c>
      <c r="AZ19" s="272" t="e">
        <f>AQ19/AR19</f>
        <v>#DIV/0!</v>
      </c>
      <c r="BA19" s="273" t="s">
        <v>227</v>
      </c>
      <c r="BB19" s="320">
        <f>AR19</f>
        <v>0</v>
      </c>
    </row>
    <row r="20" spans="1:54" x14ac:dyDescent="0.25">
      <c r="A20" s="220"/>
      <c r="B20" s="221"/>
      <c r="C20" s="222"/>
      <c r="D20" s="222"/>
      <c r="E20" s="222"/>
      <c r="F20" s="222"/>
      <c r="G20" s="222"/>
      <c r="H20" s="222"/>
      <c r="I20" s="163"/>
      <c r="J20" s="164"/>
      <c r="K20" s="164"/>
      <c r="L20" s="164"/>
      <c r="M20" s="164"/>
      <c r="N20" s="164"/>
      <c r="O20" s="164"/>
      <c r="P20" s="164"/>
      <c r="Q20" s="164"/>
      <c r="R20" s="164"/>
      <c r="S20" s="163"/>
      <c r="T20" s="164"/>
      <c r="U20" s="164"/>
      <c r="V20" s="164"/>
      <c r="W20" s="164"/>
      <c r="X20" s="164"/>
      <c r="Y20" s="164"/>
      <c r="Z20" s="164"/>
      <c r="AA20" s="264"/>
      <c r="AB20" s="163"/>
      <c r="AC20" s="164"/>
      <c r="AD20" s="164"/>
      <c r="AE20" s="164"/>
      <c r="AF20" s="164"/>
      <c r="AG20" s="164"/>
      <c r="AH20" s="164"/>
      <c r="AI20" s="308"/>
      <c r="AJ20" s="164"/>
      <c r="AK20" s="164"/>
      <c r="AL20" s="164"/>
      <c r="AM20" s="164"/>
      <c r="AN20" s="164"/>
      <c r="AO20" s="164"/>
      <c r="AP20" s="166"/>
      <c r="AQ20" s="259"/>
      <c r="AR20" s="166"/>
      <c r="AS20" s="166"/>
      <c r="AT20" s="167"/>
      <c r="AU20" s="167"/>
      <c r="AV20" s="168"/>
      <c r="AW20" s="167"/>
      <c r="AX20" s="168"/>
      <c r="AY20" s="169"/>
      <c r="AZ20" s="170"/>
      <c r="BA20" s="163"/>
    </row>
    <row r="21" spans="1:54" x14ac:dyDescent="0.25">
      <c r="A21" s="440">
        <f>'Fleet Inventory'!A8</f>
        <v>0</v>
      </c>
      <c r="B21" s="442" t="str">
        <f>IF('Fleet Inventory'!B8="","N/A",'Fleet Inventory'!B8)</f>
        <v>N/A</v>
      </c>
      <c r="C21" s="444">
        <f>'Fleet Inventory'!C8</f>
        <v>0</v>
      </c>
      <c r="D21" s="444">
        <f>'Fleet Inventory'!D8</f>
        <v>0</v>
      </c>
      <c r="E21" s="446">
        <f>'Fleet Inventory'!E8</f>
        <v>0</v>
      </c>
      <c r="F21" s="447">
        <f>'Fleet Inventory'!F8</f>
        <v>0</v>
      </c>
      <c r="G21" s="448"/>
      <c r="H21" s="448"/>
      <c r="I21" s="165" t="s">
        <v>238</v>
      </c>
      <c r="J21" s="177"/>
      <c r="K21" s="177"/>
      <c r="L21" s="177"/>
      <c r="M21" s="177"/>
      <c r="N21" s="177"/>
      <c r="O21" s="177"/>
      <c r="P21" s="177"/>
      <c r="Q21" s="177"/>
      <c r="R21" s="161" t="s">
        <v>100</v>
      </c>
      <c r="S21" s="165" t="s">
        <v>238</v>
      </c>
      <c r="T21" s="177"/>
      <c r="U21" s="177"/>
      <c r="V21" s="177"/>
      <c r="W21" s="177"/>
      <c r="X21" s="177"/>
      <c r="Y21" s="177"/>
      <c r="Z21" s="161" t="s">
        <v>100</v>
      </c>
      <c r="AA21" s="147"/>
      <c r="AB21" s="330" t="s">
        <v>276</v>
      </c>
      <c r="AC21" s="318"/>
      <c r="AD21" s="327"/>
      <c r="AE21" s="328"/>
      <c r="AF21" s="328"/>
      <c r="AG21" s="328"/>
      <c r="AH21" s="328"/>
      <c r="AI21" s="330" t="s">
        <v>275</v>
      </c>
      <c r="AJ21" s="318"/>
      <c r="AK21" s="327"/>
      <c r="AL21" s="328"/>
      <c r="AM21" s="328"/>
      <c r="AN21" s="328"/>
      <c r="AO21" s="328"/>
      <c r="AP21" s="238"/>
      <c r="AQ21" s="241"/>
      <c r="AR21" s="241"/>
      <c r="AS21" s="241"/>
      <c r="AT21" s="241"/>
      <c r="AU21" s="241"/>
      <c r="AV21" s="305"/>
      <c r="AW21" s="306"/>
      <c r="AY21" s="450"/>
      <c r="AZ21" s="450"/>
      <c r="BA21" s="427"/>
    </row>
    <row r="22" spans="1:54" x14ac:dyDescent="0.25">
      <c r="A22" s="440"/>
      <c r="B22" s="442"/>
      <c r="C22" s="444"/>
      <c r="D22" s="444"/>
      <c r="E22" s="444"/>
      <c r="F22" s="444"/>
      <c r="G22" s="448"/>
      <c r="H22" s="448"/>
      <c r="I22" s="165" t="s">
        <v>277</v>
      </c>
      <c r="J22" s="158"/>
      <c r="K22" s="158"/>
      <c r="L22" s="158"/>
      <c r="M22" s="158"/>
      <c r="N22" s="158"/>
      <c r="O22" s="158"/>
      <c r="P22" s="158"/>
      <c r="Q22" s="158"/>
      <c r="R22" s="297">
        <f>SUM(J22:Q22)</f>
        <v>0</v>
      </c>
      <c r="S22" s="165" t="s">
        <v>277</v>
      </c>
      <c r="T22" s="158"/>
      <c r="U22" s="158"/>
      <c r="V22" s="158"/>
      <c r="W22" s="158"/>
      <c r="X22" s="158"/>
      <c r="Y22" s="158"/>
      <c r="Z22" s="297">
        <f>SUM(T22:Y22)</f>
        <v>0</v>
      </c>
      <c r="AA22" s="261"/>
      <c r="AB22" s="330" t="s">
        <v>272</v>
      </c>
      <c r="AC22" s="329"/>
      <c r="AD22" s="329"/>
      <c r="AE22" s="329"/>
      <c r="AF22" s="329"/>
      <c r="AG22" s="329"/>
      <c r="AH22" s="329"/>
      <c r="AI22" s="330" t="s">
        <v>200</v>
      </c>
      <c r="AJ22" s="329"/>
      <c r="AK22" s="329"/>
      <c r="AL22" s="329"/>
      <c r="AM22" s="329"/>
      <c r="AN22" s="329"/>
      <c r="AO22" s="329"/>
      <c r="AP22" s="239"/>
      <c r="AQ22" s="242"/>
      <c r="AR22" s="242"/>
      <c r="AS22" s="242"/>
      <c r="AT22" s="242"/>
      <c r="AU22" s="242"/>
      <c r="AV22" s="305"/>
      <c r="AW22" s="171"/>
      <c r="AY22" s="451"/>
      <c r="AZ22" s="451"/>
      <c r="BA22" s="430"/>
    </row>
    <row r="23" spans="1:54" x14ac:dyDescent="0.25">
      <c r="A23" s="440"/>
      <c r="B23" s="442"/>
      <c r="C23" s="444"/>
      <c r="D23" s="444"/>
      <c r="E23" s="444"/>
      <c r="F23" s="444"/>
      <c r="G23" s="448"/>
      <c r="H23" s="448"/>
      <c r="I23" s="165" t="s">
        <v>201</v>
      </c>
      <c r="J23" s="158"/>
      <c r="K23" s="158"/>
      <c r="L23" s="158"/>
      <c r="M23" s="158"/>
      <c r="N23" s="158"/>
      <c r="O23" s="158"/>
      <c r="P23" s="158"/>
      <c r="Q23" s="158"/>
      <c r="R23" s="157" t="e">
        <f>AVERAGE(J23:Q23)</f>
        <v>#DIV/0!</v>
      </c>
      <c r="S23" s="165" t="s">
        <v>201</v>
      </c>
      <c r="T23" s="158"/>
      <c r="U23" s="158"/>
      <c r="V23" s="158"/>
      <c r="W23" s="158"/>
      <c r="X23" s="158"/>
      <c r="Y23" s="158"/>
      <c r="Z23" s="157" t="e">
        <f>AVERAGE(T23:Y23)</f>
        <v>#DIV/0!</v>
      </c>
      <c r="AA23" s="262"/>
      <c r="AB23" s="330" t="s">
        <v>201</v>
      </c>
      <c r="AC23" s="329"/>
      <c r="AD23" s="329"/>
      <c r="AE23" s="329"/>
      <c r="AF23" s="329"/>
      <c r="AG23" s="329"/>
      <c r="AH23" s="329"/>
      <c r="AI23" s="330" t="s">
        <v>201</v>
      </c>
      <c r="AJ23" s="329"/>
      <c r="AK23" s="329"/>
      <c r="AL23" s="329"/>
      <c r="AM23" s="329"/>
      <c r="AN23" s="329"/>
      <c r="AO23" s="329"/>
      <c r="AP23" s="240"/>
      <c r="AQ23" s="243"/>
      <c r="AR23" s="243"/>
      <c r="AS23" s="243"/>
      <c r="AT23" s="243"/>
      <c r="AU23" s="243"/>
      <c r="AV23" s="305"/>
      <c r="AW23" s="307"/>
      <c r="AY23" s="452"/>
      <c r="AZ23" s="452"/>
      <c r="BA23" s="433"/>
    </row>
    <row r="24" spans="1:54" x14ac:dyDescent="0.25">
      <c r="A24" s="441"/>
      <c r="B24" s="457"/>
      <c r="C24" s="445"/>
      <c r="D24" s="445"/>
      <c r="E24" s="445"/>
      <c r="F24" s="445"/>
      <c r="G24" s="449"/>
      <c r="H24" s="449"/>
      <c r="I24" s="267" t="s">
        <v>271</v>
      </c>
      <c r="J24" s="188">
        <f>IF(OR($B21="N/A",J21="",J22="",J23=""),0,J23*J22)</f>
        <v>0</v>
      </c>
      <c r="K24" s="188">
        <f t="shared" ref="K24:P24" si="54">IF(OR($B21="N/A",K21="",K22="",K23=""),0,K23*K22)</f>
        <v>0</v>
      </c>
      <c r="L24" s="188">
        <f t="shared" si="54"/>
        <v>0</v>
      </c>
      <c r="M24" s="188">
        <f t="shared" si="54"/>
        <v>0</v>
      </c>
      <c r="N24" s="188">
        <f t="shared" si="54"/>
        <v>0</v>
      </c>
      <c r="O24" s="188">
        <f t="shared" si="54"/>
        <v>0</v>
      </c>
      <c r="P24" s="188">
        <f t="shared" si="54"/>
        <v>0</v>
      </c>
      <c r="Q24" s="188">
        <f>IF(OR($B21="N/A",Q21="",Q22="",Q23=""),0,Q23*Q22)</f>
        <v>0</v>
      </c>
      <c r="R24" s="188">
        <f>SUM(J24:Q24)</f>
        <v>0</v>
      </c>
      <c r="S24" s="267" t="s">
        <v>271</v>
      </c>
      <c r="T24" s="188">
        <f>IF(OR($B21="N/A",T21="",T22="",T23=""),0,T23*T22)</f>
        <v>0</v>
      </c>
      <c r="U24" s="188">
        <f t="shared" ref="U24:Y24" si="55">IF(OR($B21="N/A",U21="",U22="",U23=""),0,U23*U22)</f>
        <v>0</v>
      </c>
      <c r="V24" s="188">
        <f t="shared" si="55"/>
        <v>0</v>
      </c>
      <c r="W24" s="188">
        <f t="shared" si="55"/>
        <v>0</v>
      </c>
      <c r="X24" s="188">
        <f t="shared" si="55"/>
        <v>0</v>
      </c>
      <c r="Y24" s="188">
        <f t="shared" si="55"/>
        <v>0</v>
      </c>
      <c r="Z24" s="188">
        <f>SUM(T24:Y24)</f>
        <v>0</v>
      </c>
      <c r="AA24" s="263"/>
      <c r="AB24" s="331" t="s">
        <v>152</v>
      </c>
      <c r="AC24" s="188">
        <f>IF(OR($B21="N/A",AC22="",AC23=""),0,AC23*AC22)</f>
        <v>0</v>
      </c>
      <c r="AD24" s="188">
        <f t="shared" ref="AD24" si="56">IF(OR($B21="N/A",AD22="",AD23=""),0,AD23*AD22)</f>
        <v>0</v>
      </c>
      <c r="AE24" s="188">
        <f>IF(OR($B21="N/A",AE22="",AE23=""),0,AE23*AE22)</f>
        <v>0</v>
      </c>
      <c r="AF24" s="188">
        <f t="shared" ref="AF24" si="57">IF(OR($B21="N/A",AF22="",AF23=""),0,AF23*AF22)</f>
        <v>0</v>
      </c>
      <c r="AG24" s="188">
        <f>IF(OR($B21="N/A",AG22="",AG23=""),0,AG23*AG22)</f>
        <v>0</v>
      </c>
      <c r="AH24" s="188">
        <f t="shared" ref="AH24" si="58">IF(OR($B21="N/A",AH22="",AH23=""),0,AH23*AH22)</f>
        <v>0</v>
      </c>
      <c r="AI24" s="331" t="s">
        <v>152</v>
      </c>
      <c r="AJ24" s="188">
        <f>IF(OR($B21="N/A",AJ22="",AJ23=""),0,AJ23*AJ22)</f>
        <v>0</v>
      </c>
      <c r="AK24" s="188">
        <f t="shared" ref="AK24" si="59">IF(OR($B21="N/A",AK22="",AK23=""),0,AK23*AK22)</f>
        <v>0</v>
      </c>
      <c r="AL24" s="188">
        <f>IF(OR($B21="N/A",AL22="",AL23=""),0,AL23*AL22)</f>
        <v>0</v>
      </c>
      <c r="AM24" s="188">
        <f t="shared" ref="AM24" si="60">IF(OR($B21="N/A",AM22="",AM23=""),0,AM23*AM22)</f>
        <v>0</v>
      </c>
      <c r="AN24" s="188">
        <f>IF(OR($B21="N/A",AN22="",AN23=""),0,AN23*AN22)</f>
        <v>0</v>
      </c>
      <c r="AO24" s="188">
        <f t="shared" ref="AO24" si="61">IF(OR($B21="N/A",AO22="",AO23=""),0,AO23*AO22)</f>
        <v>0</v>
      </c>
      <c r="AP24" s="279">
        <f>SUM(AC24:AH24)+SUM(AJ24:AO24)+R24+Z24+AA24</f>
        <v>0</v>
      </c>
      <c r="AQ24" s="258"/>
      <c r="AR24" s="277">
        <f>AP24+AQ24</f>
        <v>0</v>
      </c>
      <c r="AS24" s="237"/>
      <c r="AT24" s="278" t="e">
        <f>IF($B22="N/A","N/A",AR24/A21)</f>
        <v>#DIV/0!</v>
      </c>
      <c r="AU24" s="278" t="e">
        <f>IF($B22="N/A","N/A",AR24/(E21*A21/10000))</f>
        <v>#DIV/0!</v>
      </c>
      <c r="AW24" s="278">
        <f>R22</f>
        <v>0</v>
      </c>
      <c r="AY24" s="244" t="e">
        <f>AP24/AR24</f>
        <v>#DIV/0!</v>
      </c>
      <c r="AZ24" s="244" t="e">
        <f>AQ24/AR24</f>
        <v>#DIV/0!</v>
      </c>
      <c r="BA24" s="245" t="s">
        <v>217</v>
      </c>
      <c r="BB24" s="319">
        <f>AR24</f>
        <v>0</v>
      </c>
    </row>
    <row r="25" spans="1:54" x14ac:dyDescent="0.25">
      <c r="A25" s="441"/>
      <c r="B25" s="457"/>
      <c r="C25" s="445"/>
      <c r="D25" s="445"/>
      <c r="E25" s="445"/>
      <c r="F25" s="445"/>
      <c r="G25" s="449"/>
      <c r="H25" s="449"/>
      <c r="I25" s="284" t="s">
        <v>226</v>
      </c>
      <c r="J25" s="285"/>
      <c r="K25" s="285"/>
      <c r="L25" s="285"/>
      <c r="M25" s="285"/>
      <c r="N25" s="285"/>
      <c r="O25" s="285"/>
      <c r="P25" s="285"/>
      <c r="Q25" s="285"/>
      <c r="R25" s="157" t="e">
        <f>AVERAGE(J25:Q25)</f>
        <v>#DIV/0!</v>
      </c>
      <c r="S25" s="284" t="s">
        <v>226</v>
      </c>
      <c r="T25" s="285"/>
      <c r="U25" s="285"/>
      <c r="V25" s="285"/>
      <c r="W25" s="285"/>
      <c r="X25" s="285"/>
      <c r="Y25" s="285"/>
      <c r="Z25" s="157" t="e">
        <f>AVERAGE(T25:Y25)</f>
        <v>#DIV/0!</v>
      </c>
      <c r="AA25" s="298"/>
      <c r="AB25" s="332" t="s">
        <v>226</v>
      </c>
      <c r="AC25" s="285"/>
      <c r="AD25" s="285"/>
      <c r="AE25" s="285"/>
      <c r="AF25" s="285"/>
      <c r="AG25" s="285"/>
      <c r="AH25" s="285"/>
      <c r="AI25" s="332" t="s">
        <v>226</v>
      </c>
      <c r="AJ25" s="285"/>
      <c r="AK25" s="285"/>
      <c r="AL25" s="285"/>
      <c r="AM25" s="285"/>
      <c r="AN25" s="285"/>
      <c r="AO25" s="285"/>
      <c r="AP25" s="301"/>
      <c r="AQ25" s="301"/>
      <c r="AR25" s="302"/>
      <c r="AS25" s="302"/>
      <c r="AT25" s="302"/>
      <c r="AU25" s="303"/>
      <c r="AW25" s="171"/>
      <c r="AY25" s="453"/>
      <c r="AZ25" s="454"/>
      <c r="BA25" s="427"/>
    </row>
    <row r="26" spans="1:54" x14ac:dyDescent="0.25">
      <c r="A26" s="441"/>
      <c r="B26" s="457"/>
      <c r="C26" s="445"/>
      <c r="D26" s="445"/>
      <c r="E26" s="445"/>
      <c r="F26" s="445"/>
      <c r="G26" s="449"/>
      <c r="H26" s="449"/>
      <c r="I26" s="163"/>
      <c r="J26" s="164"/>
      <c r="K26" s="164"/>
      <c r="L26" s="164"/>
      <c r="M26" s="164"/>
      <c r="N26" s="164"/>
      <c r="O26" s="164"/>
      <c r="P26" s="164"/>
      <c r="Q26" s="164"/>
      <c r="R26" s="164"/>
      <c r="S26" s="163"/>
      <c r="T26" s="164"/>
      <c r="U26" s="164"/>
      <c r="V26" s="164"/>
      <c r="W26" s="164"/>
      <c r="X26" s="164"/>
      <c r="Y26" s="164"/>
      <c r="Z26" s="164"/>
      <c r="AA26" s="350"/>
      <c r="AB26" s="332" t="s">
        <v>322</v>
      </c>
      <c r="AC26" s="351"/>
      <c r="AD26" s="351"/>
      <c r="AE26" s="351"/>
      <c r="AF26" s="351"/>
      <c r="AG26" s="351"/>
      <c r="AH26" s="351"/>
      <c r="AI26" s="332" t="s">
        <v>323</v>
      </c>
      <c r="AJ26" s="285"/>
      <c r="AK26" s="285"/>
      <c r="AL26" s="285"/>
      <c r="AM26" s="285"/>
      <c r="AN26" s="285"/>
      <c r="AO26" s="285"/>
      <c r="AP26" s="352"/>
      <c r="AQ26" s="352"/>
      <c r="AR26" s="353"/>
      <c r="AS26" s="353"/>
      <c r="AT26" s="353"/>
      <c r="AU26" s="354"/>
      <c r="AW26" s="171"/>
      <c r="AY26" s="355"/>
      <c r="AZ26" s="356"/>
      <c r="BA26" s="349"/>
    </row>
    <row r="27" spans="1:54" x14ac:dyDescent="0.25">
      <c r="A27" s="441"/>
      <c r="B27" s="457"/>
      <c r="C27" s="445"/>
      <c r="D27" s="445"/>
      <c r="E27" s="445"/>
      <c r="F27" s="445"/>
      <c r="G27" s="449"/>
      <c r="H27" s="449"/>
      <c r="I27" s="178" t="s">
        <v>237</v>
      </c>
      <c r="J27" s="153">
        <f t="shared" ref="J27:Q27" si="62">IF(AND($G21="",$H21=""),J22,($H21*$G21)/($E21*$A21)*J22)</f>
        <v>0</v>
      </c>
      <c r="K27" s="153">
        <f t="shared" si="62"/>
        <v>0</v>
      </c>
      <c r="L27" s="153">
        <f t="shared" si="62"/>
        <v>0</v>
      </c>
      <c r="M27" s="153">
        <f t="shared" si="62"/>
        <v>0</v>
      </c>
      <c r="N27" s="153">
        <f t="shared" si="62"/>
        <v>0</v>
      </c>
      <c r="O27" s="153">
        <f t="shared" ref="O27:P27" si="63">IF(AND($G21="",$H21=""),O22,($H21*$G21)/($E21*$A21)*O22)</f>
        <v>0</v>
      </c>
      <c r="P27" s="153">
        <f t="shared" si="63"/>
        <v>0</v>
      </c>
      <c r="Q27" s="153">
        <f t="shared" si="62"/>
        <v>0</v>
      </c>
      <c r="R27" s="153" t="e">
        <f>($H21*$G21)/($E21*$A21)*R22</f>
        <v>#DIV/0!</v>
      </c>
      <c r="S27" s="178" t="s">
        <v>237</v>
      </c>
      <c r="T27" s="153">
        <f t="shared" ref="T27:Z27" si="64">IF($G21="",T22,($G21/$A21)*T22)</f>
        <v>0</v>
      </c>
      <c r="U27" s="153">
        <f t="shared" si="64"/>
        <v>0</v>
      </c>
      <c r="V27" s="153">
        <f t="shared" si="64"/>
        <v>0</v>
      </c>
      <c r="W27" s="153">
        <f t="shared" si="64"/>
        <v>0</v>
      </c>
      <c r="X27" s="153">
        <f t="shared" si="64"/>
        <v>0</v>
      </c>
      <c r="Y27" s="153">
        <f t="shared" si="64"/>
        <v>0</v>
      </c>
      <c r="Z27" s="153">
        <f t="shared" si="64"/>
        <v>0</v>
      </c>
      <c r="AA27" s="262"/>
      <c r="AB27" s="333" t="s">
        <v>240</v>
      </c>
      <c r="AC27" s="153">
        <f>IF($G21="",IF(AC26="",AC22,AC21/AC26*AC22),IF(AC22=0,0,$G21/$A21*AC21/AC26*AC22))</f>
        <v>0</v>
      </c>
      <c r="AD27" s="153">
        <f t="shared" ref="AD27" si="65">IF($G21="",IF(AD26="",AD22,AD21/AD26*AD22),IF(AD22=0,0,$G21/$A21*AD21/AD26*AD22))</f>
        <v>0</v>
      </c>
      <c r="AE27" s="153">
        <f t="shared" ref="AE27" si="66">IF($G21="",IF(AE26="",AE22,AE21/AE26*AE22),IF(AE22=0,0,$G21/$A21*AE21/AE26*AE22))</f>
        <v>0</v>
      </c>
      <c r="AF27" s="153">
        <f t="shared" ref="AF27" si="67">IF($G21="",IF(AF26="",AF22,AF21/AF26*AF22),IF(AF22=0,0,$G21/$A21*AF21/AF26*AF22))</f>
        <v>0</v>
      </c>
      <c r="AG27" s="153">
        <f t="shared" ref="AG27" si="68">IF($G21="",IF(AG26="",AG22,AG21/AG26*AG22),IF(AG22=0,0,$G21/$A21*AG21/AG26*AG22))</f>
        <v>0</v>
      </c>
      <c r="AH27" s="153">
        <f t="shared" ref="AH27" si="69">IF($G21="",IF(AH26="",AH22,AH21/AH26*AH22),IF(AH22=0,0,$G21/$A21*AH21/AH26*AH22))</f>
        <v>0</v>
      </c>
      <c r="AI27" s="333" t="s">
        <v>240</v>
      </c>
      <c r="AJ27" s="153">
        <f>IF(AND($G21="",$H21=""),IF(AJ26="",AJ22,AJ21/AJ26*AJ22),IF(AJ22=0,0,($G21*$H21)/($A21*$E21)*(AJ21/AJ26*AJ22)))</f>
        <v>0</v>
      </c>
      <c r="AK27" s="153">
        <f t="shared" ref="AK27" si="70">IF(AND($G21="",$H21=""),IF(AK26="",AK22,AK21/AK26*AK22),IF(AK22=0,0,($G21*$H21)/($A21*$E21)*(AK21/AK26*AK22)))</f>
        <v>0</v>
      </c>
      <c r="AL27" s="153">
        <f t="shared" ref="AL27" si="71">IF(AND($G21="",$H21=""),IF(AL26="",AL22,AL21/AL26*AL22),IF(AL22=0,0,($G21*$H21)/($A21*$E21)*(AL21/AL26*AL22)))</f>
        <v>0</v>
      </c>
      <c r="AM27" s="153">
        <f t="shared" ref="AM27" si="72">IF(AND($G21="",$H21=""),IF(AM26="",AM22,AM21/AM26*AM22),IF(AM22=0,0,($G21*$H21)/($A21*$E21)*(AM21/AM26*AM22)))</f>
        <v>0</v>
      </c>
      <c r="AN27" s="153">
        <f t="shared" ref="AN27" si="73">IF(AND($G21="",$H21=""),IF(AN26="",AN22,AN21/AN26*AN22),IF(AN22=0,0,($G21*$H21)/($A21*$E21)*(AN21/AN26*AN22)))</f>
        <v>0</v>
      </c>
      <c r="AO27" s="153">
        <f t="shared" ref="AO27" si="74">IF(AND($G21="",$H21=""),IF(AO26="",AO22,AO21/AO26*AO22),IF(AO22=0,0,($G21*$H21)/($A21*$E21)*(AO21/AO26*AO22)))</f>
        <v>0</v>
      </c>
      <c r="AP27" s="304"/>
      <c r="AQ27" s="260"/>
      <c r="AR27" s="243"/>
      <c r="AS27" s="243"/>
      <c r="AT27" s="243"/>
      <c r="AU27" s="236"/>
      <c r="AW27" s="307"/>
      <c r="AY27" s="455"/>
      <c r="AZ27" s="456"/>
      <c r="BA27" s="433"/>
    </row>
    <row r="28" spans="1:54" x14ac:dyDescent="0.25">
      <c r="A28" s="441"/>
      <c r="B28" s="457"/>
      <c r="C28" s="445"/>
      <c r="D28" s="445"/>
      <c r="E28" s="445"/>
      <c r="F28" s="445"/>
      <c r="G28" s="449"/>
      <c r="H28" s="449"/>
      <c r="I28" s="178" t="s">
        <v>255</v>
      </c>
      <c r="J28" s="187">
        <f>IF(OR($B21="N/A",J21="",J22="",J23=""),0,J25*J27)</f>
        <v>0</v>
      </c>
      <c r="K28" s="187">
        <f t="shared" ref="K28:Q28" si="75">IF(OR($B21="N/A",K21="",K22="",K23=""),0,K25*K27)</f>
        <v>0</v>
      </c>
      <c r="L28" s="187">
        <f t="shared" si="75"/>
        <v>0</v>
      </c>
      <c r="M28" s="187">
        <f t="shared" si="75"/>
        <v>0</v>
      </c>
      <c r="N28" s="187">
        <f t="shared" si="75"/>
        <v>0</v>
      </c>
      <c r="O28" s="187">
        <f t="shared" ref="O28:P28" si="76">IF(OR($B21="N/A",O21="",O22="",O23=""),0,O25*O27)</f>
        <v>0</v>
      </c>
      <c r="P28" s="187">
        <f t="shared" si="76"/>
        <v>0</v>
      </c>
      <c r="Q28" s="187">
        <f t="shared" si="75"/>
        <v>0</v>
      </c>
      <c r="R28" s="187">
        <f>SUM(J28:Q28)</f>
        <v>0</v>
      </c>
      <c r="S28" s="178" t="s">
        <v>255</v>
      </c>
      <c r="T28" s="187">
        <f>IF(OR($B21="N/A",T21="",T22="",T23=""),0,T25*T27)</f>
        <v>0</v>
      </c>
      <c r="U28" s="187">
        <f t="shared" ref="U28:Y28" si="77">IF(OR($B21="N/A",U21="",U22="",U23=""),0,U25*U27)</f>
        <v>0</v>
      </c>
      <c r="V28" s="187">
        <f t="shared" si="77"/>
        <v>0</v>
      </c>
      <c r="W28" s="187">
        <f t="shared" si="77"/>
        <v>0</v>
      </c>
      <c r="X28" s="187">
        <f t="shared" si="77"/>
        <v>0</v>
      </c>
      <c r="Y28" s="187">
        <f t="shared" si="77"/>
        <v>0</v>
      </c>
      <c r="Z28" s="187">
        <f>SUM(T28:Y28)</f>
        <v>0</v>
      </c>
      <c r="AA28" s="283"/>
      <c r="AB28" s="333" t="s">
        <v>256</v>
      </c>
      <c r="AC28" s="187">
        <f>IF(OR($B21="N/A",AC21="",AC22="",AC23=""),0,AC25*AC27)</f>
        <v>0</v>
      </c>
      <c r="AD28" s="187">
        <f t="shared" ref="AD28" si="78">IF(OR($B21="N/A",AD21="",AD22="",AD23=""),0,AD25*AD27)</f>
        <v>0</v>
      </c>
      <c r="AE28" s="187">
        <f t="shared" ref="AE28" si="79">IF(OR($B21="N/A",AE21="",AE22="",AE23=""),0,AE25*AE27)</f>
        <v>0</v>
      </c>
      <c r="AF28" s="187">
        <f t="shared" ref="AF28" si="80">IF(OR($B21="N/A",AF21="",AF22="",AF23=""),0,AF25*AF27)</f>
        <v>0</v>
      </c>
      <c r="AG28" s="187">
        <f t="shared" ref="AG28" si="81">IF(OR($B21="N/A",AG21="",AG22="",AG23=""),0,AG25*AG27)</f>
        <v>0</v>
      </c>
      <c r="AH28" s="187">
        <f t="shared" ref="AH28" si="82">IF(OR($B21="N/A",AH21="",AH22="",AH23=""),0,AH25*AH27)</f>
        <v>0</v>
      </c>
      <c r="AI28" s="333" t="s">
        <v>256</v>
      </c>
      <c r="AJ28" s="187">
        <f>IF(OR($B21="N/A",AJ21="",AJ22="",AJ23=""),0,AJ25*AJ27)</f>
        <v>0</v>
      </c>
      <c r="AK28" s="187">
        <f t="shared" ref="AK28" si="83">IF(OR($B21="N/A",AK21="",AK22="",AK23=""),0,AK25*AK27)</f>
        <v>0</v>
      </c>
      <c r="AL28" s="187">
        <f t="shared" ref="AL28" si="84">IF(OR($B21="N/A",AL21="",AL22="",AL23=""),0,AL25*AL27)</f>
        <v>0</v>
      </c>
      <c r="AM28" s="187">
        <f t="shared" ref="AM28" si="85">IF(OR($B21="N/A",AM21="",AM22="",AM23=""),0,AM25*AM27)</f>
        <v>0</v>
      </c>
      <c r="AN28" s="187">
        <f t="shared" ref="AN28" si="86">IF(OR($B21="N/A",AN21="",AN22="",AN23=""),0,AN25*AN27)</f>
        <v>0</v>
      </c>
      <c r="AO28" s="187">
        <f t="shared" ref="AO28" si="87">IF(OR($B21="N/A",AO21="",AO22="",AO23=""),0,AO25*AO27)</f>
        <v>0</v>
      </c>
      <c r="AP28" s="280">
        <f>SUM(AC28:AH28)+SUM(AJ28:AO28)+R28+Z28+AA28</f>
        <v>0</v>
      </c>
      <c r="AQ28" s="282"/>
      <c r="AR28" s="280">
        <f t="shared" ref="AR28" si="88">AP28+AQ28</f>
        <v>0</v>
      </c>
      <c r="AS28" s="141"/>
      <c r="AT28" s="281" t="str">
        <f>IF($B21="N/A","N/A",AR28/A21)</f>
        <v>N/A</v>
      </c>
      <c r="AU28" s="281" t="str">
        <f>IF($B21="N/A","N/A",AR28/(H21*A21/10000))</f>
        <v>N/A</v>
      </c>
      <c r="AW28" s="281" t="e">
        <f>R27</f>
        <v>#DIV/0!</v>
      </c>
      <c r="AY28" s="272" t="e">
        <f>AP28/AR28</f>
        <v>#DIV/0!</v>
      </c>
      <c r="AZ28" s="272" t="e">
        <f>AQ28/AR28</f>
        <v>#DIV/0!</v>
      </c>
      <c r="BA28" s="273" t="s">
        <v>227</v>
      </c>
      <c r="BB28" s="320">
        <f>AR28</f>
        <v>0</v>
      </c>
    </row>
    <row r="29" spans="1:54" x14ac:dyDescent="0.25">
      <c r="A29" s="220"/>
      <c r="B29" s="221"/>
      <c r="C29" s="222"/>
      <c r="D29" s="222"/>
      <c r="E29" s="222"/>
      <c r="F29" s="222"/>
      <c r="G29" s="222"/>
      <c r="H29" s="222"/>
      <c r="I29" s="163"/>
      <c r="J29" s="164"/>
      <c r="K29" s="164"/>
      <c r="L29" s="164"/>
      <c r="M29" s="164"/>
      <c r="N29" s="164"/>
      <c r="O29" s="164"/>
      <c r="P29" s="164"/>
      <c r="Q29" s="164"/>
      <c r="R29" s="164"/>
      <c r="S29" s="163"/>
      <c r="T29" s="164"/>
      <c r="U29" s="164"/>
      <c r="V29" s="164"/>
      <c r="W29" s="164"/>
      <c r="X29" s="164"/>
      <c r="Y29" s="164"/>
      <c r="Z29" s="164"/>
      <c r="AA29" s="264"/>
      <c r="AB29" s="163"/>
      <c r="AC29" s="164"/>
      <c r="AD29" s="164"/>
      <c r="AE29" s="164"/>
      <c r="AF29" s="164"/>
      <c r="AG29" s="164"/>
      <c r="AH29" s="164"/>
      <c r="AI29" s="308"/>
      <c r="AJ29" s="164"/>
      <c r="AK29" s="164"/>
      <c r="AL29" s="164"/>
      <c r="AM29" s="164"/>
      <c r="AN29" s="164"/>
      <c r="AO29" s="164"/>
      <c r="AP29" s="166"/>
      <c r="AQ29" s="259"/>
      <c r="AR29" s="166"/>
      <c r="AS29" s="166"/>
      <c r="AT29" s="167"/>
      <c r="AU29" s="167"/>
      <c r="AV29" s="168"/>
      <c r="AW29" s="167"/>
      <c r="AX29" s="168"/>
      <c r="AY29" s="169"/>
      <c r="AZ29" s="170"/>
      <c r="BA29" s="163"/>
    </row>
    <row r="30" spans="1:54" x14ac:dyDescent="0.25">
      <c r="A30" s="440">
        <f>'Fleet Inventory'!A9</f>
        <v>0</v>
      </c>
      <c r="B30" s="442" t="str">
        <f>IF('Fleet Inventory'!B9="","N/A",'Fleet Inventory'!B9)</f>
        <v>N/A</v>
      </c>
      <c r="C30" s="444">
        <f>'Fleet Inventory'!C9</f>
        <v>0</v>
      </c>
      <c r="D30" s="444">
        <f>'Fleet Inventory'!D9</f>
        <v>0</v>
      </c>
      <c r="E30" s="446">
        <f>'Fleet Inventory'!E9</f>
        <v>0</v>
      </c>
      <c r="F30" s="447">
        <f>'Fleet Inventory'!F9</f>
        <v>0</v>
      </c>
      <c r="G30" s="448"/>
      <c r="H30" s="448"/>
      <c r="I30" s="165" t="s">
        <v>238</v>
      </c>
      <c r="J30" s="177"/>
      <c r="K30" s="177"/>
      <c r="L30" s="177"/>
      <c r="M30" s="177"/>
      <c r="N30" s="177"/>
      <c r="O30" s="177"/>
      <c r="P30" s="177"/>
      <c r="Q30" s="177"/>
      <c r="R30" s="161" t="s">
        <v>100</v>
      </c>
      <c r="S30" s="165" t="s">
        <v>238</v>
      </c>
      <c r="T30" s="177"/>
      <c r="U30" s="177"/>
      <c r="V30" s="177"/>
      <c r="W30" s="177"/>
      <c r="X30" s="177"/>
      <c r="Y30" s="177"/>
      <c r="Z30" s="161" t="s">
        <v>100</v>
      </c>
      <c r="AA30" s="147"/>
      <c r="AB30" s="330" t="s">
        <v>276</v>
      </c>
      <c r="AC30" s="318"/>
      <c r="AD30" s="327"/>
      <c r="AE30" s="328"/>
      <c r="AF30" s="328"/>
      <c r="AG30" s="328"/>
      <c r="AH30" s="328"/>
      <c r="AI30" s="330" t="s">
        <v>275</v>
      </c>
      <c r="AJ30" s="318"/>
      <c r="AK30" s="327"/>
      <c r="AL30" s="328"/>
      <c r="AM30" s="328"/>
      <c r="AN30" s="328"/>
      <c r="AO30" s="328"/>
      <c r="AP30" s="238"/>
      <c r="AQ30" s="241"/>
      <c r="AR30" s="241"/>
      <c r="AS30" s="241"/>
      <c r="AT30" s="241"/>
      <c r="AU30" s="241"/>
      <c r="AV30" s="305"/>
      <c r="AW30" s="306"/>
      <c r="AY30" s="450"/>
      <c r="AZ30" s="450"/>
      <c r="BA30" s="427"/>
    </row>
    <row r="31" spans="1:54" x14ac:dyDescent="0.25">
      <c r="A31" s="440"/>
      <c r="B31" s="442"/>
      <c r="C31" s="444"/>
      <c r="D31" s="444"/>
      <c r="E31" s="444"/>
      <c r="F31" s="444"/>
      <c r="G31" s="448"/>
      <c r="H31" s="448"/>
      <c r="I31" s="165" t="s">
        <v>277</v>
      </c>
      <c r="J31" s="158"/>
      <c r="K31" s="158"/>
      <c r="L31" s="158"/>
      <c r="M31" s="158"/>
      <c r="N31" s="158"/>
      <c r="O31" s="158"/>
      <c r="P31" s="158"/>
      <c r="Q31" s="158"/>
      <c r="R31" s="297">
        <f>SUM(J31:Q31)</f>
        <v>0</v>
      </c>
      <c r="S31" s="165" t="s">
        <v>277</v>
      </c>
      <c r="T31" s="158"/>
      <c r="U31" s="158"/>
      <c r="V31" s="158"/>
      <c r="W31" s="158"/>
      <c r="X31" s="158"/>
      <c r="Y31" s="158"/>
      <c r="Z31" s="297">
        <f>SUM(T31:Y31)</f>
        <v>0</v>
      </c>
      <c r="AA31" s="261"/>
      <c r="AB31" s="330" t="s">
        <v>272</v>
      </c>
      <c r="AC31" s="329"/>
      <c r="AD31" s="329"/>
      <c r="AE31" s="329"/>
      <c r="AF31" s="329"/>
      <c r="AG31" s="329"/>
      <c r="AH31" s="329"/>
      <c r="AI31" s="330" t="s">
        <v>200</v>
      </c>
      <c r="AJ31" s="329"/>
      <c r="AK31" s="329"/>
      <c r="AL31" s="329"/>
      <c r="AM31" s="329"/>
      <c r="AN31" s="329"/>
      <c r="AO31" s="329"/>
      <c r="AP31" s="239"/>
      <c r="AQ31" s="242"/>
      <c r="AR31" s="242"/>
      <c r="AS31" s="242"/>
      <c r="AT31" s="242"/>
      <c r="AU31" s="242"/>
      <c r="AV31" s="305"/>
      <c r="AW31" s="171"/>
      <c r="AY31" s="451"/>
      <c r="AZ31" s="451"/>
      <c r="BA31" s="430"/>
    </row>
    <row r="32" spans="1:54" x14ac:dyDescent="0.25">
      <c r="A32" s="440"/>
      <c r="B32" s="442"/>
      <c r="C32" s="444"/>
      <c r="D32" s="444"/>
      <c r="E32" s="444"/>
      <c r="F32" s="444"/>
      <c r="G32" s="448"/>
      <c r="H32" s="448"/>
      <c r="I32" s="165" t="s">
        <v>201</v>
      </c>
      <c r="J32" s="158"/>
      <c r="K32" s="158"/>
      <c r="L32" s="158"/>
      <c r="M32" s="158"/>
      <c r="N32" s="158"/>
      <c r="O32" s="158"/>
      <c r="P32" s="158"/>
      <c r="Q32" s="158"/>
      <c r="R32" s="157" t="e">
        <f>AVERAGE(J32:Q32)</f>
        <v>#DIV/0!</v>
      </c>
      <c r="S32" s="165" t="s">
        <v>201</v>
      </c>
      <c r="T32" s="158"/>
      <c r="U32" s="158"/>
      <c r="V32" s="158"/>
      <c r="W32" s="158"/>
      <c r="X32" s="158"/>
      <c r="Y32" s="158"/>
      <c r="Z32" s="157" t="e">
        <f>AVERAGE(T32:Y32)</f>
        <v>#DIV/0!</v>
      </c>
      <c r="AA32" s="262"/>
      <c r="AB32" s="330" t="s">
        <v>201</v>
      </c>
      <c r="AC32" s="329"/>
      <c r="AD32" s="329"/>
      <c r="AE32" s="329"/>
      <c r="AF32" s="329"/>
      <c r="AG32" s="329"/>
      <c r="AH32" s="329"/>
      <c r="AI32" s="330" t="s">
        <v>201</v>
      </c>
      <c r="AJ32" s="329"/>
      <c r="AK32" s="329"/>
      <c r="AL32" s="329"/>
      <c r="AM32" s="329"/>
      <c r="AN32" s="329"/>
      <c r="AO32" s="329"/>
      <c r="AP32" s="240"/>
      <c r="AQ32" s="243"/>
      <c r="AR32" s="243"/>
      <c r="AS32" s="243"/>
      <c r="AT32" s="243"/>
      <c r="AU32" s="243"/>
      <c r="AV32" s="305"/>
      <c r="AW32" s="307"/>
      <c r="AY32" s="452"/>
      <c r="AZ32" s="452"/>
      <c r="BA32" s="433"/>
    </row>
    <row r="33" spans="1:54" x14ac:dyDescent="0.25">
      <c r="A33" s="441"/>
      <c r="B33" s="457"/>
      <c r="C33" s="445"/>
      <c r="D33" s="445"/>
      <c r="E33" s="445"/>
      <c r="F33" s="445"/>
      <c r="G33" s="449"/>
      <c r="H33" s="449"/>
      <c r="I33" s="267" t="s">
        <v>271</v>
      </c>
      <c r="J33" s="188">
        <f>IF(OR($B30="N/A",J30="",J31="",J32=""),0,J32*J31)</f>
        <v>0</v>
      </c>
      <c r="K33" s="188">
        <f t="shared" ref="K33:P33" si="89">IF(OR($B30="N/A",K30="",K31="",K32=""),0,K32*K31)</f>
        <v>0</v>
      </c>
      <c r="L33" s="188">
        <f t="shared" si="89"/>
        <v>0</v>
      </c>
      <c r="M33" s="188">
        <f t="shared" si="89"/>
        <v>0</v>
      </c>
      <c r="N33" s="188">
        <f t="shared" si="89"/>
        <v>0</v>
      </c>
      <c r="O33" s="188">
        <f t="shared" si="89"/>
        <v>0</v>
      </c>
      <c r="P33" s="188">
        <f t="shared" si="89"/>
        <v>0</v>
      </c>
      <c r="Q33" s="188">
        <f>IF(OR($B30="N/A",Q30="",Q31="",Q32=""),0,Q32*Q31)</f>
        <v>0</v>
      </c>
      <c r="R33" s="188">
        <f>SUM(J33:Q33)</f>
        <v>0</v>
      </c>
      <c r="S33" s="267" t="s">
        <v>271</v>
      </c>
      <c r="T33" s="188">
        <f>IF(OR($B30="N/A",T30="",T31="",T32=""),0,T32*T31)</f>
        <v>0</v>
      </c>
      <c r="U33" s="188">
        <f t="shared" ref="U33:Y33" si="90">IF(OR($B30="N/A",U30="",U31="",U32=""),0,U32*U31)</f>
        <v>0</v>
      </c>
      <c r="V33" s="188">
        <f t="shared" si="90"/>
        <v>0</v>
      </c>
      <c r="W33" s="188">
        <f t="shared" si="90"/>
        <v>0</v>
      </c>
      <c r="X33" s="188">
        <f t="shared" si="90"/>
        <v>0</v>
      </c>
      <c r="Y33" s="188">
        <f t="shared" si="90"/>
        <v>0</v>
      </c>
      <c r="Z33" s="188">
        <f>SUM(T33:Y33)</f>
        <v>0</v>
      </c>
      <c r="AA33" s="263"/>
      <c r="AB33" s="331" t="s">
        <v>152</v>
      </c>
      <c r="AC33" s="188">
        <f>IF(OR($B30="N/A",AC31="",AC32=""),0,AC32*AC31)</f>
        <v>0</v>
      </c>
      <c r="AD33" s="188">
        <f t="shared" ref="AD33" si="91">IF(OR($B30="N/A",AD31="",AD32=""),0,AD32*AD31)</f>
        <v>0</v>
      </c>
      <c r="AE33" s="188">
        <f>IF(OR($B30="N/A",AE31="",AE32=""),0,AE32*AE31)</f>
        <v>0</v>
      </c>
      <c r="AF33" s="188">
        <f t="shared" ref="AF33" si="92">IF(OR($B30="N/A",AF31="",AF32=""),0,AF32*AF31)</f>
        <v>0</v>
      </c>
      <c r="AG33" s="188">
        <f>IF(OR($B30="N/A",AG31="",AG32=""),0,AG32*AG31)</f>
        <v>0</v>
      </c>
      <c r="AH33" s="188">
        <f t="shared" ref="AH33" si="93">IF(OR($B30="N/A",AH31="",AH32=""),0,AH32*AH31)</f>
        <v>0</v>
      </c>
      <c r="AI33" s="331" t="s">
        <v>152</v>
      </c>
      <c r="AJ33" s="188">
        <f>IF(OR($B30="N/A",AJ31="",AJ32=""),0,AJ32*AJ31)</f>
        <v>0</v>
      </c>
      <c r="AK33" s="188">
        <f t="shared" ref="AK33" si="94">IF(OR($B30="N/A",AK31="",AK32=""),0,AK32*AK31)</f>
        <v>0</v>
      </c>
      <c r="AL33" s="188">
        <f>IF(OR($B30="N/A",AL31="",AL32=""),0,AL32*AL31)</f>
        <v>0</v>
      </c>
      <c r="AM33" s="188">
        <f t="shared" ref="AM33" si="95">IF(OR($B30="N/A",AM31="",AM32=""),0,AM32*AM31)</f>
        <v>0</v>
      </c>
      <c r="AN33" s="188">
        <f>IF(OR($B30="N/A",AN31="",AN32=""),0,AN32*AN31)</f>
        <v>0</v>
      </c>
      <c r="AO33" s="188">
        <f t="shared" ref="AO33" si="96">IF(OR($B30="N/A",AO31="",AO32=""),0,AO32*AO31)</f>
        <v>0</v>
      </c>
      <c r="AP33" s="279">
        <f>SUM(AC33:AH33)+SUM(AJ33:AO33)+R33+Z33+AA33</f>
        <v>0</v>
      </c>
      <c r="AQ33" s="258"/>
      <c r="AR33" s="277">
        <f>AP33+AQ33</f>
        <v>0</v>
      </c>
      <c r="AS33" s="237"/>
      <c r="AT33" s="278" t="e">
        <f>IF($B31="N/A","N/A",AR33/A30)</f>
        <v>#DIV/0!</v>
      </c>
      <c r="AU33" s="278" t="e">
        <f>IF($B31="N/A","N/A",AR33/(E30*A30/10000))</f>
        <v>#DIV/0!</v>
      </c>
      <c r="AW33" s="278">
        <f>R31</f>
        <v>0</v>
      </c>
      <c r="AY33" s="244" t="e">
        <f>AP33/AR33</f>
        <v>#DIV/0!</v>
      </c>
      <c r="AZ33" s="244" t="e">
        <f>AQ33/AR33</f>
        <v>#DIV/0!</v>
      </c>
      <c r="BA33" s="245" t="s">
        <v>217</v>
      </c>
      <c r="BB33" s="319">
        <f>AR33</f>
        <v>0</v>
      </c>
    </row>
    <row r="34" spans="1:54" x14ac:dyDescent="0.25">
      <c r="A34" s="441"/>
      <c r="B34" s="457"/>
      <c r="C34" s="445"/>
      <c r="D34" s="445"/>
      <c r="E34" s="445"/>
      <c r="F34" s="445"/>
      <c r="G34" s="449"/>
      <c r="H34" s="449"/>
      <c r="I34" s="284" t="s">
        <v>226</v>
      </c>
      <c r="J34" s="285"/>
      <c r="K34" s="285"/>
      <c r="L34" s="285"/>
      <c r="M34" s="285"/>
      <c r="N34" s="285"/>
      <c r="O34" s="285"/>
      <c r="P34" s="285"/>
      <c r="Q34" s="285"/>
      <c r="R34" s="157" t="e">
        <f>AVERAGE(J34:Q34)</f>
        <v>#DIV/0!</v>
      </c>
      <c r="S34" s="284" t="s">
        <v>226</v>
      </c>
      <c r="T34" s="285"/>
      <c r="U34" s="285"/>
      <c r="V34" s="285"/>
      <c r="W34" s="285"/>
      <c r="X34" s="285"/>
      <c r="Y34" s="285"/>
      <c r="Z34" s="157" t="e">
        <f>AVERAGE(T34:Y34)</f>
        <v>#DIV/0!</v>
      </c>
      <c r="AA34" s="298"/>
      <c r="AB34" s="332" t="s">
        <v>226</v>
      </c>
      <c r="AC34" s="285"/>
      <c r="AD34" s="285"/>
      <c r="AE34" s="285"/>
      <c r="AF34" s="285"/>
      <c r="AG34" s="285"/>
      <c r="AH34" s="285"/>
      <c r="AI34" s="332" t="s">
        <v>226</v>
      </c>
      <c r="AJ34" s="285"/>
      <c r="AK34" s="285"/>
      <c r="AL34" s="285"/>
      <c r="AM34" s="285"/>
      <c r="AN34" s="285"/>
      <c r="AO34" s="285"/>
      <c r="AP34" s="301"/>
      <c r="AQ34" s="301"/>
      <c r="AR34" s="302"/>
      <c r="AS34" s="302"/>
      <c r="AT34" s="302"/>
      <c r="AU34" s="303"/>
      <c r="AW34" s="171"/>
      <c r="AY34" s="453"/>
      <c r="AZ34" s="454"/>
      <c r="BA34" s="427"/>
    </row>
    <row r="35" spans="1:54" x14ac:dyDescent="0.25">
      <c r="A35" s="441"/>
      <c r="B35" s="457"/>
      <c r="C35" s="445"/>
      <c r="D35" s="445"/>
      <c r="E35" s="445"/>
      <c r="F35" s="445"/>
      <c r="G35" s="449"/>
      <c r="H35" s="449"/>
      <c r="I35" s="163"/>
      <c r="J35" s="164"/>
      <c r="K35" s="164"/>
      <c r="L35" s="164"/>
      <c r="M35" s="164"/>
      <c r="N35" s="164"/>
      <c r="O35" s="164"/>
      <c r="P35" s="164"/>
      <c r="Q35" s="164"/>
      <c r="R35" s="164"/>
      <c r="S35" s="163"/>
      <c r="T35" s="164"/>
      <c r="U35" s="164"/>
      <c r="V35" s="164"/>
      <c r="W35" s="164"/>
      <c r="X35" s="164"/>
      <c r="Y35" s="164"/>
      <c r="Z35" s="164"/>
      <c r="AA35" s="350"/>
      <c r="AB35" s="332" t="s">
        <v>322</v>
      </c>
      <c r="AC35" s="351"/>
      <c r="AD35" s="351"/>
      <c r="AE35" s="351"/>
      <c r="AF35" s="351"/>
      <c r="AG35" s="351"/>
      <c r="AH35" s="351"/>
      <c r="AI35" s="332" t="s">
        <v>323</v>
      </c>
      <c r="AJ35" s="285"/>
      <c r="AK35" s="285"/>
      <c r="AL35" s="285"/>
      <c r="AM35" s="285"/>
      <c r="AN35" s="285"/>
      <c r="AO35" s="285"/>
      <c r="AP35" s="352"/>
      <c r="AQ35" s="352"/>
      <c r="AR35" s="353"/>
      <c r="AS35" s="353"/>
      <c r="AT35" s="353"/>
      <c r="AU35" s="354"/>
      <c r="AW35" s="171"/>
      <c r="AY35" s="355"/>
      <c r="AZ35" s="356"/>
      <c r="BA35" s="349"/>
    </row>
    <row r="36" spans="1:54" x14ac:dyDescent="0.25">
      <c r="A36" s="441"/>
      <c r="B36" s="457"/>
      <c r="C36" s="445"/>
      <c r="D36" s="445"/>
      <c r="E36" s="445"/>
      <c r="F36" s="445"/>
      <c r="G36" s="449"/>
      <c r="H36" s="449"/>
      <c r="I36" s="178" t="s">
        <v>237</v>
      </c>
      <c r="J36" s="153">
        <f t="shared" ref="J36:Q36" si="97">IF(AND($G30="",$H30=""),J31,($H30*$G30)/($E30*$A30)*J31)</f>
        <v>0</v>
      </c>
      <c r="K36" s="153">
        <f t="shared" si="97"/>
        <v>0</v>
      </c>
      <c r="L36" s="153">
        <f t="shared" si="97"/>
        <v>0</v>
      </c>
      <c r="M36" s="153">
        <f t="shared" si="97"/>
        <v>0</v>
      </c>
      <c r="N36" s="153">
        <f t="shared" si="97"/>
        <v>0</v>
      </c>
      <c r="O36" s="153">
        <f t="shared" ref="O36:P36" si="98">IF(AND($G30="",$H30=""),O31,($H30*$G30)/($E30*$A30)*O31)</f>
        <v>0</v>
      </c>
      <c r="P36" s="153">
        <f t="shared" si="98"/>
        <v>0</v>
      </c>
      <c r="Q36" s="153">
        <f t="shared" si="97"/>
        <v>0</v>
      </c>
      <c r="R36" s="153" t="e">
        <f>($H30*$G30)/($E30*$A30)*R31</f>
        <v>#DIV/0!</v>
      </c>
      <c r="S36" s="178" t="s">
        <v>237</v>
      </c>
      <c r="T36" s="153">
        <f t="shared" ref="T36:Z36" si="99">IF($G30="",T31,($G30/$A30)*T31)</f>
        <v>0</v>
      </c>
      <c r="U36" s="153">
        <f t="shared" si="99"/>
        <v>0</v>
      </c>
      <c r="V36" s="153">
        <f t="shared" si="99"/>
        <v>0</v>
      </c>
      <c r="W36" s="153">
        <f t="shared" si="99"/>
        <v>0</v>
      </c>
      <c r="X36" s="153">
        <f t="shared" si="99"/>
        <v>0</v>
      </c>
      <c r="Y36" s="153">
        <f t="shared" si="99"/>
        <v>0</v>
      </c>
      <c r="Z36" s="153">
        <f t="shared" si="99"/>
        <v>0</v>
      </c>
      <c r="AA36" s="262"/>
      <c r="AB36" s="333" t="s">
        <v>240</v>
      </c>
      <c r="AC36" s="153">
        <f>IF($G30="",IF(AC35="",AC31,AC30/AC35*AC31),IF(AC31=0,0,$G30/$A30*AC30/AC35*AC31))</f>
        <v>0</v>
      </c>
      <c r="AD36" s="153">
        <f t="shared" ref="AD36" si="100">IF($G30="",IF(AD35="",AD31,AD30/AD35*AD31),IF(AD31=0,0,$G30/$A30*AD30/AD35*AD31))</f>
        <v>0</v>
      </c>
      <c r="AE36" s="153">
        <f t="shared" ref="AE36" si="101">IF($G30="",IF(AE35="",AE31,AE30/AE35*AE31),IF(AE31=0,0,$G30/$A30*AE30/AE35*AE31))</f>
        <v>0</v>
      </c>
      <c r="AF36" s="153">
        <f t="shared" ref="AF36" si="102">IF($G30="",IF(AF35="",AF31,AF30/AF35*AF31),IF(AF31=0,0,$G30/$A30*AF30/AF35*AF31))</f>
        <v>0</v>
      </c>
      <c r="AG36" s="153">
        <f t="shared" ref="AG36" si="103">IF($G30="",IF(AG35="",AG31,AG30/AG35*AG31),IF(AG31=0,0,$G30/$A30*AG30/AG35*AG31))</f>
        <v>0</v>
      </c>
      <c r="AH36" s="153">
        <f t="shared" ref="AH36" si="104">IF($G30="",IF(AH35="",AH31,AH30/AH35*AH31),IF(AH31=0,0,$G30/$A30*AH30/AH35*AH31))</f>
        <v>0</v>
      </c>
      <c r="AI36" s="333" t="s">
        <v>240</v>
      </c>
      <c r="AJ36" s="153">
        <f>IF(AND($G30="",$H30=""),IF(AJ35="",AJ31,AJ30/AJ35*AJ31),IF(AJ31=0,0,($G30*$H30)/($A30*$E30)*(AJ30/AJ35*AJ31)))</f>
        <v>0</v>
      </c>
      <c r="AK36" s="153">
        <f t="shared" ref="AK36" si="105">IF(AND($G30="",$H30=""),IF(AK35="",AK31,AK30/AK35*AK31),IF(AK31=0,0,($G30*$H30)/($A30*$E30)*(AK30/AK35*AK31)))</f>
        <v>0</v>
      </c>
      <c r="AL36" s="153">
        <f t="shared" ref="AL36" si="106">IF(AND($G30="",$H30=""),IF(AL35="",AL31,AL30/AL35*AL31),IF(AL31=0,0,($G30*$H30)/($A30*$E30)*(AL30/AL35*AL31)))</f>
        <v>0</v>
      </c>
      <c r="AM36" s="153">
        <f t="shared" ref="AM36" si="107">IF(AND($G30="",$H30=""),IF(AM35="",AM31,AM30/AM35*AM31),IF(AM31=0,0,($G30*$H30)/($A30*$E30)*(AM30/AM35*AM31)))</f>
        <v>0</v>
      </c>
      <c r="AN36" s="153">
        <f t="shared" ref="AN36" si="108">IF(AND($G30="",$H30=""),IF(AN35="",AN31,AN30/AN35*AN31),IF(AN31=0,0,($G30*$H30)/($A30*$E30)*(AN30/AN35*AN31)))</f>
        <v>0</v>
      </c>
      <c r="AO36" s="153">
        <f t="shared" ref="AO36" si="109">IF(AND($G30="",$H30=""),IF(AO35="",AO31,AO30/AO35*AO31),IF(AO31=0,0,($G30*$H30)/($A30*$E30)*(AO30/AO35*AO31)))</f>
        <v>0</v>
      </c>
      <c r="AP36" s="304"/>
      <c r="AQ36" s="260"/>
      <c r="AR36" s="243"/>
      <c r="AS36" s="243"/>
      <c r="AT36" s="243"/>
      <c r="AU36" s="236"/>
      <c r="AW36" s="307"/>
      <c r="AY36" s="455"/>
      <c r="AZ36" s="456"/>
      <c r="BA36" s="433"/>
    </row>
    <row r="37" spans="1:54" x14ac:dyDescent="0.25">
      <c r="A37" s="441"/>
      <c r="B37" s="457"/>
      <c r="C37" s="445"/>
      <c r="D37" s="445"/>
      <c r="E37" s="445"/>
      <c r="F37" s="445"/>
      <c r="G37" s="449"/>
      <c r="H37" s="449"/>
      <c r="I37" s="178" t="s">
        <v>255</v>
      </c>
      <c r="J37" s="187">
        <f>IF(OR($B30="N/A",J30="",J31="",J32=""),0,J34*J36)</f>
        <v>0</v>
      </c>
      <c r="K37" s="187">
        <f t="shared" ref="K37:Q37" si="110">IF(OR($B30="N/A",K30="",K31="",K32=""),0,K34*K36)</f>
        <v>0</v>
      </c>
      <c r="L37" s="187">
        <f t="shared" si="110"/>
        <v>0</v>
      </c>
      <c r="M37" s="187">
        <f t="shared" si="110"/>
        <v>0</v>
      </c>
      <c r="N37" s="187">
        <f t="shared" si="110"/>
        <v>0</v>
      </c>
      <c r="O37" s="187">
        <f t="shared" ref="O37:P37" si="111">IF(OR($B30="N/A",O30="",O31="",O32=""),0,O34*O36)</f>
        <v>0</v>
      </c>
      <c r="P37" s="187">
        <f t="shared" si="111"/>
        <v>0</v>
      </c>
      <c r="Q37" s="187">
        <f t="shared" si="110"/>
        <v>0</v>
      </c>
      <c r="R37" s="187">
        <f>SUM(J37:Q37)</f>
        <v>0</v>
      </c>
      <c r="S37" s="178" t="s">
        <v>255</v>
      </c>
      <c r="T37" s="187">
        <f>IF(OR($B30="N/A",T30="",T31="",T32=""),0,T34*T36)</f>
        <v>0</v>
      </c>
      <c r="U37" s="187">
        <f t="shared" ref="U37:Y37" si="112">IF(OR($B30="N/A",U30="",U31="",U32=""),0,U34*U36)</f>
        <v>0</v>
      </c>
      <c r="V37" s="187">
        <f t="shared" si="112"/>
        <v>0</v>
      </c>
      <c r="W37" s="187">
        <f t="shared" si="112"/>
        <v>0</v>
      </c>
      <c r="X37" s="187">
        <f t="shared" si="112"/>
        <v>0</v>
      </c>
      <c r="Y37" s="187">
        <f t="shared" si="112"/>
        <v>0</v>
      </c>
      <c r="Z37" s="187">
        <f>SUM(T37:Y37)</f>
        <v>0</v>
      </c>
      <c r="AA37" s="283"/>
      <c r="AB37" s="333" t="s">
        <v>256</v>
      </c>
      <c r="AC37" s="187">
        <f>IF(OR($B30="N/A",AC30="",AC31="",AC32=""),0,AC34*AC36)</f>
        <v>0</v>
      </c>
      <c r="AD37" s="187">
        <f t="shared" ref="AD37" si="113">IF(OR($B30="N/A",AD30="",AD31="",AD32=""),0,AD34*AD36)</f>
        <v>0</v>
      </c>
      <c r="AE37" s="187">
        <f t="shared" ref="AE37" si="114">IF(OR($B30="N/A",AE30="",AE31="",AE32=""),0,AE34*AE36)</f>
        <v>0</v>
      </c>
      <c r="AF37" s="187">
        <f t="shared" ref="AF37" si="115">IF(OR($B30="N/A",AF30="",AF31="",AF32=""),0,AF34*AF36)</f>
        <v>0</v>
      </c>
      <c r="AG37" s="187">
        <f t="shared" ref="AG37" si="116">IF(OR($B30="N/A",AG30="",AG31="",AG32=""),0,AG34*AG36)</f>
        <v>0</v>
      </c>
      <c r="AH37" s="187">
        <f t="shared" ref="AH37" si="117">IF(OR($B30="N/A",AH30="",AH31="",AH32=""),0,AH34*AH36)</f>
        <v>0</v>
      </c>
      <c r="AI37" s="333" t="s">
        <v>256</v>
      </c>
      <c r="AJ37" s="187">
        <f>IF(OR($B30="N/A",AJ30="",AJ31="",AJ32=""),0,AJ34*AJ36)</f>
        <v>0</v>
      </c>
      <c r="AK37" s="187">
        <f t="shared" ref="AK37" si="118">IF(OR($B30="N/A",AK30="",AK31="",AK32=""),0,AK34*AK36)</f>
        <v>0</v>
      </c>
      <c r="AL37" s="187">
        <f t="shared" ref="AL37" si="119">IF(OR($B30="N/A",AL30="",AL31="",AL32=""),0,AL34*AL36)</f>
        <v>0</v>
      </c>
      <c r="AM37" s="187">
        <f t="shared" ref="AM37" si="120">IF(OR($B30="N/A",AM30="",AM31="",AM32=""),0,AM34*AM36)</f>
        <v>0</v>
      </c>
      <c r="AN37" s="187">
        <f t="shared" ref="AN37" si="121">IF(OR($B30="N/A",AN30="",AN31="",AN32=""),0,AN34*AN36)</f>
        <v>0</v>
      </c>
      <c r="AO37" s="187">
        <f t="shared" ref="AO37" si="122">IF(OR($B30="N/A",AO30="",AO31="",AO32=""),0,AO34*AO36)</f>
        <v>0</v>
      </c>
      <c r="AP37" s="280">
        <f>SUM(AC37:AH37)+SUM(AJ37:AO37)+R37+Z37+AA37</f>
        <v>0</v>
      </c>
      <c r="AQ37" s="282"/>
      <c r="AR37" s="280">
        <f t="shared" ref="AR37" si="123">AP37+AQ37</f>
        <v>0</v>
      </c>
      <c r="AS37" s="141"/>
      <c r="AT37" s="281" t="str">
        <f>IF($B30="N/A","N/A",AR37/A30)</f>
        <v>N/A</v>
      </c>
      <c r="AU37" s="281" t="str">
        <f>IF($B30="N/A","N/A",AR37/(H30*A30/10000))</f>
        <v>N/A</v>
      </c>
      <c r="AW37" s="281" t="e">
        <f>R36</f>
        <v>#DIV/0!</v>
      </c>
      <c r="AY37" s="272" t="e">
        <f>AP37/AR37</f>
        <v>#DIV/0!</v>
      </c>
      <c r="AZ37" s="272" t="e">
        <f>AQ37/AR37</f>
        <v>#DIV/0!</v>
      </c>
      <c r="BA37" s="273" t="s">
        <v>227</v>
      </c>
      <c r="BB37" s="320">
        <f>AR37</f>
        <v>0</v>
      </c>
    </row>
    <row r="38" spans="1:54" x14ac:dyDescent="0.25">
      <c r="A38" s="220"/>
      <c r="B38" s="221"/>
      <c r="C38" s="222"/>
      <c r="D38" s="222"/>
      <c r="E38" s="222"/>
      <c r="F38" s="222"/>
      <c r="G38" s="222"/>
      <c r="H38" s="222"/>
      <c r="I38" s="163"/>
      <c r="J38" s="164"/>
      <c r="K38" s="164"/>
      <c r="L38" s="164"/>
      <c r="M38" s="164"/>
      <c r="N38" s="164"/>
      <c r="O38" s="164"/>
      <c r="P38" s="164"/>
      <c r="Q38" s="164"/>
      <c r="R38" s="164"/>
      <c r="S38" s="163"/>
      <c r="T38" s="164"/>
      <c r="U38" s="164"/>
      <c r="V38" s="164"/>
      <c r="W38" s="164"/>
      <c r="X38" s="164"/>
      <c r="Y38" s="164"/>
      <c r="Z38" s="164"/>
      <c r="AA38" s="264"/>
      <c r="AB38" s="163"/>
      <c r="AC38" s="164"/>
      <c r="AD38" s="164"/>
      <c r="AE38" s="164"/>
      <c r="AF38" s="164"/>
      <c r="AG38" s="164"/>
      <c r="AH38" s="164"/>
      <c r="AI38" s="308"/>
      <c r="AJ38" s="164"/>
      <c r="AK38" s="164"/>
      <c r="AL38" s="164"/>
      <c r="AM38" s="164"/>
      <c r="AN38" s="164"/>
      <c r="AO38" s="164"/>
      <c r="AP38" s="166"/>
      <c r="AQ38" s="259"/>
      <c r="AR38" s="166"/>
      <c r="AS38" s="166"/>
      <c r="AT38" s="167"/>
      <c r="AU38" s="167"/>
      <c r="AV38" s="168"/>
      <c r="AW38" s="167"/>
      <c r="AX38" s="168"/>
      <c r="AY38" s="169"/>
      <c r="AZ38" s="170"/>
      <c r="BA38" s="163"/>
    </row>
    <row r="39" spans="1:54" x14ac:dyDescent="0.25">
      <c r="A39" s="440">
        <f>'Fleet Inventory'!A10</f>
        <v>0</v>
      </c>
      <c r="B39" s="442" t="str">
        <f>IF('Fleet Inventory'!B10="","N/A",'Fleet Inventory'!B10)</f>
        <v>N/A</v>
      </c>
      <c r="C39" s="444">
        <f>'Fleet Inventory'!C10</f>
        <v>0</v>
      </c>
      <c r="D39" s="444">
        <f>'Fleet Inventory'!D10</f>
        <v>0</v>
      </c>
      <c r="E39" s="446">
        <f>'Fleet Inventory'!E10</f>
        <v>0</v>
      </c>
      <c r="F39" s="447">
        <f>'Fleet Inventory'!F10</f>
        <v>0</v>
      </c>
      <c r="G39" s="448"/>
      <c r="H39" s="448"/>
      <c r="I39" s="165" t="s">
        <v>238</v>
      </c>
      <c r="J39" s="177"/>
      <c r="K39" s="177"/>
      <c r="L39" s="177"/>
      <c r="M39" s="177"/>
      <c r="N39" s="177"/>
      <c r="O39" s="177"/>
      <c r="P39" s="177"/>
      <c r="Q39" s="177"/>
      <c r="R39" s="161" t="s">
        <v>100</v>
      </c>
      <c r="S39" s="165" t="s">
        <v>238</v>
      </c>
      <c r="T39" s="177"/>
      <c r="U39" s="177"/>
      <c r="V39" s="177"/>
      <c r="W39" s="177"/>
      <c r="X39" s="177"/>
      <c r="Y39" s="177"/>
      <c r="Z39" s="161" t="s">
        <v>100</v>
      </c>
      <c r="AA39" s="147"/>
      <c r="AB39" s="330" t="s">
        <v>276</v>
      </c>
      <c r="AC39" s="318"/>
      <c r="AD39" s="327"/>
      <c r="AE39" s="328"/>
      <c r="AF39" s="328"/>
      <c r="AG39" s="328"/>
      <c r="AH39" s="328"/>
      <c r="AI39" s="330" t="s">
        <v>275</v>
      </c>
      <c r="AJ39" s="318"/>
      <c r="AK39" s="327"/>
      <c r="AL39" s="328"/>
      <c r="AM39" s="328"/>
      <c r="AN39" s="328"/>
      <c r="AO39" s="328"/>
      <c r="AP39" s="238"/>
      <c r="AQ39" s="241"/>
      <c r="AR39" s="241"/>
      <c r="AS39" s="241"/>
      <c r="AT39" s="241"/>
      <c r="AU39" s="241"/>
      <c r="AV39" s="305"/>
      <c r="AW39" s="306"/>
      <c r="AY39" s="450"/>
      <c r="AZ39" s="450"/>
      <c r="BA39" s="427"/>
    </row>
    <row r="40" spans="1:54" x14ac:dyDescent="0.25">
      <c r="A40" s="440"/>
      <c r="B40" s="442"/>
      <c r="C40" s="444"/>
      <c r="D40" s="444"/>
      <c r="E40" s="444"/>
      <c r="F40" s="444"/>
      <c r="G40" s="448"/>
      <c r="H40" s="448"/>
      <c r="I40" s="165" t="s">
        <v>277</v>
      </c>
      <c r="J40" s="158"/>
      <c r="K40" s="158"/>
      <c r="L40" s="158"/>
      <c r="M40" s="158"/>
      <c r="N40" s="158"/>
      <c r="O40" s="158"/>
      <c r="P40" s="158"/>
      <c r="Q40" s="158"/>
      <c r="R40" s="297">
        <f>SUM(J40:Q40)</f>
        <v>0</v>
      </c>
      <c r="S40" s="165" t="s">
        <v>277</v>
      </c>
      <c r="T40" s="158"/>
      <c r="U40" s="158"/>
      <c r="V40" s="158"/>
      <c r="W40" s="158"/>
      <c r="X40" s="158"/>
      <c r="Y40" s="158"/>
      <c r="Z40" s="297">
        <f>SUM(T40:Y40)</f>
        <v>0</v>
      </c>
      <c r="AA40" s="261"/>
      <c r="AB40" s="330" t="s">
        <v>272</v>
      </c>
      <c r="AC40" s="329"/>
      <c r="AD40" s="329"/>
      <c r="AE40" s="329"/>
      <c r="AF40" s="329"/>
      <c r="AG40" s="329"/>
      <c r="AH40" s="329"/>
      <c r="AI40" s="330" t="s">
        <v>200</v>
      </c>
      <c r="AJ40" s="329"/>
      <c r="AK40" s="329"/>
      <c r="AL40" s="329"/>
      <c r="AM40" s="329"/>
      <c r="AN40" s="329"/>
      <c r="AO40" s="329"/>
      <c r="AP40" s="239"/>
      <c r="AQ40" s="242"/>
      <c r="AR40" s="242"/>
      <c r="AS40" s="242"/>
      <c r="AT40" s="242"/>
      <c r="AU40" s="242"/>
      <c r="AV40" s="305"/>
      <c r="AW40" s="171"/>
      <c r="AY40" s="451"/>
      <c r="AZ40" s="451"/>
      <c r="BA40" s="430"/>
    </row>
    <row r="41" spans="1:54" x14ac:dyDescent="0.25">
      <c r="A41" s="440"/>
      <c r="B41" s="442"/>
      <c r="C41" s="444"/>
      <c r="D41" s="444"/>
      <c r="E41" s="444"/>
      <c r="F41" s="444"/>
      <c r="G41" s="448"/>
      <c r="H41" s="448"/>
      <c r="I41" s="165" t="s">
        <v>201</v>
      </c>
      <c r="J41" s="158"/>
      <c r="K41" s="158"/>
      <c r="L41" s="158"/>
      <c r="M41" s="158"/>
      <c r="N41" s="158"/>
      <c r="O41" s="158"/>
      <c r="P41" s="158"/>
      <c r="Q41" s="158"/>
      <c r="R41" s="157" t="e">
        <f>AVERAGE(J41:Q41)</f>
        <v>#DIV/0!</v>
      </c>
      <c r="S41" s="165" t="s">
        <v>201</v>
      </c>
      <c r="T41" s="158"/>
      <c r="U41" s="158"/>
      <c r="V41" s="158"/>
      <c r="W41" s="158"/>
      <c r="X41" s="158"/>
      <c r="Y41" s="158"/>
      <c r="Z41" s="157" t="e">
        <f>AVERAGE(T41:Y41)</f>
        <v>#DIV/0!</v>
      </c>
      <c r="AA41" s="262"/>
      <c r="AB41" s="330" t="s">
        <v>201</v>
      </c>
      <c r="AC41" s="329"/>
      <c r="AD41" s="329"/>
      <c r="AE41" s="329"/>
      <c r="AF41" s="329"/>
      <c r="AG41" s="329"/>
      <c r="AH41" s="329"/>
      <c r="AI41" s="330" t="s">
        <v>201</v>
      </c>
      <c r="AJ41" s="329"/>
      <c r="AK41" s="329"/>
      <c r="AL41" s="329"/>
      <c r="AM41" s="329"/>
      <c r="AN41" s="329"/>
      <c r="AO41" s="329"/>
      <c r="AP41" s="240"/>
      <c r="AQ41" s="243"/>
      <c r="AR41" s="243"/>
      <c r="AS41" s="243"/>
      <c r="AT41" s="243"/>
      <c r="AU41" s="243"/>
      <c r="AV41" s="305"/>
      <c r="AW41" s="307"/>
      <c r="AY41" s="452"/>
      <c r="AZ41" s="452"/>
      <c r="BA41" s="433"/>
    </row>
    <row r="42" spans="1:54" x14ac:dyDescent="0.25">
      <c r="A42" s="441"/>
      <c r="B42" s="443"/>
      <c r="C42" s="445"/>
      <c r="D42" s="445"/>
      <c r="E42" s="445"/>
      <c r="F42" s="445"/>
      <c r="G42" s="449"/>
      <c r="H42" s="449"/>
      <c r="I42" s="267" t="s">
        <v>271</v>
      </c>
      <c r="J42" s="188">
        <f>IF(OR($B39="N/A",J39="",J40="",J41=""),0,J41*J40)</f>
        <v>0</v>
      </c>
      <c r="K42" s="188">
        <f t="shared" ref="K42:P42" si="124">IF(OR($B39="N/A",K39="",K40="",K41=""),0,K41*K40)</f>
        <v>0</v>
      </c>
      <c r="L42" s="188">
        <f t="shared" si="124"/>
        <v>0</v>
      </c>
      <c r="M42" s="188">
        <f t="shared" si="124"/>
        <v>0</v>
      </c>
      <c r="N42" s="188">
        <f t="shared" si="124"/>
        <v>0</v>
      </c>
      <c r="O42" s="188">
        <f t="shared" si="124"/>
        <v>0</v>
      </c>
      <c r="P42" s="188">
        <f t="shared" si="124"/>
        <v>0</v>
      </c>
      <c r="Q42" s="188">
        <f>IF(OR($B39="N/A",Q39="",Q40="",Q41=""),0,Q41*Q40)</f>
        <v>0</v>
      </c>
      <c r="R42" s="188">
        <f>SUM(J42:Q42)</f>
        <v>0</v>
      </c>
      <c r="S42" s="267" t="s">
        <v>271</v>
      </c>
      <c r="T42" s="188">
        <f>IF(OR($B39="N/A",T39="",T40="",T41=""),0,T41*T40)</f>
        <v>0</v>
      </c>
      <c r="U42" s="188">
        <f t="shared" ref="U42:Y42" si="125">IF(OR($B39="N/A",U39="",U40="",U41=""),0,U41*U40)</f>
        <v>0</v>
      </c>
      <c r="V42" s="188">
        <f t="shared" si="125"/>
        <v>0</v>
      </c>
      <c r="W42" s="188">
        <f t="shared" si="125"/>
        <v>0</v>
      </c>
      <c r="X42" s="188">
        <f t="shared" si="125"/>
        <v>0</v>
      </c>
      <c r="Y42" s="188">
        <f t="shared" si="125"/>
        <v>0</v>
      </c>
      <c r="Z42" s="188">
        <f>SUM(T42:Y42)</f>
        <v>0</v>
      </c>
      <c r="AA42" s="263"/>
      <c r="AB42" s="331" t="s">
        <v>152</v>
      </c>
      <c r="AC42" s="188">
        <f>IF(OR($B39="N/A",AC40="",AC41=""),0,AC41*AC40)</f>
        <v>0</v>
      </c>
      <c r="AD42" s="188">
        <f t="shared" ref="AD42" si="126">IF(OR($B39="N/A",AD40="",AD41=""),0,AD41*AD40)</f>
        <v>0</v>
      </c>
      <c r="AE42" s="188">
        <f>IF(OR($B39="N/A",AE40="",AE41=""),0,AE41*AE40)</f>
        <v>0</v>
      </c>
      <c r="AF42" s="188">
        <f t="shared" ref="AF42" si="127">IF(OR($B39="N/A",AF40="",AF41=""),0,AF41*AF40)</f>
        <v>0</v>
      </c>
      <c r="AG42" s="188">
        <f>IF(OR($B39="N/A",AG40="",AG41=""),0,AG41*AG40)</f>
        <v>0</v>
      </c>
      <c r="AH42" s="188">
        <f t="shared" ref="AH42" si="128">IF(OR($B39="N/A",AH40="",AH41=""),0,AH41*AH40)</f>
        <v>0</v>
      </c>
      <c r="AI42" s="331" t="s">
        <v>152</v>
      </c>
      <c r="AJ42" s="188">
        <f>IF(OR($B39="N/A",AJ40="",AJ41=""),0,AJ41*AJ40)</f>
        <v>0</v>
      </c>
      <c r="AK42" s="188">
        <f t="shared" ref="AK42" si="129">IF(OR($B39="N/A",AK40="",AK41=""),0,AK41*AK40)</f>
        <v>0</v>
      </c>
      <c r="AL42" s="188">
        <f>IF(OR($B39="N/A",AL40="",AL41=""),0,AL41*AL40)</f>
        <v>0</v>
      </c>
      <c r="AM42" s="188">
        <f t="shared" ref="AM42" si="130">IF(OR($B39="N/A",AM40="",AM41=""),0,AM41*AM40)</f>
        <v>0</v>
      </c>
      <c r="AN42" s="188">
        <f>IF(OR($B39="N/A",AN40="",AN41=""),0,AN41*AN40)</f>
        <v>0</v>
      </c>
      <c r="AO42" s="188">
        <f t="shared" ref="AO42" si="131">IF(OR($B39="N/A",AO40="",AO41=""),0,AO41*AO40)</f>
        <v>0</v>
      </c>
      <c r="AP42" s="279">
        <f>SUM(AC42:AH42)+SUM(AJ42:AO42)+R42+Z42+AA42</f>
        <v>0</v>
      </c>
      <c r="AQ42" s="258"/>
      <c r="AR42" s="277">
        <f>AP42+AQ42</f>
        <v>0</v>
      </c>
      <c r="AS42" s="237"/>
      <c r="AT42" s="278" t="e">
        <f>IF($B40="N/A","N/A",AR42/A39)</f>
        <v>#DIV/0!</v>
      </c>
      <c r="AU42" s="278" t="e">
        <f>IF($B40="N/A","N/A",AR42/(E39*A39/10000))</f>
        <v>#DIV/0!</v>
      </c>
      <c r="AW42" s="278">
        <f>R40</f>
        <v>0</v>
      </c>
      <c r="AY42" s="244" t="e">
        <f>AP42/AR42</f>
        <v>#DIV/0!</v>
      </c>
      <c r="AZ42" s="244" t="e">
        <f>AQ42/AR42</f>
        <v>#DIV/0!</v>
      </c>
      <c r="BA42" s="245" t="s">
        <v>217</v>
      </c>
      <c r="BB42" s="319">
        <f>AR42</f>
        <v>0</v>
      </c>
    </row>
    <row r="43" spans="1:54" x14ac:dyDescent="0.25">
      <c r="A43" s="441"/>
      <c r="B43" s="443"/>
      <c r="C43" s="445"/>
      <c r="D43" s="445"/>
      <c r="E43" s="445"/>
      <c r="F43" s="445"/>
      <c r="G43" s="449"/>
      <c r="H43" s="449"/>
      <c r="I43" s="284" t="s">
        <v>226</v>
      </c>
      <c r="J43" s="285"/>
      <c r="K43" s="285"/>
      <c r="L43" s="285"/>
      <c r="M43" s="285"/>
      <c r="N43" s="285"/>
      <c r="O43" s="285"/>
      <c r="P43" s="285"/>
      <c r="Q43" s="285"/>
      <c r="R43" s="157" t="e">
        <f>AVERAGE(J43:Q43)</f>
        <v>#DIV/0!</v>
      </c>
      <c r="S43" s="284" t="s">
        <v>226</v>
      </c>
      <c r="T43" s="285"/>
      <c r="U43" s="285"/>
      <c r="V43" s="285"/>
      <c r="W43" s="285"/>
      <c r="X43" s="285"/>
      <c r="Y43" s="285"/>
      <c r="Z43" s="157" t="e">
        <f>AVERAGE(T43:Y43)</f>
        <v>#DIV/0!</v>
      </c>
      <c r="AA43" s="298"/>
      <c r="AB43" s="332" t="s">
        <v>226</v>
      </c>
      <c r="AC43" s="285"/>
      <c r="AD43" s="285"/>
      <c r="AE43" s="285"/>
      <c r="AF43" s="285"/>
      <c r="AG43" s="285"/>
      <c r="AH43" s="285"/>
      <c r="AI43" s="332" t="s">
        <v>226</v>
      </c>
      <c r="AJ43" s="285"/>
      <c r="AK43" s="285"/>
      <c r="AL43" s="285"/>
      <c r="AM43" s="285"/>
      <c r="AN43" s="285"/>
      <c r="AO43" s="285"/>
      <c r="AP43" s="301"/>
      <c r="AQ43" s="301"/>
      <c r="AR43" s="302"/>
      <c r="AS43" s="302"/>
      <c r="AT43" s="302"/>
      <c r="AU43" s="303"/>
      <c r="AW43" s="171"/>
      <c r="AY43" s="453"/>
      <c r="AZ43" s="454"/>
      <c r="BA43" s="427"/>
    </row>
    <row r="44" spans="1:54" x14ac:dyDescent="0.25">
      <c r="A44" s="441"/>
      <c r="B44" s="443"/>
      <c r="C44" s="445"/>
      <c r="D44" s="445"/>
      <c r="E44" s="445"/>
      <c r="F44" s="445"/>
      <c r="G44" s="449"/>
      <c r="H44" s="449"/>
      <c r="I44" s="163"/>
      <c r="J44" s="164"/>
      <c r="K44" s="164"/>
      <c r="L44" s="164"/>
      <c r="M44" s="164"/>
      <c r="N44" s="164"/>
      <c r="O44" s="164"/>
      <c r="P44" s="164"/>
      <c r="Q44" s="164"/>
      <c r="R44" s="164"/>
      <c r="S44" s="163"/>
      <c r="T44" s="164"/>
      <c r="U44" s="164"/>
      <c r="V44" s="164"/>
      <c r="W44" s="164"/>
      <c r="X44" s="164"/>
      <c r="Y44" s="164"/>
      <c r="Z44" s="164"/>
      <c r="AA44" s="350"/>
      <c r="AB44" s="332" t="s">
        <v>322</v>
      </c>
      <c r="AC44" s="351"/>
      <c r="AD44" s="351"/>
      <c r="AE44" s="351"/>
      <c r="AF44" s="351"/>
      <c r="AG44" s="351"/>
      <c r="AH44" s="351"/>
      <c r="AI44" s="332" t="s">
        <v>323</v>
      </c>
      <c r="AJ44" s="285"/>
      <c r="AK44" s="285"/>
      <c r="AL44" s="285"/>
      <c r="AM44" s="285"/>
      <c r="AN44" s="285"/>
      <c r="AO44" s="285"/>
      <c r="AP44" s="352"/>
      <c r="AQ44" s="352"/>
      <c r="AR44" s="353"/>
      <c r="AS44" s="353"/>
      <c r="AT44" s="353"/>
      <c r="AU44" s="354"/>
      <c r="AW44" s="171"/>
      <c r="AY44" s="355"/>
      <c r="AZ44" s="356"/>
      <c r="BA44" s="349"/>
    </row>
    <row r="45" spans="1:54" x14ac:dyDescent="0.25">
      <c r="A45" s="441"/>
      <c r="B45" s="443"/>
      <c r="C45" s="445"/>
      <c r="D45" s="445"/>
      <c r="E45" s="445"/>
      <c r="F45" s="445"/>
      <c r="G45" s="449"/>
      <c r="H45" s="449"/>
      <c r="I45" s="178" t="s">
        <v>237</v>
      </c>
      <c r="J45" s="153">
        <f t="shared" ref="J45:Q45" si="132">IF(AND($G39="",$H39=""),J40,($H39*$G39)/($E39*$A39)*J40)</f>
        <v>0</v>
      </c>
      <c r="K45" s="153">
        <f t="shared" si="132"/>
        <v>0</v>
      </c>
      <c r="L45" s="153">
        <f t="shared" si="132"/>
        <v>0</v>
      </c>
      <c r="M45" s="153">
        <f t="shared" si="132"/>
        <v>0</v>
      </c>
      <c r="N45" s="153">
        <f t="shared" si="132"/>
        <v>0</v>
      </c>
      <c r="O45" s="153">
        <f t="shared" ref="O45:P45" si="133">IF(AND($G39="",$H39=""),O40,($H39*$G39)/($E39*$A39)*O40)</f>
        <v>0</v>
      </c>
      <c r="P45" s="153">
        <f t="shared" si="133"/>
        <v>0</v>
      </c>
      <c r="Q45" s="153">
        <f t="shared" si="132"/>
        <v>0</v>
      </c>
      <c r="R45" s="153" t="e">
        <f>($H39*$G39)/($E39*$A39)*R40</f>
        <v>#DIV/0!</v>
      </c>
      <c r="S45" s="178" t="s">
        <v>237</v>
      </c>
      <c r="T45" s="153">
        <f t="shared" ref="T45:Z45" si="134">IF($G39="",T40,($G39/$A39)*T40)</f>
        <v>0</v>
      </c>
      <c r="U45" s="153">
        <f t="shared" si="134"/>
        <v>0</v>
      </c>
      <c r="V45" s="153">
        <f t="shared" si="134"/>
        <v>0</v>
      </c>
      <c r="W45" s="153">
        <f t="shared" si="134"/>
        <v>0</v>
      </c>
      <c r="X45" s="153">
        <f t="shared" si="134"/>
        <v>0</v>
      </c>
      <c r="Y45" s="153">
        <f t="shared" si="134"/>
        <v>0</v>
      </c>
      <c r="Z45" s="153">
        <f t="shared" si="134"/>
        <v>0</v>
      </c>
      <c r="AA45" s="262"/>
      <c r="AB45" s="333" t="s">
        <v>240</v>
      </c>
      <c r="AC45" s="153">
        <f>IF($G39="",IF(AC44="",AC40,AC39/AC44*AC40),IF(AC40=0,0,$G39/$A39*AC39/AC44*AC40))</f>
        <v>0</v>
      </c>
      <c r="AD45" s="153">
        <f t="shared" ref="AD45" si="135">IF($G39="",IF(AD44="",AD40,AD39/AD44*AD40),IF(AD40=0,0,$G39/$A39*AD39/AD44*AD40))</f>
        <v>0</v>
      </c>
      <c r="AE45" s="153">
        <f t="shared" ref="AE45" si="136">IF($G39="",IF(AE44="",AE40,AE39/AE44*AE40),IF(AE40=0,0,$G39/$A39*AE39/AE44*AE40))</f>
        <v>0</v>
      </c>
      <c r="AF45" s="153">
        <f t="shared" ref="AF45" si="137">IF($G39="",IF(AF44="",AF40,AF39/AF44*AF40),IF(AF40=0,0,$G39/$A39*AF39/AF44*AF40))</f>
        <v>0</v>
      </c>
      <c r="AG45" s="153">
        <f t="shared" ref="AG45" si="138">IF($G39="",IF(AG44="",AG40,AG39/AG44*AG40),IF(AG40=0,0,$G39/$A39*AG39/AG44*AG40))</f>
        <v>0</v>
      </c>
      <c r="AH45" s="153">
        <f t="shared" ref="AH45" si="139">IF($G39="",IF(AH44="",AH40,AH39/AH44*AH40),IF(AH40=0,0,$G39/$A39*AH39/AH44*AH40))</f>
        <v>0</v>
      </c>
      <c r="AI45" s="333" t="s">
        <v>240</v>
      </c>
      <c r="AJ45" s="153">
        <f>IF(AND($G39="",$H39=""),IF(AJ44="",AJ40,AJ39/AJ44*AJ40),IF(AJ40=0,0,($G39*$H39)/($A39*$E39)*(AJ39/AJ44*AJ40)))</f>
        <v>0</v>
      </c>
      <c r="AK45" s="153">
        <f t="shared" ref="AK45" si="140">IF(AND($G39="",$H39=""),IF(AK44="",AK40,AK39/AK44*AK40),IF(AK40=0,0,($G39*$H39)/($A39*$E39)*(AK39/AK44*AK40)))</f>
        <v>0</v>
      </c>
      <c r="AL45" s="153">
        <f t="shared" ref="AL45" si="141">IF(AND($G39="",$H39=""),IF(AL44="",AL40,AL39/AL44*AL40),IF(AL40=0,0,($G39*$H39)/($A39*$E39)*(AL39/AL44*AL40)))</f>
        <v>0</v>
      </c>
      <c r="AM45" s="153">
        <f t="shared" ref="AM45" si="142">IF(AND($G39="",$H39=""),IF(AM44="",AM40,AM39/AM44*AM40),IF(AM40=0,0,($G39*$H39)/($A39*$E39)*(AM39/AM44*AM40)))</f>
        <v>0</v>
      </c>
      <c r="AN45" s="153">
        <f t="shared" ref="AN45" si="143">IF(AND($G39="",$H39=""),IF(AN44="",AN40,AN39/AN44*AN40),IF(AN40=0,0,($G39*$H39)/($A39*$E39)*(AN39/AN44*AN40)))</f>
        <v>0</v>
      </c>
      <c r="AO45" s="153">
        <f t="shared" ref="AO45" si="144">IF(AND($G39="",$H39=""),IF(AO44="",AO40,AO39/AO44*AO40),IF(AO40=0,0,($G39*$H39)/($A39*$E39)*(AO39/AO44*AO40)))</f>
        <v>0</v>
      </c>
      <c r="AP45" s="304"/>
      <c r="AQ45" s="260"/>
      <c r="AR45" s="243"/>
      <c r="AS45" s="243"/>
      <c r="AT45" s="243"/>
      <c r="AU45" s="236"/>
      <c r="AW45" s="307"/>
      <c r="AY45" s="455"/>
      <c r="AZ45" s="456"/>
      <c r="BA45" s="433"/>
    </row>
    <row r="46" spans="1:54" x14ac:dyDescent="0.25">
      <c r="A46" s="441"/>
      <c r="B46" s="443"/>
      <c r="C46" s="445"/>
      <c r="D46" s="445"/>
      <c r="E46" s="445"/>
      <c r="F46" s="445"/>
      <c r="G46" s="449"/>
      <c r="H46" s="449"/>
      <c r="I46" s="178" t="s">
        <v>255</v>
      </c>
      <c r="J46" s="187">
        <f>IF(OR($B39="N/A",J39="",J40="",J41=""),0,J43*J45)</f>
        <v>0</v>
      </c>
      <c r="K46" s="187">
        <f t="shared" ref="K46:Q46" si="145">IF(OR($B39="N/A",K39="",K40="",K41=""),0,K43*K45)</f>
        <v>0</v>
      </c>
      <c r="L46" s="187">
        <f t="shared" si="145"/>
        <v>0</v>
      </c>
      <c r="M46" s="187">
        <f t="shared" si="145"/>
        <v>0</v>
      </c>
      <c r="N46" s="187">
        <f t="shared" si="145"/>
        <v>0</v>
      </c>
      <c r="O46" s="187">
        <f t="shared" ref="O46:P46" si="146">IF(OR($B39="N/A",O39="",O40="",O41=""),0,O43*O45)</f>
        <v>0</v>
      </c>
      <c r="P46" s="187">
        <f t="shared" si="146"/>
        <v>0</v>
      </c>
      <c r="Q46" s="187">
        <f t="shared" si="145"/>
        <v>0</v>
      </c>
      <c r="R46" s="187">
        <f>SUM(J46:Q46)</f>
        <v>0</v>
      </c>
      <c r="S46" s="178" t="s">
        <v>255</v>
      </c>
      <c r="T46" s="187">
        <f>IF(OR($B39="N/A",T39="",T40="",T41=""),0,T43*T45)</f>
        <v>0</v>
      </c>
      <c r="U46" s="187">
        <f t="shared" ref="U46:Y46" si="147">IF(OR($B39="N/A",U39="",U40="",U41=""),0,U43*U45)</f>
        <v>0</v>
      </c>
      <c r="V46" s="187">
        <f t="shared" si="147"/>
        <v>0</v>
      </c>
      <c r="W46" s="187">
        <f t="shared" si="147"/>
        <v>0</v>
      </c>
      <c r="X46" s="187">
        <f t="shared" si="147"/>
        <v>0</v>
      </c>
      <c r="Y46" s="187">
        <f t="shared" si="147"/>
        <v>0</v>
      </c>
      <c r="Z46" s="187">
        <f>SUM(T46:Y46)</f>
        <v>0</v>
      </c>
      <c r="AA46" s="283"/>
      <c r="AB46" s="333" t="s">
        <v>256</v>
      </c>
      <c r="AC46" s="187">
        <f>IF(OR($B39="N/A",AC39="",AC40="",AC41=""),0,AC43*AC45)</f>
        <v>0</v>
      </c>
      <c r="AD46" s="187">
        <f t="shared" ref="AD46" si="148">IF(OR($B39="N/A",AD39="",AD40="",AD41=""),0,AD43*AD45)</f>
        <v>0</v>
      </c>
      <c r="AE46" s="187">
        <f t="shared" ref="AE46" si="149">IF(OR($B39="N/A",AE39="",AE40="",AE41=""),0,AE43*AE45)</f>
        <v>0</v>
      </c>
      <c r="AF46" s="187">
        <f t="shared" ref="AF46" si="150">IF(OR($B39="N/A",AF39="",AF40="",AF41=""),0,AF43*AF45)</f>
        <v>0</v>
      </c>
      <c r="AG46" s="187">
        <f t="shared" ref="AG46" si="151">IF(OR($B39="N/A",AG39="",AG40="",AG41=""),0,AG43*AG45)</f>
        <v>0</v>
      </c>
      <c r="AH46" s="187">
        <f t="shared" ref="AH46" si="152">IF(OR($B39="N/A",AH39="",AH40="",AH41=""),0,AH43*AH45)</f>
        <v>0</v>
      </c>
      <c r="AI46" s="333" t="s">
        <v>256</v>
      </c>
      <c r="AJ46" s="187">
        <f>IF(OR($B39="N/A",AJ39="",AJ40="",AJ41=""),0,AJ43*AJ45)</f>
        <v>0</v>
      </c>
      <c r="AK46" s="187">
        <f t="shared" ref="AK46" si="153">IF(OR($B39="N/A",AK39="",AK40="",AK41=""),0,AK43*AK45)</f>
        <v>0</v>
      </c>
      <c r="AL46" s="187">
        <f t="shared" ref="AL46" si="154">IF(OR($B39="N/A",AL39="",AL40="",AL41=""),0,AL43*AL45)</f>
        <v>0</v>
      </c>
      <c r="AM46" s="187">
        <f t="shared" ref="AM46" si="155">IF(OR($B39="N/A",AM39="",AM40="",AM41=""),0,AM43*AM45)</f>
        <v>0</v>
      </c>
      <c r="AN46" s="187">
        <f t="shared" ref="AN46" si="156">IF(OR($B39="N/A",AN39="",AN40="",AN41=""),0,AN43*AN45)</f>
        <v>0</v>
      </c>
      <c r="AO46" s="187">
        <f t="shared" ref="AO46" si="157">IF(OR($B39="N/A",AO39="",AO40="",AO41=""),0,AO43*AO45)</f>
        <v>0</v>
      </c>
      <c r="AP46" s="280">
        <f>SUM(AC46:AH46)+SUM(AJ46:AO46)+R46+Z46+AA46</f>
        <v>0</v>
      </c>
      <c r="AQ46" s="282"/>
      <c r="AR46" s="280">
        <f t="shared" ref="AR46" si="158">AP46+AQ46</f>
        <v>0</v>
      </c>
      <c r="AS46" s="141"/>
      <c r="AT46" s="281" t="str">
        <f>IF($B39="N/A","N/A",AR46/A39)</f>
        <v>N/A</v>
      </c>
      <c r="AU46" s="281" t="str">
        <f>IF($B39="N/A","N/A",AR46/(H39*A39/10000))</f>
        <v>N/A</v>
      </c>
      <c r="AW46" s="281" t="e">
        <f>R45</f>
        <v>#DIV/0!</v>
      </c>
      <c r="AY46" s="272" t="e">
        <f>AP46/AR46</f>
        <v>#DIV/0!</v>
      </c>
      <c r="AZ46" s="272" t="e">
        <f>AQ46/AR46</f>
        <v>#DIV/0!</v>
      </c>
      <c r="BA46" s="273" t="s">
        <v>227</v>
      </c>
      <c r="BB46" s="320">
        <f>AR46</f>
        <v>0</v>
      </c>
    </row>
    <row r="47" spans="1:54" x14ac:dyDescent="0.25">
      <c r="A47" s="220"/>
      <c r="B47" s="221"/>
      <c r="C47" s="222"/>
      <c r="D47" s="222"/>
      <c r="E47" s="222"/>
      <c r="F47" s="222"/>
      <c r="G47" s="222"/>
      <c r="H47" s="222"/>
      <c r="I47" s="163"/>
      <c r="J47" s="164"/>
      <c r="K47" s="164"/>
      <c r="L47" s="164"/>
      <c r="M47" s="164"/>
      <c r="N47" s="164"/>
      <c r="O47" s="164"/>
      <c r="P47" s="164"/>
      <c r="Q47" s="164"/>
      <c r="R47" s="164"/>
      <c r="S47" s="163"/>
      <c r="T47" s="164"/>
      <c r="U47" s="164"/>
      <c r="V47" s="164"/>
      <c r="W47" s="164"/>
      <c r="X47" s="164"/>
      <c r="Y47" s="164"/>
      <c r="Z47" s="164"/>
      <c r="AA47" s="264"/>
      <c r="AB47" s="163"/>
      <c r="AC47" s="164"/>
      <c r="AD47" s="164"/>
      <c r="AE47" s="164"/>
      <c r="AF47" s="164"/>
      <c r="AG47" s="164"/>
      <c r="AH47" s="164"/>
      <c r="AI47" s="308"/>
      <c r="AJ47" s="164"/>
      <c r="AK47" s="164"/>
      <c r="AL47" s="164"/>
      <c r="AM47" s="164"/>
      <c r="AN47" s="164"/>
      <c r="AO47" s="164"/>
      <c r="AP47" s="166"/>
      <c r="AQ47" s="259"/>
      <c r="AR47" s="166"/>
      <c r="AS47" s="166"/>
      <c r="AT47" s="167"/>
      <c r="AU47" s="167"/>
      <c r="AV47" s="168"/>
      <c r="AW47" s="167"/>
      <c r="AX47" s="168"/>
      <c r="AY47" s="169"/>
      <c r="AZ47" s="170"/>
      <c r="BA47" s="163"/>
    </row>
    <row r="48" spans="1:54" x14ac:dyDescent="0.25">
      <c r="A48" s="440">
        <f>'Fleet Inventory'!A11</f>
        <v>0</v>
      </c>
      <c r="B48" s="442" t="str">
        <f>IF('Fleet Inventory'!B11="","N/A",'Fleet Inventory'!B11)</f>
        <v>N/A</v>
      </c>
      <c r="C48" s="444">
        <f>'Fleet Inventory'!C11</f>
        <v>0</v>
      </c>
      <c r="D48" s="444">
        <f>'Fleet Inventory'!D11</f>
        <v>0</v>
      </c>
      <c r="E48" s="446">
        <f>'Fleet Inventory'!E11</f>
        <v>0</v>
      </c>
      <c r="F48" s="447">
        <f>'Fleet Inventory'!F11</f>
        <v>0</v>
      </c>
      <c r="G48" s="448"/>
      <c r="H48" s="448"/>
      <c r="I48" s="165" t="s">
        <v>238</v>
      </c>
      <c r="J48" s="177"/>
      <c r="K48" s="177"/>
      <c r="L48" s="177"/>
      <c r="M48" s="177"/>
      <c r="N48" s="177"/>
      <c r="O48" s="177"/>
      <c r="P48" s="177"/>
      <c r="Q48" s="177"/>
      <c r="R48" s="161" t="s">
        <v>100</v>
      </c>
      <c r="S48" s="165" t="s">
        <v>238</v>
      </c>
      <c r="T48" s="177"/>
      <c r="U48" s="177"/>
      <c r="V48" s="177"/>
      <c r="W48" s="177"/>
      <c r="X48" s="177"/>
      <c r="Y48" s="177"/>
      <c r="Z48" s="161" t="s">
        <v>100</v>
      </c>
      <c r="AA48" s="147"/>
      <c r="AB48" s="330" t="s">
        <v>276</v>
      </c>
      <c r="AC48" s="318"/>
      <c r="AD48" s="327"/>
      <c r="AE48" s="328"/>
      <c r="AF48" s="328"/>
      <c r="AG48" s="328"/>
      <c r="AH48" s="328"/>
      <c r="AI48" s="330" t="s">
        <v>275</v>
      </c>
      <c r="AJ48" s="318"/>
      <c r="AK48" s="327"/>
      <c r="AL48" s="328"/>
      <c r="AM48" s="328"/>
      <c r="AN48" s="328"/>
      <c r="AO48" s="328"/>
      <c r="AP48" s="238"/>
      <c r="AQ48" s="241"/>
      <c r="AR48" s="241"/>
      <c r="AS48" s="241"/>
      <c r="AT48" s="241"/>
      <c r="AU48" s="241"/>
      <c r="AV48" s="305"/>
      <c r="AW48" s="306"/>
      <c r="AY48" s="450"/>
      <c r="AZ48" s="450"/>
      <c r="BA48" s="427"/>
    </row>
    <row r="49" spans="1:54" x14ac:dyDescent="0.25">
      <c r="A49" s="440"/>
      <c r="B49" s="442"/>
      <c r="C49" s="444"/>
      <c r="D49" s="444"/>
      <c r="E49" s="444"/>
      <c r="F49" s="444"/>
      <c r="G49" s="448"/>
      <c r="H49" s="448"/>
      <c r="I49" s="165" t="s">
        <v>277</v>
      </c>
      <c r="J49" s="158"/>
      <c r="K49" s="158"/>
      <c r="L49" s="158"/>
      <c r="M49" s="158"/>
      <c r="N49" s="158"/>
      <c r="O49" s="158"/>
      <c r="P49" s="158"/>
      <c r="Q49" s="158"/>
      <c r="R49" s="297">
        <f>SUM(J49:Q49)</f>
        <v>0</v>
      </c>
      <c r="S49" s="165" t="s">
        <v>277</v>
      </c>
      <c r="T49" s="158"/>
      <c r="U49" s="158"/>
      <c r="V49" s="158"/>
      <c r="W49" s="158"/>
      <c r="X49" s="158"/>
      <c r="Y49" s="158"/>
      <c r="Z49" s="297">
        <f>SUM(T49:Y49)</f>
        <v>0</v>
      </c>
      <c r="AA49" s="261"/>
      <c r="AB49" s="330" t="s">
        <v>272</v>
      </c>
      <c r="AC49" s="329"/>
      <c r="AD49" s="329"/>
      <c r="AE49" s="329"/>
      <c r="AF49" s="329"/>
      <c r="AG49" s="329"/>
      <c r="AH49" s="329"/>
      <c r="AI49" s="330" t="s">
        <v>200</v>
      </c>
      <c r="AJ49" s="329"/>
      <c r="AK49" s="329"/>
      <c r="AL49" s="329"/>
      <c r="AM49" s="329"/>
      <c r="AN49" s="329"/>
      <c r="AO49" s="329"/>
      <c r="AP49" s="239"/>
      <c r="AQ49" s="242"/>
      <c r="AR49" s="242"/>
      <c r="AS49" s="242"/>
      <c r="AT49" s="242"/>
      <c r="AU49" s="242"/>
      <c r="AV49" s="305"/>
      <c r="AW49" s="171"/>
      <c r="AY49" s="451"/>
      <c r="AZ49" s="451"/>
      <c r="BA49" s="430"/>
    </row>
    <row r="50" spans="1:54" x14ac:dyDescent="0.25">
      <c r="A50" s="440"/>
      <c r="B50" s="442"/>
      <c r="C50" s="444"/>
      <c r="D50" s="444"/>
      <c r="E50" s="444"/>
      <c r="F50" s="444"/>
      <c r="G50" s="448"/>
      <c r="H50" s="448"/>
      <c r="I50" s="165" t="s">
        <v>201</v>
      </c>
      <c r="J50" s="158"/>
      <c r="K50" s="158"/>
      <c r="L50" s="158"/>
      <c r="M50" s="158"/>
      <c r="N50" s="158"/>
      <c r="O50" s="158"/>
      <c r="P50" s="158"/>
      <c r="Q50" s="158"/>
      <c r="R50" s="157" t="e">
        <f>AVERAGE(J50:Q50)</f>
        <v>#DIV/0!</v>
      </c>
      <c r="S50" s="165" t="s">
        <v>201</v>
      </c>
      <c r="T50" s="158"/>
      <c r="U50" s="158"/>
      <c r="V50" s="158"/>
      <c r="W50" s="158"/>
      <c r="X50" s="158"/>
      <c r="Y50" s="158"/>
      <c r="Z50" s="157" t="e">
        <f>AVERAGE(T50:Y50)</f>
        <v>#DIV/0!</v>
      </c>
      <c r="AA50" s="262"/>
      <c r="AB50" s="330" t="s">
        <v>201</v>
      </c>
      <c r="AC50" s="329"/>
      <c r="AD50" s="329"/>
      <c r="AE50" s="329"/>
      <c r="AF50" s="329"/>
      <c r="AG50" s="329"/>
      <c r="AH50" s="329"/>
      <c r="AI50" s="330" t="s">
        <v>201</v>
      </c>
      <c r="AJ50" s="329"/>
      <c r="AK50" s="329"/>
      <c r="AL50" s="329"/>
      <c r="AM50" s="329"/>
      <c r="AN50" s="329"/>
      <c r="AO50" s="329"/>
      <c r="AP50" s="240"/>
      <c r="AQ50" s="243"/>
      <c r="AR50" s="243"/>
      <c r="AS50" s="243"/>
      <c r="AT50" s="243"/>
      <c r="AU50" s="243"/>
      <c r="AV50" s="305"/>
      <c r="AW50" s="307"/>
      <c r="AY50" s="452"/>
      <c r="AZ50" s="452"/>
      <c r="BA50" s="433"/>
    </row>
    <row r="51" spans="1:54" x14ac:dyDescent="0.25">
      <c r="A51" s="441"/>
      <c r="B51" s="443"/>
      <c r="C51" s="445"/>
      <c r="D51" s="445"/>
      <c r="E51" s="445"/>
      <c r="F51" s="445"/>
      <c r="G51" s="449"/>
      <c r="H51" s="449"/>
      <c r="I51" s="267" t="s">
        <v>271</v>
      </c>
      <c r="J51" s="188">
        <f>IF(OR($B48="N/A",J48="",J49="",J50=""),0,J50*J49)</f>
        <v>0</v>
      </c>
      <c r="K51" s="188">
        <f t="shared" ref="K51:P51" si="159">IF(OR($B48="N/A",K48="",K49="",K50=""),0,K50*K49)</f>
        <v>0</v>
      </c>
      <c r="L51" s="188">
        <f t="shared" si="159"/>
        <v>0</v>
      </c>
      <c r="M51" s="188">
        <f t="shared" si="159"/>
        <v>0</v>
      </c>
      <c r="N51" s="188">
        <f t="shared" si="159"/>
        <v>0</v>
      </c>
      <c r="O51" s="188">
        <f t="shared" si="159"/>
        <v>0</v>
      </c>
      <c r="P51" s="188">
        <f t="shared" si="159"/>
        <v>0</v>
      </c>
      <c r="Q51" s="188">
        <f>IF(OR($B48="N/A",Q48="",Q49="",Q50=""),0,Q50*Q49)</f>
        <v>0</v>
      </c>
      <c r="R51" s="188">
        <f>SUM(J51:Q51)</f>
        <v>0</v>
      </c>
      <c r="S51" s="267" t="s">
        <v>271</v>
      </c>
      <c r="T51" s="188">
        <f>IF(OR($B48="N/A",T48="",T49="",T50=""),0,T50*T49)</f>
        <v>0</v>
      </c>
      <c r="U51" s="188">
        <f t="shared" ref="U51:Y51" si="160">IF(OR($B48="N/A",U48="",U49="",U50=""),0,U50*U49)</f>
        <v>0</v>
      </c>
      <c r="V51" s="188">
        <f t="shared" si="160"/>
        <v>0</v>
      </c>
      <c r="W51" s="188">
        <f t="shared" si="160"/>
        <v>0</v>
      </c>
      <c r="X51" s="188">
        <f t="shared" si="160"/>
        <v>0</v>
      </c>
      <c r="Y51" s="188">
        <f t="shared" si="160"/>
        <v>0</v>
      </c>
      <c r="Z51" s="188">
        <f>SUM(T51:Y51)</f>
        <v>0</v>
      </c>
      <c r="AA51" s="263"/>
      <c r="AB51" s="331" t="s">
        <v>152</v>
      </c>
      <c r="AC51" s="188">
        <f>IF(OR($B48="N/A",AC49="",AC50=""),0,AC50*AC49)</f>
        <v>0</v>
      </c>
      <c r="AD51" s="188">
        <f t="shared" ref="AD51" si="161">IF(OR($B48="N/A",AD49="",AD50=""),0,AD50*AD49)</f>
        <v>0</v>
      </c>
      <c r="AE51" s="188">
        <f>IF(OR($B48="N/A",AE49="",AE50=""),0,AE50*AE49)</f>
        <v>0</v>
      </c>
      <c r="AF51" s="188">
        <f t="shared" ref="AF51" si="162">IF(OR($B48="N/A",AF49="",AF50=""),0,AF50*AF49)</f>
        <v>0</v>
      </c>
      <c r="AG51" s="188">
        <f>IF(OR($B48="N/A",AG49="",AG50=""),0,AG50*AG49)</f>
        <v>0</v>
      </c>
      <c r="AH51" s="188">
        <f t="shared" ref="AH51" si="163">IF(OR($B48="N/A",AH49="",AH50=""),0,AH50*AH49)</f>
        <v>0</v>
      </c>
      <c r="AI51" s="331" t="s">
        <v>152</v>
      </c>
      <c r="AJ51" s="188">
        <f>IF(OR($B48="N/A",AJ49="",AJ50=""),0,AJ50*AJ49)</f>
        <v>0</v>
      </c>
      <c r="AK51" s="188">
        <f t="shared" ref="AK51" si="164">IF(OR($B48="N/A",AK49="",AK50=""),0,AK50*AK49)</f>
        <v>0</v>
      </c>
      <c r="AL51" s="188">
        <f>IF(OR($B48="N/A",AL49="",AL50=""),0,AL50*AL49)</f>
        <v>0</v>
      </c>
      <c r="AM51" s="188">
        <f t="shared" ref="AM51" si="165">IF(OR($B48="N/A",AM49="",AM50=""),0,AM50*AM49)</f>
        <v>0</v>
      </c>
      <c r="AN51" s="188">
        <f>IF(OR($B48="N/A",AN49="",AN50=""),0,AN50*AN49)</f>
        <v>0</v>
      </c>
      <c r="AO51" s="188">
        <f t="shared" ref="AO51" si="166">IF(OR($B48="N/A",AO49="",AO50=""),0,AO50*AO49)</f>
        <v>0</v>
      </c>
      <c r="AP51" s="279">
        <f>SUM(AC51:AH51)+SUM(AJ51:AO51)+R51+Z51+AA51</f>
        <v>0</v>
      </c>
      <c r="AQ51" s="258"/>
      <c r="AR51" s="277">
        <f>AP51+AQ51</f>
        <v>0</v>
      </c>
      <c r="AS51" s="237"/>
      <c r="AT51" s="278" t="e">
        <f>IF($B49="N/A","N/A",AR51/A48)</f>
        <v>#DIV/0!</v>
      </c>
      <c r="AU51" s="278" t="e">
        <f>IF($B49="N/A","N/A",AR51/(E48*A48/10000))</f>
        <v>#DIV/0!</v>
      </c>
      <c r="AW51" s="278">
        <f>R49</f>
        <v>0</v>
      </c>
      <c r="AY51" s="244" t="e">
        <f>AP51/AR51</f>
        <v>#DIV/0!</v>
      </c>
      <c r="AZ51" s="244" t="e">
        <f>AQ51/AR51</f>
        <v>#DIV/0!</v>
      </c>
      <c r="BA51" s="245" t="s">
        <v>217</v>
      </c>
      <c r="BB51" s="319">
        <f>AR51</f>
        <v>0</v>
      </c>
    </row>
    <row r="52" spans="1:54" x14ac:dyDescent="0.25">
      <c r="A52" s="441"/>
      <c r="B52" s="443"/>
      <c r="C52" s="445"/>
      <c r="D52" s="445"/>
      <c r="E52" s="445"/>
      <c r="F52" s="445"/>
      <c r="G52" s="449"/>
      <c r="H52" s="449"/>
      <c r="I52" s="284" t="s">
        <v>226</v>
      </c>
      <c r="J52" s="285"/>
      <c r="K52" s="285"/>
      <c r="L52" s="285"/>
      <c r="M52" s="285"/>
      <c r="N52" s="285"/>
      <c r="O52" s="285"/>
      <c r="P52" s="285"/>
      <c r="Q52" s="285"/>
      <c r="R52" s="157" t="e">
        <f>AVERAGE(J52:Q52)</f>
        <v>#DIV/0!</v>
      </c>
      <c r="S52" s="284" t="s">
        <v>226</v>
      </c>
      <c r="T52" s="285"/>
      <c r="U52" s="285"/>
      <c r="V52" s="285"/>
      <c r="W52" s="285"/>
      <c r="X52" s="285"/>
      <c r="Y52" s="285"/>
      <c r="Z52" s="157" t="e">
        <f>AVERAGE(T52:Y52)</f>
        <v>#DIV/0!</v>
      </c>
      <c r="AA52" s="298"/>
      <c r="AB52" s="332" t="s">
        <v>226</v>
      </c>
      <c r="AC52" s="285"/>
      <c r="AD52" s="285"/>
      <c r="AE52" s="285"/>
      <c r="AF52" s="285"/>
      <c r="AG52" s="285"/>
      <c r="AH52" s="285"/>
      <c r="AI52" s="332" t="s">
        <v>226</v>
      </c>
      <c r="AJ52" s="285"/>
      <c r="AK52" s="285"/>
      <c r="AL52" s="285"/>
      <c r="AM52" s="285"/>
      <c r="AN52" s="285"/>
      <c r="AO52" s="285"/>
      <c r="AP52" s="301"/>
      <c r="AQ52" s="301"/>
      <c r="AR52" s="302"/>
      <c r="AS52" s="302"/>
      <c r="AT52" s="302"/>
      <c r="AU52" s="303"/>
      <c r="AW52" s="171"/>
      <c r="AY52" s="453"/>
      <c r="AZ52" s="454"/>
      <c r="BA52" s="427"/>
    </row>
    <row r="53" spans="1:54" x14ac:dyDescent="0.25">
      <c r="A53" s="441"/>
      <c r="B53" s="443"/>
      <c r="C53" s="445"/>
      <c r="D53" s="445"/>
      <c r="E53" s="445"/>
      <c r="F53" s="445"/>
      <c r="G53" s="449"/>
      <c r="H53" s="449"/>
      <c r="I53" s="163"/>
      <c r="J53" s="164"/>
      <c r="K53" s="164"/>
      <c r="L53" s="164"/>
      <c r="M53" s="164"/>
      <c r="N53" s="164"/>
      <c r="O53" s="164"/>
      <c r="P53" s="164"/>
      <c r="Q53" s="164"/>
      <c r="R53" s="164"/>
      <c r="S53" s="163"/>
      <c r="T53" s="164"/>
      <c r="U53" s="164"/>
      <c r="V53" s="164"/>
      <c r="W53" s="164"/>
      <c r="X53" s="164"/>
      <c r="Y53" s="164"/>
      <c r="Z53" s="164"/>
      <c r="AA53" s="350"/>
      <c r="AB53" s="332" t="s">
        <v>322</v>
      </c>
      <c r="AC53" s="351"/>
      <c r="AD53" s="351"/>
      <c r="AE53" s="351"/>
      <c r="AF53" s="351"/>
      <c r="AG53" s="351"/>
      <c r="AH53" s="351"/>
      <c r="AI53" s="332" t="s">
        <v>323</v>
      </c>
      <c r="AJ53" s="285"/>
      <c r="AK53" s="285"/>
      <c r="AL53" s="285"/>
      <c r="AM53" s="285"/>
      <c r="AN53" s="285"/>
      <c r="AO53" s="285"/>
      <c r="AP53" s="352"/>
      <c r="AQ53" s="352"/>
      <c r="AR53" s="353"/>
      <c r="AS53" s="353"/>
      <c r="AT53" s="353"/>
      <c r="AU53" s="354"/>
      <c r="AW53" s="171"/>
      <c r="AY53" s="355"/>
      <c r="AZ53" s="356"/>
      <c r="BA53" s="349"/>
    </row>
    <row r="54" spans="1:54" x14ac:dyDescent="0.25">
      <c r="A54" s="441"/>
      <c r="B54" s="443"/>
      <c r="C54" s="445"/>
      <c r="D54" s="445"/>
      <c r="E54" s="445"/>
      <c r="F54" s="445"/>
      <c r="G54" s="449"/>
      <c r="H54" s="449"/>
      <c r="I54" s="178" t="s">
        <v>237</v>
      </c>
      <c r="J54" s="153">
        <f t="shared" ref="J54:Q54" si="167">IF(AND($G48="",$H48=""),J49,($H48*$G48)/($E48*$A48)*J49)</f>
        <v>0</v>
      </c>
      <c r="K54" s="153">
        <f t="shared" si="167"/>
        <v>0</v>
      </c>
      <c r="L54" s="153">
        <f t="shared" si="167"/>
        <v>0</v>
      </c>
      <c r="M54" s="153">
        <f t="shared" si="167"/>
        <v>0</v>
      </c>
      <c r="N54" s="153">
        <f t="shared" si="167"/>
        <v>0</v>
      </c>
      <c r="O54" s="153">
        <f t="shared" ref="O54:P54" si="168">IF(AND($G48="",$H48=""),O49,($H48*$G48)/($E48*$A48)*O49)</f>
        <v>0</v>
      </c>
      <c r="P54" s="153">
        <f t="shared" si="168"/>
        <v>0</v>
      </c>
      <c r="Q54" s="153">
        <f t="shared" si="167"/>
        <v>0</v>
      </c>
      <c r="R54" s="153" t="e">
        <f>($H48*$G48)/($E48*$A48)*R49</f>
        <v>#DIV/0!</v>
      </c>
      <c r="S54" s="178" t="s">
        <v>237</v>
      </c>
      <c r="T54" s="153">
        <f t="shared" ref="T54:Z54" si="169">IF($G48="",T49,($G48/$A48)*T49)</f>
        <v>0</v>
      </c>
      <c r="U54" s="153">
        <f t="shared" si="169"/>
        <v>0</v>
      </c>
      <c r="V54" s="153">
        <f t="shared" si="169"/>
        <v>0</v>
      </c>
      <c r="W54" s="153">
        <f t="shared" si="169"/>
        <v>0</v>
      </c>
      <c r="X54" s="153">
        <f t="shared" si="169"/>
        <v>0</v>
      </c>
      <c r="Y54" s="153">
        <f t="shared" si="169"/>
        <v>0</v>
      </c>
      <c r="Z54" s="153">
        <f t="shared" si="169"/>
        <v>0</v>
      </c>
      <c r="AA54" s="262"/>
      <c r="AB54" s="333" t="s">
        <v>240</v>
      </c>
      <c r="AC54" s="153">
        <f>IF($G48="",IF(AC53="",AC49,AC48/AC53*AC49),IF(AC49=0,0,$G48/$A48*AC48/AC53*AC49))</f>
        <v>0</v>
      </c>
      <c r="AD54" s="153">
        <f t="shared" ref="AD54" si="170">IF($G48="",IF(AD53="",AD49,AD48/AD53*AD49),IF(AD49=0,0,$G48/$A48*AD48/AD53*AD49))</f>
        <v>0</v>
      </c>
      <c r="AE54" s="153">
        <f t="shared" ref="AE54" si="171">IF($G48="",IF(AE53="",AE49,AE48/AE53*AE49),IF(AE49=0,0,$G48/$A48*AE48/AE53*AE49))</f>
        <v>0</v>
      </c>
      <c r="AF54" s="153">
        <f t="shared" ref="AF54" si="172">IF($G48="",IF(AF53="",AF49,AF48/AF53*AF49),IF(AF49=0,0,$G48/$A48*AF48/AF53*AF49))</f>
        <v>0</v>
      </c>
      <c r="AG54" s="153">
        <f t="shared" ref="AG54" si="173">IF($G48="",IF(AG53="",AG49,AG48/AG53*AG49),IF(AG49=0,0,$G48/$A48*AG48/AG53*AG49))</f>
        <v>0</v>
      </c>
      <c r="AH54" s="153">
        <f t="shared" ref="AH54" si="174">IF($G48="",IF(AH53="",AH49,AH48/AH53*AH49),IF(AH49=0,0,$G48/$A48*AH48/AH53*AH49))</f>
        <v>0</v>
      </c>
      <c r="AI54" s="333" t="s">
        <v>240</v>
      </c>
      <c r="AJ54" s="153">
        <f>IF(AND($G48="",$H48=""),IF(AJ53="",AJ49,AJ48/AJ53*AJ49),IF(AJ49=0,0,($G48*$H48)/($A48*$E48)*(AJ48/AJ53*AJ49)))</f>
        <v>0</v>
      </c>
      <c r="AK54" s="153">
        <f t="shared" ref="AK54" si="175">IF(AND($G48="",$H48=""),IF(AK53="",AK49,AK48/AK53*AK49),IF(AK49=0,0,($G48*$H48)/($A48*$E48)*(AK48/AK53*AK49)))</f>
        <v>0</v>
      </c>
      <c r="AL54" s="153">
        <f t="shared" ref="AL54" si="176">IF(AND($G48="",$H48=""),IF(AL53="",AL49,AL48/AL53*AL49),IF(AL49=0,0,($G48*$H48)/($A48*$E48)*(AL48/AL53*AL49)))</f>
        <v>0</v>
      </c>
      <c r="AM54" s="153">
        <f t="shared" ref="AM54" si="177">IF(AND($G48="",$H48=""),IF(AM53="",AM49,AM48/AM53*AM49),IF(AM49=0,0,($G48*$H48)/($A48*$E48)*(AM48/AM53*AM49)))</f>
        <v>0</v>
      </c>
      <c r="AN54" s="153">
        <f t="shared" ref="AN54" si="178">IF(AND($G48="",$H48=""),IF(AN53="",AN49,AN48/AN53*AN49),IF(AN49=0,0,($G48*$H48)/($A48*$E48)*(AN48/AN53*AN49)))</f>
        <v>0</v>
      </c>
      <c r="AO54" s="153">
        <f t="shared" ref="AO54" si="179">IF(AND($G48="",$H48=""),IF(AO53="",AO49,AO48/AO53*AO49),IF(AO49=0,0,($G48*$H48)/($A48*$E48)*(AO48/AO53*AO49)))</f>
        <v>0</v>
      </c>
      <c r="AP54" s="304"/>
      <c r="AQ54" s="260"/>
      <c r="AR54" s="243"/>
      <c r="AS54" s="243"/>
      <c r="AT54" s="243"/>
      <c r="AU54" s="236"/>
      <c r="AW54" s="307"/>
      <c r="AY54" s="455"/>
      <c r="AZ54" s="456"/>
      <c r="BA54" s="433"/>
    </row>
    <row r="55" spans="1:54" x14ac:dyDescent="0.25">
      <c r="A55" s="441"/>
      <c r="B55" s="443"/>
      <c r="C55" s="445"/>
      <c r="D55" s="445"/>
      <c r="E55" s="445"/>
      <c r="F55" s="445"/>
      <c r="G55" s="449"/>
      <c r="H55" s="449"/>
      <c r="I55" s="178" t="s">
        <v>255</v>
      </c>
      <c r="J55" s="187">
        <f>IF(OR($B48="N/A",J48="",J49="",J50=""),0,J52*J54)</f>
        <v>0</v>
      </c>
      <c r="K55" s="187">
        <f t="shared" ref="K55:Q55" si="180">IF(OR($B48="N/A",K48="",K49="",K50=""),0,K52*K54)</f>
        <v>0</v>
      </c>
      <c r="L55" s="187">
        <f t="shared" si="180"/>
        <v>0</v>
      </c>
      <c r="M55" s="187">
        <f t="shared" si="180"/>
        <v>0</v>
      </c>
      <c r="N55" s="187">
        <f t="shared" si="180"/>
        <v>0</v>
      </c>
      <c r="O55" s="187">
        <f t="shared" ref="O55:P55" si="181">IF(OR($B48="N/A",O48="",O49="",O50=""),0,O52*O54)</f>
        <v>0</v>
      </c>
      <c r="P55" s="187">
        <f t="shared" si="181"/>
        <v>0</v>
      </c>
      <c r="Q55" s="187">
        <f t="shared" si="180"/>
        <v>0</v>
      </c>
      <c r="R55" s="187">
        <f>SUM(J55:Q55)</f>
        <v>0</v>
      </c>
      <c r="S55" s="178" t="s">
        <v>255</v>
      </c>
      <c r="T55" s="187">
        <f>IF(OR($B48="N/A",T48="",T49="",T50=""),0,T52*T54)</f>
        <v>0</v>
      </c>
      <c r="U55" s="187">
        <f t="shared" ref="U55:Y55" si="182">IF(OR($B48="N/A",U48="",U49="",U50=""),0,U52*U54)</f>
        <v>0</v>
      </c>
      <c r="V55" s="187">
        <f t="shared" si="182"/>
        <v>0</v>
      </c>
      <c r="W55" s="187">
        <f t="shared" si="182"/>
        <v>0</v>
      </c>
      <c r="X55" s="187">
        <f t="shared" si="182"/>
        <v>0</v>
      </c>
      <c r="Y55" s="187">
        <f t="shared" si="182"/>
        <v>0</v>
      </c>
      <c r="Z55" s="187">
        <f>SUM(T55:Y55)</f>
        <v>0</v>
      </c>
      <c r="AA55" s="283"/>
      <c r="AB55" s="333" t="s">
        <v>256</v>
      </c>
      <c r="AC55" s="187">
        <f>IF(OR($B48="N/A",AC48="",AC49="",AC50=""),0,AC52*AC54)</f>
        <v>0</v>
      </c>
      <c r="AD55" s="187">
        <f t="shared" ref="AD55" si="183">IF(OR($B48="N/A",AD48="",AD49="",AD50=""),0,AD52*AD54)</f>
        <v>0</v>
      </c>
      <c r="AE55" s="187">
        <f t="shared" ref="AE55" si="184">IF(OR($B48="N/A",AE48="",AE49="",AE50=""),0,AE52*AE54)</f>
        <v>0</v>
      </c>
      <c r="AF55" s="187">
        <f t="shared" ref="AF55" si="185">IF(OR($B48="N/A",AF48="",AF49="",AF50=""),0,AF52*AF54)</f>
        <v>0</v>
      </c>
      <c r="AG55" s="187">
        <f t="shared" ref="AG55" si="186">IF(OR($B48="N/A",AG48="",AG49="",AG50=""),0,AG52*AG54)</f>
        <v>0</v>
      </c>
      <c r="AH55" s="187">
        <f t="shared" ref="AH55" si="187">IF(OR($B48="N/A",AH48="",AH49="",AH50=""),0,AH52*AH54)</f>
        <v>0</v>
      </c>
      <c r="AI55" s="333" t="s">
        <v>256</v>
      </c>
      <c r="AJ55" s="187">
        <f>IF(OR($B48="N/A",AJ48="",AJ49="",AJ50=""),0,AJ52*AJ54)</f>
        <v>0</v>
      </c>
      <c r="AK55" s="187">
        <f t="shared" ref="AK55" si="188">IF(OR($B48="N/A",AK48="",AK49="",AK50=""),0,AK52*AK54)</f>
        <v>0</v>
      </c>
      <c r="AL55" s="187">
        <f t="shared" ref="AL55" si="189">IF(OR($B48="N/A",AL48="",AL49="",AL50=""),0,AL52*AL54)</f>
        <v>0</v>
      </c>
      <c r="AM55" s="187">
        <f t="shared" ref="AM55" si="190">IF(OR($B48="N/A",AM48="",AM49="",AM50=""),0,AM52*AM54)</f>
        <v>0</v>
      </c>
      <c r="AN55" s="187">
        <f t="shared" ref="AN55" si="191">IF(OR($B48="N/A",AN48="",AN49="",AN50=""),0,AN52*AN54)</f>
        <v>0</v>
      </c>
      <c r="AO55" s="187">
        <f t="shared" ref="AO55" si="192">IF(OR($B48="N/A",AO48="",AO49="",AO50=""),0,AO52*AO54)</f>
        <v>0</v>
      </c>
      <c r="AP55" s="280">
        <f>SUM(AC55:AH55)+SUM(AJ55:AO55)+R55+Z55+AA55</f>
        <v>0</v>
      </c>
      <c r="AQ55" s="282"/>
      <c r="AR55" s="280">
        <f t="shared" ref="AR55" si="193">AP55+AQ55</f>
        <v>0</v>
      </c>
      <c r="AS55" s="141"/>
      <c r="AT55" s="281" t="str">
        <f>IF($B48="N/A","N/A",AR55/A48)</f>
        <v>N/A</v>
      </c>
      <c r="AU55" s="281" t="str">
        <f>IF($B48="N/A","N/A",AR55/(H48*A48/10000))</f>
        <v>N/A</v>
      </c>
      <c r="AW55" s="281" t="e">
        <f>R54</f>
        <v>#DIV/0!</v>
      </c>
      <c r="AY55" s="272" t="e">
        <f>AP55/AR55</f>
        <v>#DIV/0!</v>
      </c>
      <c r="AZ55" s="272" t="e">
        <f>AQ55/AR55</f>
        <v>#DIV/0!</v>
      </c>
      <c r="BA55" s="273" t="s">
        <v>227</v>
      </c>
      <c r="BB55" s="320">
        <f>AR55</f>
        <v>0</v>
      </c>
    </row>
    <row r="56" spans="1:54" x14ac:dyDescent="0.25">
      <c r="A56" s="220"/>
      <c r="B56" s="221"/>
      <c r="C56" s="222"/>
      <c r="D56" s="222"/>
      <c r="E56" s="222"/>
      <c r="F56" s="222"/>
      <c r="G56" s="222"/>
      <c r="H56" s="222"/>
      <c r="I56" s="163"/>
      <c r="J56" s="164"/>
      <c r="K56" s="164"/>
      <c r="L56" s="164"/>
      <c r="M56" s="164"/>
      <c r="N56" s="164"/>
      <c r="O56" s="164"/>
      <c r="P56" s="164"/>
      <c r="Q56" s="164"/>
      <c r="R56" s="164"/>
      <c r="S56" s="163"/>
      <c r="T56" s="164"/>
      <c r="U56" s="164"/>
      <c r="V56" s="164"/>
      <c r="W56" s="164"/>
      <c r="X56" s="164"/>
      <c r="Y56" s="164"/>
      <c r="Z56" s="164"/>
      <c r="AA56" s="264"/>
      <c r="AB56" s="163"/>
      <c r="AC56" s="164"/>
      <c r="AD56" s="164"/>
      <c r="AE56" s="164"/>
      <c r="AF56" s="164"/>
      <c r="AG56" s="164"/>
      <c r="AH56" s="164"/>
      <c r="AI56" s="308"/>
      <c r="AJ56" s="164"/>
      <c r="AK56" s="164"/>
      <c r="AL56" s="164"/>
      <c r="AM56" s="164"/>
      <c r="AN56" s="164"/>
      <c r="AO56" s="164"/>
      <c r="AP56" s="166"/>
      <c r="AQ56" s="259"/>
      <c r="AR56" s="166"/>
      <c r="AS56" s="166"/>
      <c r="AT56" s="167"/>
      <c r="AU56" s="167"/>
      <c r="AV56" s="168"/>
      <c r="AW56" s="167"/>
      <c r="AX56" s="168"/>
      <c r="AY56" s="169"/>
      <c r="AZ56" s="170"/>
      <c r="BA56" s="163"/>
    </row>
    <row r="57" spans="1:54" x14ac:dyDescent="0.25">
      <c r="A57" s="440">
        <f>'Fleet Inventory'!A12</f>
        <v>0</v>
      </c>
      <c r="B57" s="442" t="str">
        <f>IF('Fleet Inventory'!B12="","N/A",'Fleet Inventory'!B12)</f>
        <v>N/A</v>
      </c>
      <c r="C57" s="444">
        <f>'Fleet Inventory'!C12</f>
        <v>0</v>
      </c>
      <c r="D57" s="444">
        <f>'Fleet Inventory'!D12</f>
        <v>0</v>
      </c>
      <c r="E57" s="446">
        <f>'Fleet Inventory'!E12</f>
        <v>0</v>
      </c>
      <c r="F57" s="447">
        <f>'Fleet Inventory'!F12</f>
        <v>0</v>
      </c>
      <c r="G57" s="448"/>
      <c r="H57" s="448"/>
      <c r="I57" s="165" t="s">
        <v>238</v>
      </c>
      <c r="J57" s="177"/>
      <c r="K57" s="177"/>
      <c r="L57" s="177"/>
      <c r="M57" s="177"/>
      <c r="N57" s="177"/>
      <c r="O57" s="177"/>
      <c r="P57" s="177"/>
      <c r="Q57" s="177"/>
      <c r="R57" s="161" t="s">
        <v>100</v>
      </c>
      <c r="S57" s="165" t="s">
        <v>238</v>
      </c>
      <c r="T57" s="177"/>
      <c r="U57" s="177"/>
      <c r="V57" s="177"/>
      <c r="W57" s="177"/>
      <c r="X57" s="177"/>
      <c r="Y57" s="177"/>
      <c r="Z57" s="161" t="s">
        <v>100</v>
      </c>
      <c r="AA57" s="147"/>
      <c r="AB57" s="330" t="s">
        <v>276</v>
      </c>
      <c r="AC57" s="318"/>
      <c r="AD57" s="327"/>
      <c r="AE57" s="328"/>
      <c r="AF57" s="328"/>
      <c r="AG57" s="328"/>
      <c r="AH57" s="328"/>
      <c r="AI57" s="330" t="s">
        <v>275</v>
      </c>
      <c r="AJ57" s="318"/>
      <c r="AK57" s="327"/>
      <c r="AL57" s="328"/>
      <c r="AM57" s="328"/>
      <c r="AN57" s="328"/>
      <c r="AO57" s="328"/>
      <c r="AP57" s="238"/>
      <c r="AQ57" s="241"/>
      <c r="AR57" s="241"/>
      <c r="AS57" s="241"/>
      <c r="AT57" s="241"/>
      <c r="AU57" s="241"/>
      <c r="AV57" s="305"/>
      <c r="AW57" s="306"/>
      <c r="AY57" s="450"/>
      <c r="AZ57" s="450"/>
      <c r="BA57" s="427"/>
    </row>
    <row r="58" spans="1:54" x14ac:dyDescent="0.25">
      <c r="A58" s="440"/>
      <c r="B58" s="442"/>
      <c r="C58" s="444"/>
      <c r="D58" s="444"/>
      <c r="E58" s="444"/>
      <c r="F58" s="444"/>
      <c r="G58" s="448"/>
      <c r="H58" s="448"/>
      <c r="I58" s="165" t="s">
        <v>277</v>
      </c>
      <c r="J58" s="158"/>
      <c r="K58" s="158"/>
      <c r="L58" s="158"/>
      <c r="M58" s="158"/>
      <c r="N58" s="158"/>
      <c r="O58" s="158"/>
      <c r="P58" s="158"/>
      <c r="Q58" s="158"/>
      <c r="R58" s="297">
        <f>SUM(J58:Q58)</f>
        <v>0</v>
      </c>
      <c r="S58" s="165" t="s">
        <v>277</v>
      </c>
      <c r="T58" s="158"/>
      <c r="U58" s="158"/>
      <c r="V58" s="158"/>
      <c r="W58" s="158"/>
      <c r="X58" s="158"/>
      <c r="Y58" s="158"/>
      <c r="Z58" s="297">
        <f>SUM(T58:Y58)</f>
        <v>0</v>
      </c>
      <c r="AA58" s="261"/>
      <c r="AB58" s="330" t="s">
        <v>272</v>
      </c>
      <c r="AC58" s="329"/>
      <c r="AD58" s="329"/>
      <c r="AE58" s="329"/>
      <c r="AF58" s="329"/>
      <c r="AG58" s="329"/>
      <c r="AH58" s="329"/>
      <c r="AI58" s="330" t="s">
        <v>200</v>
      </c>
      <c r="AJ58" s="329"/>
      <c r="AK58" s="329"/>
      <c r="AL58" s="329"/>
      <c r="AM58" s="329"/>
      <c r="AN58" s="329"/>
      <c r="AO58" s="329"/>
      <c r="AP58" s="239"/>
      <c r="AQ58" s="242"/>
      <c r="AR58" s="242"/>
      <c r="AS58" s="242"/>
      <c r="AT58" s="242"/>
      <c r="AU58" s="242"/>
      <c r="AV58" s="305"/>
      <c r="AW58" s="171"/>
      <c r="AY58" s="451"/>
      <c r="AZ58" s="451"/>
      <c r="BA58" s="430"/>
    </row>
    <row r="59" spans="1:54" x14ac:dyDescent="0.25">
      <c r="A59" s="440"/>
      <c r="B59" s="442"/>
      <c r="C59" s="444"/>
      <c r="D59" s="444"/>
      <c r="E59" s="444"/>
      <c r="F59" s="444"/>
      <c r="G59" s="448"/>
      <c r="H59" s="448"/>
      <c r="I59" s="165" t="s">
        <v>201</v>
      </c>
      <c r="J59" s="158"/>
      <c r="K59" s="158"/>
      <c r="L59" s="158"/>
      <c r="M59" s="158"/>
      <c r="N59" s="158"/>
      <c r="O59" s="158"/>
      <c r="P59" s="158"/>
      <c r="Q59" s="158"/>
      <c r="R59" s="157" t="e">
        <f>AVERAGE(J59:Q59)</f>
        <v>#DIV/0!</v>
      </c>
      <c r="S59" s="165" t="s">
        <v>201</v>
      </c>
      <c r="T59" s="158"/>
      <c r="U59" s="158"/>
      <c r="V59" s="158"/>
      <c r="W59" s="158"/>
      <c r="X59" s="158"/>
      <c r="Y59" s="158"/>
      <c r="Z59" s="157" t="e">
        <f>AVERAGE(T59:Y59)</f>
        <v>#DIV/0!</v>
      </c>
      <c r="AA59" s="262"/>
      <c r="AB59" s="330" t="s">
        <v>201</v>
      </c>
      <c r="AC59" s="329"/>
      <c r="AD59" s="329"/>
      <c r="AE59" s="329"/>
      <c r="AF59" s="329"/>
      <c r="AG59" s="329"/>
      <c r="AH59" s="329"/>
      <c r="AI59" s="330" t="s">
        <v>201</v>
      </c>
      <c r="AJ59" s="329"/>
      <c r="AK59" s="329"/>
      <c r="AL59" s="329"/>
      <c r="AM59" s="329"/>
      <c r="AN59" s="329"/>
      <c r="AO59" s="329"/>
      <c r="AP59" s="240"/>
      <c r="AQ59" s="243"/>
      <c r="AR59" s="243"/>
      <c r="AS59" s="243"/>
      <c r="AT59" s="243"/>
      <c r="AU59" s="243"/>
      <c r="AV59" s="305"/>
      <c r="AW59" s="307"/>
      <c r="AY59" s="452"/>
      <c r="AZ59" s="452"/>
      <c r="BA59" s="433"/>
    </row>
    <row r="60" spans="1:54" x14ac:dyDescent="0.25">
      <c r="A60" s="441"/>
      <c r="B60" s="443"/>
      <c r="C60" s="445"/>
      <c r="D60" s="445"/>
      <c r="E60" s="445"/>
      <c r="F60" s="445"/>
      <c r="G60" s="449"/>
      <c r="H60" s="449"/>
      <c r="I60" s="267" t="s">
        <v>271</v>
      </c>
      <c r="J60" s="188">
        <f>IF(OR($B57="N/A",J57="",J58="",J59=""),0,J59*J58)</f>
        <v>0</v>
      </c>
      <c r="K60" s="188">
        <f t="shared" ref="K60:P60" si="194">IF(OR($B57="N/A",K57="",K58="",K59=""),0,K59*K58)</f>
        <v>0</v>
      </c>
      <c r="L60" s="188">
        <f t="shared" si="194"/>
        <v>0</v>
      </c>
      <c r="M60" s="188">
        <f t="shared" si="194"/>
        <v>0</v>
      </c>
      <c r="N60" s="188">
        <f t="shared" si="194"/>
        <v>0</v>
      </c>
      <c r="O60" s="188">
        <f t="shared" si="194"/>
        <v>0</v>
      </c>
      <c r="P60" s="188">
        <f t="shared" si="194"/>
        <v>0</v>
      </c>
      <c r="Q60" s="188">
        <f>IF(OR($B57="N/A",Q57="",Q58="",Q59=""),0,Q59*Q58)</f>
        <v>0</v>
      </c>
      <c r="R60" s="188">
        <f>SUM(J60:Q60)</f>
        <v>0</v>
      </c>
      <c r="S60" s="267" t="s">
        <v>271</v>
      </c>
      <c r="T60" s="188">
        <f>IF(OR($B57="N/A",T57="",T58="",T59=""),0,T59*T58)</f>
        <v>0</v>
      </c>
      <c r="U60" s="188">
        <f t="shared" ref="U60:Y60" si="195">IF(OR($B57="N/A",U57="",U58="",U59=""),0,U59*U58)</f>
        <v>0</v>
      </c>
      <c r="V60" s="188">
        <f t="shared" si="195"/>
        <v>0</v>
      </c>
      <c r="W60" s="188">
        <f t="shared" si="195"/>
        <v>0</v>
      </c>
      <c r="X60" s="188">
        <f t="shared" si="195"/>
        <v>0</v>
      </c>
      <c r="Y60" s="188">
        <f t="shared" si="195"/>
        <v>0</v>
      </c>
      <c r="Z60" s="188">
        <f>SUM(T60:Y60)</f>
        <v>0</v>
      </c>
      <c r="AA60" s="263"/>
      <c r="AB60" s="331" t="s">
        <v>152</v>
      </c>
      <c r="AC60" s="188">
        <f>IF(OR($B57="N/A",AC58="",AC59=""),0,AC59*AC58)</f>
        <v>0</v>
      </c>
      <c r="AD60" s="188">
        <f t="shared" ref="AD60" si="196">IF(OR($B57="N/A",AD58="",AD59=""),0,AD59*AD58)</f>
        <v>0</v>
      </c>
      <c r="AE60" s="188">
        <f>IF(OR($B57="N/A",AE58="",AE59=""),0,AE59*AE58)</f>
        <v>0</v>
      </c>
      <c r="AF60" s="188">
        <f t="shared" ref="AF60" si="197">IF(OR($B57="N/A",AF58="",AF59=""),0,AF59*AF58)</f>
        <v>0</v>
      </c>
      <c r="AG60" s="188">
        <f>IF(OR($B57="N/A",AG58="",AG59=""),0,AG59*AG58)</f>
        <v>0</v>
      </c>
      <c r="AH60" s="188">
        <f t="shared" ref="AH60" si="198">IF(OR($B57="N/A",AH58="",AH59=""),0,AH59*AH58)</f>
        <v>0</v>
      </c>
      <c r="AI60" s="331" t="s">
        <v>152</v>
      </c>
      <c r="AJ60" s="188">
        <f>IF(OR($B57="N/A",AJ58="",AJ59=""),0,AJ59*AJ58)</f>
        <v>0</v>
      </c>
      <c r="AK60" s="188">
        <f t="shared" ref="AK60" si="199">IF(OR($B57="N/A",AK58="",AK59=""),0,AK59*AK58)</f>
        <v>0</v>
      </c>
      <c r="AL60" s="188">
        <f>IF(OR($B57="N/A",AL58="",AL59=""),0,AL59*AL58)</f>
        <v>0</v>
      </c>
      <c r="AM60" s="188">
        <f t="shared" ref="AM60" si="200">IF(OR($B57="N/A",AM58="",AM59=""),0,AM59*AM58)</f>
        <v>0</v>
      </c>
      <c r="AN60" s="188">
        <f>IF(OR($B57="N/A",AN58="",AN59=""),0,AN59*AN58)</f>
        <v>0</v>
      </c>
      <c r="AO60" s="188">
        <f t="shared" ref="AO60" si="201">IF(OR($B57="N/A",AO58="",AO59=""),0,AO59*AO58)</f>
        <v>0</v>
      </c>
      <c r="AP60" s="279">
        <f>SUM(AC60:AH60)+SUM(AJ60:AO60)+R60+Z60+AA60</f>
        <v>0</v>
      </c>
      <c r="AQ60" s="258"/>
      <c r="AR60" s="277">
        <f>AP60+AQ60</f>
        <v>0</v>
      </c>
      <c r="AS60" s="237"/>
      <c r="AT60" s="278" t="e">
        <f>IF($B58="N/A","N/A",AR60/A57)</f>
        <v>#DIV/0!</v>
      </c>
      <c r="AU60" s="278" t="e">
        <f>IF($B58="N/A","N/A",AR60/(E57*A57/10000))</f>
        <v>#DIV/0!</v>
      </c>
      <c r="AW60" s="278">
        <f>R58</f>
        <v>0</v>
      </c>
      <c r="AY60" s="244" t="e">
        <f>AP60/AR60</f>
        <v>#DIV/0!</v>
      </c>
      <c r="AZ60" s="244" t="e">
        <f>AQ60/AR60</f>
        <v>#DIV/0!</v>
      </c>
      <c r="BA60" s="245" t="s">
        <v>217</v>
      </c>
      <c r="BB60" s="319">
        <f>AR60</f>
        <v>0</v>
      </c>
    </row>
    <row r="61" spans="1:54" x14ac:dyDescent="0.25">
      <c r="A61" s="441"/>
      <c r="B61" s="443"/>
      <c r="C61" s="445"/>
      <c r="D61" s="445"/>
      <c r="E61" s="445"/>
      <c r="F61" s="445"/>
      <c r="G61" s="449"/>
      <c r="H61" s="449"/>
      <c r="I61" s="284" t="s">
        <v>226</v>
      </c>
      <c r="J61" s="285"/>
      <c r="K61" s="285"/>
      <c r="L61" s="285"/>
      <c r="M61" s="285"/>
      <c r="N61" s="285"/>
      <c r="O61" s="285"/>
      <c r="P61" s="285"/>
      <c r="Q61" s="285"/>
      <c r="R61" s="157" t="e">
        <f>AVERAGE(J61:Q61)</f>
        <v>#DIV/0!</v>
      </c>
      <c r="S61" s="284" t="s">
        <v>226</v>
      </c>
      <c r="T61" s="285"/>
      <c r="U61" s="285"/>
      <c r="V61" s="285"/>
      <c r="W61" s="285"/>
      <c r="X61" s="285"/>
      <c r="Y61" s="285"/>
      <c r="Z61" s="157" t="e">
        <f>AVERAGE(T61:Y61)</f>
        <v>#DIV/0!</v>
      </c>
      <c r="AA61" s="298"/>
      <c r="AB61" s="332" t="s">
        <v>226</v>
      </c>
      <c r="AC61" s="285"/>
      <c r="AD61" s="285"/>
      <c r="AE61" s="285"/>
      <c r="AF61" s="285"/>
      <c r="AG61" s="285"/>
      <c r="AH61" s="285"/>
      <c r="AI61" s="332" t="s">
        <v>226</v>
      </c>
      <c r="AJ61" s="285"/>
      <c r="AK61" s="285"/>
      <c r="AL61" s="285"/>
      <c r="AM61" s="285"/>
      <c r="AN61" s="285"/>
      <c r="AO61" s="285"/>
      <c r="AP61" s="301"/>
      <c r="AQ61" s="301"/>
      <c r="AR61" s="302"/>
      <c r="AS61" s="302"/>
      <c r="AT61" s="302"/>
      <c r="AU61" s="303"/>
      <c r="AW61" s="171"/>
      <c r="AY61" s="453"/>
      <c r="AZ61" s="454"/>
      <c r="BA61" s="427"/>
    </row>
    <row r="62" spans="1:54" x14ac:dyDescent="0.25">
      <c r="A62" s="441"/>
      <c r="B62" s="443"/>
      <c r="C62" s="445"/>
      <c r="D62" s="445"/>
      <c r="E62" s="445"/>
      <c r="F62" s="445"/>
      <c r="G62" s="449"/>
      <c r="H62" s="449"/>
      <c r="I62" s="163"/>
      <c r="J62" s="164"/>
      <c r="K62" s="164"/>
      <c r="L62" s="164"/>
      <c r="M62" s="164"/>
      <c r="N62" s="164"/>
      <c r="O62" s="164"/>
      <c r="P62" s="164"/>
      <c r="Q62" s="164"/>
      <c r="R62" s="164"/>
      <c r="S62" s="163"/>
      <c r="T62" s="164"/>
      <c r="U62" s="164"/>
      <c r="V62" s="164"/>
      <c r="W62" s="164"/>
      <c r="X62" s="164"/>
      <c r="Y62" s="164"/>
      <c r="Z62" s="164"/>
      <c r="AA62" s="350"/>
      <c r="AB62" s="332" t="s">
        <v>322</v>
      </c>
      <c r="AC62" s="351"/>
      <c r="AD62" s="351"/>
      <c r="AE62" s="351"/>
      <c r="AF62" s="351"/>
      <c r="AG62" s="351"/>
      <c r="AH62" s="351"/>
      <c r="AI62" s="332" t="s">
        <v>323</v>
      </c>
      <c r="AJ62" s="285"/>
      <c r="AK62" s="285"/>
      <c r="AL62" s="285"/>
      <c r="AM62" s="285"/>
      <c r="AN62" s="285"/>
      <c r="AO62" s="285"/>
      <c r="AP62" s="352"/>
      <c r="AQ62" s="352"/>
      <c r="AR62" s="353"/>
      <c r="AS62" s="353"/>
      <c r="AT62" s="353"/>
      <c r="AU62" s="354"/>
      <c r="AW62" s="171"/>
      <c r="AY62" s="355"/>
      <c r="AZ62" s="356"/>
      <c r="BA62" s="349"/>
    </row>
    <row r="63" spans="1:54" x14ac:dyDescent="0.25">
      <c r="A63" s="441"/>
      <c r="B63" s="443"/>
      <c r="C63" s="445"/>
      <c r="D63" s="445"/>
      <c r="E63" s="445"/>
      <c r="F63" s="445"/>
      <c r="G63" s="449"/>
      <c r="H63" s="449"/>
      <c r="I63" s="178" t="s">
        <v>237</v>
      </c>
      <c r="J63" s="153">
        <f t="shared" ref="J63:Q63" si="202">IF(AND($G57="",$H57=""),J58,($H57*$G57)/($E57*$A57)*J58)</f>
        <v>0</v>
      </c>
      <c r="K63" s="153">
        <f t="shared" si="202"/>
        <v>0</v>
      </c>
      <c r="L63" s="153">
        <f t="shared" si="202"/>
        <v>0</v>
      </c>
      <c r="M63" s="153">
        <f t="shared" si="202"/>
        <v>0</v>
      </c>
      <c r="N63" s="153">
        <f t="shared" si="202"/>
        <v>0</v>
      </c>
      <c r="O63" s="153">
        <f t="shared" ref="O63:P63" si="203">IF(AND($G57="",$H57=""),O58,($H57*$G57)/($E57*$A57)*O58)</f>
        <v>0</v>
      </c>
      <c r="P63" s="153">
        <f t="shared" si="203"/>
        <v>0</v>
      </c>
      <c r="Q63" s="153">
        <f t="shared" si="202"/>
        <v>0</v>
      </c>
      <c r="R63" s="153" t="e">
        <f>($H57*$G57)/($E57*$A57)*R58</f>
        <v>#DIV/0!</v>
      </c>
      <c r="S63" s="178" t="s">
        <v>237</v>
      </c>
      <c r="T63" s="153">
        <f t="shared" ref="T63:Z63" si="204">IF($G57="",T58,($G57/$A57)*T58)</f>
        <v>0</v>
      </c>
      <c r="U63" s="153">
        <f t="shared" si="204"/>
        <v>0</v>
      </c>
      <c r="V63" s="153">
        <f t="shared" si="204"/>
        <v>0</v>
      </c>
      <c r="W63" s="153">
        <f t="shared" si="204"/>
        <v>0</v>
      </c>
      <c r="X63" s="153">
        <f t="shared" si="204"/>
        <v>0</v>
      </c>
      <c r="Y63" s="153">
        <f t="shared" si="204"/>
        <v>0</v>
      </c>
      <c r="Z63" s="153">
        <f t="shared" si="204"/>
        <v>0</v>
      </c>
      <c r="AA63" s="262"/>
      <c r="AB63" s="333" t="s">
        <v>240</v>
      </c>
      <c r="AC63" s="153">
        <f>IF($G57="",IF(AC62="",AC58,AC57/AC62*AC58),IF(AC58=0,0,$G57/$A57*AC57/AC62*AC58))</f>
        <v>0</v>
      </c>
      <c r="AD63" s="153">
        <f t="shared" ref="AD63" si="205">IF($G57="",IF(AD62="",AD58,AD57/AD62*AD58),IF(AD58=0,0,$G57/$A57*AD57/AD62*AD58))</f>
        <v>0</v>
      </c>
      <c r="AE63" s="153">
        <f t="shared" ref="AE63" si="206">IF($G57="",IF(AE62="",AE58,AE57/AE62*AE58),IF(AE58=0,0,$G57/$A57*AE57/AE62*AE58))</f>
        <v>0</v>
      </c>
      <c r="AF63" s="153">
        <f t="shared" ref="AF63" si="207">IF($G57="",IF(AF62="",AF58,AF57/AF62*AF58),IF(AF58=0,0,$G57/$A57*AF57/AF62*AF58))</f>
        <v>0</v>
      </c>
      <c r="AG63" s="153">
        <f t="shared" ref="AG63" si="208">IF($G57="",IF(AG62="",AG58,AG57/AG62*AG58),IF(AG58=0,0,$G57/$A57*AG57/AG62*AG58))</f>
        <v>0</v>
      </c>
      <c r="AH63" s="153">
        <f t="shared" ref="AH63" si="209">IF($G57="",IF(AH62="",AH58,AH57/AH62*AH58),IF(AH58=0,0,$G57/$A57*AH57/AH62*AH58))</f>
        <v>0</v>
      </c>
      <c r="AI63" s="333" t="s">
        <v>240</v>
      </c>
      <c r="AJ63" s="153">
        <f>IF(AND($G57="",$H57=""),IF(AJ62="",AJ58,AJ57/AJ62*AJ58),IF(AJ58=0,0,($G57*$H57)/($A57*$E57)*(AJ57/AJ62*AJ58)))</f>
        <v>0</v>
      </c>
      <c r="AK63" s="153">
        <f t="shared" ref="AK63" si="210">IF(AND($G57="",$H57=""),IF(AK62="",AK58,AK57/AK62*AK58),IF(AK58=0,0,($G57*$H57)/($A57*$E57)*(AK57/AK62*AK58)))</f>
        <v>0</v>
      </c>
      <c r="AL63" s="153">
        <f t="shared" ref="AL63" si="211">IF(AND($G57="",$H57=""),IF(AL62="",AL58,AL57/AL62*AL58),IF(AL58=0,0,($G57*$H57)/($A57*$E57)*(AL57/AL62*AL58)))</f>
        <v>0</v>
      </c>
      <c r="AM63" s="153">
        <f t="shared" ref="AM63" si="212">IF(AND($G57="",$H57=""),IF(AM62="",AM58,AM57/AM62*AM58),IF(AM58=0,0,($G57*$H57)/($A57*$E57)*(AM57/AM62*AM58)))</f>
        <v>0</v>
      </c>
      <c r="AN63" s="153">
        <f t="shared" ref="AN63" si="213">IF(AND($G57="",$H57=""),IF(AN62="",AN58,AN57/AN62*AN58),IF(AN58=0,0,($G57*$H57)/($A57*$E57)*(AN57/AN62*AN58)))</f>
        <v>0</v>
      </c>
      <c r="AO63" s="153">
        <f t="shared" ref="AO63" si="214">IF(AND($G57="",$H57=""),IF(AO62="",AO58,AO57/AO62*AO58),IF(AO58=0,0,($G57*$H57)/($A57*$E57)*(AO57/AO62*AO58)))</f>
        <v>0</v>
      </c>
      <c r="AP63" s="304"/>
      <c r="AQ63" s="260"/>
      <c r="AR63" s="243"/>
      <c r="AS63" s="243"/>
      <c r="AT63" s="243"/>
      <c r="AU63" s="236"/>
      <c r="AW63" s="307"/>
      <c r="AY63" s="455"/>
      <c r="AZ63" s="456"/>
      <c r="BA63" s="433"/>
    </row>
    <row r="64" spans="1:54" x14ac:dyDescent="0.25">
      <c r="A64" s="441"/>
      <c r="B64" s="443"/>
      <c r="C64" s="445"/>
      <c r="D64" s="445"/>
      <c r="E64" s="445"/>
      <c r="F64" s="445"/>
      <c r="G64" s="449"/>
      <c r="H64" s="449"/>
      <c r="I64" s="178" t="s">
        <v>255</v>
      </c>
      <c r="J64" s="187">
        <f>IF(OR($B57="N/A",J57="",J58="",J59=""),0,J61*J63)</f>
        <v>0</v>
      </c>
      <c r="K64" s="187">
        <f t="shared" ref="K64:Q64" si="215">IF(OR($B57="N/A",K57="",K58="",K59=""),0,K61*K63)</f>
        <v>0</v>
      </c>
      <c r="L64" s="187">
        <f t="shared" si="215"/>
        <v>0</v>
      </c>
      <c r="M64" s="187">
        <f t="shared" si="215"/>
        <v>0</v>
      </c>
      <c r="N64" s="187">
        <f t="shared" si="215"/>
        <v>0</v>
      </c>
      <c r="O64" s="187">
        <f t="shared" ref="O64:P64" si="216">IF(OR($B57="N/A",O57="",O58="",O59=""),0,O61*O63)</f>
        <v>0</v>
      </c>
      <c r="P64" s="187">
        <f t="shared" si="216"/>
        <v>0</v>
      </c>
      <c r="Q64" s="187">
        <f t="shared" si="215"/>
        <v>0</v>
      </c>
      <c r="R64" s="187">
        <f>SUM(J64:Q64)</f>
        <v>0</v>
      </c>
      <c r="S64" s="178" t="s">
        <v>255</v>
      </c>
      <c r="T64" s="187">
        <f>IF(OR($B57="N/A",T57="",T58="",T59=""),0,T61*T63)</f>
        <v>0</v>
      </c>
      <c r="U64" s="187">
        <f t="shared" ref="U64:Y64" si="217">IF(OR($B57="N/A",U57="",U58="",U59=""),0,U61*U63)</f>
        <v>0</v>
      </c>
      <c r="V64" s="187">
        <f t="shared" si="217"/>
        <v>0</v>
      </c>
      <c r="W64" s="187">
        <f t="shared" si="217"/>
        <v>0</v>
      </c>
      <c r="X64" s="187">
        <f t="shared" si="217"/>
        <v>0</v>
      </c>
      <c r="Y64" s="187">
        <f t="shared" si="217"/>
        <v>0</v>
      </c>
      <c r="Z64" s="187">
        <f>SUM(T64:Y64)</f>
        <v>0</v>
      </c>
      <c r="AA64" s="283"/>
      <c r="AB64" s="333" t="s">
        <v>256</v>
      </c>
      <c r="AC64" s="187">
        <f>IF(OR($B57="N/A",AC57="",AC58="",AC59=""),0,AC61*AC63)</f>
        <v>0</v>
      </c>
      <c r="AD64" s="187">
        <f t="shared" ref="AD64" si="218">IF(OR($B57="N/A",AD57="",AD58="",AD59=""),0,AD61*AD63)</f>
        <v>0</v>
      </c>
      <c r="AE64" s="187">
        <f t="shared" ref="AE64" si="219">IF(OR($B57="N/A",AE57="",AE58="",AE59=""),0,AE61*AE63)</f>
        <v>0</v>
      </c>
      <c r="AF64" s="187">
        <f t="shared" ref="AF64" si="220">IF(OR($B57="N/A",AF57="",AF58="",AF59=""),0,AF61*AF63)</f>
        <v>0</v>
      </c>
      <c r="AG64" s="187">
        <f t="shared" ref="AG64" si="221">IF(OR($B57="N/A",AG57="",AG58="",AG59=""),0,AG61*AG63)</f>
        <v>0</v>
      </c>
      <c r="AH64" s="187">
        <f t="shared" ref="AH64" si="222">IF(OR($B57="N/A",AH57="",AH58="",AH59=""),0,AH61*AH63)</f>
        <v>0</v>
      </c>
      <c r="AI64" s="333" t="s">
        <v>256</v>
      </c>
      <c r="AJ64" s="187">
        <f>IF(OR($B57="N/A",AJ57="",AJ58="",AJ59=""),0,AJ61*AJ63)</f>
        <v>0</v>
      </c>
      <c r="AK64" s="187">
        <f t="shared" ref="AK64" si="223">IF(OR($B57="N/A",AK57="",AK58="",AK59=""),0,AK61*AK63)</f>
        <v>0</v>
      </c>
      <c r="AL64" s="187">
        <f t="shared" ref="AL64" si="224">IF(OR($B57="N/A",AL57="",AL58="",AL59=""),0,AL61*AL63)</f>
        <v>0</v>
      </c>
      <c r="AM64" s="187">
        <f t="shared" ref="AM64" si="225">IF(OR($B57="N/A",AM57="",AM58="",AM59=""),0,AM61*AM63)</f>
        <v>0</v>
      </c>
      <c r="AN64" s="187">
        <f t="shared" ref="AN64" si="226">IF(OR($B57="N/A",AN57="",AN58="",AN59=""),0,AN61*AN63)</f>
        <v>0</v>
      </c>
      <c r="AO64" s="187">
        <f t="shared" ref="AO64" si="227">IF(OR($B57="N/A",AO57="",AO58="",AO59=""),0,AO61*AO63)</f>
        <v>0</v>
      </c>
      <c r="AP64" s="280">
        <f>SUM(AC64:AH64)+SUM(AJ64:AO64)+R64+Z64+AA64</f>
        <v>0</v>
      </c>
      <c r="AQ64" s="282"/>
      <c r="AR64" s="280">
        <f t="shared" ref="AR64" si="228">AP64+AQ64</f>
        <v>0</v>
      </c>
      <c r="AS64" s="141"/>
      <c r="AT64" s="281" t="str">
        <f>IF($B57="N/A","N/A",AR64/A57)</f>
        <v>N/A</v>
      </c>
      <c r="AU64" s="281" t="str">
        <f>IF($B57="N/A","N/A",AR64/(H57*A57/10000))</f>
        <v>N/A</v>
      </c>
      <c r="AW64" s="281" t="e">
        <f>R63</f>
        <v>#DIV/0!</v>
      </c>
      <c r="AY64" s="272" t="e">
        <f>AP64/AR64</f>
        <v>#DIV/0!</v>
      </c>
      <c r="AZ64" s="272" t="e">
        <f>AQ64/AR64</f>
        <v>#DIV/0!</v>
      </c>
      <c r="BA64" s="273" t="s">
        <v>227</v>
      </c>
      <c r="BB64" s="320">
        <f>AR64</f>
        <v>0</v>
      </c>
    </row>
    <row r="65" spans="1:54" x14ac:dyDescent="0.25">
      <c r="A65" s="220"/>
      <c r="B65" s="221"/>
      <c r="C65" s="222"/>
      <c r="D65" s="222"/>
      <c r="E65" s="222"/>
      <c r="F65" s="222"/>
      <c r="G65" s="222"/>
      <c r="H65" s="222"/>
      <c r="I65" s="163"/>
      <c r="J65" s="164"/>
      <c r="K65" s="164"/>
      <c r="L65" s="164"/>
      <c r="M65" s="164"/>
      <c r="N65" s="164"/>
      <c r="O65" s="164"/>
      <c r="P65" s="164"/>
      <c r="Q65" s="164"/>
      <c r="R65" s="164"/>
      <c r="S65" s="163"/>
      <c r="T65" s="164"/>
      <c r="U65" s="164"/>
      <c r="V65" s="164"/>
      <c r="W65" s="164"/>
      <c r="X65" s="164"/>
      <c r="Y65" s="164"/>
      <c r="Z65" s="164"/>
      <c r="AA65" s="264"/>
      <c r="AB65" s="163"/>
      <c r="AC65" s="164"/>
      <c r="AD65" s="164"/>
      <c r="AE65" s="164"/>
      <c r="AF65" s="164"/>
      <c r="AG65" s="164"/>
      <c r="AH65" s="164"/>
      <c r="AI65" s="308"/>
      <c r="AJ65" s="164"/>
      <c r="AK65" s="164"/>
      <c r="AL65" s="164"/>
      <c r="AM65" s="164"/>
      <c r="AN65" s="164"/>
      <c r="AO65" s="164"/>
      <c r="AP65" s="166"/>
      <c r="AQ65" s="259"/>
      <c r="AR65" s="166"/>
      <c r="AS65" s="166"/>
      <c r="AT65" s="167"/>
      <c r="AU65" s="167"/>
      <c r="AV65" s="168"/>
      <c r="AW65" s="167"/>
      <c r="AX65" s="168"/>
      <c r="AY65" s="169"/>
      <c r="AZ65" s="170"/>
      <c r="BA65" s="163"/>
    </row>
    <row r="66" spans="1:54" x14ac:dyDescent="0.25">
      <c r="A66" s="440">
        <f>'Fleet Inventory'!A13</f>
        <v>0</v>
      </c>
      <c r="B66" s="442" t="str">
        <f>IF('Fleet Inventory'!B13="","N/A",'Fleet Inventory'!B13)</f>
        <v>N/A</v>
      </c>
      <c r="C66" s="444">
        <f>'Fleet Inventory'!C13</f>
        <v>0</v>
      </c>
      <c r="D66" s="444">
        <f>'Fleet Inventory'!D13</f>
        <v>0</v>
      </c>
      <c r="E66" s="446">
        <f>'Fleet Inventory'!E13</f>
        <v>0</v>
      </c>
      <c r="F66" s="447">
        <f>'Fleet Inventory'!F13</f>
        <v>0</v>
      </c>
      <c r="G66" s="448"/>
      <c r="H66" s="448"/>
      <c r="I66" s="165" t="s">
        <v>238</v>
      </c>
      <c r="J66" s="177"/>
      <c r="K66" s="177"/>
      <c r="L66" s="177"/>
      <c r="M66" s="177"/>
      <c r="N66" s="177"/>
      <c r="O66" s="177"/>
      <c r="P66" s="177"/>
      <c r="Q66" s="177"/>
      <c r="R66" s="161" t="s">
        <v>100</v>
      </c>
      <c r="S66" s="165" t="s">
        <v>238</v>
      </c>
      <c r="T66" s="177"/>
      <c r="U66" s="177"/>
      <c r="V66" s="177"/>
      <c r="W66" s="177"/>
      <c r="X66" s="177"/>
      <c r="Y66" s="177"/>
      <c r="Z66" s="161" t="s">
        <v>100</v>
      </c>
      <c r="AA66" s="147"/>
      <c r="AB66" s="330" t="s">
        <v>276</v>
      </c>
      <c r="AC66" s="318"/>
      <c r="AD66" s="327"/>
      <c r="AE66" s="328"/>
      <c r="AF66" s="328"/>
      <c r="AG66" s="328"/>
      <c r="AH66" s="328"/>
      <c r="AI66" s="330" t="s">
        <v>275</v>
      </c>
      <c r="AJ66" s="318"/>
      <c r="AK66" s="327"/>
      <c r="AL66" s="328"/>
      <c r="AM66" s="328"/>
      <c r="AN66" s="328"/>
      <c r="AO66" s="328"/>
      <c r="AP66" s="238"/>
      <c r="AQ66" s="241"/>
      <c r="AR66" s="241"/>
      <c r="AS66" s="241"/>
      <c r="AT66" s="241"/>
      <c r="AU66" s="241"/>
      <c r="AV66" s="305"/>
      <c r="AW66" s="306"/>
      <c r="AY66" s="450"/>
      <c r="AZ66" s="450"/>
      <c r="BA66" s="427"/>
    </row>
    <row r="67" spans="1:54" x14ac:dyDescent="0.25">
      <c r="A67" s="440"/>
      <c r="B67" s="442"/>
      <c r="C67" s="444"/>
      <c r="D67" s="444"/>
      <c r="E67" s="444"/>
      <c r="F67" s="444"/>
      <c r="G67" s="448"/>
      <c r="H67" s="448"/>
      <c r="I67" s="165" t="s">
        <v>277</v>
      </c>
      <c r="J67" s="158"/>
      <c r="K67" s="158"/>
      <c r="L67" s="158"/>
      <c r="M67" s="158"/>
      <c r="N67" s="158"/>
      <c r="O67" s="158"/>
      <c r="P67" s="158"/>
      <c r="Q67" s="158"/>
      <c r="R67" s="297">
        <f>SUM(J67:Q67)</f>
        <v>0</v>
      </c>
      <c r="S67" s="165" t="s">
        <v>277</v>
      </c>
      <c r="T67" s="158"/>
      <c r="U67" s="158"/>
      <c r="V67" s="158"/>
      <c r="W67" s="158"/>
      <c r="X67" s="158"/>
      <c r="Y67" s="158"/>
      <c r="Z67" s="297">
        <f>SUM(T67:Y67)</f>
        <v>0</v>
      </c>
      <c r="AA67" s="261"/>
      <c r="AB67" s="330" t="s">
        <v>272</v>
      </c>
      <c r="AC67" s="329"/>
      <c r="AD67" s="329"/>
      <c r="AE67" s="329"/>
      <c r="AF67" s="329"/>
      <c r="AG67" s="329"/>
      <c r="AH67" s="329"/>
      <c r="AI67" s="330" t="s">
        <v>200</v>
      </c>
      <c r="AJ67" s="329"/>
      <c r="AK67" s="329"/>
      <c r="AL67" s="329"/>
      <c r="AM67" s="329"/>
      <c r="AN67" s="329"/>
      <c r="AO67" s="329"/>
      <c r="AP67" s="239"/>
      <c r="AQ67" s="242"/>
      <c r="AR67" s="242"/>
      <c r="AS67" s="242"/>
      <c r="AT67" s="242"/>
      <c r="AU67" s="242"/>
      <c r="AV67" s="305"/>
      <c r="AW67" s="171"/>
      <c r="AY67" s="451"/>
      <c r="AZ67" s="451"/>
      <c r="BA67" s="430"/>
    </row>
    <row r="68" spans="1:54" x14ac:dyDescent="0.25">
      <c r="A68" s="440"/>
      <c r="B68" s="442"/>
      <c r="C68" s="444"/>
      <c r="D68" s="444"/>
      <c r="E68" s="444"/>
      <c r="F68" s="444"/>
      <c r="G68" s="448"/>
      <c r="H68" s="448"/>
      <c r="I68" s="165" t="s">
        <v>201</v>
      </c>
      <c r="J68" s="158"/>
      <c r="K68" s="158"/>
      <c r="L68" s="158"/>
      <c r="M68" s="158"/>
      <c r="N68" s="158"/>
      <c r="O68" s="158"/>
      <c r="P68" s="158"/>
      <c r="Q68" s="158"/>
      <c r="R68" s="157" t="e">
        <f>AVERAGE(J68:Q68)</f>
        <v>#DIV/0!</v>
      </c>
      <c r="S68" s="165" t="s">
        <v>201</v>
      </c>
      <c r="T68" s="158"/>
      <c r="U68" s="158"/>
      <c r="V68" s="158"/>
      <c r="W68" s="158"/>
      <c r="X68" s="158"/>
      <c r="Y68" s="158"/>
      <c r="Z68" s="157" t="e">
        <f>AVERAGE(T68:Y68)</f>
        <v>#DIV/0!</v>
      </c>
      <c r="AA68" s="262"/>
      <c r="AB68" s="330" t="s">
        <v>201</v>
      </c>
      <c r="AC68" s="329"/>
      <c r="AD68" s="329"/>
      <c r="AE68" s="329"/>
      <c r="AF68" s="329"/>
      <c r="AG68" s="329"/>
      <c r="AH68" s="329"/>
      <c r="AI68" s="330" t="s">
        <v>201</v>
      </c>
      <c r="AJ68" s="329"/>
      <c r="AK68" s="329"/>
      <c r="AL68" s="329"/>
      <c r="AM68" s="329"/>
      <c r="AN68" s="329"/>
      <c r="AO68" s="329"/>
      <c r="AP68" s="240"/>
      <c r="AQ68" s="243"/>
      <c r="AR68" s="243"/>
      <c r="AS68" s="243"/>
      <c r="AT68" s="243"/>
      <c r="AU68" s="243"/>
      <c r="AV68" s="305"/>
      <c r="AW68" s="307"/>
      <c r="AY68" s="452"/>
      <c r="AZ68" s="452"/>
      <c r="BA68" s="433"/>
    </row>
    <row r="69" spans="1:54" x14ac:dyDescent="0.25">
      <c r="A69" s="441"/>
      <c r="B69" s="443"/>
      <c r="C69" s="445"/>
      <c r="D69" s="445"/>
      <c r="E69" s="445"/>
      <c r="F69" s="445"/>
      <c r="G69" s="449"/>
      <c r="H69" s="449"/>
      <c r="I69" s="267" t="s">
        <v>271</v>
      </c>
      <c r="J69" s="188">
        <f>IF(OR($B66="N/A",J66="",J67="",J68=""),0,J68*J67)</f>
        <v>0</v>
      </c>
      <c r="K69" s="188">
        <f t="shared" ref="K69:P69" si="229">IF(OR($B66="N/A",K66="",K67="",K68=""),0,K68*K67)</f>
        <v>0</v>
      </c>
      <c r="L69" s="188">
        <f t="shared" si="229"/>
        <v>0</v>
      </c>
      <c r="M69" s="188">
        <f t="shared" si="229"/>
        <v>0</v>
      </c>
      <c r="N69" s="188">
        <f t="shared" si="229"/>
        <v>0</v>
      </c>
      <c r="O69" s="188">
        <f t="shared" si="229"/>
        <v>0</v>
      </c>
      <c r="P69" s="188">
        <f t="shared" si="229"/>
        <v>0</v>
      </c>
      <c r="Q69" s="188">
        <f>IF(OR($B66="N/A",Q66="",Q67="",Q68=""),0,Q68*Q67)</f>
        <v>0</v>
      </c>
      <c r="R69" s="188">
        <f>SUM(J69:Q69)</f>
        <v>0</v>
      </c>
      <c r="S69" s="267" t="s">
        <v>271</v>
      </c>
      <c r="T69" s="188">
        <f>IF(OR($B66="N/A",T66="",T67="",T68=""),0,T68*T67)</f>
        <v>0</v>
      </c>
      <c r="U69" s="188">
        <f t="shared" ref="U69:Y69" si="230">IF(OR($B66="N/A",U66="",U67="",U68=""),0,U68*U67)</f>
        <v>0</v>
      </c>
      <c r="V69" s="188">
        <f t="shared" si="230"/>
        <v>0</v>
      </c>
      <c r="W69" s="188">
        <f t="shared" si="230"/>
        <v>0</v>
      </c>
      <c r="X69" s="188">
        <f t="shared" si="230"/>
        <v>0</v>
      </c>
      <c r="Y69" s="188">
        <f t="shared" si="230"/>
        <v>0</v>
      </c>
      <c r="Z69" s="188">
        <f>SUM(T69:Y69)</f>
        <v>0</v>
      </c>
      <c r="AA69" s="263"/>
      <c r="AB69" s="331" t="s">
        <v>152</v>
      </c>
      <c r="AC69" s="188">
        <f>IF(OR($B66="N/A",AC67="",AC68=""),0,AC68*AC67)</f>
        <v>0</v>
      </c>
      <c r="AD69" s="188">
        <f t="shared" ref="AD69" si="231">IF(OR($B66="N/A",AD67="",AD68=""),0,AD68*AD67)</f>
        <v>0</v>
      </c>
      <c r="AE69" s="188">
        <f>IF(OR($B66="N/A",AE67="",AE68=""),0,AE68*AE67)</f>
        <v>0</v>
      </c>
      <c r="AF69" s="188">
        <f t="shared" ref="AF69" si="232">IF(OR($B66="N/A",AF67="",AF68=""),0,AF68*AF67)</f>
        <v>0</v>
      </c>
      <c r="AG69" s="188">
        <f>IF(OR($B66="N/A",AG67="",AG68=""),0,AG68*AG67)</f>
        <v>0</v>
      </c>
      <c r="AH69" s="188">
        <f t="shared" ref="AH69" si="233">IF(OR($B66="N/A",AH67="",AH68=""),0,AH68*AH67)</f>
        <v>0</v>
      </c>
      <c r="AI69" s="331" t="s">
        <v>152</v>
      </c>
      <c r="AJ69" s="188">
        <f>IF(OR($B66="N/A",AJ67="",AJ68=""),0,AJ68*AJ67)</f>
        <v>0</v>
      </c>
      <c r="AK69" s="188">
        <f t="shared" ref="AK69" si="234">IF(OR($B66="N/A",AK67="",AK68=""),0,AK68*AK67)</f>
        <v>0</v>
      </c>
      <c r="AL69" s="188">
        <f>IF(OR($B66="N/A",AL67="",AL68=""),0,AL68*AL67)</f>
        <v>0</v>
      </c>
      <c r="AM69" s="188">
        <f t="shared" ref="AM69" si="235">IF(OR($B66="N/A",AM67="",AM68=""),0,AM68*AM67)</f>
        <v>0</v>
      </c>
      <c r="AN69" s="188">
        <f>IF(OR($B66="N/A",AN67="",AN68=""),0,AN68*AN67)</f>
        <v>0</v>
      </c>
      <c r="AO69" s="188">
        <f t="shared" ref="AO69" si="236">IF(OR($B66="N/A",AO67="",AO68=""),0,AO68*AO67)</f>
        <v>0</v>
      </c>
      <c r="AP69" s="279">
        <f>SUM(AC69:AH69)+SUM(AJ69:AO69)+R69+Z69+AA69</f>
        <v>0</v>
      </c>
      <c r="AQ69" s="258"/>
      <c r="AR69" s="277">
        <f>AP69+AQ69</f>
        <v>0</v>
      </c>
      <c r="AS69" s="237"/>
      <c r="AT69" s="278" t="e">
        <f>IF($B67="N/A","N/A",AR69/A66)</f>
        <v>#DIV/0!</v>
      </c>
      <c r="AU69" s="278" t="e">
        <f>IF($B67="N/A","N/A",AR69/(E66*A66/10000))</f>
        <v>#DIV/0!</v>
      </c>
      <c r="AW69" s="278">
        <f>R67</f>
        <v>0</v>
      </c>
      <c r="AY69" s="244" t="e">
        <f>AP69/AR69</f>
        <v>#DIV/0!</v>
      </c>
      <c r="AZ69" s="244" t="e">
        <f>AQ69/AR69</f>
        <v>#DIV/0!</v>
      </c>
      <c r="BA69" s="245" t="s">
        <v>217</v>
      </c>
      <c r="BB69" s="319">
        <f>AR69</f>
        <v>0</v>
      </c>
    </row>
    <row r="70" spans="1:54" x14ac:dyDescent="0.25">
      <c r="A70" s="441"/>
      <c r="B70" s="443"/>
      <c r="C70" s="445"/>
      <c r="D70" s="445"/>
      <c r="E70" s="445"/>
      <c r="F70" s="445"/>
      <c r="G70" s="449"/>
      <c r="H70" s="449"/>
      <c r="I70" s="284" t="s">
        <v>226</v>
      </c>
      <c r="J70" s="285"/>
      <c r="K70" s="285"/>
      <c r="L70" s="285"/>
      <c r="M70" s="285"/>
      <c r="N70" s="285"/>
      <c r="O70" s="285"/>
      <c r="P70" s="285"/>
      <c r="Q70" s="285"/>
      <c r="R70" s="157" t="e">
        <f>AVERAGE(J70:Q70)</f>
        <v>#DIV/0!</v>
      </c>
      <c r="S70" s="284" t="s">
        <v>226</v>
      </c>
      <c r="T70" s="285"/>
      <c r="U70" s="285"/>
      <c r="V70" s="285"/>
      <c r="W70" s="285"/>
      <c r="X70" s="285"/>
      <c r="Y70" s="285"/>
      <c r="Z70" s="157" t="e">
        <f>AVERAGE(T70:Y70)</f>
        <v>#DIV/0!</v>
      </c>
      <c r="AA70" s="298"/>
      <c r="AB70" s="332" t="s">
        <v>226</v>
      </c>
      <c r="AC70" s="285"/>
      <c r="AD70" s="285"/>
      <c r="AE70" s="285"/>
      <c r="AF70" s="285"/>
      <c r="AG70" s="285"/>
      <c r="AH70" s="285"/>
      <c r="AI70" s="332" t="s">
        <v>226</v>
      </c>
      <c r="AJ70" s="285"/>
      <c r="AK70" s="285"/>
      <c r="AL70" s="285"/>
      <c r="AM70" s="285"/>
      <c r="AN70" s="285"/>
      <c r="AO70" s="285"/>
      <c r="AP70" s="301"/>
      <c r="AQ70" s="301"/>
      <c r="AR70" s="302"/>
      <c r="AS70" s="302"/>
      <c r="AT70" s="302"/>
      <c r="AU70" s="303"/>
      <c r="AW70" s="171"/>
      <c r="AY70" s="453"/>
      <c r="AZ70" s="454"/>
      <c r="BA70" s="427"/>
    </row>
    <row r="71" spans="1:54" x14ac:dyDescent="0.25">
      <c r="A71" s="441"/>
      <c r="B71" s="443"/>
      <c r="C71" s="445"/>
      <c r="D71" s="445"/>
      <c r="E71" s="445"/>
      <c r="F71" s="445"/>
      <c r="G71" s="449"/>
      <c r="H71" s="449"/>
      <c r="I71" s="163"/>
      <c r="J71" s="164"/>
      <c r="K71" s="164"/>
      <c r="L71" s="164"/>
      <c r="M71" s="164"/>
      <c r="N71" s="164"/>
      <c r="O71" s="164"/>
      <c r="P71" s="164"/>
      <c r="Q71" s="164"/>
      <c r="R71" s="164"/>
      <c r="S71" s="163"/>
      <c r="T71" s="164"/>
      <c r="U71" s="164"/>
      <c r="V71" s="164"/>
      <c r="W71" s="164"/>
      <c r="X71" s="164"/>
      <c r="Y71" s="164"/>
      <c r="Z71" s="164"/>
      <c r="AA71" s="350"/>
      <c r="AB71" s="332" t="s">
        <v>322</v>
      </c>
      <c r="AC71" s="351"/>
      <c r="AD71" s="351"/>
      <c r="AE71" s="351"/>
      <c r="AF71" s="351"/>
      <c r="AG71" s="351"/>
      <c r="AH71" s="351"/>
      <c r="AI71" s="332" t="s">
        <v>323</v>
      </c>
      <c r="AJ71" s="285"/>
      <c r="AK71" s="285"/>
      <c r="AL71" s="285"/>
      <c r="AM71" s="285"/>
      <c r="AN71" s="285"/>
      <c r="AO71" s="285"/>
      <c r="AP71" s="352"/>
      <c r="AQ71" s="352"/>
      <c r="AR71" s="353"/>
      <c r="AS71" s="353"/>
      <c r="AT71" s="353"/>
      <c r="AU71" s="354"/>
      <c r="AW71" s="171"/>
      <c r="AY71" s="355"/>
      <c r="AZ71" s="356"/>
      <c r="BA71" s="349"/>
    </row>
    <row r="72" spans="1:54" x14ac:dyDescent="0.25">
      <c r="A72" s="441"/>
      <c r="B72" s="443"/>
      <c r="C72" s="445"/>
      <c r="D72" s="445"/>
      <c r="E72" s="445"/>
      <c r="F72" s="445"/>
      <c r="G72" s="449"/>
      <c r="H72" s="449"/>
      <c r="I72" s="178" t="s">
        <v>237</v>
      </c>
      <c r="J72" s="153">
        <f t="shared" ref="J72:Q72" si="237">IF(AND($G66="",$H66=""),J67,($H66*$G66)/($E66*$A66)*J67)</f>
        <v>0</v>
      </c>
      <c r="K72" s="153">
        <f t="shared" si="237"/>
        <v>0</v>
      </c>
      <c r="L72" s="153">
        <f t="shared" si="237"/>
        <v>0</v>
      </c>
      <c r="M72" s="153">
        <f t="shared" si="237"/>
        <v>0</v>
      </c>
      <c r="N72" s="153">
        <f t="shared" si="237"/>
        <v>0</v>
      </c>
      <c r="O72" s="153">
        <f t="shared" ref="O72:P72" si="238">IF(AND($G66="",$H66=""),O67,($H66*$G66)/($E66*$A66)*O67)</f>
        <v>0</v>
      </c>
      <c r="P72" s="153">
        <f t="shared" si="238"/>
        <v>0</v>
      </c>
      <c r="Q72" s="153">
        <f t="shared" si="237"/>
        <v>0</v>
      </c>
      <c r="R72" s="153" t="e">
        <f>($H66*$G66)/($E66*$A66)*R67</f>
        <v>#DIV/0!</v>
      </c>
      <c r="S72" s="178" t="s">
        <v>237</v>
      </c>
      <c r="T72" s="153">
        <f t="shared" ref="T72:Z72" si="239">IF($G66="",T67,($G66/$A66)*T67)</f>
        <v>0</v>
      </c>
      <c r="U72" s="153">
        <f t="shared" si="239"/>
        <v>0</v>
      </c>
      <c r="V72" s="153">
        <f t="shared" si="239"/>
        <v>0</v>
      </c>
      <c r="W72" s="153">
        <f t="shared" si="239"/>
        <v>0</v>
      </c>
      <c r="X72" s="153">
        <f t="shared" si="239"/>
        <v>0</v>
      </c>
      <c r="Y72" s="153">
        <f t="shared" si="239"/>
        <v>0</v>
      </c>
      <c r="Z72" s="153">
        <f t="shared" si="239"/>
        <v>0</v>
      </c>
      <c r="AA72" s="262"/>
      <c r="AB72" s="333" t="s">
        <v>240</v>
      </c>
      <c r="AC72" s="153">
        <f>IF($G66="",IF(AC71="",AC67,AC66/AC71*AC67),IF(AC67=0,0,$G66/$A66*AC66/AC71*AC67))</f>
        <v>0</v>
      </c>
      <c r="AD72" s="153">
        <f t="shared" ref="AD72" si="240">IF($G66="",IF(AD71="",AD67,AD66/AD71*AD67),IF(AD67=0,0,$G66/$A66*AD66/AD71*AD67))</f>
        <v>0</v>
      </c>
      <c r="AE72" s="153">
        <f t="shared" ref="AE72" si="241">IF($G66="",IF(AE71="",AE67,AE66/AE71*AE67),IF(AE67=0,0,$G66/$A66*AE66/AE71*AE67))</f>
        <v>0</v>
      </c>
      <c r="AF72" s="153">
        <f t="shared" ref="AF72" si="242">IF($G66="",IF(AF71="",AF67,AF66/AF71*AF67),IF(AF67=0,0,$G66/$A66*AF66/AF71*AF67))</f>
        <v>0</v>
      </c>
      <c r="AG72" s="153">
        <f t="shared" ref="AG72" si="243">IF($G66="",IF(AG71="",AG67,AG66/AG71*AG67),IF(AG67=0,0,$G66/$A66*AG66/AG71*AG67))</f>
        <v>0</v>
      </c>
      <c r="AH72" s="153">
        <f t="shared" ref="AH72" si="244">IF($G66="",IF(AH71="",AH67,AH66/AH71*AH67),IF(AH67=0,0,$G66/$A66*AH66/AH71*AH67))</f>
        <v>0</v>
      </c>
      <c r="AI72" s="333" t="s">
        <v>240</v>
      </c>
      <c r="AJ72" s="153">
        <f>IF(AND($G66="",$H66=""),IF(AJ71="",AJ67,AJ66/AJ71*AJ67),IF(AJ67=0,0,($G66*$H66)/($A66*$E66)*(AJ66/AJ71*AJ67)))</f>
        <v>0</v>
      </c>
      <c r="AK72" s="153">
        <f t="shared" ref="AK72" si="245">IF(AND($G66="",$H66=""),IF(AK71="",AK67,AK66/AK71*AK67),IF(AK67=0,0,($G66*$H66)/($A66*$E66)*(AK66/AK71*AK67)))</f>
        <v>0</v>
      </c>
      <c r="AL72" s="153">
        <f t="shared" ref="AL72" si="246">IF(AND($G66="",$H66=""),IF(AL71="",AL67,AL66/AL71*AL67),IF(AL67=0,0,($G66*$H66)/($A66*$E66)*(AL66/AL71*AL67)))</f>
        <v>0</v>
      </c>
      <c r="AM72" s="153">
        <f t="shared" ref="AM72" si="247">IF(AND($G66="",$H66=""),IF(AM71="",AM67,AM66/AM71*AM67),IF(AM67=0,0,($G66*$H66)/($A66*$E66)*(AM66/AM71*AM67)))</f>
        <v>0</v>
      </c>
      <c r="AN72" s="153">
        <f t="shared" ref="AN72" si="248">IF(AND($G66="",$H66=""),IF(AN71="",AN67,AN66/AN71*AN67),IF(AN67=0,0,($G66*$H66)/($A66*$E66)*(AN66/AN71*AN67)))</f>
        <v>0</v>
      </c>
      <c r="AO72" s="153">
        <f t="shared" ref="AO72" si="249">IF(AND($G66="",$H66=""),IF(AO71="",AO67,AO66/AO71*AO67),IF(AO67=0,0,($G66*$H66)/($A66*$E66)*(AO66/AO71*AO67)))</f>
        <v>0</v>
      </c>
      <c r="AP72" s="304"/>
      <c r="AQ72" s="260"/>
      <c r="AR72" s="243"/>
      <c r="AS72" s="243"/>
      <c r="AT72" s="243"/>
      <c r="AU72" s="236"/>
      <c r="AW72" s="307"/>
      <c r="AY72" s="455"/>
      <c r="AZ72" s="456"/>
      <c r="BA72" s="433"/>
    </row>
    <row r="73" spans="1:54" x14ac:dyDescent="0.25">
      <c r="A73" s="441"/>
      <c r="B73" s="443"/>
      <c r="C73" s="445"/>
      <c r="D73" s="445"/>
      <c r="E73" s="445"/>
      <c r="F73" s="445"/>
      <c r="G73" s="449"/>
      <c r="H73" s="449"/>
      <c r="I73" s="178" t="s">
        <v>255</v>
      </c>
      <c r="J73" s="187">
        <f>IF(OR($B66="N/A",J66="",J67="",J68=""),0,J70*J72)</f>
        <v>0</v>
      </c>
      <c r="K73" s="187">
        <f t="shared" ref="K73:Q73" si="250">IF(OR($B66="N/A",K66="",K67="",K68=""),0,K70*K72)</f>
        <v>0</v>
      </c>
      <c r="L73" s="187">
        <f t="shared" si="250"/>
        <v>0</v>
      </c>
      <c r="M73" s="187">
        <f t="shared" si="250"/>
        <v>0</v>
      </c>
      <c r="N73" s="187">
        <f t="shared" si="250"/>
        <v>0</v>
      </c>
      <c r="O73" s="187">
        <f t="shared" ref="O73:P73" si="251">IF(OR($B66="N/A",O66="",O67="",O68=""),0,O70*O72)</f>
        <v>0</v>
      </c>
      <c r="P73" s="187">
        <f t="shared" si="251"/>
        <v>0</v>
      </c>
      <c r="Q73" s="187">
        <f t="shared" si="250"/>
        <v>0</v>
      </c>
      <c r="R73" s="187">
        <f>SUM(J73:Q73)</f>
        <v>0</v>
      </c>
      <c r="S73" s="178" t="s">
        <v>255</v>
      </c>
      <c r="T73" s="187">
        <f>IF(OR($B66="N/A",T66="",T67="",T68=""),0,T70*T72)</f>
        <v>0</v>
      </c>
      <c r="U73" s="187">
        <f t="shared" ref="U73:Y73" si="252">IF(OR($B66="N/A",U66="",U67="",U68=""),0,U70*U72)</f>
        <v>0</v>
      </c>
      <c r="V73" s="187">
        <f t="shared" si="252"/>
        <v>0</v>
      </c>
      <c r="W73" s="187">
        <f t="shared" si="252"/>
        <v>0</v>
      </c>
      <c r="X73" s="187">
        <f t="shared" si="252"/>
        <v>0</v>
      </c>
      <c r="Y73" s="187">
        <f t="shared" si="252"/>
        <v>0</v>
      </c>
      <c r="Z73" s="187">
        <f>SUM(T73:Y73)</f>
        <v>0</v>
      </c>
      <c r="AA73" s="283"/>
      <c r="AB73" s="333" t="s">
        <v>256</v>
      </c>
      <c r="AC73" s="187">
        <f>IF(OR($B66="N/A",AC66="",AC67="",AC68=""),0,AC70*AC72)</f>
        <v>0</v>
      </c>
      <c r="AD73" s="187">
        <f t="shared" ref="AD73" si="253">IF(OR($B66="N/A",AD66="",AD67="",AD68=""),0,AD70*AD72)</f>
        <v>0</v>
      </c>
      <c r="AE73" s="187">
        <f t="shared" ref="AE73" si="254">IF(OR($B66="N/A",AE66="",AE67="",AE68=""),0,AE70*AE72)</f>
        <v>0</v>
      </c>
      <c r="AF73" s="187">
        <f t="shared" ref="AF73" si="255">IF(OR($B66="N/A",AF66="",AF67="",AF68=""),0,AF70*AF72)</f>
        <v>0</v>
      </c>
      <c r="AG73" s="187">
        <f t="shared" ref="AG73" si="256">IF(OR($B66="N/A",AG66="",AG67="",AG68=""),0,AG70*AG72)</f>
        <v>0</v>
      </c>
      <c r="AH73" s="187">
        <f t="shared" ref="AH73" si="257">IF(OR($B66="N/A",AH66="",AH67="",AH68=""),0,AH70*AH72)</f>
        <v>0</v>
      </c>
      <c r="AI73" s="333" t="s">
        <v>256</v>
      </c>
      <c r="AJ73" s="187">
        <f>IF(OR($B66="N/A",AJ66="",AJ67="",AJ68=""),0,AJ70*AJ72)</f>
        <v>0</v>
      </c>
      <c r="AK73" s="187">
        <f t="shared" ref="AK73" si="258">IF(OR($B66="N/A",AK66="",AK67="",AK68=""),0,AK70*AK72)</f>
        <v>0</v>
      </c>
      <c r="AL73" s="187">
        <f t="shared" ref="AL73" si="259">IF(OR($B66="N/A",AL66="",AL67="",AL68=""),0,AL70*AL72)</f>
        <v>0</v>
      </c>
      <c r="AM73" s="187">
        <f t="shared" ref="AM73" si="260">IF(OR($B66="N/A",AM66="",AM67="",AM68=""),0,AM70*AM72)</f>
        <v>0</v>
      </c>
      <c r="AN73" s="187">
        <f t="shared" ref="AN73" si="261">IF(OR($B66="N/A",AN66="",AN67="",AN68=""),0,AN70*AN72)</f>
        <v>0</v>
      </c>
      <c r="AO73" s="187">
        <f t="shared" ref="AO73" si="262">IF(OR($B66="N/A",AO66="",AO67="",AO68=""),0,AO70*AO72)</f>
        <v>0</v>
      </c>
      <c r="AP73" s="280">
        <f>SUM(AC73:AH73)+SUM(AJ73:AO73)+R73+Z73+AA73</f>
        <v>0</v>
      </c>
      <c r="AQ73" s="282"/>
      <c r="AR73" s="280">
        <f t="shared" ref="AR73" si="263">AP73+AQ73</f>
        <v>0</v>
      </c>
      <c r="AS73" s="141"/>
      <c r="AT73" s="281" t="str">
        <f>IF($B66="N/A","N/A",AR73/A66)</f>
        <v>N/A</v>
      </c>
      <c r="AU73" s="281" t="str">
        <f>IF($B66="N/A","N/A",AR73/(H66*A66/10000))</f>
        <v>N/A</v>
      </c>
      <c r="AW73" s="281" t="e">
        <f>R72</f>
        <v>#DIV/0!</v>
      </c>
      <c r="AY73" s="272" t="e">
        <f>AP73/AR73</f>
        <v>#DIV/0!</v>
      </c>
      <c r="AZ73" s="272" t="e">
        <f>AQ73/AR73</f>
        <v>#DIV/0!</v>
      </c>
      <c r="BA73" s="273" t="s">
        <v>227</v>
      </c>
      <c r="BB73" s="320">
        <f>AR73</f>
        <v>0</v>
      </c>
    </row>
    <row r="74" spans="1:54" x14ac:dyDescent="0.25">
      <c r="A74" s="220"/>
      <c r="B74" s="221"/>
      <c r="C74" s="222"/>
      <c r="D74" s="222"/>
      <c r="E74" s="222"/>
      <c r="F74" s="222"/>
      <c r="G74" s="222"/>
      <c r="H74" s="222"/>
      <c r="I74" s="163"/>
      <c r="J74" s="164"/>
      <c r="K74" s="164"/>
      <c r="L74" s="164"/>
      <c r="M74" s="164"/>
      <c r="N74" s="164"/>
      <c r="O74" s="164"/>
      <c r="P74" s="164"/>
      <c r="Q74" s="164"/>
      <c r="R74" s="164"/>
      <c r="S74" s="163"/>
      <c r="T74" s="164"/>
      <c r="U74" s="164"/>
      <c r="V74" s="164"/>
      <c r="W74" s="164"/>
      <c r="X74" s="164"/>
      <c r="Y74" s="164"/>
      <c r="Z74" s="164"/>
      <c r="AA74" s="264"/>
      <c r="AB74" s="163"/>
      <c r="AC74" s="164"/>
      <c r="AD74" s="164"/>
      <c r="AE74" s="164"/>
      <c r="AF74" s="164"/>
      <c r="AG74" s="164"/>
      <c r="AH74" s="164"/>
      <c r="AI74" s="308"/>
      <c r="AJ74" s="164"/>
      <c r="AK74" s="164"/>
      <c r="AL74" s="164"/>
      <c r="AM74" s="164"/>
      <c r="AN74" s="164"/>
      <c r="AO74" s="164"/>
      <c r="AP74" s="166"/>
      <c r="AQ74" s="259"/>
      <c r="AR74" s="166"/>
      <c r="AS74" s="166"/>
      <c r="AT74" s="167"/>
      <c r="AU74" s="167"/>
      <c r="AV74" s="168"/>
      <c r="AW74" s="167"/>
      <c r="AX74" s="168"/>
      <c r="AY74" s="169"/>
      <c r="AZ74" s="170"/>
      <c r="BA74" s="163"/>
    </row>
    <row r="75" spans="1:54" x14ac:dyDescent="0.25">
      <c r="A75" s="440">
        <f>'Fleet Inventory'!A14</f>
        <v>0</v>
      </c>
      <c r="B75" s="442" t="str">
        <f>IF('Fleet Inventory'!B14="","N/A",'Fleet Inventory'!B14)</f>
        <v>N/A</v>
      </c>
      <c r="C75" s="444">
        <f>'Fleet Inventory'!C14</f>
        <v>0</v>
      </c>
      <c r="D75" s="444">
        <f>'Fleet Inventory'!D14</f>
        <v>0</v>
      </c>
      <c r="E75" s="446">
        <f>'Fleet Inventory'!E14</f>
        <v>0</v>
      </c>
      <c r="F75" s="447">
        <f>'Fleet Inventory'!F14</f>
        <v>0</v>
      </c>
      <c r="G75" s="448"/>
      <c r="H75" s="448"/>
      <c r="I75" s="165" t="s">
        <v>238</v>
      </c>
      <c r="J75" s="177"/>
      <c r="K75" s="177"/>
      <c r="L75" s="177"/>
      <c r="M75" s="177"/>
      <c r="N75" s="177"/>
      <c r="O75" s="177"/>
      <c r="P75" s="177"/>
      <c r="Q75" s="177"/>
      <c r="R75" s="161" t="s">
        <v>100</v>
      </c>
      <c r="S75" s="165" t="s">
        <v>238</v>
      </c>
      <c r="T75" s="177"/>
      <c r="U75" s="177"/>
      <c r="V75" s="177"/>
      <c r="W75" s="177"/>
      <c r="X75" s="177"/>
      <c r="Y75" s="177"/>
      <c r="Z75" s="161" t="s">
        <v>100</v>
      </c>
      <c r="AA75" s="147"/>
      <c r="AB75" s="330" t="s">
        <v>276</v>
      </c>
      <c r="AC75" s="318"/>
      <c r="AD75" s="327"/>
      <c r="AE75" s="328"/>
      <c r="AF75" s="328"/>
      <c r="AG75" s="328"/>
      <c r="AH75" s="328"/>
      <c r="AI75" s="330" t="s">
        <v>275</v>
      </c>
      <c r="AJ75" s="318"/>
      <c r="AK75" s="327"/>
      <c r="AL75" s="328"/>
      <c r="AM75" s="328"/>
      <c r="AN75" s="328"/>
      <c r="AO75" s="328"/>
      <c r="AP75" s="238"/>
      <c r="AQ75" s="241"/>
      <c r="AR75" s="241"/>
      <c r="AS75" s="241"/>
      <c r="AT75" s="241"/>
      <c r="AU75" s="241"/>
      <c r="AV75" s="305"/>
      <c r="AW75" s="306"/>
      <c r="AY75" s="450"/>
      <c r="AZ75" s="450"/>
      <c r="BA75" s="427"/>
    </row>
    <row r="76" spans="1:54" x14ac:dyDescent="0.25">
      <c r="A76" s="440"/>
      <c r="B76" s="442"/>
      <c r="C76" s="444"/>
      <c r="D76" s="444"/>
      <c r="E76" s="444"/>
      <c r="F76" s="444"/>
      <c r="G76" s="448"/>
      <c r="H76" s="448"/>
      <c r="I76" s="165" t="s">
        <v>277</v>
      </c>
      <c r="J76" s="158"/>
      <c r="K76" s="158"/>
      <c r="L76" s="158"/>
      <c r="M76" s="158"/>
      <c r="N76" s="158"/>
      <c r="O76" s="158"/>
      <c r="P76" s="158"/>
      <c r="Q76" s="158"/>
      <c r="R76" s="297">
        <f>SUM(J76:Q76)</f>
        <v>0</v>
      </c>
      <c r="S76" s="165" t="s">
        <v>277</v>
      </c>
      <c r="T76" s="158"/>
      <c r="U76" s="158"/>
      <c r="V76" s="158"/>
      <c r="W76" s="158"/>
      <c r="X76" s="158"/>
      <c r="Y76" s="158"/>
      <c r="Z76" s="297">
        <f>SUM(T76:Y76)</f>
        <v>0</v>
      </c>
      <c r="AA76" s="261"/>
      <c r="AB76" s="330" t="s">
        <v>272</v>
      </c>
      <c r="AC76" s="329"/>
      <c r="AD76" s="329"/>
      <c r="AE76" s="329"/>
      <c r="AF76" s="329"/>
      <c r="AG76" s="329"/>
      <c r="AH76" s="329"/>
      <c r="AI76" s="330" t="s">
        <v>200</v>
      </c>
      <c r="AJ76" s="329"/>
      <c r="AK76" s="329"/>
      <c r="AL76" s="329"/>
      <c r="AM76" s="329"/>
      <c r="AN76" s="329"/>
      <c r="AO76" s="329"/>
      <c r="AP76" s="239"/>
      <c r="AQ76" s="242"/>
      <c r="AR76" s="242"/>
      <c r="AS76" s="242"/>
      <c r="AT76" s="242"/>
      <c r="AU76" s="242"/>
      <c r="AV76" s="305"/>
      <c r="AW76" s="171"/>
      <c r="AY76" s="451"/>
      <c r="AZ76" s="451"/>
      <c r="BA76" s="430"/>
    </row>
    <row r="77" spans="1:54" x14ac:dyDescent="0.25">
      <c r="A77" s="440"/>
      <c r="B77" s="442"/>
      <c r="C77" s="444"/>
      <c r="D77" s="444"/>
      <c r="E77" s="444"/>
      <c r="F77" s="444"/>
      <c r="G77" s="448"/>
      <c r="H77" s="448"/>
      <c r="I77" s="165" t="s">
        <v>201</v>
      </c>
      <c r="J77" s="158"/>
      <c r="K77" s="158"/>
      <c r="L77" s="158"/>
      <c r="M77" s="158"/>
      <c r="N77" s="158"/>
      <c r="O77" s="158"/>
      <c r="P77" s="158"/>
      <c r="Q77" s="158"/>
      <c r="R77" s="157" t="e">
        <f>AVERAGE(J77:Q77)</f>
        <v>#DIV/0!</v>
      </c>
      <c r="S77" s="165" t="s">
        <v>201</v>
      </c>
      <c r="T77" s="158"/>
      <c r="U77" s="158"/>
      <c r="V77" s="158"/>
      <c r="W77" s="158"/>
      <c r="X77" s="158"/>
      <c r="Y77" s="158"/>
      <c r="Z77" s="157" t="e">
        <f>AVERAGE(T77:Y77)</f>
        <v>#DIV/0!</v>
      </c>
      <c r="AA77" s="262"/>
      <c r="AB77" s="330" t="s">
        <v>201</v>
      </c>
      <c r="AC77" s="329"/>
      <c r="AD77" s="329"/>
      <c r="AE77" s="329"/>
      <c r="AF77" s="329"/>
      <c r="AG77" s="329"/>
      <c r="AH77" s="329"/>
      <c r="AI77" s="330" t="s">
        <v>201</v>
      </c>
      <c r="AJ77" s="329"/>
      <c r="AK77" s="329"/>
      <c r="AL77" s="329"/>
      <c r="AM77" s="329"/>
      <c r="AN77" s="329"/>
      <c r="AO77" s="329"/>
      <c r="AP77" s="240"/>
      <c r="AQ77" s="243"/>
      <c r="AR77" s="243"/>
      <c r="AS77" s="243"/>
      <c r="AT77" s="243"/>
      <c r="AU77" s="243"/>
      <c r="AV77" s="305"/>
      <c r="AW77" s="307"/>
      <c r="AY77" s="452"/>
      <c r="AZ77" s="452"/>
      <c r="BA77" s="433"/>
    </row>
    <row r="78" spans="1:54" x14ac:dyDescent="0.25">
      <c r="A78" s="441"/>
      <c r="B78" s="443"/>
      <c r="C78" s="445"/>
      <c r="D78" s="445"/>
      <c r="E78" s="445"/>
      <c r="F78" s="445"/>
      <c r="G78" s="449"/>
      <c r="H78" s="449"/>
      <c r="I78" s="267" t="s">
        <v>271</v>
      </c>
      <c r="J78" s="188">
        <f>IF(OR($B75="N/A",J75="",J76="",J77=""),0,J77*J76)</f>
        <v>0</v>
      </c>
      <c r="K78" s="188">
        <f t="shared" ref="K78:P78" si="264">IF(OR($B75="N/A",K75="",K76="",K77=""),0,K77*K76)</f>
        <v>0</v>
      </c>
      <c r="L78" s="188">
        <f t="shared" si="264"/>
        <v>0</v>
      </c>
      <c r="M78" s="188">
        <f t="shared" si="264"/>
        <v>0</v>
      </c>
      <c r="N78" s="188">
        <f t="shared" si="264"/>
        <v>0</v>
      </c>
      <c r="O78" s="188">
        <f t="shared" si="264"/>
        <v>0</v>
      </c>
      <c r="P78" s="188">
        <f t="shared" si="264"/>
        <v>0</v>
      </c>
      <c r="Q78" s="188">
        <f>IF(OR($B75="N/A",Q75="",Q76="",Q77=""),0,Q77*Q76)</f>
        <v>0</v>
      </c>
      <c r="R78" s="188">
        <f>SUM(J78:Q78)</f>
        <v>0</v>
      </c>
      <c r="S78" s="267" t="s">
        <v>271</v>
      </c>
      <c r="T78" s="188">
        <f>IF(OR($B75="N/A",T75="",T76="",T77=""),0,T77*T76)</f>
        <v>0</v>
      </c>
      <c r="U78" s="188">
        <f t="shared" ref="U78:Y78" si="265">IF(OR($B75="N/A",U75="",U76="",U77=""),0,U77*U76)</f>
        <v>0</v>
      </c>
      <c r="V78" s="188">
        <f t="shared" si="265"/>
        <v>0</v>
      </c>
      <c r="W78" s="188">
        <f t="shared" si="265"/>
        <v>0</v>
      </c>
      <c r="X78" s="188">
        <f t="shared" si="265"/>
        <v>0</v>
      </c>
      <c r="Y78" s="188">
        <f t="shared" si="265"/>
        <v>0</v>
      </c>
      <c r="Z78" s="188">
        <f>SUM(T78:Y78)</f>
        <v>0</v>
      </c>
      <c r="AA78" s="263"/>
      <c r="AB78" s="331" t="s">
        <v>152</v>
      </c>
      <c r="AC78" s="188">
        <f>IF(OR($B75="N/A",AC76="",AC77=""),0,AC77*AC76)</f>
        <v>0</v>
      </c>
      <c r="AD78" s="188">
        <f t="shared" ref="AD78" si="266">IF(OR($B75="N/A",AD76="",AD77=""),0,AD77*AD76)</f>
        <v>0</v>
      </c>
      <c r="AE78" s="188">
        <f>IF(OR($B75="N/A",AE76="",AE77=""),0,AE77*AE76)</f>
        <v>0</v>
      </c>
      <c r="AF78" s="188">
        <f t="shared" ref="AF78" si="267">IF(OR($B75="N/A",AF76="",AF77=""),0,AF77*AF76)</f>
        <v>0</v>
      </c>
      <c r="AG78" s="188">
        <f>IF(OR($B75="N/A",AG76="",AG77=""),0,AG77*AG76)</f>
        <v>0</v>
      </c>
      <c r="AH78" s="188">
        <f t="shared" ref="AH78" si="268">IF(OR($B75="N/A",AH76="",AH77=""),0,AH77*AH76)</f>
        <v>0</v>
      </c>
      <c r="AI78" s="331" t="s">
        <v>152</v>
      </c>
      <c r="AJ78" s="188">
        <f>IF(OR($B75="N/A",AJ76="",AJ77=""),0,AJ77*AJ76)</f>
        <v>0</v>
      </c>
      <c r="AK78" s="188">
        <f t="shared" ref="AK78" si="269">IF(OR($B75="N/A",AK76="",AK77=""),0,AK77*AK76)</f>
        <v>0</v>
      </c>
      <c r="AL78" s="188">
        <f>IF(OR($B75="N/A",AL76="",AL77=""),0,AL77*AL76)</f>
        <v>0</v>
      </c>
      <c r="AM78" s="188">
        <f t="shared" ref="AM78" si="270">IF(OR($B75="N/A",AM76="",AM77=""),0,AM77*AM76)</f>
        <v>0</v>
      </c>
      <c r="AN78" s="188">
        <f>IF(OR($B75="N/A",AN76="",AN77=""),0,AN77*AN76)</f>
        <v>0</v>
      </c>
      <c r="AO78" s="188">
        <f t="shared" ref="AO78" si="271">IF(OR($B75="N/A",AO76="",AO77=""),0,AO77*AO76)</f>
        <v>0</v>
      </c>
      <c r="AP78" s="279">
        <f>SUM(AC78:AH78)+SUM(AJ78:AO78)+R78+Z78+AA78</f>
        <v>0</v>
      </c>
      <c r="AQ78" s="258"/>
      <c r="AR78" s="277">
        <f>AP78+AQ78</f>
        <v>0</v>
      </c>
      <c r="AS78" s="237"/>
      <c r="AT78" s="278" t="e">
        <f>IF($B76="N/A","N/A",AR78/A75)</f>
        <v>#DIV/0!</v>
      </c>
      <c r="AU78" s="278" t="e">
        <f>IF($B76="N/A","N/A",AR78/(E75*A75/10000))</f>
        <v>#DIV/0!</v>
      </c>
      <c r="AW78" s="278">
        <f>R76</f>
        <v>0</v>
      </c>
      <c r="AY78" s="244" t="e">
        <f>AP78/AR78</f>
        <v>#DIV/0!</v>
      </c>
      <c r="AZ78" s="244" t="e">
        <f>AQ78/AR78</f>
        <v>#DIV/0!</v>
      </c>
      <c r="BA78" s="245" t="s">
        <v>217</v>
      </c>
      <c r="BB78" s="319">
        <f>AR78</f>
        <v>0</v>
      </c>
    </row>
    <row r="79" spans="1:54" x14ac:dyDescent="0.25">
      <c r="A79" s="441"/>
      <c r="B79" s="443"/>
      <c r="C79" s="445"/>
      <c r="D79" s="445"/>
      <c r="E79" s="445"/>
      <c r="F79" s="445"/>
      <c r="G79" s="449"/>
      <c r="H79" s="449"/>
      <c r="I79" s="284" t="s">
        <v>226</v>
      </c>
      <c r="J79" s="285"/>
      <c r="K79" s="285"/>
      <c r="L79" s="285"/>
      <c r="M79" s="285"/>
      <c r="N79" s="285"/>
      <c r="O79" s="285"/>
      <c r="P79" s="285"/>
      <c r="Q79" s="285"/>
      <c r="R79" s="157" t="e">
        <f>AVERAGE(J79:Q79)</f>
        <v>#DIV/0!</v>
      </c>
      <c r="S79" s="284" t="s">
        <v>226</v>
      </c>
      <c r="T79" s="285"/>
      <c r="U79" s="285"/>
      <c r="V79" s="285"/>
      <c r="W79" s="285"/>
      <c r="X79" s="285"/>
      <c r="Y79" s="285"/>
      <c r="Z79" s="157" t="e">
        <f>AVERAGE(T79:Y79)</f>
        <v>#DIV/0!</v>
      </c>
      <c r="AA79" s="298"/>
      <c r="AB79" s="332" t="s">
        <v>226</v>
      </c>
      <c r="AC79" s="285"/>
      <c r="AD79" s="285"/>
      <c r="AE79" s="285"/>
      <c r="AF79" s="285"/>
      <c r="AG79" s="285"/>
      <c r="AH79" s="285"/>
      <c r="AI79" s="332" t="s">
        <v>226</v>
      </c>
      <c r="AJ79" s="285"/>
      <c r="AK79" s="285"/>
      <c r="AL79" s="285"/>
      <c r="AM79" s="285"/>
      <c r="AN79" s="285"/>
      <c r="AO79" s="285"/>
      <c r="AP79" s="301"/>
      <c r="AQ79" s="301"/>
      <c r="AR79" s="302"/>
      <c r="AS79" s="302"/>
      <c r="AT79" s="302"/>
      <c r="AU79" s="303"/>
      <c r="AW79" s="171"/>
      <c r="AY79" s="453"/>
      <c r="AZ79" s="454"/>
      <c r="BA79" s="427"/>
    </row>
    <row r="80" spans="1:54" x14ac:dyDescent="0.25">
      <c r="A80" s="441"/>
      <c r="B80" s="443"/>
      <c r="C80" s="445"/>
      <c r="D80" s="445"/>
      <c r="E80" s="445"/>
      <c r="F80" s="445"/>
      <c r="G80" s="449"/>
      <c r="H80" s="449"/>
      <c r="I80" s="163"/>
      <c r="J80" s="164"/>
      <c r="K80" s="164"/>
      <c r="L80" s="164"/>
      <c r="M80" s="164"/>
      <c r="N80" s="164"/>
      <c r="O80" s="164"/>
      <c r="P80" s="164"/>
      <c r="Q80" s="164"/>
      <c r="R80" s="164"/>
      <c r="S80" s="163"/>
      <c r="T80" s="164"/>
      <c r="U80" s="164"/>
      <c r="V80" s="164"/>
      <c r="W80" s="164"/>
      <c r="X80" s="164"/>
      <c r="Y80" s="164"/>
      <c r="Z80" s="164"/>
      <c r="AA80" s="350"/>
      <c r="AB80" s="332" t="s">
        <v>322</v>
      </c>
      <c r="AC80" s="351"/>
      <c r="AD80" s="351"/>
      <c r="AE80" s="351"/>
      <c r="AF80" s="351"/>
      <c r="AG80" s="351"/>
      <c r="AH80" s="351"/>
      <c r="AI80" s="332" t="s">
        <v>323</v>
      </c>
      <c r="AJ80" s="285"/>
      <c r="AK80" s="285"/>
      <c r="AL80" s="285"/>
      <c r="AM80" s="285"/>
      <c r="AN80" s="285"/>
      <c r="AO80" s="285"/>
      <c r="AP80" s="352"/>
      <c r="AQ80" s="352"/>
      <c r="AR80" s="353"/>
      <c r="AS80" s="353"/>
      <c r="AT80" s="353"/>
      <c r="AU80" s="354"/>
      <c r="AW80" s="171"/>
      <c r="AY80" s="355"/>
      <c r="AZ80" s="356"/>
      <c r="BA80" s="349"/>
    </row>
    <row r="81" spans="1:54" x14ac:dyDescent="0.25">
      <c r="A81" s="441"/>
      <c r="B81" s="443"/>
      <c r="C81" s="445"/>
      <c r="D81" s="445"/>
      <c r="E81" s="445"/>
      <c r="F81" s="445"/>
      <c r="G81" s="449"/>
      <c r="H81" s="449"/>
      <c r="I81" s="178" t="s">
        <v>237</v>
      </c>
      <c r="J81" s="153">
        <f t="shared" ref="J81:Q81" si="272">IF(AND($G75="",$H75=""),J76,($H75*$G75)/($E75*$A75)*J76)</f>
        <v>0</v>
      </c>
      <c r="K81" s="153">
        <f t="shared" si="272"/>
        <v>0</v>
      </c>
      <c r="L81" s="153">
        <f t="shared" si="272"/>
        <v>0</v>
      </c>
      <c r="M81" s="153">
        <f t="shared" si="272"/>
        <v>0</v>
      </c>
      <c r="N81" s="153">
        <f t="shared" si="272"/>
        <v>0</v>
      </c>
      <c r="O81" s="153">
        <f t="shared" ref="O81:P81" si="273">IF(AND($G75="",$H75=""),O76,($H75*$G75)/($E75*$A75)*O76)</f>
        <v>0</v>
      </c>
      <c r="P81" s="153">
        <f t="shared" si="273"/>
        <v>0</v>
      </c>
      <c r="Q81" s="153">
        <f t="shared" si="272"/>
        <v>0</v>
      </c>
      <c r="R81" s="153" t="e">
        <f>($H75*$G75)/($E75*$A75)*R76</f>
        <v>#DIV/0!</v>
      </c>
      <c r="S81" s="178" t="s">
        <v>237</v>
      </c>
      <c r="T81" s="153">
        <f t="shared" ref="T81:Z81" si="274">IF($G75="",T76,($G75/$A75)*T76)</f>
        <v>0</v>
      </c>
      <c r="U81" s="153">
        <f t="shared" si="274"/>
        <v>0</v>
      </c>
      <c r="V81" s="153">
        <f t="shared" si="274"/>
        <v>0</v>
      </c>
      <c r="W81" s="153">
        <f t="shared" si="274"/>
        <v>0</v>
      </c>
      <c r="X81" s="153">
        <f t="shared" si="274"/>
        <v>0</v>
      </c>
      <c r="Y81" s="153">
        <f t="shared" si="274"/>
        <v>0</v>
      </c>
      <c r="Z81" s="153">
        <f t="shared" si="274"/>
        <v>0</v>
      </c>
      <c r="AA81" s="262"/>
      <c r="AB81" s="333" t="s">
        <v>240</v>
      </c>
      <c r="AC81" s="153">
        <f>IF($G75="",IF(AC80="",AC76,AC75/AC80*AC76),IF(AC76=0,0,$G75/$A75*AC75/AC80*AC76))</f>
        <v>0</v>
      </c>
      <c r="AD81" s="153">
        <f t="shared" ref="AD81" si="275">IF($G75="",IF(AD80="",AD76,AD75/AD80*AD76),IF(AD76=0,0,$G75/$A75*AD75/AD80*AD76))</f>
        <v>0</v>
      </c>
      <c r="AE81" s="153">
        <f t="shared" ref="AE81" si="276">IF($G75="",IF(AE80="",AE76,AE75/AE80*AE76),IF(AE76=0,0,$G75/$A75*AE75/AE80*AE76))</f>
        <v>0</v>
      </c>
      <c r="AF81" s="153">
        <f t="shared" ref="AF81" si="277">IF($G75="",IF(AF80="",AF76,AF75/AF80*AF76),IF(AF76=0,0,$G75/$A75*AF75/AF80*AF76))</f>
        <v>0</v>
      </c>
      <c r="AG81" s="153">
        <f t="shared" ref="AG81" si="278">IF($G75="",IF(AG80="",AG76,AG75/AG80*AG76),IF(AG76=0,0,$G75/$A75*AG75/AG80*AG76))</f>
        <v>0</v>
      </c>
      <c r="AH81" s="153">
        <f t="shared" ref="AH81" si="279">IF($G75="",IF(AH80="",AH76,AH75/AH80*AH76),IF(AH76=0,0,$G75/$A75*AH75/AH80*AH76))</f>
        <v>0</v>
      </c>
      <c r="AI81" s="333" t="s">
        <v>240</v>
      </c>
      <c r="AJ81" s="153">
        <f>IF(AND($G75="",$H75=""),IF(AJ80="",AJ76,AJ75/AJ80*AJ76),IF(AJ76=0,0,($G75*$H75)/($A75*$E75)*(AJ75/AJ80*AJ76)))</f>
        <v>0</v>
      </c>
      <c r="AK81" s="153">
        <f t="shared" ref="AK81" si="280">IF(AND($G75="",$H75=""),IF(AK80="",AK76,AK75/AK80*AK76),IF(AK76=0,0,($G75*$H75)/($A75*$E75)*(AK75/AK80*AK76)))</f>
        <v>0</v>
      </c>
      <c r="AL81" s="153">
        <f t="shared" ref="AL81" si="281">IF(AND($G75="",$H75=""),IF(AL80="",AL76,AL75/AL80*AL76),IF(AL76=0,0,($G75*$H75)/($A75*$E75)*(AL75/AL80*AL76)))</f>
        <v>0</v>
      </c>
      <c r="AM81" s="153">
        <f t="shared" ref="AM81" si="282">IF(AND($G75="",$H75=""),IF(AM80="",AM76,AM75/AM80*AM76),IF(AM76=0,0,($G75*$H75)/($A75*$E75)*(AM75/AM80*AM76)))</f>
        <v>0</v>
      </c>
      <c r="AN81" s="153">
        <f t="shared" ref="AN81" si="283">IF(AND($G75="",$H75=""),IF(AN80="",AN76,AN75/AN80*AN76),IF(AN76=0,0,($G75*$H75)/($A75*$E75)*(AN75/AN80*AN76)))</f>
        <v>0</v>
      </c>
      <c r="AO81" s="153">
        <f t="shared" ref="AO81" si="284">IF(AND($G75="",$H75=""),IF(AO80="",AO76,AO75/AO80*AO76),IF(AO76=0,0,($G75*$H75)/($A75*$E75)*(AO75/AO80*AO76)))</f>
        <v>0</v>
      </c>
      <c r="AP81" s="304"/>
      <c r="AQ81" s="260"/>
      <c r="AR81" s="243"/>
      <c r="AS81" s="243"/>
      <c r="AT81" s="243"/>
      <c r="AU81" s="236"/>
      <c r="AW81" s="307"/>
      <c r="AY81" s="455"/>
      <c r="AZ81" s="456"/>
      <c r="BA81" s="433"/>
    </row>
    <row r="82" spans="1:54" x14ac:dyDescent="0.25">
      <c r="A82" s="441"/>
      <c r="B82" s="443"/>
      <c r="C82" s="445"/>
      <c r="D82" s="445"/>
      <c r="E82" s="445"/>
      <c r="F82" s="445"/>
      <c r="G82" s="449"/>
      <c r="H82" s="449"/>
      <c r="I82" s="178" t="s">
        <v>255</v>
      </c>
      <c r="J82" s="187">
        <f>IF(OR($B75="N/A",J75="",J76="",J77=""),0,J79*J81)</f>
        <v>0</v>
      </c>
      <c r="K82" s="187">
        <f t="shared" ref="K82:Q82" si="285">IF(OR($B75="N/A",K75="",K76="",K77=""),0,K79*K81)</f>
        <v>0</v>
      </c>
      <c r="L82" s="187">
        <f t="shared" si="285"/>
        <v>0</v>
      </c>
      <c r="M82" s="187">
        <f t="shared" si="285"/>
        <v>0</v>
      </c>
      <c r="N82" s="187">
        <f t="shared" si="285"/>
        <v>0</v>
      </c>
      <c r="O82" s="187">
        <f t="shared" ref="O82:P82" si="286">IF(OR($B75="N/A",O75="",O76="",O77=""),0,O79*O81)</f>
        <v>0</v>
      </c>
      <c r="P82" s="187">
        <f t="shared" si="286"/>
        <v>0</v>
      </c>
      <c r="Q82" s="187">
        <f t="shared" si="285"/>
        <v>0</v>
      </c>
      <c r="R82" s="187">
        <f>SUM(J82:Q82)</f>
        <v>0</v>
      </c>
      <c r="S82" s="178" t="s">
        <v>255</v>
      </c>
      <c r="T82" s="187">
        <f>IF(OR($B75="N/A",T75="",T76="",T77=""),0,T79*T81)</f>
        <v>0</v>
      </c>
      <c r="U82" s="187">
        <f t="shared" ref="U82:Y82" si="287">IF(OR($B75="N/A",U75="",U76="",U77=""),0,U79*U81)</f>
        <v>0</v>
      </c>
      <c r="V82" s="187">
        <f t="shared" si="287"/>
        <v>0</v>
      </c>
      <c r="W82" s="187">
        <f t="shared" si="287"/>
        <v>0</v>
      </c>
      <c r="X82" s="187">
        <f t="shared" si="287"/>
        <v>0</v>
      </c>
      <c r="Y82" s="187">
        <f t="shared" si="287"/>
        <v>0</v>
      </c>
      <c r="Z82" s="187">
        <f>SUM(T82:Y82)</f>
        <v>0</v>
      </c>
      <c r="AA82" s="283"/>
      <c r="AB82" s="333" t="s">
        <v>256</v>
      </c>
      <c r="AC82" s="187">
        <f>IF(OR($B75="N/A",AC75="",AC76="",AC77=""),0,AC79*AC81)</f>
        <v>0</v>
      </c>
      <c r="AD82" s="187">
        <f t="shared" ref="AD82" si="288">IF(OR($B75="N/A",AD75="",AD76="",AD77=""),0,AD79*AD81)</f>
        <v>0</v>
      </c>
      <c r="AE82" s="187">
        <f t="shared" ref="AE82" si="289">IF(OR($B75="N/A",AE75="",AE76="",AE77=""),0,AE79*AE81)</f>
        <v>0</v>
      </c>
      <c r="AF82" s="187">
        <f t="shared" ref="AF82" si="290">IF(OR($B75="N/A",AF75="",AF76="",AF77=""),0,AF79*AF81)</f>
        <v>0</v>
      </c>
      <c r="AG82" s="187">
        <f t="shared" ref="AG82" si="291">IF(OR($B75="N/A",AG75="",AG76="",AG77=""),0,AG79*AG81)</f>
        <v>0</v>
      </c>
      <c r="AH82" s="187">
        <f t="shared" ref="AH82" si="292">IF(OR($B75="N/A",AH75="",AH76="",AH77=""),0,AH79*AH81)</f>
        <v>0</v>
      </c>
      <c r="AI82" s="333" t="s">
        <v>256</v>
      </c>
      <c r="AJ82" s="187">
        <f>IF(OR($B75="N/A",AJ75="",AJ76="",AJ77=""),0,AJ79*AJ81)</f>
        <v>0</v>
      </c>
      <c r="AK82" s="187">
        <f t="shared" ref="AK82" si="293">IF(OR($B75="N/A",AK75="",AK76="",AK77=""),0,AK79*AK81)</f>
        <v>0</v>
      </c>
      <c r="AL82" s="187">
        <f t="shared" ref="AL82" si="294">IF(OR($B75="N/A",AL75="",AL76="",AL77=""),0,AL79*AL81)</f>
        <v>0</v>
      </c>
      <c r="AM82" s="187">
        <f t="shared" ref="AM82" si="295">IF(OR($B75="N/A",AM75="",AM76="",AM77=""),0,AM79*AM81)</f>
        <v>0</v>
      </c>
      <c r="AN82" s="187">
        <f t="shared" ref="AN82" si="296">IF(OR($B75="N/A",AN75="",AN76="",AN77=""),0,AN79*AN81)</f>
        <v>0</v>
      </c>
      <c r="AO82" s="187">
        <f t="shared" ref="AO82" si="297">IF(OR($B75="N/A",AO75="",AO76="",AO77=""),0,AO79*AO81)</f>
        <v>0</v>
      </c>
      <c r="AP82" s="280">
        <f>SUM(AC82:AH82)+SUM(AJ82:AO82)+R82+Z82+AA82</f>
        <v>0</v>
      </c>
      <c r="AQ82" s="282"/>
      <c r="AR82" s="280">
        <f t="shared" ref="AR82" si="298">AP82+AQ82</f>
        <v>0</v>
      </c>
      <c r="AS82" s="141"/>
      <c r="AT82" s="281" t="str">
        <f>IF($B75="N/A","N/A",AR82/A75)</f>
        <v>N/A</v>
      </c>
      <c r="AU82" s="281" t="str">
        <f>IF($B75="N/A","N/A",AR82/(H75*A75/10000))</f>
        <v>N/A</v>
      </c>
      <c r="AW82" s="281" t="e">
        <f>R81</f>
        <v>#DIV/0!</v>
      </c>
      <c r="AY82" s="272" t="e">
        <f>AP82/AR82</f>
        <v>#DIV/0!</v>
      </c>
      <c r="AZ82" s="272" t="e">
        <f>AQ82/AR82</f>
        <v>#DIV/0!</v>
      </c>
      <c r="BA82" s="273" t="s">
        <v>227</v>
      </c>
      <c r="BB82" s="320">
        <f>AR82</f>
        <v>0</v>
      </c>
    </row>
    <row r="83" spans="1:54" x14ac:dyDescent="0.25">
      <c r="A83" s="220"/>
      <c r="B83" s="221"/>
      <c r="C83" s="222"/>
      <c r="D83" s="222"/>
      <c r="E83" s="222"/>
      <c r="F83" s="222"/>
      <c r="G83" s="222"/>
      <c r="H83" s="222"/>
      <c r="I83" s="163"/>
      <c r="J83" s="164"/>
      <c r="K83" s="164"/>
      <c r="L83" s="164"/>
      <c r="M83" s="164"/>
      <c r="N83" s="164"/>
      <c r="O83" s="164"/>
      <c r="P83" s="164"/>
      <c r="Q83" s="164"/>
      <c r="R83" s="164"/>
      <c r="S83" s="163"/>
      <c r="T83" s="164"/>
      <c r="U83" s="164"/>
      <c r="V83" s="164"/>
      <c r="W83" s="164"/>
      <c r="X83" s="164"/>
      <c r="Y83" s="164"/>
      <c r="Z83" s="164"/>
      <c r="AA83" s="264"/>
      <c r="AB83" s="163"/>
      <c r="AC83" s="164"/>
      <c r="AD83" s="164"/>
      <c r="AE83" s="164"/>
      <c r="AF83" s="164"/>
      <c r="AG83" s="164"/>
      <c r="AH83" s="164"/>
      <c r="AI83" s="308"/>
      <c r="AJ83" s="164"/>
      <c r="AK83" s="164"/>
      <c r="AL83" s="164"/>
      <c r="AM83" s="164"/>
      <c r="AN83" s="164"/>
      <c r="AO83" s="164"/>
      <c r="AP83" s="166"/>
      <c r="AQ83" s="259"/>
      <c r="AR83" s="166"/>
      <c r="AS83" s="166"/>
      <c r="AT83" s="167"/>
      <c r="AU83" s="167"/>
      <c r="AV83" s="168"/>
      <c r="AW83" s="167"/>
      <c r="AX83" s="168"/>
      <c r="AY83" s="169"/>
      <c r="AZ83" s="170"/>
      <c r="BA83" s="163"/>
    </row>
    <row r="84" spans="1:54" x14ac:dyDescent="0.25">
      <c r="A84" s="440">
        <f>'Fleet Inventory'!A15</f>
        <v>0</v>
      </c>
      <c r="B84" s="442" t="str">
        <f>IF('Fleet Inventory'!B15="","N/A",'Fleet Inventory'!B15)</f>
        <v>N/A</v>
      </c>
      <c r="C84" s="444">
        <f>'Fleet Inventory'!C15</f>
        <v>0</v>
      </c>
      <c r="D84" s="444">
        <f>'Fleet Inventory'!D15</f>
        <v>0</v>
      </c>
      <c r="E84" s="446">
        <f>'Fleet Inventory'!E15</f>
        <v>0</v>
      </c>
      <c r="F84" s="447">
        <f>'Fleet Inventory'!F15</f>
        <v>0</v>
      </c>
      <c r="G84" s="448"/>
      <c r="H84" s="448"/>
      <c r="I84" s="165" t="s">
        <v>238</v>
      </c>
      <c r="J84" s="177"/>
      <c r="K84" s="177"/>
      <c r="L84" s="177"/>
      <c r="M84" s="177"/>
      <c r="N84" s="177"/>
      <c r="O84" s="177"/>
      <c r="P84" s="177"/>
      <c r="Q84" s="177"/>
      <c r="R84" s="161" t="s">
        <v>100</v>
      </c>
      <c r="S84" s="165" t="s">
        <v>238</v>
      </c>
      <c r="T84" s="177"/>
      <c r="U84" s="177"/>
      <c r="V84" s="177"/>
      <c r="W84" s="177"/>
      <c r="X84" s="177"/>
      <c r="Y84" s="177"/>
      <c r="Z84" s="161" t="s">
        <v>100</v>
      </c>
      <c r="AA84" s="147"/>
      <c r="AB84" s="330" t="s">
        <v>276</v>
      </c>
      <c r="AC84" s="318"/>
      <c r="AD84" s="327"/>
      <c r="AE84" s="328"/>
      <c r="AF84" s="328"/>
      <c r="AG84" s="328"/>
      <c r="AH84" s="328"/>
      <c r="AI84" s="330" t="s">
        <v>275</v>
      </c>
      <c r="AJ84" s="318"/>
      <c r="AK84" s="327"/>
      <c r="AL84" s="328"/>
      <c r="AM84" s="328"/>
      <c r="AN84" s="328"/>
      <c r="AO84" s="328"/>
      <c r="AP84" s="238"/>
      <c r="AQ84" s="241"/>
      <c r="AR84" s="241"/>
      <c r="AS84" s="241"/>
      <c r="AT84" s="241"/>
      <c r="AU84" s="241"/>
      <c r="AV84" s="305"/>
      <c r="AW84" s="306"/>
      <c r="AY84" s="450"/>
      <c r="AZ84" s="450"/>
      <c r="BA84" s="427"/>
    </row>
    <row r="85" spans="1:54" x14ac:dyDescent="0.25">
      <c r="A85" s="440"/>
      <c r="B85" s="442"/>
      <c r="C85" s="444"/>
      <c r="D85" s="444"/>
      <c r="E85" s="444"/>
      <c r="F85" s="444"/>
      <c r="G85" s="448"/>
      <c r="H85" s="448"/>
      <c r="I85" s="165" t="s">
        <v>277</v>
      </c>
      <c r="J85" s="158"/>
      <c r="K85" s="158"/>
      <c r="L85" s="158"/>
      <c r="M85" s="158"/>
      <c r="N85" s="158"/>
      <c r="O85" s="158"/>
      <c r="P85" s="158"/>
      <c r="Q85" s="158"/>
      <c r="R85" s="297">
        <f>SUM(J85:Q85)</f>
        <v>0</v>
      </c>
      <c r="S85" s="165" t="s">
        <v>277</v>
      </c>
      <c r="T85" s="158"/>
      <c r="U85" s="158"/>
      <c r="V85" s="158"/>
      <c r="W85" s="158"/>
      <c r="X85" s="158"/>
      <c r="Y85" s="158"/>
      <c r="Z85" s="297">
        <f>SUM(T85:Y85)</f>
        <v>0</v>
      </c>
      <c r="AA85" s="261"/>
      <c r="AB85" s="330" t="s">
        <v>272</v>
      </c>
      <c r="AC85" s="329"/>
      <c r="AD85" s="329"/>
      <c r="AE85" s="329"/>
      <c r="AF85" s="329"/>
      <c r="AG85" s="329"/>
      <c r="AH85" s="329"/>
      <c r="AI85" s="330" t="s">
        <v>200</v>
      </c>
      <c r="AJ85" s="329"/>
      <c r="AK85" s="329"/>
      <c r="AL85" s="329"/>
      <c r="AM85" s="329"/>
      <c r="AN85" s="329"/>
      <c r="AO85" s="329"/>
      <c r="AP85" s="239"/>
      <c r="AQ85" s="242"/>
      <c r="AR85" s="242"/>
      <c r="AS85" s="242"/>
      <c r="AT85" s="242"/>
      <c r="AU85" s="242"/>
      <c r="AV85" s="305"/>
      <c r="AW85" s="171"/>
      <c r="AY85" s="451"/>
      <c r="AZ85" s="451"/>
      <c r="BA85" s="430"/>
    </row>
    <row r="86" spans="1:54" x14ac:dyDescent="0.25">
      <c r="A86" s="440"/>
      <c r="B86" s="442"/>
      <c r="C86" s="444"/>
      <c r="D86" s="444"/>
      <c r="E86" s="444"/>
      <c r="F86" s="444"/>
      <c r="G86" s="448"/>
      <c r="H86" s="448"/>
      <c r="I86" s="165" t="s">
        <v>201</v>
      </c>
      <c r="J86" s="158"/>
      <c r="K86" s="158"/>
      <c r="L86" s="158"/>
      <c r="M86" s="158"/>
      <c r="N86" s="158"/>
      <c r="O86" s="158"/>
      <c r="P86" s="158"/>
      <c r="Q86" s="158"/>
      <c r="R86" s="157" t="e">
        <f>AVERAGE(J86:Q86)</f>
        <v>#DIV/0!</v>
      </c>
      <c r="S86" s="165" t="s">
        <v>201</v>
      </c>
      <c r="T86" s="158"/>
      <c r="U86" s="158"/>
      <c r="V86" s="158"/>
      <c r="W86" s="158"/>
      <c r="X86" s="158"/>
      <c r="Y86" s="158"/>
      <c r="Z86" s="157" t="e">
        <f>AVERAGE(T86:Y86)</f>
        <v>#DIV/0!</v>
      </c>
      <c r="AA86" s="262"/>
      <c r="AB86" s="330" t="s">
        <v>201</v>
      </c>
      <c r="AC86" s="329"/>
      <c r="AD86" s="329"/>
      <c r="AE86" s="329"/>
      <c r="AF86" s="329"/>
      <c r="AG86" s="329"/>
      <c r="AH86" s="329"/>
      <c r="AI86" s="330" t="s">
        <v>201</v>
      </c>
      <c r="AJ86" s="329"/>
      <c r="AK86" s="329"/>
      <c r="AL86" s="329"/>
      <c r="AM86" s="329"/>
      <c r="AN86" s="329"/>
      <c r="AO86" s="329"/>
      <c r="AP86" s="240"/>
      <c r="AQ86" s="243"/>
      <c r="AR86" s="243"/>
      <c r="AS86" s="243"/>
      <c r="AT86" s="243"/>
      <c r="AU86" s="243"/>
      <c r="AV86" s="305"/>
      <c r="AW86" s="307"/>
      <c r="AY86" s="452"/>
      <c r="AZ86" s="452"/>
      <c r="BA86" s="433"/>
    </row>
    <row r="87" spans="1:54" x14ac:dyDescent="0.25">
      <c r="A87" s="441"/>
      <c r="B87" s="443"/>
      <c r="C87" s="445"/>
      <c r="D87" s="445"/>
      <c r="E87" s="445"/>
      <c r="F87" s="445"/>
      <c r="G87" s="449"/>
      <c r="H87" s="449"/>
      <c r="I87" s="267" t="s">
        <v>271</v>
      </c>
      <c r="J87" s="188">
        <f>IF(OR($B84="N/A",J84="",J85="",J86=""),0,J86*J85)</f>
        <v>0</v>
      </c>
      <c r="K87" s="188">
        <f t="shared" ref="K87:P87" si="299">IF(OR($B84="N/A",K84="",K85="",K86=""),0,K86*K85)</f>
        <v>0</v>
      </c>
      <c r="L87" s="188">
        <f t="shared" si="299"/>
        <v>0</v>
      </c>
      <c r="M87" s="188">
        <f t="shared" si="299"/>
        <v>0</v>
      </c>
      <c r="N87" s="188">
        <f t="shared" si="299"/>
        <v>0</v>
      </c>
      <c r="O87" s="188">
        <f t="shared" si="299"/>
        <v>0</v>
      </c>
      <c r="P87" s="188">
        <f t="shared" si="299"/>
        <v>0</v>
      </c>
      <c r="Q87" s="188">
        <f>IF(OR($B84="N/A",Q84="",Q85="",Q86=""),0,Q86*Q85)</f>
        <v>0</v>
      </c>
      <c r="R87" s="188">
        <f>SUM(J87:Q87)</f>
        <v>0</v>
      </c>
      <c r="S87" s="267" t="s">
        <v>271</v>
      </c>
      <c r="T87" s="188">
        <f>IF(OR($B84="N/A",T84="",T85="",T86=""),0,T86*T85)</f>
        <v>0</v>
      </c>
      <c r="U87" s="188">
        <f t="shared" ref="U87:Y87" si="300">IF(OR($B84="N/A",U84="",U85="",U86=""),0,U86*U85)</f>
        <v>0</v>
      </c>
      <c r="V87" s="188">
        <f t="shared" si="300"/>
        <v>0</v>
      </c>
      <c r="W87" s="188">
        <f t="shared" si="300"/>
        <v>0</v>
      </c>
      <c r="X87" s="188">
        <f t="shared" si="300"/>
        <v>0</v>
      </c>
      <c r="Y87" s="188">
        <f t="shared" si="300"/>
        <v>0</v>
      </c>
      <c r="Z87" s="188">
        <f>SUM(T87:Y87)</f>
        <v>0</v>
      </c>
      <c r="AA87" s="263"/>
      <c r="AB87" s="331" t="s">
        <v>152</v>
      </c>
      <c r="AC87" s="188">
        <f>IF(OR($B84="N/A",AC85="",AC86=""),0,AC86*AC85)</f>
        <v>0</v>
      </c>
      <c r="AD87" s="188">
        <f t="shared" ref="AD87" si="301">IF(OR($B84="N/A",AD85="",AD86=""),0,AD86*AD85)</f>
        <v>0</v>
      </c>
      <c r="AE87" s="188">
        <f>IF(OR($B84="N/A",AE85="",AE86=""),0,AE86*AE85)</f>
        <v>0</v>
      </c>
      <c r="AF87" s="188">
        <f t="shared" ref="AF87" si="302">IF(OR($B84="N/A",AF85="",AF86=""),0,AF86*AF85)</f>
        <v>0</v>
      </c>
      <c r="AG87" s="188">
        <f>IF(OR($B84="N/A",AG85="",AG86=""),0,AG86*AG85)</f>
        <v>0</v>
      </c>
      <c r="AH87" s="188">
        <f t="shared" ref="AH87" si="303">IF(OR($B84="N/A",AH85="",AH86=""),0,AH86*AH85)</f>
        <v>0</v>
      </c>
      <c r="AI87" s="331" t="s">
        <v>152</v>
      </c>
      <c r="AJ87" s="188">
        <f>IF(OR($B84="N/A",AJ85="",AJ86=""),0,AJ86*AJ85)</f>
        <v>0</v>
      </c>
      <c r="AK87" s="188">
        <f t="shared" ref="AK87" si="304">IF(OR($B84="N/A",AK85="",AK86=""),0,AK86*AK85)</f>
        <v>0</v>
      </c>
      <c r="AL87" s="188">
        <f>IF(OR($B84="N/A",AL85="",AL86=""),0,AL86*AL85)</f>
        <v>0</v>
      </c>
      <c r="AM87" s="188">
        <f t="shared" ref="AM87" si="305">IF(OR($B84="N/A",AM85="",AM86=""),0,AM86*AM85)</f>
        <v>0</v>
      </c>
      <c r="AN87" s="188">
        <f>IF(OR($B84="N/A",AN85="",AN86=""),0,AN86*AN85)</f>
        <v>0</v>
      </c>
      <c r="AO87" s="188">
        <f t="shared" ref="AO87" si="306">IF(OR($B84="N/A",AO85="",AO86=""),0,AO86*AO85)</f>
        <v>0</v>
      </c>
      <c r="AP87" s="279">
        <f>SUM(AC87:AH87)+SUM(AJ87:AO87)+R87+Z87+AA87</f>
        <v>0</v>
      </c>
      <c r="AQ87" s="258"/>
      <c r="AR87" s="277">
        <f>AP87+AQ87</f>
        <v>0</v>
      </c>
      <c r="AS87" s="237"/>
      <c r="AT87" s="278" t="e">
        <f>IF($B85="N/A","N/A",AR87/A84)</f>
        <v>#DIV/0!</v>
      </c>
      <c r="AU87" s="278" t="e">
        <f>IF($B85="N/A","N/A",AR87/(E84*A84/10000))</f>
        <v>#DIV/0!</v>
      </c>
      <c r="AW87" s="278">
        <f>R85</f>
        <v>0</v>
      </c>
      <c r="AY87" s="244" t="e">
        <f>AP87/AR87</f>
        <v>#DIV/0!</v>
      </c>
      <c r="AZ87" s="244" t="e">
        <f>AQ87/AR87</f>
        <v>#DIV/0!</v>
      </c>
      <c r="BA87" s="245" t="s">
        <v>217</v>
      </c>
      <c r="BB87" s="319">
        <f>AR87</f>
        <v>0</v>
      </c>
    </row>
    <row r="88" spans="1:54" x14ac:dyDescent="0.25">
      <c r="A88" s="441"/>
      <c r="B88" s="443"/>
      <c r="C88" s="445"/>
      <c r="D88" s="445"/>
      <c r="E88" s="445"/>
      <c r="F88" s="445"/>
      <c r="G88" s="449"/>
      <c r="H88" s="449"/>
      <c r="I88" s="284" t="s">
        <v>226</v>
      </c>
      <c r="J88" s="285"/>
      <c r="K88" s="285"/>
      <c r="L88" s="285"/>
      <c r="M88" s="285"/>
      <c r="N88" s="285"/>
      <c r="O88" s="285"/>
      <c r="P88" s="285"/>
      <c r="Q88" s="285"/>
      <c r="R88" s="157" t="e">
        <f>AVERAGE(J88:Q88)</f>
        <v>#DIV/0!</v>
      </c>
      <c r="S88" s="284" t="s">
        <v>226</v>
      </c>
      <c r="T88" s="285"/>
      <c r="U88" s="285"/>
      <c r="V88" s="285"/>
      <c r="W88" s="285"/>
      <c r="X88" s="285"/>
      <c r="Y88" s="285"/>
      <c r="Z88" s="157" t="e">
        <f>AVERAGE(T88:Y88)</f>
        <v>#DIV/0!</v>
      </c>
      <c r="AA88" s="298"/>
      <c r="AB88" s="332" t="s">
        <v>226</v>
      </c>
      <c r="AC88" s="285"/>
      <c r="AD88" s="285"/>
      <c r="AE88" s="285"/>
      <c r="AF88" s="285"/>
      <c r="AG88" s="285"/>
      <c r="AH88" s="285"/>
      <c r="AI88" s="332" t="s">
        <v>226</v>
      </c>
      <c r="AJ88" s="285"/>
      <c r="AK88" s="285"/>
      <c r="AL88" s="285"/>
      <c r="AM88" s="285"/>
      <c r="AN88" s="285"/>
      <c r="AO88" s="285"/>
      <c r="AP88" s="301"/>
      <c r="AQ88" s="301"/>
      <c r="AR88" s="302"/>
      <c r="AS88" s="302"/>
      <c r="AT88" s="302"/>
      <c r="AU88" s="303"/>
      <c r="AW88" s="171"/>
      <c r="AY88" s="453"/>
      <c r="AZ88" s="454"/>
      <c r="BA88" s="427"/>
    </row>
    <row r="89" spans="1:54" x14ac:dyDescent="0.25">
      <c r="A89" s="441"/>
      <c r="B89" s="443"/>
      <c r="C89" s="445"/>
      <c r="D89" s="445"/>
      <c r="E89" s="445"/>
      <c r="F89" s="445"/>
      <c r="G89" s="449"/>
      <c r="H89" s="449"/>
      <c r="I89" s="163"/>
      <c r="J89" s="164"/>
      <c r="K89" s="164"/>
      <c r="L89" s="164"/>
      <c r="M89" s="164"/>
      <c r="N89" s="164"/>
      <c r="O89" s="164"/>
      <c r="P89" s="164"/>
      <c r="Q89" s="164"/>
      <c r="R89" s="164"/>
      <c r="S89" s="163"/>
      <c r="T89" s="164"/>
      <c r="U89" s="164"/>
      <c r="V89" s="164"/>
      <c r="W89" s="164"/>
      <c r="X89" s="164"/>
      <c r="Y89" s="164"/>
      <c r="Z89" s="164"/>
      <c r="AA89" s="350"/>
      <c r="AB89" s="332" t="s">
        <v>322</v>
      </c>
      <c r="AC89" s="351"/>
      <c r="AD89" s="351"/>
      <c r="AE89" s="351"/>
      <c r="AF89" s="351"/>
      <c r="AG89" s="351"/>
      <c r="AH89" s="351"/>
      <c r="AI89" s="332" t="s">
        <v>323</v>
      </c>
      <c r="AJ89" s="285"/>
      <c r="AK89" s="285"/>
      <c r="AL89" s="285"/>
      <c r="AM89" s="285"/>
      <c r="AN89" s="285"/>
      <c r="AO89" s="285"/>
      <c r="AP89" s="352"/>
      <c r="AQ89" s="352"/>
      <c r="AR89" s="353"/>
      <c r="AS89" s="353"/>
      <c r="AT89" s="353"/>
      <c r="AU89" s="354"/>
      <c r="AW89" s="171"/>
      <c r="AY89" s="355"/>
      <c r="AZ89" s="356"/>
      <c r="BA89" s="349"/>
    </row>
    <row r="90" spans="1:54" x14ac:dyDescent="0.25">
      <c r="A90" s="441"/>
      <c r="B90" s="443"/>
      <c r="C90" s="445"/>
      <c r="D90" s="445"/>
      <c r="E90" s="445"/>
      <c r="F90" s="445"/>
      <c r="G90" s="449"/>
      <c r="H90" s="449"/>
      <c r="I90" s="178" t="s">
        <v>237</v>
      </c>
      <c r="J90" s="153">
        <f t="shared" ref="J90:Q90" si="307">IF(AND($G84="",$H84=""),J85,($H84*$G84)/($E84*$A84)*J85)</f>
        <v>0</v>
      </c>
      <c r="K90" s="153">
        <f t="shared" si="307"/>
        <v>0</v>
      </c>
      <c r="L90" s="153">
        <f t="shared" si="307"/>
        <v>0</v>
      </c>
      <c r="M90" s="153">
        <f t="shared" si="307"/>
        <v>0</v>
      </c>
      <c r="N90" s="153">
        <f t="shared" si="307"/>
        <v>0</v>
      </c>
      <c r="O90" s="153">
        <f t="shared" ref="O90:P90" si="308">IF(AND($G84="",$H84=""),O85,($H84*$G84)/($E84*$A84)*O85)</f>
        <v>0</v>
      </c>
      <c r="P90" s="153">
        <f t="shared" si="308"/>
        <v>0</v>
      </c>
      <c r="Q90" s="153">
        <f t="shared" si="307"/>
        <v>0</v>
      </c>
      <c r="R90" s="153" t="e">
        <f>($H84*$G84)/($E84*$A84)*R85</f>
        <v>#DIV/0!</v>
      </c>
      <c r="S90" s="178" t="s">
        <v>237</v>
      </c>
      <c r="T90" s="153">
        <f t="shared" ref="T90:Z90" si="309">IF($G84="",T85,($G84/$A84)*T85)</f>
        <v>0</v>
      </c>
      <c r="U90" s="153">
        <f t="shared" si="309"/>
        <v>0</v>
      </c>
      <c r="V90" s="153">
        <f t="shared" si="309"/>
        <v>0</v>
      </c>
      <c r="W90" s="153">
        <f t="shared" si="309"/>
        <v>0</v>
      </c>
      <c r="X90" s="153">
        <f t="shared" si="309"/>
        <v>0</v>
      </c>
      <c r="Y90" s="153">
        <f t="shared" si="309"/>
        <v>0</v>
      </c>
      <c r="Z90" s="153">
        <f t="shared" si="309"/>
        <v>0</v>
      </c>
      <c r="AA90" s="262"/>
      <c r="AB90" s="333" t="s">
        <v>240</v>
      </c>
      <c r="AC90" s="153">
        <f>IF($G84="",IF(AC89="",AC85,AC84/AC89*AC85),IF(AC85=0,0,$G84/$A84*AC84/AC89*AC85))</f>
        <v>0</v>
      </c>
      <c r="AD90" s="153">
        <f t="shared" ref="AD90" si="310">IF($G84="",IF(AD89="",AD85,AD84/AD89*AD85),IF(AD85=0,0,$G84/$A84*AD84/AD89*AD85))</f>
        <v>0</v>
      </c>
      <c r="AE90" s="153">
        <f t="shared" ref="AE90" si="311">IF($G84="",IF(AE89="",AE85,AE84/AE89*AE85),IF(AE85=0,0,$G84/$A84*AE84/AE89*AE85))</f>
        <v>0</v>
      </c>
      <c r="AF90" s="153">
        <f t="shared" ref="AF90" si="312">IF($G84="",IF(AF89="",AF85,AF84/AF89*AF85),IF(AF85=0,0,$G84/$A84*AF84/AF89*AF85))</f>
        <v>0</v>
      </c>
      <c r="AG90" s="153">
        <f t="shared" ref="AG90" si="313">IF($G84="",IF(AG89="",AG85,AG84/AG89*AG85),IF(AG85=0,0,$G84/$A84*AG84/AG89*AG85))</f>
        <v>0</v>
      </c>
      <c r="AH90" s="153">
        <f t="shared" ref="AH90" si="314">IF($G84="",IF(AH89="",AH85,AH84/AH89*AH85),IF(AH85=0,0,$G84/$A84*AH84/AH89*AH85))</f>
        <v>0</v>
      </c>
      <c r="AI90" s="333" t="s">
        <v>240</v>
      </c>
      <c r="AJ90" s="153">
        <f>IF(AND($G84="",$H84=""),IF(AJ89="",AJ85,AJ84/AJ89*AJ85),IF(AJ85=0,0,($G84*$H84)/($A84*$E84)*(AJ84/AJ89*AJ85)))</f>
        <v>0</v>
      </c>
      <c r="AK90" s="153">
        <f t="shared" ref="AK90" si="315">IF(AND($G84="",$H84=""),IF(AK89="",AK85,AK84/AK89*AK85),IF(AK85=0,0,($G84*$H84)/($A84*$E84)*(AK84/AK89*AK85)))</f>
        <v>0</v>
      </c>
      <c r="AL90" s="153">
        <f t="shared" ref="AL90" si="316">IF(AND($G84="",$H84=""),IF(AL89="",AL85,AL84/AL89*AL85),IF(AL85=0,0,($G84*$H84)/($A84*$E84)*(AL84/AL89*AL85)))</f>
        <v>0</v>
      </c>
      <c r="AM90" s="153">
        <f t="shared" ref="AM90" si="317">IF(AND($G84="",$H84=""),IF(AM89="",AM85,AM84/AM89*AM85),IF(AM85=0,0,($G84*$H84)/($A84*$E84)*(AM84/AM89*AM85)))</f>
        <v>0</v>
      </c>
      <c r="AN90" s="153">
        <f t="shared" ref="AN90" si="318">IF(AND($G84="",$H84=""),IF(AN89="",AN85,AN84/AN89*AN85),IF(AN85=0,0,($G84*$H84)/($A84*$E84)*(AN84/AN89*AN85)))</f>
        <v>0</v>
      </c>
      <c r="AO90" s="153">
        <f t="shared" ref="AO90" si="319">IF(AND($G84="",$H84=""),IF(AO89="",AO85,AO84/AO89*AO85),IF(AO85=0,0,($G84*$H84)/($A84*$E84)*(AO84/AO89*AO85)))</f>
        <v>0</v>
      </c>
      <c r="AP90" s="304"/>
      <c r="AQ90" s="260"/>
      <c r="AR90" s="243"/>
      <c r="AS90" s="243"/>
      <c r="AT90" s="243"/>
      <c r="AU90" s="236"/>
      <c r="AW90" s="307"/>
      <c r="AY90" s="455"/>
      <c r="AZ90" s="456"/>
      <c r="BA90" s="433"/>
    </row>
    <row r="91" spans="1:54" x14ac:dyDescent="0.25">
      <c r="A91" s="441"/>
      <c r="B91" s="443"/>
      <c r="C91" s="445"/>
      <c r="D91" s="445"/>
      <c r="E91" s="445"/>
      <c r="F91" s="445"/>
      <c r="G91" s="449"/>
      <c r="H91" s="449"/>
      <c r="I91" s="178" t="s">
        <v>255</v>
      </c>
      <c r="J91" s="187">
        <f t="shared" ref="J91:Q91" si="320">IF(OR($B84="N/A",J84="",J85="",J86=""),0,J88*J90)</f>
        <v>0</v>
      </c>
      <c r="K91" s="187">
        <f t="shared" si="320"/>
        <v>0</v>
      </c>
      <c r="L91" s="187">
        <f t="shared" si="320"/>
        <v>0</v>
      </c>
      <c r="M91" s="187">
        <f t="shared" si="320"/>
        <v>0</v>
      </c>
      <c r="N91" s="187">
        <f t="shared" si="320"/>
        <v>0</v>
      </c>
      <c r="O91" s="187">
        <f t="shared" ref="O91:P91" si="321">IF(OR($B84="N/A",O84="",O85="",O86=""),0,O88*O90)</f>
        <v>0</v>
      </c>
      <c r="P91" s="187">
        <f t="shared" si="321"/>
        <v>0</v>
      </c>
      <c r="Q91" s="187">
        <f t="shared" si="320"/>
        <v>0</v>
      </c>
      <c r="R91" s="187">
        <f>SUM(J91:Q91)</f>
        <v>0</v>
      </c>
      <c r="S91" s="178" t="s">
        <v>255</v>
      </c>
      <c r="T91" s="187">
        <f t="shared" ref="T91:Y91" si="322">IF(OR($B84="N/A",T84="",T85="",T86=""),0,T88*T90)</f>
        <v>0</v>
      </c>
      <c r="U91" s="187">
        <f t="shared" si="322"/>
        <v>0</v>
      </c>
      <c r="V91" s="187">
        <f t="shared" si="322"/>
        <v>0</v>
      </c>
      <c r="W91" s="187">
        <f t="shared" si="322"/>
        <v>0</v>
      </c>
      <c r="X91" s="187">
        <f t="shared" si="322"/>
        <v>0</v>
      </c>
      <c r="Y91" s="187">
        <f t="shared" si="322"/>
        <v>0</v>
      </c>
      <c r="Z91" s="187">
        <f>SUM(T91:Y91)</f>
        <v>0</v>
      </c>
      <c r="AA91" s="283"/>
      <c r="AB91" s="333" t="s">
        <v>256</v>
      </c>
      <c r="AC91" s="187">
        <f t="shared" ref="AC91:AH91" si="323">IF(OR($B84="N/A",AC84="",AC85="",AC86=""),0,AC88*AC90)</f>
        <v>0</v>
      </c>
      <c r="AD91" s="187">
        <f t="shared" si="323"/>
        <v>0</v>
      </c>
      <c r="AE91" s="187">
        <f t="shared" si="323"/>
        <v>0</v>
      </c>
      <c r="AF91" s="187">
        <f t="shared" si="323"/>
        <v>0</v>
      </c>
      <c r="AG91" s="187">
        <f t="shared" si="323"/>
        <v>0</v>
      </c>
      <c r="AH91" s="187">
        <f t="shared" si="323"/>
        <v>0</v>
      </c>
      <c r="AI91" s="333" t="s">
        <v>256</v>
      </c>
      <c r="AJ91" s="187">
        <f t="shared" ref="AJ91:AO91" si="324">IF(OR($B84="N/A",AJ84="",AJ85="",AJ86=""),0,AJ88*AJ90)</f>
        <v>0</v>
      </c>
      <c r="AK91" s="187">
        <f t="shared" si="324"/>
        <v>0</v>
      </c>
      <c r="AL91" s="187">
        <f t="shared" si="324"/>
        <v>0</v>
      </c>
      <c r="AM91" s="187">
        <f t="shared" si="324"/>
        <v>0</v>
      </c>
      <c r="AN91" s="187">
        <f t="shared" si="324"/>
        <v>0</v>
      </c>
      <c r="AO91" s="187">
        <f t="shared" si="324"/>
        <v>0</v>
      </c>
      <c r="AP91" s="280">
        <f>SUM(AC91:AH91)+SUM(AJ91:AO91)+R91+Z91+AA91</f>
        <v>0</v>
      </c>
      <c r="AQ91" s="282"/>
      <c r="AR91" s="280">
        <f t="shared" ref="AR91" si="325">AP91+AQ91</f>
        <v>0</v>
      </c>
      <c r="AS91" s="141"/>
      <c r="AT91" s="281" t="str">
        <f>IF($B84="N/A","N/A",AR91/A84)</f>
        <v>N/A</v>
      </c>
      <c r="AU91" s="281" t="str">
        <f>IF($B84="N/A","N/A",AR91/(H84*A84/10000))</f>
        <v>N/A</v>
      </c>
      <c r="AW91" s="281" t="e">
        <f>R90</f>
        <v>#DIV/0!</v>
      </c>
      <c r="AY91" s="272" t="e">
        <f>AP91/AR91</f>
        <v>#DIV/0!</v>
      </c>
      <c r="AZ91" s="272" t="e">
        <f>AQ91/AR91</f>
        <v>#DIV/0!</v>
      </c>
      <c r="BA91" s="273" t="s">
        <v>227</v>
      </c>
      <c r="BB91" s="320">
        <f>AR91</f>
        <v>0</v>
      </c>
    </row>
    <row r="92" spans="1:54" x14ac:dyDescent="0.25">
      <c r="A92" s="220"/>
      <c r="B92" s="221"/>
      <c r="C92" s="222"/>
      <c r="D92" s="222"/>
      <c r="E92" s="222"/>
      <c r="F92" s="222"/>
      <c r="G92" s="222"/>
      <c r="H92" s="222"/>
      <c r="I92" s="163"/>
      <c r="J92" s="164"/>
      <c r="K92" s="164"/>
      <c r="L92" s="164"/>
      <c r="M92" s="164"/>
      <c r="N92" s="164"/>
      <c r="O92" s="164"/>
      <c r="P92" s="164"/>
      <c r="Q92" s="164"/>
      <c r="R92" s="164"/>
      <c r="S92" s="163"/>
      <c r="T92" s="164"/>
      <c r="U92" s="164"/>
      <c r="V92" s="164"/>
      <c r="W92" s="164"/>
      <c r="X92" s="164"/>
      <c r="Y92" s="164"/>
      <c r="Z92" s="164"/>
      <c r="AA92" s="264"/>
      <c r="AB92" s="163"/>
      <c r="AC92" s="164"/>
      <c r="AD92" s="164"/>
      <c r="AE92" s="164"/>
      <c r="AF92" s="164"/>
      <c r="AG92" s="164"/>
      <c r="AH92" s="164"/>
      <c r="AI92" s="308"/>
      <c r="AJ92" s="164"/>
      <c r="AK92" s="164"/>
      <c r="AL92" s="164"/>
      <c r="AM92" s="164"/>
      <c r="AN92" s="164"/>
      <c r="AO92" s="164"/>
      <c r="AP92" s="166"/>
      <c r="AQ92" s="259"/>
      <c r="AR92" s="166"/>
      <c r="AS92" s="166"/>
      <c r="AT92" s="167"/>
      <c r="AU92" s="167"/>
      <c r="AV92" s="168"/>
      <c r="AW92" s="167"/>
      <c r="AX92" s="168"/>
      <c r="AY92" s="169"/>
      <c r="AZ92" s="170"/>
      <c r="BA92" s="163"/>
    </row>
    <row r="93" spans="1:54" x14ac:dyDescent="0.25">
      <c r="A93" s="440">
        <f>'Fleet Inventory'!A16</f>
        <v>0</v>
      </c>
      <c r="B93" s="442" t="str">
        <f>IF('Fleet Inventory'!B16="","N/A",'Fleet Inventory'!B16)</f>
        <v>N/A</v>
      </c>
      <c r="C93" s="444">
        <f>'Fleet Inventory'!C16</f>
        <v>0</v>
      </c>
      <c r="D93" s="444">
        <f>'Fleet Inventory'!D16</f>
        <v>0</v>
      </c>
      <c r="E93" s="446">
        <f>'Fleet Inventory'!E16</f>
        <v>0</v>
      </c>
      <c r="F93" s="447">
        <f>'Fleet Inventory'!F16</f>
        <v>0</v>
      </c>
      <c r="G93" s="448"/>
      <c r="H93" s="448"/>
      <c r="I93" s="165" t="s">
        <v>238</v>
      </c>
      <c r="J93" s="177"/>
      <c r="K93" s="177"/>
      <c r="L93" s="177"/>
      <c r="M93" s="177"/>
      <c r="N93" s="177"/>
      <c r="O93" s="177"/>
      <c r="P93" s="177"/>
      <c r="Q93" s="177"/>
      <c r="R93" s="161" t="s">
        <v>100</v>
      </c>
      <c r="S93" s="165" t="s">
        <v>238</v>
      </c>
      <c r="T93" s="177"/>
      <c r="U93" s="177"/>
      <c r="V93" s="177"/>
      <c r="W93" s="177"/>
      <c r="X93" s="177"/>
      <c r="Y93" s="177"/>
      <c r="Z93" s="161" t="s">
        <v>100</v>
      </c>
      <c r="AA93" s="147"/>
      <c r="AB93" s="330" t="s">
        <v>276</v>
      </c>
      <c r="AC93" s="318"/>
      <c r="AD93" s="327"/>
      <c r="AE93" s="328"/>
      <c r="AF93" s="328"/>
      <c r="AG93" s="328"/>
      <c r="AH93" s="328"/>
      <c r="AI93" s="330" t="s">
        <v>275</v>
      </c>
      <c r="AJ93" s="318"/>
      <c r="AK93" s="327"/>
      <c r="AL93" s="328"/>
      <c r="AM93" s="328"/>
      <c r="AN93" s="328"/>
      <c r="AO93" s="328"/>
      <c r="AP93" s="238"/>
      <c r="AQ93" s="241"/>
      <c r="AR93" s="241"/>
      <c r="AS93" s="241"/>
      <c r="AT93" s="241"/>
      <c r="AU93" s="241"/>
      <c r="AV93" s="305"/>
      <c r="AW93" s="306"/>
      <c r="AY93" s="450"/>
      <c r="AZ93" s="450"/>
      <c r="BA93" s="427"/>
    </row>
    <row r="94" spans="1:54" x14ac:dyDescent="0.25">
      <c r="A94" s="440"/>
      <c r="B94" s="442"/>
      <c r="C94" s="444"/>
      <c r="D94" s="444"/>
      <c r="E94" s="444"/>
      <c r="F94" s="444"/>
      <c r="G94" s="448"/>
      <c r="H94" s="448"/>
      <c r="I94" s="165" t="s">
        <v>277</v>
      </c>
      <c r="J94" s="158"/>
      <c r="K94" s="158"/>
      <c r="L94" s="158"/>
      <c r="M94" s="158"/>
      <c r="N94" s="158"/>
      <c r="O94" s="158"/>
      <c r="P94" s="158"/>
      <c r="Q94" s="158"/>
      <c r="R94" s="297">
        <f>SUM(J94:Q94)</f>
        <v>0</v>
      </c>
      <c r="S94" s="165" t="s">
        <v>277</v>
      </c>
      <c r="T94" s="158"/>
      <c r="U94" s="158"/>
      <c r="V94" s="158"/>
      <c r="W94" s="158"/>
      <c r="X94" s="158"/>
      <c r="Y94" s="158"/>
      <c r="Z94" s="297">
        <f>SUM(T94:Y94)</f>
        <v>0</v>
      </c>
      <c r="AA94" s="261"/>
      <c r="AB94" s="330" t="s">
        <v>272</v>
      </c>
      <c r="AC94" s="329"/>
      <c r="AD94" s="329"/>
      <c r="AE94" s="329"/>
      <c r="AF94" s="329"/>
      <c r="AG94" s="329"/>
      <c r="AH94" s="329"/>
      <c r="AI94" s="330" t="s">
        <v>200</v>
      </c>
      <c r="AJ94" s="329"/>
      <c r="AK94" s="329"/>
      <c r="AL94" s="329"/>
      <c r="AM94" s="329"/>
      <c r="AN94" s="329"/>
      <c r="AO94" s="329"/>
      <c r="AP94" s="239"/>
      <c r="AQ94" s="242"/>
      <c r="AR94" s="242"/>
      <c r="AS94" s="242"/>
      <c r="AT94" s="242"/>
      <c r="AU94" s="242"/>
      <c r="AV94" s="305"/>
      <c r="AW94" s="171"/>
      <c r="AY94" s="451"/>
      <c r="AZ94" s="451"/>
      <c r="BA94" s="430"/>
    </row>
    <row r="95" spans="1:54" x14ac:dyDescent="0.25">
      <c r="A95" s="440"/>
      <c r="B95" s="442"/>
      <c r="C95" s="444"/>
      <c r="D95" s="444"/>
      <c r="E95" s="444"/>
      <c r="F95" s="444"/>
      <c r="G95" s="448"/>
      <c r="H95" s="448"/>
      <c r="I95" s="165" t="s">
        <v>201</v>
      </c>
      <c r="J95" s="158"/>
      <c r="K95" s="158"/>
      <c r="L95" s="158"/>
      <c r="M95" s="158"/>
      <c r="N95" s="158"/>
      <c r="O95" s="158"/>
      <c r="P95" s="158"/>
      <c r="Q95" s="158"/>
      <c r="R95" s="157" t="e">
        <f>AVERAGE(J95:Q95)</f>
        <v>#DIV/0!</v>
      </c>
      <c r="S95" s="165" t="s">
        <v>201</v>
      </c>
      <c r="T95" s="158"/>
      <c r="U95" s="158"/>
      <c r="V95" s="158"/>
      <c r="W95" s="158"/>
      <c r="X95" s="158"/>
      <c r="Y95" s="158"/>
      <c r="Z95" s="157" t="e">
        <f>AVERAGE(T95:Y95)</f>
        <v>#DIV/0!</v>
      </c>
      <c r="AA95" s="262"/>
      <c r="AB95" s="330" t="s">
        <v>201</v>
      </c>
      <c r="AC95" s="329"/>
      <c r="AD95" s="329"/>
      <c r="AE95" s="329"/>
      <c r="AF95" s="329"/>
      <c r="AG95" s="329"/>
      <c r="AH95" s="329"/>
      <c r="AI95" s="330" t="s">
        <v>201</v>
      </c>
      <c r="AJ95" s="329"/>
      <c r="AK95" s="329"/>
      <c r="AL95" s="329"/>
      <c r="AM95" s="329"/>
      <c r="AN95" s="329"/>
      <c r="AO95" s="329"/>
      <c r="AP95" s="240"/>
      <c r="AQ95" s="243"/>
      <c r="AR95" s="243"/>
      <c r="AS95" s="243"/>
      <c r="AT95" s="243"/>
      <c r="AU95" s="243"/>
      <c r="AV95" s="305"/>
      <c r="AW95" s="307"/>
      <c r="AY95" s="452"/>
      <c r="AZ95" s="452"/>
      <c r="BA95" s="433"/>
    </row>
    <row r="96" spans="1:54" x14ac:dyDescent="0.25">
      <c r="A96" s="441"/>
      <c r="B96" s="443"/>
      <c r="C96" s="445"/>
      <c r="D96" s="445"/>
      <c r="E96" s="445"/>
      <c r="F96" s="445"/>
      <c r="G96" s="449"/>
      <c r="H96" s="449"/>
      <c r="I96" s="267" t="s">
        <v>271</v>
      </c>
      <c r="J96" s="188">
        <f>IF(OR($B93="N/A",J93="",J94="",J95=""),0,J95*J94)</f>
        <v>0</v>
      </c>
      <c r="K96" s="188">
        <f t="shared" ref="K96:P96" si="326">IF(OR($B93="N/A",K93="",K94="",K95=""),0,K95*K94)</f>
        <v>0</v>
      </c>
      <c r="L96" s="188">
        <f t="shared" si="326"/>
        <v>0</v>
      </c>
      <c r="M96" s="188">
        <f t="shared" si="326"/>
        <v>0</v>
      </c>
      <c r="N96" s="188">
        <f t="shared" si="326"/>
        <v>0</v>
      </c>
      <c r="O96" s="188">
        <f t="shared" si="326"/>
        <v>0</v>
      </c>
      <c r="P96" s="188">
        <f t="shared" si="326"/>
        <v>0</v>
      </c>
      <c r="Q96" s="188">
        <f>IF(OR($B93="N/A",Q93="",Q94="",Q95=""),0,Q95*Q94)</f>
        <v>0</v>
      </c>
      <c r="R96" s="188">
        <f>SUM(J96:Q96)</f>
        <v>0</v>
      </c>
      <c r="S96" s="267" t="s">
        <v>271</v>
      </c>
      <c r="T96" s="188">
        <f>IF(OR($B93="N/A",T93="",T94="",T95=""),0,T95*T94)</f>
        <v>0</v>
      </c>
      <c r="U96" s="188">
        <f t="shared" ref="U96:Y96" si="327">IF(OR($B93="N/A",U93="",U94="",U95=""),0,U95*U94)</f>
        <v>0</v>
      </c>
      <c r="V96" s="188">
        <f t="shared" si="327"/>
        <v>0</v>
      </c>
      <c r="W96" s="188">
        <f t="shared" si="327"/>
        <v>0</v>
      </c>
      <c r="X96" s="188">
        <f t="shared" si="327"/>
        <v>0</v>
      </c>
      <c r="Y96" s="188">
        <f t="shared" si="327"/>
        <v>0</v>
      </c>
      <c r="Z96" s="188">
        <f>SUM(T96:Y96)</f>
        <v>0</v>
      </c>
      <c r="AA96" s="263"/>
      <c r="AB96" s="331" t="s">
        <v>152</v>
      </c>
      <c r="AC96" s="188">
        <f>IF(OR($B93="N/A",AC94="",AC95=""),0,AC95*AC94)</f>
        <v>0</v>
      </c>
      <c r="AD96" s="188">
        <f t="shared" ref="AD96" si="328">IF(OR($B93="N/A",AD94="",AD95=""),0,AD95*AD94)</f>
        <v>0</v>
      </c>
      <c r="AE96" s="188">
        <f>IF(OR($B93="N/A",AE94="",AE95=""),0,AE95*AE94)</f>
        <v>0</v>
      </c>
      <c r="AF96" s="188">
        <f t="shared" ref="AF96" si="329">IF(OR($B93="N/A",AF94="",AF95=""),0,AF95*AF94)</f>
        <v>0</v>
      </c>
      <c r="AG96" s="188">
        <f>IF(OR($B93="N/A",AG94="",AG95=""),0,AG95*AG94)</f>
        <v>0</v>
      </c>
      <c r="AH96" s="188">
        <f t="shared" ref="AH96" si="330">IF(OR($B93="N/A",AH94="",AH95=""),0,AH95*AH94)</f>
        <v>0</v>
      </c>
      <c r="AI96" s="331" t="s">
        <v>152</v>
      </c>
      <c r="AJ96" s="188">
        <f>IF(OR($B93="N/A",AJ94="",AJ95=""),0,AJ95*AJ94)</f>
        <v>0</v>
      </c>
      <c r="AK96" s="188">
        <f t="shared" ref="AK96" si="331">IF(OR($B93="N/A",AK94="",AK95=""),0,AK95*AK94)</f>
        <v>0</v>
      </c>
      <c r="AL96" s="188">
        <f>IF(OR($B93="N/A",AL94="",AL95=""),0,AL95*AL94)</f>
        <v>0</v>
      </c>
      <c r="AM96" s="188">
        <f t="shared" ref="AM96" si="332">IF(OR($B93="N/A",AM94="",AM95=""),0,AM95*AM94)</f>
        <v>0</v>
      </c>
      <c r="AN96" s="188">
        <f>IF(OR($B93="N/A",AN94="",AN95=""),0,AN95*AN94)</f>
        <v>0</v>
      </c>
      <c r="AO96" s="188">
        <f t="shared" ref="AO96" si="333">IF(OR($B93="N/A",AO94="",AO95=""),0,AO95*AO94)</f>
        <v>0</v>
      </c>
      <c r="AP96" s="279">
        <f>SUM(AC96:AH96)+SUM(AJ96:AO96)+R96+Z96+AA96</f>
        <v>0</v>
      </c>
      <c r="AQ96" s="258"/>
      <c r="AR96" s="277">
        <f>AP96+AQ96</f>
        <v>0</v>
      </c>
      <c r="AS96" s="237"/>
      <c r="AT96" s="278" t="e">
        <f>IF($B94="N/A","N/A",AR96/A93)</f>
        <v>#DIV/0!</v>
      </c>
      <c r="AU96" s="278" t="e">
        <f>IF($B94="N/A","N/A",AR96/(E93*A93/10000))</f>
        <v>#DIV/0!</v>
      </c>
      <c r="AW96" s="278">
        <f>R94</f>
        <v>0</v>
      </c>
      <c r="AY96" s="244" t="e">
        <f>AP96/AR96</f>
        <v>#DIV/0!</v>
      </c>
      <c r="AZ96" s="244" t="e">
        <f>AQ96/AR96</f>
        <v>#DIV/0!</v>
      </c>
      <c r="BA96" s="245" t="s">
        <v>217</v>
      </c>
      <c r="BB96" s="319">
        <f>AR96</f>
        <v>0</v>
      </c>
    </row>
    <row r="97" spans="1:54" x14ac:dyDescent="0.25">
      <c r="A97" s="441"/>
      <c r="B97" s="443"/>
      <c r="C97" s="445"/>
      <c r="D97" s="445"/>
      <c r="E97" s="445"/>
      <c r="F97" s="445"/>
      <c r="G97" s="449"/>
      <c r="H97" s="449"/>
      <c r="I97" s="284" t="s">
        <v>226</v>
      </c>
      <c r="J97" s="285"/>
      <c r="K97" s="285"/>
      <c r="L97" s="285"/>
      <c r="M97" s="285"/>
      <c r="N97" s="285"/>
      <c r="O97" s="285"/>
      <c r="P97" s="285"/>
      <c r="Q97" s="285"/>
      <c r="R97" s="157" t="e">
        <f>AVERAGE(J97:Q97)</f>
        <v>#DIV/0!</v>
      </c>
      <c r="S97" s="284" t="s">
        <v>226</v>
      </c>
      <c r="T97" s="285"/>
      <c r="U97" s="285"/>
      <c r="V97" s="285"/>
      <c r="W97" s="285"/>
      <c r="X97" s="285"/>
      <c r="Y97" s="285"/>
      <c r="Z97" s="157" t="e">
        <f>AVERAGE(T97:Y97)</f>
        <v>#DIV/0!</v>
      </c>
      <c r="AA97" s="298"/>
      <c r="AB97" s="332" t="s">
        <v>226</v>
      </c>
      <c r="AC97" s="285"/>
      <c r="AD97" s="285"/>
      <c r="AE97" s="285"/>
      <c r="AF97" s="285"/>
      <c r="AG97" s="285"/>
      <c r="AH97" s="285"/>
      <c r="AI97" s="332" t="s">
        <v>226</v>
      </c>
      <c r="AJ97" s="285"/>
      <c r="AK97" s="285"/>
      <c r="AL97" s="285"/>
      <c r="AM97" s="285"/>
      <c r="AN97" s="285"/>
      <c r="AO97" s="285"/>
      <c r="AP97" s="301"/>
      <c r="AQ97" s="301"/>
      <c r="AR97" s="302"/>
      <c r="AS97" s="302"/>
      <c r="AT97" s="302"/>
      <c r="AU97" s="303"/>
      <c r="AW97" s="171"/>
      <c r="AY97" s="453"/>
      <c r="AZ97" s="454"/>
      <c r="BA97" s="427"/>
    </row>
    <row r="98" spans="1:54" x14ac:dyDescent="0.25">
      <c r="A98" s="441"/>
      <c r="B98" s="443"/>
      <c r="C98" s="445"/>
      <c r="D98" s="445"/>
      <c r="E98" s="445"/>
      <c r="F98" s="445"/>
      <c r="G98" s="449"/>
      <c r="H98" s="449"/>
      <c r="I98" s="163"/>
      <c r="J98" s="164"/>
      <c r="K98" s="164"/>
      <c r="L98" s="164"/>
      <c r="M98" s="164"/>
      <c r="N98" s="164"/>
      <c r="O98" s="164"/>
      <c r="P98" s="164"/>
      <c r="Q98" s="164"/>
      <c r="R98" s="164"/>
      <c r="S98" s="163"/>
      <c r="T98" s="164"/>
      <c r="U98" s="164"/>
      <c r="V98" s="164"/>
      <c r="W98" s="164"/>
      <c r="X98" s="164"/>
      <c r="Y98" s="164"/>
      <c r="Z98" s="164"/>
      <c r="AA98" s="350"/>
      <c r="AB98" s="332" t="s">
        <v>322</v>
      </c>
      <c r="AC98" s="351"/>
      <c r="AD98" s="351"/>
      <c r="AE98" s="351"/>
      <c r="AF98" s="351"/>
      <c r="AG98" s="351"/>
      <c r="AH98" s="351"/>
      <c r="AI98" s="332" t="s">
        <v>323</v>
      </c>
      <c r="AJ98" s="285"/>
      <c r="AK98" s="285"/>
      <c r="AL98" s="285"/>
      <c r="AM98" s="285"/>
      <c r="AN98" s="285"/>
      <c r="AO98" s="285"/>
      <c r="AP98" s="352"/>
      <c r="AQ98" s="352"/>
      <c r="AR98" s="353"/>
      <c r="AS98" s="353"/>
      <c r="AT98" s="353"/>
      <c r="AU98" s="354"/>
      <c r="AW98" s="171"/>
      <c r="AY98" s="355"/>
      <c r="AZ98" s="356"/>
      <c r="BA98" s="349"/>
    </row>
    <row r="99" spans="1:54" x14ac:dyDescent="0.25">
      <c r="A99" s="441"/>
      <c r="B99" s="443"/>
      <c r="C99" s="445"/>
      <c r="D99" s="445"/>
      <c r="E99" s="445"/>
      <c r="F99" s="445"/>
      <c r="G99" s="449"/>
      <c r="H99" s="449"/>
      <c r="I99" s="178" t="s">
        <v>237</v>
      </c>
      <c r="J99" s="153">
        <f t="shared" ref="J99:Q99" si="334">IF(AND($G93="",$H93=""),J94,($H93*$G93)/($E93*$A93)*J94)</f>
        <v>0</v>
      </c>
      <c r="K99" s="153">
        <f t="shared" si="334"/>
        <v>0</v>
      </c>
      <c r="L99" s="153">
        <f t="shared" si="334"/>
        <v>0</v>
      </c>
      <c r="M99" s="153">
        <f t="shared" si="334"/>
        <v>0</v>
      </c>
      <c r="N99" s="153">
        <f t="shared" si="334"/>
        <v>0</v>
      </c>
      <c r="O99" s="153">
        <f t="shared" ref="O99:P99" si="335">IF(AND($G93="",$H93=""),O94,($H93*$G93)/($E93*$A93)*O94)</f>
        <v>0</v>
      </c>
      <c r="P99" s="153">
        <f t="shared" si="335"/>
        <v>0</v>
      </c>
      <c r="Q99" s="153">
        <f t="shared" si="334"/>
        <v>0</v>
      </c>
      <c r="R99" s="153" t="e">
        <f>($H93*$G93)/($E93*$A93)*R94</f>
        <v>#DIV/0!</v>
      </c>
      <c r="S99" s="178" t="s">
        <v>237</v>
      </c>
      <c r="T99" s="153">
        <f t="shared" ref="T99:Z99" si="336">IF($G93="",T94,($G93/$A93)*T94)</f>
        <v>0</v>
      </c>
      <c r="U99" s="153">
        <f t="shared" si="336"/>
        <v>0</v>
      </c>
      <c r="V99" s="153">
        <f t="shared" si="336"/>
        <v>0</v>
      </c>
      <c r="W99" s="153">
        <f t="shared" si="336"/>
        <v>0</v>
      </c>
      <c r="X99" s="153">
        <f t="shared" si="336"/>
        <v>0</v>
      </c>
      <c r="Y99" s="153">
        <f t="shared" si="336"/>
        <v>0</v>
      </c>
      <c r="Z99" s="153">
        <f t="shared" si="336"/>
        <v>0</v>
      </c>
      <c r="AA99" s="262"/>
      <c r="AB99" s="333" t="s">
        <v>240</v>
      </c>
      <c r="AC99" s="153">
        <f>IF($G93="",IF(AC98="",AC94,AC93/AC98*AC94),IF(AC94=0,0,$G93/$A93*AC93/AC98*AC94))</f>
        <v>0</v>
      </c>
      <c r="AD99" s="153">
        <f t="shared" ref="AD99" si="337">IF($G93="",IF(AD98="",AD94,AD93/AD98*AD94),IF(AD94=0,0,$G93/$A93*AD93/AD98*AD94))</f>
        <v>0</v>
      </c>
      <c r="AE99" s="153">
        <f t="shared" ref="AE99" si="338">IF($G93="",IF(AE98="",AE94,AE93/AE98*AE94),IF(AE94=0,0,$G93/$A93*AE93/AE98*AE94))</f>
        <v>0</v>
      </c>
      <c r="AF99" s="153">
        <f t="shared" ref="AF99" si="339">IF($G93="",IF(AF98="",AF94,AF93/AF98*AF94),IF(AF94=0,0,$G93/$A93*AF93/AF98*AF94))</f>
        <v>0</v>
      </c>
      <c r="AG99" s="153">
        <f t="shared" ref="AG99" si="340">IF($G93="",IF(AG98="",AG94,AG93/AG98*AG94),IF(AG94=0,0,$G93/$A93*AG93/AG98*AG94))</f>
        <v>0</v>
      </c>
      <c r="AH99" s="153">
        <f t="shared" ref="AH99" si="341">IF($G93="",IF(AH98="",AH94,AH93/AH98*AH94),IF(AH94=0,0,$G93/$A93*AH93/AH98*AH94))</f>
        <v>0</v>
      </c>
      <c r="AI99" s="333" t="s">
        <v>240</v>
      </c>
      <c r="AJ99" s="153">
        <f>IF(AND($G93="",$H93=""),IF(AJ98="",AJ94,AJ93/AJ98*AJ94),IF(AJ94=0,0,($G93*$H93)/($A93*$E93)*(AJ93/AJ98*AJ94)))</f>
        <v>0</v>
      </c>
      <c r="AK99" s="153">
        <f t="shared" ref="AK99" si="342">IF(AND($G93="",$H93=""),IF(AK98="",AK94,AK93/AK98*AK94),IF(AK94=0,0,($G93*$H93)/($A93*$E93)*(AK93/AK98*AK94)))</f>
        <v>0</v>
      </c>
      <c r="AL99" s="153">
        <f t="shared" ref="AL99" si="343">IF(AND($G93="",$H93=""),IF(AL98="",AL94,AL93/AL98*AL94),IF(AL94=0,0,($G93*$H93)/($A93*$E93)*(AL93/AL98*AL94)))</f>
        <v>0</v>
      </c>
      <c r="AM99" s="153">
        <f t="shared" ref="AM99" si="344">IF(AND($G93="",$H93=""),IF(AM98="",AM94,AM93/AM98*AM94),IF(AM94=0,0,($G93*$H93)/($A93*$E93)*(AM93/AM98*AM94)))</f>
        <v>0</v>
      </c>
      <c r="AN99" s="153">
        <f t="shared" ref="AN99" si="345">IF(AND($G93="",$H93=""),IF(AN98="",AN94,AN93/AN98*AN94),IF(AN94=0,0,($G93*$H93)/($A93*$E93)*(AN93/AN98*AN94)))</f>
        <v>0</v>
      </c>
      <c r="AO99" s="153">
        <f t="shared" ref="AO99" si="346">IF(AND($G93="",$H93=""),IF(AO98="",AO94,AO93/AO98*AO94),IF(AO94=0,0,($G93*$H93)/($A93*$E93)*(AO93/AO98*AO94)))</f>
        <v>0</v>
      </c>
      <c r="AP99" s="304"/>
      <c r="AQ99" s="260"/>
      <c r="AR99" s="243"/>
      <c r="AS99" s="243"/>
      <c r="AT99" s="243"/>
      <c r="AU99" s="236"/>
      <c r="AW99" s="307"/>
      <c r="AY99" s="455"/>
      <c r="AZ99" s="456"/>
      <c r="BA99" s="433"/>
    </row>
    <row r="100" spans="1:54" x14ac:dyDescent="0.25">
      <c r="A100" s="441"/>
      <c r="B100" s="443"/>
      <c r="C100" s="445"/>
      <c r="D100" s="445"/>
      <c r="E100" s="445"/>
      <c r="F100" s="445"/>
      <c r="G100" s="449"/>
      <c r="H100" s="449"/>
      <c r="I100" s="178" t="s">
        <v>255</v>
      </c>
      <c r="J100" s="187">
        <f>IF(OR($B93="N/A",J93="",J94="",J95=""),0,J97*J99)</f>
        <v>0</v>
      </c>
      <c r="K100" s="187">
        <f t="shared" ref="K100:Q100" si="347">IF(OR($B93="N/A",K93="",K94="",K95=""),0,K97*K99)</f>
        <v>0</v>
      </c>
      <c r="L100" s="187">
        <f t="shared" si="347"/>
        <v>0</v>
      </c>
      <c r="M100" s="187">
        <f t="shared" si="347"/>
        <v>0</v>
      </c>
      <c r="N100" s="187">
        <f t="shared" si="347"/>
        <v>0</v>
      </c>
      <c r="O100" s="187">
        <f t="shared" ref="O100:P100" si="348">IF(OR($B93="N/A",O93="",O94="",O95=""),0,O97*O99)</f>
        <v>0</v>
      </c>
      <c r="P100" s="187">
        <f t="shared" si="348"/>
        <v>0</v>
      </c>
      <c r="Q100" s="187">
        <f t="shared" si="347"/>
        <v>0</v>
      </c>
      <c r="R100" s="187">
        <f>SUM(J100:Q100)</f>
        <v>0</v>
      </c>
      <c r="S100" s="178" t="s">
        <v>255</v>
      </c>
      <c r="T100" s="187">
        <f>IF(OR($B93="N/A",T93="",T94="",T95=""),0,T97*T99)</f>
        <v>0</v>
      </c>
      <c r="U100" s="187">
        <f t="shared" ref="U100:Y100" si="349">IF(OR($B93="N/A",U93="",U94="",U95=""),0,U97*U99)</f>
        <v>0</v>
      </c>
      <c r="V100" s="187">
        <f t="shared" si="349"/>
        <v>0</v>
      </c>
      <c r="W100" s="187">
        <f t="shared" si="349"/>
        <v>0</v>
      </c>
      <c r="X100" s="187">
        <f t="shared" si="349"/>
        <v>0</v>
      </c>
      <c r="Y100" s="187">
        <f t="shared" si="349"/>
        <v>0</v>
      </c>
      <c r="Z100" s="187">
        <f>SUM(T100:Y100)</f>
        <v>0</v>
      </c>
      <c r="AA100" s="283"/>
      <c r="AB100" s="333" t="s">
        <v>256</v>
      </c>
      <c r="AC100" s="187">
        <f>IF(OR($B93="N/A",AC93="",AC94="",AC95=""),0,AC97*AC99)</f>
        <v>0</v>
      </c>
      <c r="AD100" s="187">
        <f t="shared" ref="AD100" si="350">IF(OR($B93="N/A",AD93="",AD94="",AD95=""),0,AD97*AD99)</f>
        <v>0</v>
      </c>
      <c r="AE100" s="187">
        <f t="shared" ref="AE100" si="351">IF(OR($B93="N/A",AE93="",AE94="",AE95=""),0,AE97*AE99)</f>
        <v>0</v>
      </c>
      <c r="AF100" s="187">
        <f t="shared" ref="AF100" si="352">IF(OR($B93="N/A",AF93="",AF94="",AF95=""),0,AF97*AF99)</f>
        <v>0</v>
      </c>
      <c r="AG100" s="187">
        <f t="shared" ref="AG100" si="353">IF(OR($B93="N/A",AG93="",AG94="",AG95=""),0,AG97*AG99)</f>
        <v>0</v>
      </c>
      <c r="AH100" s="187">
        <f t="shared" ref="AH100" si="354">IF(OR($B93="N/A",AH93="",AH94="",AH95=""),0,AH97*AH99)</f>
        <v>0</v>
      </c>
      <c r="AI100" s="333" t="s">
        <v>256</v>
      </c>
      <c r="AJ100" s="187">
        <f>IF(OR($B93="N/A",AJ93="",AJ94="",AJ95=""),0,AJ97*AJ99)</f>
        <v>0</v>
      </c>
      <c r="AK100" s="187">
        <f t="shared" ref="AK100" si="355">IF(OR($B93="N/A",AK93="",AK94="",AK95=""),0,AK97*AK99)</f>
        <v>0</v>
      </c>
      <c r="AL100" s="187">
        <f t="shared" ref="AL100" si="356">IF(OR($B93="N/A",AL93="",AL94="",AL95=""),0,AL97*AL99)</f>
        <v>0</v>
      </c>
      <c r="AM100" s="187">
        <f t="shared" ref="AM100" si="357">IF(OR($B93="N/A",AM93="",AM94="",AM95=""),0,AM97*AM99)</f>
        <v>0</v>
      </c>
      <c r="AN100" s="187">
        <f t="shared" ref="AN100" si="358">IF(OR($B93="N/A",AN93="",AN94="",AN95=""),0,AN97*AN99)</f>
        <v>0</v>
      </c>
      <c r="AO100" s="187">
        <f t="shared" ref="AO100" si="359">IF(OR($B93="N/A",AO93="",AO94="",AO95=""),0,AO97*AO99)</f>
        <v>0</v>
      </c>
      <c r="AP100" s="280">
        <f>SUM(AC100:AH100)+SUM(AJ100:AO100)+R100+Z100+AA100</f>
        <v>0</v>
      </c>
      <c r="AQ100" s="282"/>
      <c r="AR100" s="280">
        <f t="shared" ref="AR100" si="360">AP100+AQ100</f>
        <v>0</v>
      </c>
      <c r="AS100" s="141"/>
      <c r="AT100" s="281" t="str">
        <f>IF($B93="N/A","N/A",AR100/A93)</f>
        <v>N/A</v>
      </c>
      <c r="AU100" s="281" t="str">
        <f>IF($B93="N/A","N/A",AR100/(H93*A93/10000))</f>
        <v>N/A</v>
      </c>
      <c r="AW100" s="281" t="e">
        <f>R99</f>
        <v>#DIV/0!</v>
      </c>
      <c r="AY100" s="272" t="e">
        <f>AP100/AR100</f>
        <v>#DIV/0!</v>
      </c>
      <c r="AZ100" s="272" t="e">
        <f>AQ100/AR100</f>
        <v>#DIV/0!</v>
      </c>
      <c r="BA100" s="273" t="s">
        <v>227</v>
      </c>
      <c r="BB100" s="320">
        <f>AR100</f>
        <v>0</v>
      </c>
    </row>
    <row r="101" spans="1:54" x14ac:dyDescent="0.25">
      <c r="A101" s="220"/>
      <c r="B101" s="221"/>
      <c r="C101" s="222"/>
      <c r="D101" s="222"/>
      <c r="E101" s="222"/>
      <c r="F101" s="222"/>
      <c r="G101" s="222"/>
      <c r="H101" s="222"/>
      <c r="I101" s="163"/>
      <c r="J101" s="164"/>
      <c r="K101" s="164"/>
      <c r="L101" s="164"/>
      <c r="M101" s="164"/>
      <c r="N101" s="164"/>
      <c r="O101" s="164"/>
      <c r="P101" s="164"/>
      <c r="Q101" s="164"/>
      <c r="R101" s="164"/>
      <c r="S101" s="163"/>
      <c r="T101" s="164"/>
      <c r="U101" s="164"/>
      <c r="V101" s="164"/>
      <c r="W101" s="164"/>
      <c r="X101" s="164"/>
      <c r="Y101" s="164"/>
      <c r="Z101" s="164"/>
      <c r="AA101" s="264"/>
      <c r="AB101" s="163"/>
      <c r="AC101" s="164"/>
      <c r="AD101" s="164"/>
      <c r="AE101" s="164"/>
      <c r="AF101" s="164"/>
      <c r="AG101" s="164"/>
      <c r="AH101" s="164"/>
      <c r="AI101" s="308"/>
      <c r="AJ101" s="164"/>
      <c r="AK101" s="164"/>
      <c r="AL101" s="164"/>
      <c r="AM101" s="164"/>
      <c r="AN101" s="164"/>
      <c r="AO101" s="164"/>
      <c r="AP101" s="166"/>
      <c r="AQ101" s="259"/>
      <c r="AR101" s="166"/>
      <c r="AS101" s="166"/>
      <c r="AT101" s="167"/>
      <c r="AU101" s="167"/>
      <c r="AV101" s="168"/>
      <c r="AW101" s="167"/>
      <c r="AX101" s="168"/>
      <c r="AY101" s="169"/>
      <c r="AZ101" s="170"/>
      <c r="BA101" s="163"/>
    </row>
    <row r="102" spans="1:54" x14ac:dyDescent="0.25">
      <c r="A102" s="440">
        <f>'Fleet Inventory'!A17</f>
        <v>0</v>
      </c>
      <c r="B102" s="442" t="str">
        <f>IF('Fleet Inventory'!B17="","N/A",'Fleet Inventory'!B17)</f>
        <v>N/A</v>
      </c>
      <c r="C102" s="444">
        <f>'Fleet Inventory'!C17</f>
        <v>0</v>
      </c>
      <c r="D102" s="444">
        <f>'Fleet Inventory'!D17</f>
        <v>0</v>
      </c>
      <c r="E102" s="446">
        <f>'Fleet Inventory'!E17</f>
        <v>0</v>
      </c>
      <c r="F102" s="447">
        <f>'Fleet Inventory'!F17</f>
        <v>0</v>
      </c>
      <c r="G102" s="448"/>
      <c r="H102" s="448"/>
      <c r="I102" s="165" t="s">
        <v>238</v>
      </c>
      <c r="J102" s="177"/>
      <c r="K102" s="177"/>
      <c r="L102" s="177"/>
      <c r="M102" s="177"/>
      <c r="N102" s="177"/>
      <c r="O102" s="177"/>
      <c r="P102" s="177"/>
      <c r="Q102" s="177"/>
      <c r="R102" s="161" t="s">
        <v>100</v>
      </c>
      <c r="S102" s="165" t="s">
        <v>238</v>
      </c>
      <c r="T102" s="177"/>
      <c r="U102" s="177"/>
      <c r="V102" s="177"/>
      <c r="W102" s="177"/>
      <c r="X102" s="177"/>
      <c r="Y102" s="177"/>
      <c r="Z102" s="161" t="s">
        <v>100</v>
      </c>
      <c r="AA102" s="147"/>
      <c r="AB102" s="330" t="s">
        <v>276</v>
      </c>
      <c r="AC102" s="318"/>
      <c r="AD102" s="327"/>
      <c r="AE102" s="328"/>
      <c r="AF102" s="328"/>
      <c r="AG102" s="328"/>
      <c r="AH102" s="328"/>
      <c r="AI102" s="330" t="s">
        <v>275</v>
      </c>
      <c r="AJ102" s="318"/>
      <c r="AK102" s="327"/>
      <c r="AL102" s="328"/>
      <c r="AM102" s="328"/>
      <c r="AN102" s="328"/>
      <c r="AO102" s="328"/>
      <c r="AP102" s="238"/>
      <c r="AQ102" s="241"/>
      <c r="AR102" s="241"/>
      <c r="AS102" s="241"/>
      <c r="AT102" s="241"/>
      <c r="AU102" s="241"/>
      <c r="AV102" s="305"/>
      <c r="AW102" s="306"/>
      <c r="AY102" s="450"/>
      <c r="AZ102" s="450"/>
      <c r="BA102" s="427"/>
    </row>
    <row r="103" spans="1:54" x14ac:dyDescent="0.25">
      <c r="A103" s="440"/>
      <c r="B103" s="442"/>
      <c r="C103" s="444"/>
      <c r="D103" s="444"/>
      <c r="E103" s="444"/>
      <c r="F103" s="444"/>
      <c r="G103" s="448"/>
      <c r="H103" s="448"/>
      <c r="I103" s="165" t="s">
        <v>277</v>
      </c>
      <c r="J103" s="158"/>
      <c r="K103" s="158"/>
      <c r="L103" s="158"/>
      <c r="M103" s="158"/>
      <c r="N103" s="158"/>
      <c r="O103" s="158"/>
      <c r="P103" s="158"/>
      <c r="Q103" s="158"/>
      <c r="R103" s="297">
        <f>SUM(J103:Q103)</f>
        <v>0</v>
      </c>
      <c r="S103" s="165" t="s">
        <v>277</v>
      </c>
      <c r="T103" s="158"/>
      <c r="U103" s="158"/>
      <c r="V103" s="158"/>
      <c r="W103" s="158"/>
      <c r="X103" s="158"/>
      <c r="Y103" s="158"/>
      <c r="Z103" s="297">
        <f>SUM(T103:Y103)</f>
        <v>0</v>
      </c>
      <c r="AA103" s="261"/>
      <c r="AB103" s="330" t="s">
        <v>272</v>
      </c>
      <c r="AC103" s="329"/>
      <c r="AD103" s="329"/>
      <c r="AE103" s="329"/>
      <c r="AF103" s="329"/>
      <c r="AG103" s="329"/>
      <c r="AH103" s="329"/>
      <c r="AI103" s="330" t="s">
        <v>200</v>
      </c>
      <c r="AJ103" s="329"/>
      <c r="AK103" s="329"/>
      <c r="AL103" s="329"/>
      <c r="AM103" s="329"/>
      <c r="AN103" s="329"/>
      <c r="AO103" s="329"/>
      <c r="AP103" s="239"/>
      <c r="AQ103" s="242"/>
      <c r="AR103" s="242"/>
      <c r="AS103" s="242"/>
      <c r="AT103" s="242"/>
      <c r="AU103" s="242"/>
      <c r="AV103" s="305"/>
      <c r="AW103" s="171"/>
      <c r="AY103" s="451"/>
      <c r="AZ103" s="451"/>
      <c r="BA103" s="430"/>
    </row>
    <row r="104" spans="1:54" x14ac:dyDescent="0.25">
      <c r="A104" s="440"/>
      <c r="B104" s="442"/>
      <c r="C104" s="444"/>
      <c r="D104" s="444"/>
      <c r="E104" s="444"/>
      <c r="F104" s="444"/>
      <c r="G104" s="448"/>
      <c r="H104" s="448"/>
      <c r="I104" s="165" t="s">
        <v>201</v>
      </c>
      <c r="J104" s="158"/>
      <c r="K104" s="158"/>
      <c r="L104" s="158"/>
      <c r="M104" s="158"/>
      <c r="N104" s="158"/>
      <c r="O104" s="158"/>
      <c r="P104" s="158"/>
      <c r="Q104" s="158"/>
      <c r="R104" s="157" t="e">
        <f>AVERAGE(J104:Q104)</f>
        <v>#DIV/0!</v>
      </c>
      <c r="S104" s="165" t="s">
        <v>201</v>
      </c>
      <c r="T104" s="158"/>
      <c r="U104" s="158"/>
      <c r="V104" s="158"/>
      <c r="W104" s="158"/>
      <c r="X104" s="158"/>
      <c r="Y104" s="158"/>
      <c r="Z104" s="157" t="e">
        <f>AVERAGE(T104:Y104)</f>
        <v>#DIV/0!</v>
      </c>
      <c r="AA104" s="262"/>
      <c r="AB104" s="330" t="s">
        <v>201</v>
      </c>
      <c r="AC104" s="329"/>
      <c r="AD104" s="329"/>
      <c r="AE104" s="329"/>
      <c r="AF104" s="329"/>
      <c r="AG104" s="329"/>
      <c r="AH104" s="329"/>
      <c r="AI104" s="330" t="s">
        <v>201</v>
      </c>
      <c r="AJ104" s="329"/>
      <c r="AK104" s="329"/>
      <c r="AL104" s="329"/>
      <c r="AM104" s="329"/>
      <c r="AN104" s="329"/>
      <c r="AO104" s="329"/>
      <c r="AP104" s="240"/>
      <c r="AQ104" s="243"/>
      <c r="AR104" s="243"/>
      <c r="AS104" s="243"/>
      <c r="AT104" s="243"/>
      <c r="AU104" s="243"/>
      <c r="AV104" s="305"/>
      <c r="AW104" s="307"/>
      <c r="AY104" s="452"/>
      <c r="AZ104" s="452"/>
      <c r="BA104" s="433"/>
    </row>
    <row r="105" spans="1:54" x14ac:dyDescent="0.25">
      <c r="A105" s="441"/>
      <c r="B105" s="443"/>
      <c r="C105" s="445"/>
      <c r="D105" s="445"/>
      <c r="E105" s="445"/>
      <c r="F105" s="445"/>
      <c r="G105" s="449"/>
      <c r="H105" s="449"/>
      <c r="I105" s="267" t="s">
        <v>271</v>
      </c>
      <c r="J105" s="188">
        <f>IF(OR($B102="N/A",J102="",J103="",J104=""),0,J104*J103)</f>
        <v>0</v>
      </c>
      <c r="K105" s="188">
        <f t="shared" ref="K105:P105" si="361">IF(OR($B102="N/A",K102="",K103="",K104=""),0,K104*K103)</f>
        <v>0</v>
      </c>
      <c r="L105" s="188">
        <f t="shared" si="361"/>
        <v>0</v>
      </c>
      <c r="M105" s="188">
        <f t="shared" si="361"/>
        <v>0</v>
      </c>
      <c r="N105" s="188">
        <f t="shared" si="361"/>
        <v>0</v>
      </c>
      <c r="O105" s="188">
        <f t="shared" si="361"/>
        <v>0</v>
      </c>
      <c r="P105" s="188">
        <f t="shared" si="361"/>
        <v>0</v>
      </c>
      <c r="Q105" s="188">
        <f>IF(OR($B102="N/A",Q102="",Q103="",Q104=""),0,Q104*Q103)</f>
        <v>0</v>
      </c>
      <c r="R105" s="188">
        <f>SUM(J105:Q105)</f>
        <v>0</v>
      </c>
      <c r="S105" s="267" t="s">
        <v>271</v>
      </c>
      <c r="T105" s="188">
        <f>IF(OR($B102="N/A",T102="",T103="",T104=""),0,T104*T103)</f>
        <v>0</v>
      </c>
      <c r="U105" s="188">
        <f t="shared" ref="U105:Y105" si="362">IF(OR($B102="N/A",U102="",U103="",U104=""),0,U104*U103)</f>
        <v>0</v>
      </c>
      <c r="V105" s="188">
        <f t="shared" si="362"/>
        <v>0</v>
      </c>
      <c r="W105" s="188">
        <f t="shared" si="362"/>
        <v>0</v>
      </c>
      <c r="X105" s="188">
        <f t="shared" si="362"/>
        <v>0</v>
      </c>
      <c r="Y105" s="188">
        <f t="shared" si="362"/>
        <v>0</v>
      </c>
      <c r="Z105" s="188">
        <f>SUM(T105:Y105)</f>
        <v>0</v>
      </c>
      <c r="AA105" s="263"/>
      <c r="AB105" s="331" t="s">
        <v>152</v>
      </c>
      <c r="AC105" s="188">
        <f>IF(OR($B102="N/A",AC103="",AC104=""),0,AC104*AC103)</f>
        <v>0</v>
      </c>
      <c r="AD105" s="188">
        <f t="shared" ref="AD105" si="363">IF(OR($B102="N/A",AD103="",AD104=""),0,AD104*AD103)</f>
        <v>0</v>
      </c>
      <c r="AE105" s="188">
        <f>IF(OR($B102="N/A",AE103="",AE104=""),0,AE104*AE103)</f>
        <v>0</v>
      </c>
      <c r="AF105" s="188">
        <f t="shared" ref="AF105" si="364">IF(OR($B102="N/A",AF103="",AF104=""),0,AF104*AF103)</f>
        <v>0</v>
      </c>
      <c r="AG105" s="188">
        <f>IF(OR($B102="N/A",AG103="",AG104=""),0,AG104*AG103)</f>
        <v>0</v>
      </c>
      <c r="AH105" s="188">
        <f t="shared" ref="AH105" si="365">IF(OR($B102="N/A",AH103="",AH104=""),0,AH104*AH103)</f>
        <v>0</v>
      </c>
      <c r="AI105" s="331" t="s">
        <v>152</v>
      </c>
      <c r="AJ105" s="188">
        <f>IF(OR($B102="N/A",AJ103="",AJ104=""),0,AJ104*AJ103)</f>
        <v>0</v>
      </c>
      <c r="AK105" s="188">
        <f t="shared" ref="AK105" si="366">IF(OR($B102="N/A",AK103="",AK104=""),0,AK104*AK103)</f>
        <v>0</v>
      </c>
      <c r="AL105" s="188">
        <f>IF(OR($B102="N/A",AL103="",AL104=""),0,AL104*AL103)</f>
        <v>0</v>
      </c>
      <c r="AM105" s="188">
        <f t="shared" ref="AM105" si="367">IF(OR($B102="N/A",AM103="",AM104=""),0,AM104*AM103)</f>
        <v>0</v>
      </c>
      <c r="AN105" s="188">
        <f>IF(OR($B102="N/A",AN103="",AN104=""),0,AN104*AN103)</f>
        <v>0</v>
      </c>
      <c r="AO105" s="188">
        <f t="shared" ref="AO105" si="368">IF(OR($B102="N/A",AO103="",AO104=""),0,AO104*AO103)</f>
        <v>0</v>
      </c>
      <c r="AP105" s="279">
        <f>SUM(AC105:AH105)+SUM(AJ105:AO105)+R105+Z105+AA105</f>
        <v>0</v>
      </c>
      <c r="AQ105" s="258"/>
      <c r="AR105" s="277">
        <f>AP105+AQ105</f>
        <v>0</v>
      </c>
      <c r="AS105" s="237"/>
      <c r="AT105" s="278" t="e">
        <f>IF($B103="N/A","N/A",AR105/A102)</f>
        <v>#DIV/0!</v>
      </c>
      <c r="AU105" s="278" t="e">
        <f>IF($B103="N/A","N/A",AR105/(E102*A102/10000))</f>
        <v>#DIV/0!</v>
      </c>
      <c r="AW105" s="278">
        <f>R103</f>
        <v>0</v>
      </c>
      <c r="AY105" s="244" t="e">
        <f>AP105/AR105</f>
        <v>#DIV/0!</v>
      </c>
      <c r="AZ105" s="244" t="e">
        <f>AQ105/AR105</f>
        <v>#DIV/0!</v>
      </c>
      <c r="BA105" s="245" t="s">
        <v>217</v>
      </c>
      <c r="BB105" s="319">
        <f>AR105</f>
        <v>0</v>
      </c>
    </row>
    <row r="106" spans="1:54" x14ac:dyDescent="0.25">
      <c r="A106" s="441"/>
      <c r="B106" s="443"/>
      <c r="C106" s="445"/>
      <c r="D106" s="445"/>
      <c r="E106" s="445"/>
      <c r="F106" s="445"/>
      <c r="G106" s="449"/>
      <c r="H106" s="449"/>
      <c r="I106" s="284" t="s">
        <v>226</v>
      </c>
      <c r="J106" s="285"/>
      <c r="K106" s="285"/>
      <c r="L106" s="285"/>
      <c r="M106" s="285"/>
      <c r="N106" s="285"/>
      <c r="O106" s="285"/>
      <c r="P106" s="285"/>
      <c r="Q106" s="285"/>
      <c r="R106" s="157" t="e">
        <f>AVERAGE(J106:Q106)</f>
        <v>#DIV/0!</v>
      </c>
      <c r="S106" s="284" t="s">
        <v>226</v>
      </c>
      <c r="T106" s="285"/>
      <c r="U106" s="285"/>
      <c r="V106" s="285"/>
      <c r="W106" s="285"/>
      <c r="X106" s="285"/>
      <c r="Y106" s="285"/>
      <c r="Z106" s="157" t="e">
        <f>AVERAGE(T106:Y106)</f>
        <v>#DIV/0!</v>
      </c>
      <c r="AA106" s="298"/>
      <c r="AB106" s="332" t="s">
        <v>226</v>
      </c>
      <c r="AC106" s="285"/>
      <c r="AD106" s="285"/>
      <c r="AE106" s="285"/>
      <c r="AF106" s="285"/>
      <c r="AG106" s="285"/>
      <c r="AH106" s="285"/>
      <c r="AI106" s="332" t="s">
        <v>226</v>
      </c>
      <c r="AJ106" s="285"/>
      <c r="AK106" s="285"/>
      <c r="AL106" s="285"/>
      <c r="AM106" s="285"/>
      <c r="AN106" s="285"/>
      <c r="AO106" s="285"/>
      <c r="AP106" s="301"/>
      <c r="AQ106" s="301"/>
      <c r="AR106" s="302"/>
      <c r="AS106" s="302"/>
      <c r="AT106" s="302"/>
      <c r="AU106" s="303"/>
      <c r="AW106" s="171"/>
      <c r="AY106" s="453"/>
      <c r="AZ106" s="454"/>
      <c r="BA106" s="427"/>
    </row>
    <row r="107" spans="1:54" x14ac:dyDescent="0.25">
      <c r="A107" s="441"/>
      <c r="B107" s="443"/>
      <c r="C107" s="445"/>
      <c r="D107" s="445"/>
      <c r="E107" s="445"/>
      <c r="F107" s="445"/>
      <c r="G107" s="449"/>
      <c r="H107" s="449"/>
      <c r="I107" s="163"/>
      <c r="J107" s="164"/>
      <c r="K107" s="164"/>
      <c r="L107" s="164"/>
      <c r="M107" s="164"/>
      <c r="N107" s="164"/>
      <c r="O107" s="164"/>
      <c r="P107" s="164"/>
      <c r="Q107" s="164"/>
      <c r="R107" s="164"/>
      <c r="S107" s="163"/>
      <c r="T107" s="164"/>
      <c r="U107" s="164"/>
      <c r="V107" s="164"/>
      <c r="W107" s="164"/>
      <c r="X107" s="164"/>
      <c r="Y107" s="164"/>
      <c r="Z107" s="164"/>
      <c r="AA107" s="350"/>
      <c r="AB107" s="332" t="s">
        <v>322</v>
      </c>
      <c r="AC107" s="351"/>
      <c r="AD107" s="351"/>
      <c r="AE107" s="351"/>
      <c r="AF107" s="351"/>
      <c r="AG107" s="351"/>
      <c r="AH107" s="351"/>
      <c r="AI107" s="332" t="s">
        <v>323</v>
      </c>
      <c r="AJ107" s="285"/>
      <c r="AK107" s="285"/>
      <c r="AL107" s="285"/>
      <c r="AM107" s="285"/>
      <c r="AN107" s="285"/>
      <c r="AO107" s="285"/>
      <c r="AP107" s="352"/>
      <c r="AQ107" s="352"/>
      <c r="AR107" s="353"/>
      <c r="AS107" s="353"/>
      <c r="AT107" s="353"/>
      <c r="AU107" s="354"/>
      <c r="AW107" s="171"/>
      <c r="AY107" s="355"/>
      <c r="AZ107" s="356"/>
      <c r="BA107" s="349"/>
    </row>
    <row r="108" spans="1:54" x14ac:dyDescent="0.25">
      <c r="A108" s="441"/>
      <c r="B108" s="443"/>
      <c r="C108" s="445"/>
      <c r="D108" s="445"/>
      <c r="E108" s="445"/>
      <c r="F108" s="445"/>
      <c r="G108" s="449"/>
      <c r="H108" s="449"/>
      <c r="I108" s="178" t="s">
        <v>237</v>
      </c>
      <c r="J108" s="153">
        <f t="shared" ref="J108:Q108" si="369">IF(AND($G102="",$H102=""),J103,($H102*$G102)/($E102*$A102)*J103)</f>
        <v>0</v>
      </c>
      <c r="K108" s="153">
        <f t="shared" si="369"/>
        <v>0</v>
      </c>
      <c r="L108" s="153">
        <f t="shared" si="369"/>
        <v>0</v>
      </c>
      <c r="M108" s="153">
        <f t="shared" si="369"/>
        <v>0</v>
      </c>
      <c r="N108" s="153">
        <f t="shared" si="369"/>
        <v>0</v>
      </c>
      <c r="O108" s="153">
        <f t="shared" ref="O108:P108" si="370">IF(AND($G102="",$H102=""),O103,($H102*$G102)/($E102*$A102)*O103)</f>
        <v>0</v>
      </c>
      <c r="P108" s="153">
        <f t="shared" si="370"/>
        <v>0</v>
      </c>
      <c r="Q108" s="153">
        <f t="shared" si="369"/>
        <v>0</v>
      </c>
      <c r="R108" s="153" t="e">
        <f>($H102*$G102)/($E102*$A102)*R103</f>
        <v>#DIV/0!</v>
      </c>
      <c r="S108" s="178" t="s">
        <v>237</v>
      </c>
      <c r="T108" s="153">
        <f t="shared" ref="T108:Z108" si="371">IF($G102="",T103,($G102/$A102)*T103)</f>
        <v>0</v>
      </c>
      <c r="U108" s="153">
        <f t="shared" si="371"/>
        <v>0</v>
      </c>
      <c r="V108" s="153">
        <f t="shared" si="371"/>
        <v>0</v>
      </c>
      <c r="W108" s="153">
        <f t="shared" si="371"/>
        <v>0</v>
      </c>
      <c r="X108" s="153">
        <f t="shared" si="371"/>
        <v>0</v>
      </c>
      <c r="Y108" s="153">
        <f t="shared" si="371"/>
        <v>0</v>
      </c>
      <c r="Z108" s="153">
        <f t="shared" si="371"/>
        <v>0</v>
      </c>
      <c r="AA108" s="262"/>
      <c r="AB108" s="333" t="s">
        <v>240</v>
      </c>
      <c r="AC108" s="153">
        <f>IF($G102="",IF(AC107="",AC103,AC102/AC107*AC103),IF(AC103=0,0,$G102/$A102*AC102/AC107*AC103))</f>
        <v>0</v>
      </c>
      <c r="AD108" s="153">
        <f t="shared" ref="AD108" si="372">IF($G102="",IF(AD107="",AD103,AD102/AD107*AD103),IF(AD103=0,0,$G102/$A102*AD102/AD107*AD103))</f>
        <v>0</v>
      </c>
      <c r="AE108" s="153">
        <f t="shared" ref="AE108" si="373">IF($G102="",IF(AE107="",AE103,AE102/AE107*AE103),IF(AE103=0,0,$G102/$A102*AE102/AE107*AE103))</f>
        <v>0</v>
      </c>
      <c r="AF108" s="153">
        <f t="shared" ref="AF108" si="374">IF($G102="",IF(AF107="",AF103,AF102/AF107*AF103),IF(AF103=0,0,$G102/$A102*AF102/AF107*AF103))</f>
        <v>0</v>
      </c>
      <c r="AG108" s="153">
        <f t="shared" ref="AG108" si="375">IF($G102="",IF(AG107="",AG103,AG102/AG107*AG103),IF(AG103=0,0,$G102/$A102*AG102/AG107*AG103))</f>
        <v>0</v>
      </c>
      <c r="AH108" s="153">
        <f t="shared" ref="AH108" si="376">IF($G102="",IF(AH107="",AH103,AH102/AH107*AH103),IF(AH103=0,0,$G102/$A102*AH102/AH107*AH103))</f>
        <v>0</v>
      </c>
      <c r="AI108" s="333" t="s">
        <v>240</v>
      </c>
      <c r="AJ108" s="153">
        <f>IF(AND($G102="",$H102=""),IF(AJ107="",AJ103,AJ102/AJ107*AJ103),IF(AJ103=0,0,($G102*$H102)/($A102*$E102)*(AJ102/AJ107*AJ103)))</f>
        <v>0</v>
      </c>
      <c r="AK108" s="153">
        <f t="shared" ref="AK108" si="377">IF(AND($G102="",$H102=""),IF(AK107="",AK103,AK102/AK107*AK103),IF(AK103=0,0,($G102*$H102)/($A102*$E102)*(AK102/AK107*AK103)))</f>
        <v>0</v>
      </c>
      <c r="AL108" s="153">
        <f t="shared" ref="AL108" si="378">IF(AND($G102="",$H102=""),IF(AL107="",AL103,AL102/AL107*AL103),IF(AL103=0,0,($G102*$H102)/($A102*$E102)*(AL102/AL107*AL103)))</f>
        <v>0</v>
      </c>
      <c r="AM108" s="153">
        <f t="shared" ref="AM108" si="379">IF(AND($G102="",$H102=""),IF(AM107="",AM103,AM102/AM107*AM103),IF(AM103=0,0,($G102*$H102)/($A102*$E102)*(AM102/AM107*AM103)))</f>
        <v>0</v>
      </c>
      <c r="AN108" s="153">
        <f t="shared" ref="AN108" si="380">IF(AND($G102="",$H102=""),IF(AN107="",AN103,AN102/AN107*AN103),IF(AN103=0,0,($G102*$H102)/($A102*$E102)*(AN102/AN107*AN103)))</f>
        <v>0</v>
      </c>
      <c r="AO108" s="153">
        <f t="shared" ref="AO108" si="381">IF(AND($G102="",$H102=""),IF(AO107="",AO103,AO102/AO107*AO103),IF(AO103=0,0,($G102*$H102)/($A102*$E102)*(AO102/AO107*AO103)))</f>
        <v>0</v>
      </c>
      <c r="AP108" s="304"/>
      <c r="AQ108" s="260"/>
      <c r="AR108" s="243"/>
      <c r="AS108" s="243"/>
      <c r="AT108" s="243"/>
      <c r="AU108" s="236"/>
      <c r="AW108" s="307"/>
      <c r="AY108" s="455"/>
      <c r="AZ108" s="456"/>
      <c r="BA108" s="433"/>
    </row>
    <row r="109" spans="1:54" x14ac:dyDescent="0.25">
      <c r="A109" s="441"/>
      <c r="B109" s="443"/>
      <c r="C109" s="445"/>
      <c r="D109" s="445"/>
      <c r="E109" s="445"/>
      <c r="F109" s="445"/>
      <c r="G109" s="449"/>
      <c r="H109" s="449"/>
      <c r="I109" s="178" t="s">
        <v>255</v>
      </c>
      <c r="J109" s="187">
        <f>IF(OR($B102="N/A",J102="",J103="",J104=""),0,J106*J108)</f>
        <v>0</v>
      </c>
      <c r="K109" s="187">
        <f t="shared" ref="K109:Q109" si="382">IF(OR($B102="N/A",K102="",K103="",K104=""),0,K106*K108)</f>
        <v>0</v>
      </c>
      <c r="L109" s="187">
        <f t="shared" si="382"/>
        <v>0</v>
      </c>
      <c r="M109" s="187">
        <f t="shared" si="382"/>
        <v>0</v>
      </c>
      <c r="N109" s="187">
        <f t="shared" si="382"/>
        <v>0</v>
      </c>
      <c r="O109" s="187">
        <f t="shared" ref="O109:P109" si="383">IF(OR($B102="N/A",O102="",O103="",O104=""),0,O106*O108)</f>
        <v>0</v>
      </c>
      <c r="P109" s="187">
        <f t="shared" si="383"/>
        <v>0</v>
      </c>
      <c r="Q109" s="187">
        <f t="shared" si="382"/>
        <v>0</v>
      </c>
      <c r="R109" s="187">
        <f>SUM(J109:Q109)</f>
        <v>0</v>
      </c>
      <c r="S109" s="178" t="s">
        <v>255</v>
      </c>
      <c r="T109" s="187">
        <f>IF(OR($B102="N/A",T102="",T103="",T104=""),0,T106*T108)</f>
        <v>0</v>
      </c>
      <c r="U109" s="187">
        <f t="shared" ref="U109:Y109" si="384">IF(OR($B102="N/A",U102="",U103="",U104=""),0,U106*U108)</f>
        <v>0</v>
      </c>
      <c r="V109" s="187">
        <f t="shared" si="384"/>
        <v>0</v>
      </c>
      <c r="W109" s="187">
        <f t="shared" si="384"/>
        <v>0</v>
      </c>
      <c r="X109" s="187">
        <f t="shared" si="384"/>
        <v>0</v>
      </c>
      <c r="Y109" s="187">
        <f t="shared" si="384"/>
        <v>0</v>
      </c>
      <c r="Z109" s="187">
        <f>SUM(T109:Y109)</f>
        <v>0</v>
      </c>
      <c r="AA109" s="283"/>
      <c r="AB109" s="333" t="s">
        <v>256</v>
      </c>
      <c r="AC109" s="187">
        <f>IF(OR($B102="N/A",AC102="",AC103="",AC104=""),0,AC106*AC108)</f>
        <v>0</v>
      </c>
      <c r="AD109" s="187">
        <f t="shared" ref="AD109" si="385">IF(OR($B102="N/A",AD102="",AD103="",AD104=""),0,AD106*AD108)</f>
        <v>0</v>
      </c>
      <c r="AE109" s="187">
        <f t="shared" ref="AE109" si="386">IF(OR($B102="N/A",AE102="",AE103="",AE104=""),0,AE106*AE108)</f>
        <v>0</v>
      </c>
      <c r="AF109" s="187">
        <f t="shared" ref="AF109" si="387">IF(OR($B102="N/A",AF102="",AF103="",AF104=""),0,AF106*AF108)</f>
        <v>0</v>
      </c>
      <c r="AG109" s="187">
        <f t="shared" ref="AG109" si="388">IF(OR($B102="N/A",AG102="",AG103="",AG104=""),0,AG106*AG108)</f>
        <v>0</v>
      </c>
      <c r="AH109" s="187">
        <f t="shared" ref="AH109" si="389">IF(OR($B102="N/A",AH102="",AH103="",AH104=""),0,AH106*AH108)</f>
        <v>0</v>
      </c>
      <c r="AI109" s="333" t="s">
        <v>256</v>
      </c>
      <c r="AJ109" s="187">
        <f>IF(OR($B102="N/A",AJ102="",AJ103="",AJ104=""),0,AJ106*AJ108)</f>
        <v>0</v>
      </c>
      <c r="AK109" s="187">
        <f t="shared" ref="AK109" si="390">IF(OR($B102="N/A",AK102="",AK103="",AK104=""),0,AK106*AK108)</f>
        <v>0</v>
      </c>
      <c r="AL109" s="187">
        <f t="shared" ref="AL109" si="391">IF(OR($B102="N/A",AL102="",AL103="",AL104=""),0,AL106*AL108)</f>
        <v>0</v>
      </c>
      <c r="AM109" s="187">
        <f t="shared" ref="AM109" si="392">IF(OR($B102="N/A",AM102="",AM103="",AM104=""),0,AM106*AM108)</f>
        <v>0</v>
      </c>
      <c r="AN109" s="187">
        <f t="shared" ref="AN109" si="393">IF(OR($B102="N/A",AN102="",AN103="",AN104=""),0,AN106*AN108)</f>
        <v>0</v>
      </c>
      <c r="AO109" s="187">
        <f t="shared" ref="AO109" si="394">IF(OR($B102="N/A",AO102="",AO103="",AO104=""),0,AO106*AO108)</f>
        <v>0</v>
      </c>
      <c r="AP109" s="280">
        <f>SUM(AC109:AH109)+SUM(AJ109:AO109)+R109+Z109+AA109</f>
        <v>0</v>
      </c>
      <c r="AQ109" s="282"/>
      <c r="AR109" s="280">
        <f t="shared" ref="AR109" si="395">AP109+AQ109</f>
        <v>0</v>
      </c>
      <c r="AS109" s="141"/>
      <c r="AT109" s="281" t="str">
        <f>IF($B102="N/A","N/A",AR109/A102)</f>
        <v>N/A</v>
      </c>
      <c r="AU109" s="281" t="str">
        <f>IF($B102="N/A","N/A",AR109/(H102*A102/10000))</f>
        <v>N/A</v>
      </c>
      <c r="AW109" s="281" t="e">
        <f>R108</f>
        <v>#DIV/0!</v>
      </c>
      <c r="AY109" s="272" t="e">
        <f>AP109/AR109</f>
        <v>#DIV/0!</v>
      </c>
      <c r="AZ109" s="272" t="e">
        <f>AQ109/AR109</f>
        <v>#DIV/0!</v>
      </c>
      <c r="BA109" s="273" t="s">
        <v>227</v>
      </c>
      <c r="BB109" s="320">
        <f>AR109</f>
        <v>0</v>
      </c>
    </row>
    <row r="110" spans="1:54" x14ac:dyDescent="0.25">
      <c r="A110" s="220"/>
      <c r="B110" s="221"/>
      <c r="C110" s="222"/>
      <c r="D110" s="222"/>
      <c r="E110" s="222"/>
      <c r="F110" s="222"/>
      <c r="G110" s="222"/>
      <c r="H110" s="222"/>
      <c r="I110" s="163"/>
      <c r="J110" s="164"/>
      <c r="K110" s="164"/>
      <c r="L110" s="164"/>
      <c r="M110" s="164"/>
      <c r="N110" s="164"/>
      <c r="O110" s="164"/>
      <c r="P110" s="164"/>
      <c r="Q110" s="164"/>
      <c r="R110" s="164"/>
      <c r="S110" s="163"/>
      <c r="T110" s="164"/>
      <c r="U110" s="164"/>
      <c r="V110" s="164"/>
      <c r="W110" s="164"/>
      <c r="X110" s="164"/>
      <c r="Y110" s="164"/>
      <c r="Z110" s="164"/>
      <c r="AA110" s="264"/>
      <c r="AB110" s="163"/>
      <c r="AC110" s="164"/>
      <c r="AD110" s="164"/>
      <c r="AE110" s="164"/>
      <c r="AF110" s="164"/>
      <c r="AG110" s="164"/>
      <c r="AH110" s="164"/>
      <c r="AI110" s="308"/>
      <c r="AJ110" s="164"/>
      <c r="AK110" s="164"/>
      <c r="AL110" s="164"/>
      <c r="AM110" s="164"/>
      <c r="AN110" s="164"/>
      <c r="AO110" s="164"/>
      <c r="AP110" s="166"/>
      <c r="AQ110" s="259"/>
      <c r="AR110" s="166"/>
      <c r="AS110" s="166"/>
      <c r="AT110" s="167"/>
      <c r="AU110" s="167"/>
      <c r="AV110" s="168"/>
      <c r="AW110" s="167"/>
      <c r="AX110" s="168"/>
      <c r="AY110" s="169"/>
      <c r="AZ110" s="170"/>
      <c r="BA110" s="163"/>
    </row>
    <row r="111" spans="1:54" x14ac:dyDescent="0.25">
      <c r="A111" s="440">
        <f>'Fleet Inventory'!A18</f>
        <v>0</v>
      </c>
      <c r="B111" s="442" t="str">
        <f>IF('Fleet Inventory'!B18="","N/A",'Fleet Inventory'!B18)</f>
        <v>N/A</v>
      </c>
      <c r="C111" s="444">
        <f>'Fleet Inventory'!C18</f>
        <v>0</v>
      </c>
      <c r="D111" s="444">
        <f>'Fleet Inventory'!D18</f>
        <v>0</v>
      </c>
      <c r="E111" s="446">
        <f>'Fleet Inventory'!E18</f>
        <v>0</v>
      </c>
      <c r="F111" s="447">
        <f>'Fleet Inventory'!F18</f>
        <v>0</v>
      </c>
      <c r="G111" s="448"/>
      <c r="H111" s="448"/>
      <c r="I111" s="165" t="s">
        <v>238</v>
      </c>
      <c r="J111" s="177"/>
      <c r="K111" s="177"/>
      <c r="L111" s="177"/>
      <c r="M111" s="177"/>
      <c r="N111" s="177"/>
      <c r="O111" s="177"/>
      <c r="P111" s="177"/>
      <c r="Q111" s="177"/>
      <c r="R111" s="161" t="s">
        <v>100</v>
      </c>
      <c r="S111" s="165" t="s">
        <v>238</v>
      </c>
      <c r="T111" s="177"/>
      <c r="U111" s="177"/>
      <c r="V111" s="177"/>
      <c r="W111" s="177"/>
      <c r="X111" s="177"/>
      <c r="Y111" s="177"/>
      <c r="Z111" s="161" t="s">
        <v>100</v>
      </c>
      <c r="AA111" s="147"/>
      <c r="AB111" s="330" t="s">
        <v>276</v>
      </c>
      <c r="AC111" s="318"/>
      <c r="AD111" s="327"/>
      <c r="AE111" s="328"/>
      <c r="AF111" s="328"/>
      <c r="AG111" s="328"/>
      <c r="AH111" s="328"/>
      <c r="AI111" s="330" t="s">
        <v>275</v>
      </c>
      <c r="AJ111" s="318"/>
      <c r="AK111" s="327"/>
      <c r="AL111" s="328"/>
      <c r="AM111" s="328"/>
      <c r="AN111" s="328"/>
      <c r="AO111" s="328"/>
      <c r="AP111" s="238"/>
      <c r="AQ111" s="241"/>
      <c r="AR111" s="241"/>
      <c r="AS111" s="241"/>
      <c r="AT111" s="241"/>
      <c r="AU111" s="241"/>
      <c r="AV111" s="305"/>
      <c r="AW111" s="306"/>
      <c r="AY111" s="450"/>
      <c r="AZ111" s="450"/>
      <c r="BA111" s="427"/>
    </row>
    <row r="112" spans="1:54" x14ac:dyDescent="0.25">
      <c r="A112" s="440"/>
      <c r="B112" s="442"/>
      <c r="C112" s="444"/>
      <c r="D112" s="444"/>
      <c r="E112" s="444"/>
      <c r="F112" s="444"/>
      <c r="G112" s="448"/>
      <c r="H112" s="448"/>
      <c r="I112" s="165" t="s">
        <v>277</v>
      </c>
      <c r="J112" s="158"/>
      <c r="K112" s="158"/>
      <c r="L112" s="158"/>
      <c r="M112" s="158"/>
      <c r="N112" s="158"/>
      <c r="O112" s="158"/>
      <c r="P112" s="158"/>
      <c r="Q112" s="158"/>
      <c r="R112" s="297">
        <f>SUM(J112:Q112)</f>
        <v>0</v>
      </c>
      <c r="S112" s="165" t="s">
        <v>277</v>
      </c>
      <c r="T112" s="158"/>
      <c r="U112" s="158"/>
      <c r="V112" s="158"/>
      <c r="W112" s="158"/>
      <c r="X112" s="158"/>
      <c r="Y112" s="158"/>
      <c r="Z112" s="297">
        <f>SUM(T112:Y112)</f>
        <v>0</v>
      </c>
      <c r="AA112" s="261"/>
      <c r="AB112" s="330" t="s">
        <v>272</v>
      </c>
      <c r="AC112" s="329"/>
      <c r="AD112" s="329"/>
      <c r="AE112" s="329"/>
      <c r="AF112" s="329"/>
      <c r="AG112" s="329"/>
      <c r="AH112" s="329"/>
      <c r="AI112" s="330" t="s">
        <v>200</v>
      </c>
      <c r="AJ112" s="329"/>
      <c r="AK112" s="329"/>
      <c r="AL112" s="329"/>
      <c r="AM112" s="329"/>
      <c r="AN112" s="329"/>
      <c r="AO112" s="329"/>
      <c r="AP112" s="239"/>
      <c r="AQ112" s="242"/>
      <c r="AR112" s="242"/>
      <c r="AS112" s="242"/>
      <c r="AT112" s="242"/>
      <c r="AU112" s="242"/>
      <c r="AV112" s="305"/>
      <c r="AW112" s="171"/>
      <c r="AY112" s="451"/>
      <c r="AZ112" s="451"/>
      <c r="BA112" s="430"/>
    </row>
    <row r="113" spans="1:54" x14ac:dyDescent="0.25">
      <c r="A113" s="440"/>
      <c r="B113" s="442"/>
      <c r="C113" s="444"/>
      <c r="D113" s="444"/>
      <c r="E113" s="444"/>
      <c r="F113" s="444"/>
      <c r="G113" s="448"/>
      <c r="H113" s="448"/>
      <c r="I113" s="165" t="s">
        <v>201</v>
      </c>
      <c r="J113" s="158"/>
      <c r="K113" s="158"/>
      <c r="L113" s="158"/>
      <c r="M113" s="158"/>
      <c r="N113" s="158"/>
      <c r="O113" s="158"/>
      <c r="P113" s="158"/>
      <c r="Q113" s="158"/>
      <c r="R113" s="157" t="e">
        <f>AVERAGE(J113:Q113)</f>
        <v>#DIV/0!</v>
      </c>
      <c r="S113" s="165" t="s">
        <v>201</v>
      </c>
      <c r="T113" s="158"/>
      <c r="U113" s="158"/>
      <c r="V113" s="158"/>
      <c r="W113" s="158"/>
      <c r="X113" s="158"/>
      <c r="Y113" s="158"/>
      <c r="Z113" s="157" t="e">
        <f>AVERAGE(T113:Y113)</f>
        <v>#DIV/0!</v>
      </c>
      <c r="AA113" s="262"/>
      <c r="AB113" s="330" t="s">
        <v>201</v>
      </c>
      <c r="AC113" s="329"/>
      <c r="AD113" s="329"/>
      <c r="AE113" s="329"/>
      <c r="AF113" s="329"/>
      <c r="AG113" s="329"/>
      <c r="AH113" s="329"/>
      <c r="AI113" s="330" t="s">
        <v>201</v>
      </c>
      <c r="AJ113" s="329"/>
      <c r="AK113" s="329"/>
      <c r="AL113" s="329"/>
      <c r="AM113" s="329"/>
      <c r="AN113" s="329"/>
      <c r="AO113" s="329"/>
      <c r="AP113" s="240"/>
      <c r="AQ113" s="243"/>
      <c r="AR113" s="243"/>
      <c r="AS113" s="243"/>
      <c r="AT113" s="243"/>
      <c r="AU113" s="243"/>
      <c r="AV113" s="305"/>
      <c r="AW113" s="307"/>
      <c r="AY113" s="452"/>
      <c r="AZ113" s="452"/>
      <c r="BA113" s="433"/>
    </row>
    <row r="114" spans="1:54" x14ac:dyDescent="0.25">
      <c r="A114" s="441"/>
      <c r="B114" s="443"/>
      <c r="C114" s="445"/>
      <c r="D114" s="445"/>
      <c r="E114" s="445"/>
      <c r="F114" s="445"/>
      <c r="G114" s="449"/>
      <c r="H114" s="449"/>
      <c r="I114" s="267" t="s">
        <v>271</v>
      </c>
      <c r="J114" s="188">
        <f>IF(OR($B111="N/A",J111="",J112="",J113=""),0,J113*J112)</f>
        <v>0</v>
      </c>
      <c r="K114" s="188">
        <f t="shared" ref="K114:P114" si="396">IF(OR($B111="N/A",K111="",K112="",K113=""),0,K113*K112)</f>
        <v>0</v>
      </c>
      <c r="L114" s="188">
        <f t="shared" si="396"/>
        <v>0</v>
      </c>
      <c r="M114" s="188">
        <f t="shared" si="396"/>
        <v>0</v>
      </c>
      <c r="N114" s="188">
        <f t="shared" si="396"/>
        <v>0</v>
      </c>
      <c r="O114" s="188">
        <f t="shared" si="396"/>
        <v>0</v>
      </c>
      <c r="P114" s="188">
        <f t="shared" si="396"/>
        <v>0</v>
      </c>
      <c r="Q114" s="188">
        <f>IF(OR($B111="N/A",Q111="",Q112="",Q113=""),0,Q113*Q112)</f>
        <v>0</v>
      </c>
      <c r="R114" s="188">
        <f>SUM(J114:Q114)</f>
        <v>0</v>
      </c>
      <c r="S114" s="267" t="s">
        <v>271</v>
      </c>
      <c r="T114" s="188">
        <f>IF(OR($B111="N/A",T111="",T112="",T113=""),0,T113*T112)</f>
        <v>0</v>
      </c>
      <c r="U114" s="188">
        <f t="shared" ref="U114:Y114" si="397">IF(OR($B111="N/A",U111="",U112="",U113=""),0,U113*U112)</f>
        <v>0</v>
      </c>
      <c r="V114" s="188">
        <f t="shared" si="397"/>
        <v>0</v>
      </c>
      <c r="W114" s="188">
        <f t="shared" si="397"/>
        <v>0</v>
      </c>
      <c r="X114" s="188">
        <f t="shared" si="397"/>
        <v>0</v>
      </c>
      <c r="Y114" s="188">
        <f t="shared" si="397"/>
        <v>0</v>
      </c>
      <c r="Z114" s="188">
        <f>SUM(T114:Y114)</f>
        <v>0</v>
      </c>
      <c r="AA114" s="263"/>
      <c r="AB114" s="331" t="s">
        <v>152</v>
      </c>
      <c r="AC114" s="188">
        <f>IF(OR($B111="N/A",AC112="",AC113=""),0,AC113*AC112)</f>
        <v>0</v>
      </c>
      <c r="AD114" s="188">
        <f t="shared" ref="AD114" si="398">IF(OR($B111="N/A",AD112="",AD113=""),0,AD113*AD112)</f>
        <v>0</v>
      </c>
      <c r="AE114" s="188">
        <f>IF(OR($B111="N/A",AE112="",AE113=""),0,AE113*AE112)</f>
        <v>0</v>
      </c>
      <c r="AF114" s="188">
        <f t="shared" ref="AF114" si="399">IF(OR($B111="N/A",AF112="",AF113=""),0,AF113*AF112)</f>
        <v>0</v>
      </c>
      <c r="AG114" s="188">
        <f>IF(OR($B111="N/A",AG112="",AG113=""),0,AG113*AG112)</f>
        <v>0</v>
      </c>
      <c r="AH114" s="188">
        <f t="shared" ref="AH114" si="400">IF(OR($B111="N/A",AH112="",AH113=""),0,AH113*AH112)</f>
        <v>0</v>
      </c>
      <c r="AI114" s="331" t="s">
        <v>152</v>
      </c>
      <c r="AJ114" s="188">
        <f>IF(OR($B111="N/A",AJ112="",AJ113=""),0,AJ113*AJ112)</f>
        <v>0</v>
      </c>
      <c r="AK114" s="188">
        <f t="shared" ref="AK114" si="401">IF(OR($B111="N/A",AK112="",AK113=""),0,AK113*AK112)</f>
        <v>0</v>
      </c>
      <c r="AL114" s="188">
        <f>IF(OR($B111="N/A",AL112="",AL113=""),0,AL113*AL112)</f>
        <v>0</v>
      </c>
      <c r="AM114" s="188">
        <f t="shared" ref="AM114" si="402">IF(OR($B111="N/A",AM112="",AM113=""),0,AM113*AM112)</f>
        <v>0</v>
      </c>
      <c r="AN114" s="188">
        <f>IF(OR($B111="N/A",AN112="",AN113=""),0,AN113*AN112)</f>
        <v>0</v>
      </c>
      <c r="AO114" s="188">
        <f t="shared" ref="AO114" si="403">IF(OR($B111="N/A",AO112="",AO113=""),0,AO113*AO112)</f>
        <v>0</v>
      </c>
      <c r="AP114" s="279">
        <f>SUM(AC114:AH114)+SUM(AJ114:AO114)+R114+Z114+AA114</f>
        <v>0</v>
      </c>
      <c r="AQ114" s="258"/>
      <c r="AR114" s="277">
        <f>AP114+AQ114</f>
        <v>0</v>
      </c>
      <c r="AS114" s="237"/>
      <c r="AT114" s="278" t="e">
        <f>IF($B112="N/A","N/A",AR114/A111)</f>
        <v>#DIV/0!</v>
      </c>
      <c r="AU114" s="278" t="e">
        <f>IF($B112="N/A","N/A",AR114/(E111*A111/10000))</f>
        <v>#DIV/0!</v>
      </c>
      <c r="AW114" s="278">
        <f>R112</f>
        <v>0</v>
      </c>
      <c r="AY114" s="244" t="e">
        <f>AP114/AR114</f>
        <v>#DIV/0!</v>
      </c>
      <c r="AZ114" s="244" t="e">
        <f>AQ114/AR114</f>
        <v>#DIV/0!</v>
      </c>
      <c r="BA114" s="245" t="s">
        <v>217</v>
      </c>
      <c r="BB114" s="319">
        <f>AR114</f>
        <v>0</v>
      </c>
    </row>
    <row r="115" spans="1:54" x14ac:dyDescent="0.25">
      <c r="A115" s="441"/>
      <c r="B115" s="443"/>
      <c r="C115" s="445"/>
      <c r="D115" s="445"/>
      <c r="E115" s="445"/>
      <c r="F115" s="445"/>
      <c r="G115" s="449"/>
      <c r="H115" s="449"/>
      <c r="I115" s="284" t="s">
        <v>226</v>
      </c>
      <c r="J115" s="285"/>
      <c r="K115" s="285"/>
      <c r="L115" s="285"/>
      <c r="M115" s="285"/>
      <c r="N115" s="285"/>
      <c r="O115" s="285"/>
      <c r="P115" s="285"/>
      <c r="Q115" s="285"/>
      <c r="R115" s="157" t="e">
        <f>AVERAGE(J115:Q115)</f>
        <v>#DIV/0!</v>
      </c>
      <c r="S115" s="284" t="s">
        <v>226</v>
      </c>
      <c r="T115" s="285"/>
      <c r="U115" s="285"/>
      <c r="V115" s="285"/>
      <c r="W115" s="285"/>
      <c r="X115" s="285"/>
      <c r="Y115" s="285"/>
      <c r="Z115" s="157" t="e">
        <f>AVERAGE(T115:Y115)</f>
        <v>#DIV/0!</v>
      </c>
      <c r="AA115" s="298"/>
      <c r="AB115" s="332" t="s">
        <v>226</v>
      </c>
      <c r="AC115" s="285"/>
      <c r="AD115" s="285"/>
      <c r="AE115" s="285"/>
      <c r="AF115" s="285"/>
      <c r="AG115" s="285"/>
      <c r="AH115" s="285"/>
      <c r="AI115" s="332" t="s">
        <v>226</v>
      </c>
      <c r="AJ115" s="285"/>
      <c r="AK115" s="285"/>
      <c r="AL115" s="285"/>
      <c r="AM115" s="285"/>
      <c r="AN115" s="285"/>
      <c r="AO115" s="285"/>
      <c r="AP115" s="301"/>
      <c r="AQ115" s="301"/>
      <c r="AR115" s="302"/>
      <c r="AS115" s="302"/>
      <c r="AT115" s="302"/>
      <c r="AU115" s="303"/>
      <c r="AW115" s="171"/>
      <c r="AY115" s="453"/>
      <c r="AZ115" s="454"/>
      <c r="BA115" s="427"/>
    </row>
    <row r="116" spans="1:54" x14ac:dyDescent="0.25">
      <c r="A116" s="441"/>
      <c r="B116" s="443"/>
      <c r="C116" s="445"/>
      <c r="D116" s="445"/>
      <c r="E116" s="445"/>
      <c r="F116" s="445"/>
      <c r="G116" s="449"/>
      <c r="H116" s="449"/>
      <c r="I116" s="163"/>
      <c r="J116" s="164"/>
      <c r="K116" s="164"/>
      <c r="L116" s="164"/>
      <c r="M116" s="164"/>
      <c r="N116" s="164"/>
      <c r="O116" s="164"/>
      <c r="P116" s="164"/>
      <c r="Q116" s="164"/>
      <c r="R116" s="164"/>
      <c r="S116" s="163"/>
      <c r="T116" s="164"/>
      <c r="U116" s="164"/>
      <c r="V116" s="164"/>
      <c r="W116" s="164"/>
      <c r="X116" s="164"/>
      <c r="Y116" s="164"/>
      <c r="Z116" s="164"/>
      <c r="AA116" s="350"/>
      <c r="AB116" s="332" t="s">
        <v>322</v>
      </c>
      <c r="AC116" s="351"/>
      <c r="AD116" s="351"/>
      <c r="AE116" s="351"/>
      <c r="AF116" s="351"/>
      <c r="AG116" s="351"/>
      <c r="AH116" s="351"/>
      <c r="AI116" s="332" t="s">
        <v>323</v>
      </c>
      <c r="AJ116" s="285"/>
      <c r="AK116" s="285"/>
      <c r="AL116" s="285"/>
      <c r="AM116" s="285"/>
      <c r="AN116" s="285"/>
      <c r="AO116" s="285"/>
      <c r="AP116" s="352"/>
      <c r="AQ116" s="352"/>
      <c r="AR116" s="353"/>
      <c r="AS116" s="353"/>
      <c r="AT116" s="353"/>
      <c r="AU116" s="354"/>
      <c r="AW116" s="171"/>
      <c r="AY116" s="355"/>
      <c r="AZ116" s="356"/>
      <c r="BA116" s="349"/>
    </row>
    <row r="117" spans="1:54" x14ac:dyDescent="0.25">
      <c r="A117" s="441"/>
      <c r="B117" s="443"/>
      <c r="C117" s="445"/>
      <c r="D117" s="445"/>
      <c r="E117" s="445"/>
      <c r="F117" s="445"/>
      <c r="G117" s="449"/>
      <c r="H117" s="449"/>
      <c r="I117" s="178" t="s">
        <v>237</v>
      </c>
      <c r="J117" s="153">
        <f t="shared" ref="J117:Q117" si="404">IF(AND($G111="",$H111=""),J112,($H111*$G111)/($E111*$A111)*J112)</f>
        <v>0</v>
      </c>
      <c r="K117" s="153">
        <f t="shared" si="404"/>
        <v>0</v>
      </c>
      <c r="L117" s="153">
        <f t="shared" si="404"/>
        <v>0</v>
      </c>
      <c r="M117" s="153">
        <f t="shared" si="404"/>
        <v>0</v>
      </c>
      <c r="N117" s="153">
        <f t="shared" si="404"/>
        <v>0</v>
      </c>
      <c r="O117" s="153">
        <f t="shared" ref="O117:P117" si="405">IF(AND($G111="",$H111=""),O112,($H111*$G111)/($E111*$A111)*O112)</f>
        <v>0</v>
      </c>
      <c r="P117" s="153">
        <f t="shared" si="405"/>
        <v>0</v>
      </c>
      <c r="Q117" s="153">
        <f t="shared" si="404"/>
        <v>0</v>
      </c>
      <c r="R117" s="153" t="e">
        <f>($H111*$G111)/($E111*$A111)*R112</f>
        <v>#DIV/0!</v>
      </c>
      <c r="S117" s="178" t="s">
        <v>237</v>
      </c>
      <c r="T117" s="153">
        <f t="shared" ref="T117:Z117" si="406">IF($G111="",T112,($G111/$A111)*T112)</f>
        <v>0</v>
      </c>
      <c r="U117" s="153">
        <f t="shared" si="406"/>
        <v>0</v>
      </c>
      <c r="V117" s="153">
        <f t="shared" si="406"/>
        <v>0</v>
      </c>
      <c r="W117" s="153">
        <f t="shared" si="406"/>
        <v>0</v>
      </c>
      <c r="X117" s="153">
        <f t="shared" si="406"/>
        <v>0</v>
      </c>
      <c r="Y117" s="153">
        <f t="shared" si="406"/>
        <v>0</v>
      </c>
      <c r="Z117" s="153">
        <f t="shared" si="406"/>
        <v>0</v>
      </c>
      <c r="AA117" s="262"/>
      <c r="AB117" s="333" t="s">
        <v>240</v>
      </c>
      <c r="AC117" s="153">
        <f>IF($G111="",IF(AC116="",AC112,AC111/AC116*AC112),IF(AC112=0,0,$G111/$A111*AC111/AC116*AC112))</f>
        <v>0</v>
      </c>
      <c r="AD117" s="153">
        <f t="shared" ref="AD117" si="407">IF($G111="",IF(AD116="",AD112,AD111/AD116*AD112),IF(AD112=0,0,$G111/$A111*AD111/AD116*AD112))</f>
        <v>0</v>
      </c>
      <c r="AE117" s="153">
        <f t="shared" ref="AE117" si="408">IF($G111="",IF(AE116="",AE112,AE111/AE116*AE112),IF(AE112=0,0,$G111/$A111*AE111/AE116*AE112))</f>
        <v>0</v>
      </c>
      <c r="AF117" s="153">
        <f t="shared" ref="AF117" si="409">IF($G111="",IF(AF116="",AF112,AF111/AF116*AF112),IF(AF112=0,0,$G111/$A111*AF111/AF116*AF112))</f>
        <v>0</v>
      </c>
      <c r="AG117" s="153">
        <f t="shared" ref="AG117" si="410">IF($G111="",IF(AG116="",AG112,AG111/AG116*AG112),IF(AG112=0,0,$G111/$A111*AG111/AG116*AG112))</f>
        <v>0</v>
      </c>
      <c r="AH117" s="153">
        <f t="shared" ref="AH117" si="411">IF($G111="",IF(AH116="",AH112,AH111/AH116*AH112),IF(AH112=0,0,$G111/$A111*AH111/AH116*AH112))</f>
        <v>0</v>
      </c>
      <c r="AI117" s="333" t="s">
        <v>240</v>
      </c>
      <c r="AJ117" s="153">
        <f>IF(AND($G111="",$H111=""),IF(AJ116="",AJ112,AJ111/AJ116*AJ112),IF(AJ112=0,0,($G111*$H111)/($A111*$E111)*(AJ111/AJ116*AJ112)))</f>
        <v>0</v>
      </c>
      <c r="AK117" s="153">
        <f t="shared" ref="AK117" si="412">IF(AND($G111="",$H111=""),IF(AK116="",AK112,AK111/AK116*AK112),IF(AK112=0,0,($G111*$H111)/($A111*$E111)*(AK111/AK116*AK112)))</f>
        <v>0</v>
      </c>
      <c r="AL117" s="153">
        <f t="shared" ref="AL117" si="413">IF(AND($G111="",$H111=""),IF(AL116="",AL112,AL111/AL116*AL112),IF(AL112=0,0,($G111*$H111)/($A111*$E111)*(AL111/AL116*AL112)))</f>
        <v>0</v>
      </c>
      <c r="AM117" s="153">
        <f t="shared" ref="AM117" si="414">IF(AND($G111="",$H111=""),IF(AM116="",AM112,AM111/AM116*AM112),IF(AM112=0,0,($G111*$H111)/($A111*$E111)*(AM111/AM116*AM112)))</f>
        <v>0</v>
      </c>
      <c r="AN117" s="153">
        <f t="shared" ref="AN117" si="415">IF(AND($G111="",$H111=""),IF(AN116="",AN112,AN111/AN116*AN112),IF(AN112=0,0,($G111*$H111)/($A111*$E111)*(AN111/AN116*AN112)))</f>
        <v>0</v>
      </c>
      <c r="AO117" s="153">
        <f t="shared" ref="AO117" si="416">IF(AND($G111="",$H111=""),IF(AO116="",AO112,AO111/AO116*AO112),IF(AO112=0,0,($G111*$H111)/($A111*$E111)*(AO111/AO116*AO112)))</f>
        <v>0</v>
      </c>
      <c r="AP117" s="304"/>
      <c r="AQ117" s="260"/>
      <c r="AR117" s="243"/>
      <c r="AS117" s="243"/>
      <c r="AT117" s="243"/>
      <c r="AU117" s="236"/>
      <c r="AW117" s="307"/>
      <c r="AY117" s="455"/>
      <c r="AZ117" s="456"/>
      <c r="BA117" s="433"/>
    </row>
    <row r="118" spans="1:54" x14ac:dyDescent="0.25">
      <c r="A118" s="441"/>
      <c r="B118" s="443"/>
      <c r="C118" s="445"/>
      <c r="D118" s="445"/>
      <c r="E118" s="445"/>
      <c r="F118" s="445"/>
      <c r="G118" s="449"/>
      <c r="H118" s="449"/>
      <c r="I118" s="178" t="s">
        <v>255</v>
      </c>
      <c r="J118" s="187">
        <f>IF(OR($B111="N/A",J111="",J112="",J113=""),0,J115*J117)</f>
        <v>0</v>
      </c>
      <c r="K118" s="187">
        <f t="shared" ref="K118:Q118" si="417">IF(OR($B111="N/A",K111="",K112="",K113=""),0,K115*K117)</f>
        <v>0</v>
      </c>
      <c r="L118" s="187">
        <f t="shared" si="417"/>
        <v>0</v>
      </c>
      <c r="M118" s="187">
        <f t="shared" si="417"/>
        <v>0</v>
      </c>
      <c r="N118" s="187">
        <f t="shared" si="417"/>
        <v>0</v>
      </c>
      <c r="O118" s="187">
        <f t="shared" ref="O118:P118" si="418">IF(OR($B111="N/A",O111="",O112="",O113=""),0,O115*O117)</f>
        <v>0</v>
      </c>
      <c r="P118" s="187">
        <f t="shared" si="418"/>
        <v>0</v>
      </c>
      <c r="Q118" s="187">
        <f t="shared" si="417"/>
        <v>0</v>
      </c>
      <c r="R118" s="187">
        <f>SUM(J118:Q118)</f>
        <v>0</v>
      </c>
      <c r="S118" s="178" t="s">
        <v>255</v>
      </c>
      <c r="T118" s="187">
        <f>IF(OR($B111="N/A",T111="",T112="",T113=""),0,T115*T117)</f>
        <v>0</v>
      </c>
      <c r="U118" s="187">
        <f t="shared" ref="U118:Y118" si="419">IF(OR($B111="N/A",U111="",U112="",U113=""),0,U115*U117)</f>
        <v>0</v>
      </c>
      <c r="V118" s="187">
        <f t="shared" si="419"/>
        <v>0</v>
      </c>
      <c r="W118" s="187">
        <f t="shared" si="419"/>
        <v>0</v>
      </c>
      <c r="X118" s="187">
        <f t="shared" si="419"/>
        <v>0</v>
      </c>
      <c r="Y118" s="187">
        <f t="shared" si="419"/>
        <v>0</v>
      </c>
      <c r="Z118" s="187">
        <f>SUM(T118:Y118)</f>
        <v>0</v>
      </c>
      <c r="AA118" s="283"/>
      <c r="AB118" s="333" t="s">
        <v>256</v>
      </c>
      <c r="AC118" s="187">
        <f>IF(OR($B111="N/A",AC111="",AC112="",AC113=""),0,AC115*AC117)</f>
        <v>0</v>
      </c>
      <c r="AD118" s="187">
        <f t="shared" ref="AD118" si="420">IF(OR($B111="N/A",AD111="",AD112="",AD113=""),0,AD115*AD117)</f>
        <v>0</v>
      </c>
      <c r="AE118" s="187">
        <f t="shared" ref="AE118" si="421">IF(OR($B111="N/A",AE111="",AE112="",AE113=""),0,AE115*AE117)</f>
        <v>0</v>
      </c>
      <c r="AF118" s="187">
        <f t="shared" ref="AF118" si="422">IF(OR($B111="N/A",AF111="",AF112="",AF113=""),0,AF115*AF117)</f>
        <v>0</v>
      </c>
      <c r="AG118" s="187">
        <f t="shared" ref="AG118" si="423">IF(OR($B111="N/A",AG111="",AG112="",AG113=""),0,AG115*AG117)</f>
        <v>0</v>
      </c>
      <c r="AH118" s="187">
        <f t="shared" ref="AH118" si="424">IF(OR($B111="N/A",AH111="",AH112="",AH113=""),0,AH115*AH117)</f>
        <v>0</v>
      </c>
      <c r="AI118" s="333" t="s">
        <v>256</v>
      </c>
      <c r="AJ118" s="187">
        <f>IF(OR($B111="N/A",AJ111="",AJ112="",AJ113=""),0,AJ115*AJ117)</f>
        <v>0</v>
      </c>
      <c r="AK118" s="187">
        <f t="shared" ref="AK118" si="425">IF(OR($B111="N/A",AK111="",AK112="",AK113=""),0,AK115*AK117)</f>
        <v>0</v>
      </c>
      <c r="AL118" s="187">
        <f t="shared" ref="AL118" si="426">IF(OR($B111="N/A",AL111="",AL112="",AL113=""),0,AL115*AL117)</f>
        <v>0</v>
      </c>
      <c r="AM118" s="187">
        <f t="shared" ref="AM118" si="427">IF(OR($B111="N/A",AM111="",AM112="",AM113=""),0,AM115*AM117)</f>
        <v>0</v>
      </c>
      <c r="AN118" s="187">
        <f t="shared" ref="AN118" si="428">IF(OR($B111="N/A",AN111="",AN112="",AN113=""),0,AN115*AN117)</f>
        <v>0</v>
      </c>
      <c r="AO118" s="187">
        <f t="shared" ref="AO118" si="429">IF(OR($B111="N/A",AO111="",AO112="",AO113=""),0,AO115*AO117)</f>
        <v>0</v>
      </c>
      <c r="AP118" s="280">
        <f>SUM(AC118:AH118)+SUM(AJ118:AO118)+R118+Z118+AA118</f>
        <v>0</v>
      </c>
      <c r="AQ118" s="282"/>
      <c r="AR118" s="280">
        <f t="shared" ref="AR118" si="430">AP118+AQ118</f>
        <v>0</v>
      </c>
      <c r="AS118" s="141"/>
      <c r="AT118" s="281" t="str">
        <f>IF($B111="N/A","N/A",AR118/A111)</f>
        <v>N/A</v>
      </c>
      <c r="AU118" s="281" t="str">
        <f>IF($B111="N/A","N/A",AR118/(H111*A111/10000))</f>
        <v>N/A</v>
      </c>
      <c r="AW118" s="281" t="e">
        <f>R117</f>
        <v>#DIV/0!</v>
      </c>
      <c r="AY118" s="272" t="e">
        <f>AP118/AR118</f>
        <v>#DIV/0!</v>
      </c>
      <c r="AZ118" s="272" t="e">
        <f>AQ118/AR118</f>
        <v>#DIV/0!</v>
      </c>
      <c r="BA118" s="273" t="s">
        <v>227</v>
      </c>
      <c r="BB118" s="320">
        <f>AR118</f>
        <v>0</v>
      </c>
    </row>
    <row r="119" spans="1:54" x14ac:dyDescent="0.25">
      <c r="A119" s="220"/>
      <c r="B119" s="221"/>
      <c r="C119" s="222"/>
      <c r="D119" s="222"/>
      <c r="E119" s="222"/>
      <c r="F119" s="222"/>
      <c r="G119" s="222"/>
      <c r="H119" s="222"/>
      <c r="I119" s="163"/>
      <c r="J119" s="164"/>
      <c r="K119" s="164"/>
      <c r="L119" s="164"/>
      <c r="M119" s="164"/>
      <c r="N119" s="164"/>
      <c r="O119" s="164"/>
      <c r="P119" s="164"/>
      <c r="Q119" s="164"/>
      <c r="R119" s="164"/>
      <c r="S119" s="163"/>
      <c r="T119" s="164"/>
      <c r="U119" s="164"/>
      <c r="V119" s="164"/>
      <c r="W119" s="164"/>
      <c r="X119" s="164"/>
      <c r="Y119" s="164"/>
      <c r="Z119" s="164"/>
      <c r="AA119" s="264"/>
      <c r="AB119" s="163"/>
      <c r="AC119" s="164"/>
      <c r="AD119" s="164"/>
      <c r="AE119" s="164"/>
      <c r="AF119" s="164"/>
      <c r="AG119" s="164"/>
      <c r="AH119" s="164"/>
      <c r="AI119" s="308"/>
      <c r="AJ119" s="164"/>
      <c r="AK119" s="164"/>
      <c r="AL119" s="164"/>
      <c r="AM119" s="164"/>
      <c r="AN119" s="164"/>
      <c r="AO119" s="164"/>
      <c r="AP119" s="166"/>
      <c r="AQ119" s="259"/>
      <c r="AR119" s="166"/>
      <c r="AS119" s="166"/>
      <c r="AT119" s="167"/>
      <c r="AU119" s="167"/>
      <c r="AV119" s="168"/>
      <c r="AW119" s="167"/>
      <c r="AX119" s="168"/>
      <c r="AY119" s="169"/>
      <c r="AZ119" s="170"/>
      <c r="BA119" s="163"/>
    </row>
    <row r="120" spans="1:54" x14ac:dyDescent="0.25">
      <c r="A120" s="440">
        <f>'Fleet Inventory'!A19</f>
        <v>0</v>
      </c>
      <c r="B120" s="442" t="str">
        <f>IF('Fleet Inventory'!B19="","N/A",'Fleet Inventory'!B19)</f>
        <v>N/A</v>
      </c>
      <c r="C120" s="444">
        <f>'Fleet Inventory'!C19</f>
        <v>0</v>
      </c>
      <c r="D120" s="444">
        <f>'Fleet Inventory'!D19</f>
        <v>0</v>
      </c>
      <c r="E120" s="446">
        <f>'Fleet Inventory'!E19</f>
        <v>0</v>
      </c>
      <c r="F120" s="447">
        <f>'Fleet Inventory'!F19</f>
        <v>0</v>
      </c>
      <c r="G120" s="448"/>
      <c r="H120" s="448"/>
      <c r="I120" s="165" t="s">
        <v>238</v>
      </c>
      <c r="J120" s="177"/>
      <c r="K120" s="177"/>
      <c r="L120" s="177"/>
      <c r="M120" s="177"/>
      <c r="N120" s="177"/>
      <c r="O120" s="177"/>
      <c r="P120" s="177"/>
      <c r="Q120" s="177"/>
      <c r="R120" s="161" t="s">
        <v>100</v>
      </c>
      <c r="S120" s="165" t="s">
        <v>238</v>
      </c>
      <c r="T120" s="177"/>
      <c r="U120" s="177"/>
      <c r="V120" s="177"/>
      <c r="W120" s="177"/>
      <c r="X120" s="177"/>
      <c r="Y120" s="177"/>
      <c r="Z120" s="161" t="s">
        <v>100</v>
      </c>
      <c r="AA120" s="147"/>
      <c r="AB120" s="330" t="s">
        <v>276</v>
      </c>
      <c r="AC120" s="318"/>
      <c r="AD120" s="327"/>
      <c r="AE120" s="328"/>
      <c r="AF120" s="328"/>
      <c r="AG120" s="328"/>
      <c r="AH120" s="328"/>
      <c r="AI120" s="330" t="s">
        <v>275</v>
      </c>
      <c r="AJ120" s="318"/>
      <c r="AK120" s="327"/>
      <c r="AL120" s="328"/>
      <c r="AM120" s="328"/>
      <c r="AN120" s="328"/>
      <c r="AO120" s="328"/>
      <c r="AP120" s="238"/>
      <c r="AQ120" s="241"/>
      <c r="AR120" s="241"/>
      <c r="AS120" s="241"/>
      <c r="AT120" s="241"/>
      <c r="AU120" s="241"/>
      <c r="AV120" s="305"/>
      <c r="AW120" s="306"/>
      <c r="AY120" s="450"/>
      <c r="AZ120" s="450"/>
      <c r="BA120" s="427"/>
    </row>
    <row r="121" spans="1:54" x14ac:dyDescent="0.25">
      <c r="A121" s="440"/>
      <c r="B121" s="442"/>
      <c r="C121" s="444"/>
      <c r="D121" s="444"/>
      <c r="E121" s="444"/>
      <c r="F121" s="444"/>
      <c r="G121" s="448"/>
      <c r="H121" s="448"/>
      <c r="I121" s="165" t="s">
        <v>277</v>
      </c>
      <c r="J121" s="158"/>
      <c r="K121" s="158"/>
      <c r="L121" s="158"/>
      <c r="M121" s="158"/>
      <c r="N121" s="158"/>
      <c r="O121" s="158"/>
      <c r="P121" s="158"/>
      <c r="Q121" s="158"/>
      <c r="R121" s="297">
        <f>SUM(J121:Q121)</f>
        <v>0</v>
      </c>
      <c r="S121" s="165" t="s">
        <v>277</v>
      </c>
      <c r="T121" s="158"/>
      <c r="U121" s="158"/>
      <c r="V121" s="158"/>
      <c r="W121" s="158"/>
      <c r="X121" s="158"/>
      <c r="Y121" s="158"/>
      <c r="Z121" s="297">
        <f>SUM(T121:Y121)</f>
        <v>0</v>
      </c>
      <c r="AA121" s="261"/>
      <c r="AB121" s="330" t="s">
        <v>272</v>
      </c>
      <c r="AC121" s="329"/>
      <c r="AD121" s="329"/>
      <c r="AE121" s="329"/>
      <c r="AF121" s="329"/>
      <c r="AG121" s="329"/>
      <c r="AH121" s="329"/>
      <c r="AI121" s="330" t="s">
        <v>200</v>
      </c>
      <c r="AJ121" s="329"/>
      <c r="AK121" s="329"/>
      <c r="AL121" s="329"/>
      <c r="AM121" s="329"/>
      <c r="AN121" s="329"/>
      <c r="AO121" s="329"/>
      <c r="AP121" s="239"/>
      <c r="AQ121" s="242"/>
      <c r="AR121" s="242"/>
      <c r="AS121" s="242"/>
      <c r="AT121" s="242"/>
      <c r="AU121" s="242"/>
      <c r="AV121" s="305"/>
      <c r="AW121" s="171"/>
      <c r="AY121" s="451"/>
      <c r="AZ121" s="451"/>
      <c r="BA121" s="430"/>
    </row>
    <row r="122" spans="1:54" x14ac:dyDescent="0.25">
      <c r="A122" s="440"/>
      <c r="B122" s="442"/>
      <c r="C122" s="444"/>
      <c r="D122" s="444"/>
      <c r="E122" s="444"/>
      <c r="F122" s="444"/>
      <c r="G122" s="448"/>
      <c r="H122" s="448"/>
      <c r="I122" s="165" t="s">
        <v>201</v>
      </c>
      <c r="J122" s="158"/>
      <c r="K122" s="158"/>
      <c r="L122" s="158"/>
      <c r="M122" s="158"/>
      <c r="N122" s="158"/>
      <c r="O122" s="158"/>
      <c r="P122" s="158"/>
      <c r="Q122" s="158"/>
      <c r="R122" s="157" t="e">
        <f>AVERAGE(J122:Q122)</f>
        <v>#DIV/0!</v>
      </c>
      <c r="S122" s="165" t="s">
        <v>201</v>
      </c>
      <c r="T122" s="158"/>
      <c r="U122" s="158"/>
      <c r="V122" s="158"/>
      <c r="W122" s="158"/>
      <c r="X122" s="158"/>
      <c r="Y122" s="158"/>
      <c r="Z122" s="157" t="e">
        <f>AVERAGE(T122:Y122)</f>
        <v>#DIV/0!</v>
      </c>
      <c r="AA122" s="262"/>
      <c r="AB122" s="330" t="s">
        <v>201</v>
      </c>
      <c r="AC122" s="329"/>
      <c r="AD122" s="329"/>
      <c r="AE122" s="329"/>
      <c r="AF122" s="329"/>
      <c r="AG122" s="329"/>
      <c r="AH122" s="329"/>
      <c r="AI122" s="330" t="s">
        <v>201</v>
      </c>
      <c r="AJ122" s="329"/>
      <c r="AK122" s="329"/>
      <c r="AL122" s="329"/>
      <c r="AM122" s="329"/>
      <c r="AN122" s="329"/>
      <c r="AO122" s="329"/>
      <c r="AP122" s="240"/>
      <c r="AQ122" s="243"/>
      <c r="AR122" s="243"/>
      <c r="AS122" s="243"/>
      <c r="AT122" s="243"/>
      <c r="AU122" s="243"/>
      <c r="AV122" s="305"/>
      <c r="AW122" s="307"/>
      <c r="AY122" s="452"/>
      <c r="AZ122" s="452"/>
      <c r="BA122" s="433"/>
    </row>
    <row r="123" spans="1:54" x14ac:dyDescent="0.25">
      <c r="A123" s="441"/>
      <c r="B123" s="443"/>
      <c r="C123" s="445"/>
      <c r="D123" s="445"/>
      <c r="E123" s="445"/>
      <c r="F123" s="445"/>
      <c r="G123" s="449"/>
      <c r="H123" s="449"/>
      <c r="I123" s="267" t="s">
        <v>271</v>
      </c>
      <c r="J123" s="188">
        <f>IF(OR($B120="N/A",J120="",J121="",J122=""),0,J122*J121)</f>
        <v>0</v>
      </c>
      <c r="K123" s="188">
        <f t="shared" ref="K123:P123" si="431">IF(OR($B120="N/A",K120="",K121="",K122=""),0,K122*K121)</f>
        <v>0</v>
      </c>
      <c r="L123" s="188">
        <f t="shared" si="431"/>
        <v>0</v>
      </c>
      <c r="M123" s="188">
        <f t="shared" si="431"/>
        <v>0</v>
      </c>
      <c r="N123" s="188">
        <f t="shared" si="431"/>
        <v>0</v>
      </c>
      <c r="O123" s="188">
        <f t="shared" si="431"/>
        <v>0</v>
      </c>
      <c r="P123" s="188">
        <f t="shared" si="431"/>
        <v>0</v>
      </c>
      <c r="Q123" s="188">
        <f>IF(OR($B120="N/A",Q120="",Q121="",Q122=""),0,Q122*Q121)</f>
        <v>0</v>
      </c>
      <c r="R123" s="188">
        <f>SUM(J123:Q123)</f>
        <v>0</v>
      </c>
      <c r="S123" s="267" t="s">
        <v>271</v>
      </c>
      <c r="T123" s="188">
        <f>IF(OR($B120="N/A",T120="",T121="",T122=""),0,T122*T121)</f>
        <v>0</v>
      </c>
      <c r="U123" s="188">
        <f t="shared" ref="U123:Y123" si="432">IF(OR($B120="N/A",U120="",U121="",U122=""),0,U122*U121)</f>
        <v>0</v>
      </c>
      <c r="V123" s="188">
        <f t="shared" si="432"/>
        <v>0</v>
      </c>
      <c r="W123" s="188">
        <f t="shared" si="432"/>
        <v>0</v>
      </c>
      <c r="X123" s="188">
        <f t="shared" si="432"/>
        <v>0</v>
      </c>
      <c r="Y123" s="188">
        <f t="shared" si="432"/>
        <v>0</v>
      </c>
      <c r="Z123" s="188">
        <f>SUM(T123:Y123)</f>
        <v>0</v>
      </c>
      <c r="AA123" s="263"/>
      <c r="AB123" s="331" t="s">
        <v>152</v>
      </c>
      <c r="AC123" s="188">
        <f>IF(OR($B120="N/A",AC121="",AC122=""),0,AC122*AC121)</f>
        <v>0</v>
      </c>
      <c r="AD123" s="188">
        <f t="shared" ref="AD123" si="433">IF(OR($B120="N/A",AD121="",AD122=""),0,AD122*AD121)</f>
        <v>0</v>
      </c>
      <c r="AE123" s="188">
        <f>IF(OR($B120="N/A",AE121="",AE122=""),0,AE122*AE121)</f>
        <v>0</v>
      </c>
      <c r="AF123" s="188">
        <f t="shared" ref="AF123" si="434">IF(OR($B120="N/A",AF121="",AF122=""),0,AF122*AF121)</f>
        <v>0</v>
      </c>
      <c r="AG123" s="188">
        <f>IF(OR($B120="N/A",AG121="",AG122=""),0,AG122*AG121)</f>
        <v>0</v>
      </c>
      <c r="AH123" s="188">
        <f t="shared" ref="AH123" si="435">IF(OR($B120="N/A",AH121="",AH122=""),0,AH122*AH121)</f>
        <v>0</v>
      </c>
      <c r="AI123" s="331" t="s">
        <v>152</v>
      </c>
      <c r="AJ123" s="188">
        <f>IF(OR($B120="N/A",AJ121="",AJ122=""),0,AJ122*AJ121)</f>
        <v>0</v>
      </c>
      <c r="AK123" s="188">
        <f t="shared" ref="AK123" si="436">IF(OR($B120="N/A",AK121="",AK122=""),0,AK122*AK121)</f>
        <v>0</v>
      </c>
      <c r="AL123" s="188">
        <f>IF(OR($B120="N/A",AL121="",AL122=""),0,AL122*AL121)</f>
        <v>0</v>
      </c>
      <c r="AM123" s="188">
        <f t="shared" ref="AM123" si="437">IF(OR($B120="N/A",AM121="",AM122=""),0,AM122*AM121)</f>
        <v>0</v>
      </c>
      <c r="AN123" s="188">
        <f>IF(OR($B120="N/A",AN121="",AN122=""),0,AN122*AN121)</f>
        <v>0</v>
      </c>
      <c r="AO123" s="188">
        <f t="shared" ref="AO123" si="438">IF(OR($B120="N/A",AO121="",AO122=""),0,AO122*AO121)</f>
        <v>0</v>
      </c>
      <c r="AP123" s="279">
        <f>SUM(AC123:AH123)+SUM(AJ123:AO123)+R123+Z123+AA123</f>
        <v>0</v>
      </c>
      <c r="AQ123" s="258"/>
      <c r="AR123" s="277">
        <f>AP123+AQ123</f>
        <v>0</v>
      </c>
      <c r="AS123" s="237"/>
      <c r="AT123" s="278" t="e">
        <f>IF($B121="N/A","N/A",AR123/A120)</f>
        <v>#DIV/0!</v>
      </c>
      <c r="AU123" s="278" t="e">
        <f>IF($B121="N/A","N/A",AR123/(E120*A120/10000))</f>
        <v>#DIV/0!</v>
      </c>
      <c r="AW123" s="278">
        <f>R121</f>
        <v>0</v>
      </c>
      <c r="AY123" s="244" t="e">
        <f>AP123/AR123</f>
        <v>#DIV/0!</v>
      </c>
      <c r="AZ123" s="244" t="e">
        <f>AQ123/AR123</f>
        <v>#DIV/0!</v>
      </c>
      <c r="BA123" s="245" t="s">
        <v>217</v>
      </c>
      <c r="BB123" s="319">
        <f>AR123</f>
        <v>0</v>
      </c>
    </row>
    <row r="124" spans="1:54" x14ac:dyDescent="0.25">
      <c r="A124" s="441"/>
      <c r="B124" s="443"/>
      <c r="C124" s="445"/>
      <c r="D124" s="445"/>
      <c r="E124" s="445"/>
      <c r="F124" s="445"/>
      <c r="G124" s="449"/>
      <c r="H124" s="449"/>
      <c r="I124" s="284" t="s">
        <v>226</v>
      </c>
      <c r="J124" s="285"/>
      <c r="K124" s="285"/>
      <c r="L124" s="285"/>
      <c r="M124" s="285"/>
      <c r="N124" s="285"/>
      <c r="O124" s="285"/>
      <c r="P124" s="285"/>
      <c r="Q124" s="285"/>
      <c r="R124" s="157" t="e">
        <f>AVERAGE(J124:Q124)</f>
        <v>#DIV/0!</v>
      </c>
      <c r="S124" s="284" t="s">
        <v>226</v>
      </c>
      <c r="T124" s="285"/>
      <c r="U124" s="285"/>
      <c r="V124" s="285"/>
      <c r="W124" s="285"/>
      <c r="X124" s="285"/>
      <c r="Y124" s="285"/>
      <c r="Z124" s="157" t="e">
        <f>AVERAGE(T124:Y124)</f>
        <v>#DIV/0!</v>
      </c>
      <c r="AA124" s="298"/>
      <c r="AB124" s="332" t="s">
        <v>226</v>
      </c>
      <c r="AC124" s="285"/>
      <c r="AD124" s="285"/>
      <c r="AE124" s="285"/>
      <c r="AF124" s="285"/>
      <c r="AG124" s="285"/>
      <c r="AH124" s="285"/>
      <c r="AI124" s="332" t="s">
        <v>226</v>
      </c>
      <c r="AJ124" s="285"/>
      <c r="AK124" s="285"/>
      <c r="AL124" s="285"/>
      <c r="AM124" s="285"/>
      <c r="AN124" s="285"/>
      <c r="AO124" s="285"/>
      <c r="AP124" s="301"/>
      <c r="AQ124" s="301"/>
      <c r="AR124" s="302"/>
      <c r="AS124" s="302"/>
      <c r="AT124" s="302"/>
      <c r="AU124" s="303"/>
      <c r="AW124" s="171"/>
      <c r="AY124" s="453"/>
      <c r="AZ124" s="454"/>
      <c r="BA124" s="427"/>
    </row>
    <row r="125" spans="1:54" x14ac:dyDescent="0.25">
      <c r="A125" s="441"/>
      <c r="B125" s="443"/>
      <c r="C125" s="445"/>
      <c r="D125" s="445"/>
      <c r="E125" s="445"/>
      <c r="F125" s="445"/>
      <c r="G125" s="449"/>
      <c r="H125" s="449"/>
      <c r="I125" s="163"/>
      <c r="J125" s="164"/>
      <c r="K125" s="164"/>
      <c r="L125" s="164"/>
      <c r="M125" s="164"/>
      <c r="N125" s="164"/>
      <c r="O125" s="164"/>
      <c r="P125" s="164"/>
      <c r="Q125" s="164"/>
      <c r="R125" s="164"/>
      <c r="S125" s="163"/>
      <c r="T125" s="164"/>
      <c r="U125" s="164"/>
      <c r="V125" s="164"/>
      <c r="W125" s="164"/>
      <c r="X125" s="164"/>
      <c r="Y125" s="164"/>
      <c r="Z125" s="164"/>
      <c r="AA125" s="350"/>
      <c r="AB125" s="332" t="s">
        <v>322</v>
      </c>
      <c r="AC125" s="351"/>
      <c r="AD125" s="351"/>
      <c r="AE125" s="351"/>
      <c r="AF125" s="351"/>
      <c r="AG125" s="351"/>
      <c r="AH125" s="351"/>
      <c r="AI125" s="332" t="s">
        <v>323</v>
      </c>
      <c r="AJ125" s="285"/>
      <c r="AK125" s="285"/>
      <c r="AL125" s="285"/>
      <c r="AM125" s="285"/>
      <c r="AN125" s="285"/>
      <c r="AO125" s="285"/>
      <c r="AP125" s="352"/>
      <c r="AQ125" s="352"/>
      <c r="AR125" s="353"/>
      <c r="AS125" s="353"/>
      <c r="AT125" s="353"/>
      <c r="AU125" s="354"/>
      <c r="AW125" s="171"/>
      <c r="AY125" s="355"/>
      <c r="AZ125" s="356"/>
      <c r="BA125" s="349"/>
    </row>
    <row r="126" spans="1:54" x14ac:dyDescent="0.25">
      <c r="A126" s="441"/>
      <c r="B126" s="443"/>
      <c r="C126" s="445"/>
      <c r="D126" s="445"/>
      <c r="E126" s="445"/>
      <c r="F126" s="445"/>
      <c r="G126" s="449"/>
      <c r="H126" s="449"/>
      <c r="I126" s="178" t="s">
        <v>237</v>
      </c>
      <c r="J126" s="153">
        <f t="shared" ref="J126:Q126" si="439">IF(AND($G120="",$H120=""),J121,($H120*$G120)/($E120*$A120)*J121)</f>
        <v>0</v>
      </c>
      <c r="K126" s="153">
        <f t="shared" si="439"/>
        <v>0</v>
      </c>
      <c r="L126" s="153">
        <f t="shared" si="439"/>
        <v>0</v>
      </c>
      <c r="M126" s="153">
        <f t="shared" si="439"/>
        <v>0</v>
      </c>
      <c r="N126" s="153">
        <f t="shared" si="439"/>
        <v>0</v>
      </c>
      <c r="O126" s="153">
        <f t="shared" ref="O126:P126" si="440">IF(AND($G120="",$H120=""),O121,($H120*$G120)/($E120*$A120)*O121)</f>
        <v>0</v>
      </c>
      <c r="P126" s="153">
        <f t="shared" si="440"/>
        <v>0</v>
      </c>
      <c r="Q126" s="153">
        <f t="shared" si="439"/>
        <v>0</v>
      </c>
      <c r="R126" s="153" t="e">
        <f>($H120*$G120)/($E120*$A120)*R121</f>
        <v>#DIV/0!</v>
      </c>
      <c r="S126" s="178" t="s">
        <v>237</v>
      </c>
      <c r="T126" s="153">
        <f t="shared" ref="T126:Z126" si="441">IF($G120="",T121,($G120/$A120)*T121)</f>
        <v>0</v>
      </c>
      <c r="U126" s="153">
        <f t="shared" si="441"/>
        <v>0</v>
      </c>
      <c r="V126" s="153">
        <f t="shared" si="441"/>
        <v>0</v>
      </c>
      <c r="W126" s="153">
        <f t="shared" si="441"/>
        <v>0</v>
      </c>
      <c r="X126" s="153">
        <f t="shared" si="441"/>
        <v>0</v>
      </c>
      <c r="Y126" s="153">
        <f t="shared" si="441"/>
        <v>0</v>
      </c>
      <c r="Z126" s="153">
        <f t="shared" si="441"/>
        <v>0</v>
      </c>
      <c r="AA126" s="262"/>
      <c r="AB126" s="333" t="s">
        <v>240</v>
      </c>
      <c r="AC126" s="153">
        <f>IF($G120="",IF(AC125="",AC121,AC120/AC125*AC121),IF(AC121=0,0,$G120/$A120*AC120/AC125*AC121))</f>
        <v>0</v>
      </c>
      <c r="AD126" s="153">
        <f t="shared" ref="AD126" si="442">IF($G120="",IF(AD125="",AD121,AD120/AD125*AD121),IF(AD121=0,0,$G120/$A120*AD120/AD125*AD121))</f>
        <v>0</v>
      </c>
      <c r="AE126" s="153">
        <f t="shared" ref="AE126" si="443">IF($G120="",IF(AE125="",AE121,AE120/AE125*AE121),IF(AE121=0,0,$G120/$A120*AE120/AE125*AE121))</f>
        <v>0</v>
      </c>
      <c r="AF126" s="153">
        <f t="shared" ref="AF126" si="444">IF($G120="",IF(AF125="",AF121,AF120/AF125*AF121),IF(AF121=0,0,$G120/$A120*AF120/AF125*AF121))</f>
        <v>0</v>
      </c>
      <c r="AG126" s="153">
        <f t="shared" ref="AG126" si="445">IF($G120="",IF(AG125="",AG121,AG120/AG125*AG121),IF(AG121=0,0,$G120/$A120*AG120/AG125*AG121))</f>
        <v>0</v>
      </c>
      <c r="AH126" s="153">
        <f t="shared" ref="AH126" si="446">IF($G120="",IF(AH125="",AH121,AH120/AH125*AH121),IF(AH121=0,0,$G120/$A120*AH120/AH125*AH121))</f>
        <v>0</v>
      </c>
      <c r="AI126" s="333" t="s">
        <v>240</v>
      </c>
      <c r="AJ126" s="153">
        <f>IF(AND($G120="",$H120=""),IF(AJ125="",AJ121,AJ120/AJ125*AJ121),IF(AJ121=0,0,($G120*$H120)/($A120*$E120)*(AJ120/AJ125*AJ121)))</f>
        <v>0</v>
      </c>
      <c r="AK126" s="153">
        <f t="shared" ref="AK126" si="447">IF(AND($G120="",$H120=""),IF(AK125="",AK121,AK120/AK125*AK121),IF(AK121=0,0,($G120*$H120)/($A120*$E120)*(AK120/AK125*AK121)))</f>
        <v>0</v>
      </c>
      <c r="AL126" s="153">
        <f t="shared" ref="AL126" si="448">IF(AND($G120="",$H120=""),IF(AL125="",AL121,AL120/AL125*AL121),IF(AL121=0,0,($G120*$H120)/($A120*$E120)*(AL120/AL125*AL121)))</f>
        <v>0</v>
      </c>
      <c r="AM126" s="153">
        <f t="shared" ref="AM126" si="449">IF(AND($G120="",$H120=""),IF(AM125="",AM121,AM120/AM125*AM121),IF(AM121=0,0,($G120*$H120)/($A120*$E120)*(AM120/AM125*AM121)))</f>
        <v>0</v>
      </c>
      <c r="AN126" s="153">
        <f t="shared" ref="AN126" si="450">IF(AND($G120="",$H120=""),IF(AN125="",AN121,AN120/AN125*AN121),IF(AN121=0,0,($G120*$H120)/($A120*$E120)*(AN120/AN125*AN121)))</f>
        <v>0</v>
      </c>
      <c r="AO126" s="153">
        <f t="shared" ref="AO126" si="451">IF(AND($G120="",$H120=""),IF(AO125="",AO121,AO120/AO125*AO121),IF(AO121=0,0,($G120*$H120)/($A120*$E120)*(AO120/AO125*AO121)))</f>
        <v>0</v>
      </c>
      <c r="AP126" s="304"/>
      <c r="AQ126" s="260"/>
      <c r="AR126" s="243"/>
      <c r="AS126" s="243"/>
      <c r="AT126" s="243"/>
      <c r="AU126" s="236"/>
      <c r="AW126" s="307"/>
      <c r="AY126" s="455"/>
      <c r="AZ126" s="456"/>
      <c r="BA126" s="433"/>
    </row>
    <row r="127" spans="1:54" x14ac:dyDescent="0.25">
      <c r="A127" s="441"/>
      <c r="B127" s="443"/>
      <c r="C127" s="445"/>
      <c r="D127" s="445"/>
      <c r="E127" s="445"/>
      <c r="F127" s="445"/>
      <c r="G127" s="449"/>
      <c r="H127" s="449"/>
      <c r="I127" s="178" t="s">
        <v>255</v>
      </c>
      <c r="J127" s="187">
        <f>IF(OR($B120="N/A",J120="",J121="",J122=""),0,J124*J126)</f>
        <v>0</v>
      </c>
      <c r="K127" s="187">
        <f t="shared" ref="K127:Q127" si="452">IF(OR($B120="N/A",K120="",K121="",K122=""),0,K124*K126)</f>
        <v>0</v>
      </c>
      <c r="L127" s="187">
        <f t="shared" si="452"/>
        <v>0</v>
      </c>
      <c r="M127" s="187">
        <f t="shared" si="452"/>
        <v>0</v>
      </c>
      <c r="N127" s="187">
        <f t="shared" si="452"/>
        <v>0</v>
      </c>
      <c r="O127" s="187">
        <f t="shared" ref="O127:P127" si="453">IF(OR($B120="N/A",O120="",O121="",O122=""),0,O124*O126)</f>
        <v>0</v>
      </c>
      <c r="P127" s="187">
        <f t="shared" si="453"/>
        <v>0</v>
      </c>
      <c r="Q127" s="187">
        <f t="shared" si="452"/>
        <v>0</v>
      </c>
      <c r="R127" s="187">
        <f>SUM(J127:Q127)</f>
        <v>0</v>
      </c>
      <c r="S127" s="178" t="s">
        <v>255</v>
      </c>
      <c r="T127" s="187">
        <f>IF(OR($B120="N/A",T120="",T121="",T122=""),0,T124*T126)</f>
        <v>0</v>
      </c>
      <c r="U127" s="187">
        <f t="shared" ref="U127:Y127" si="454">IF(OR($B120="N/A",U120="",U121="",U122=""),0,U124*U126)</f>
        <v>0</v>
      </c>
      <c r="V127" s="187">
        <f t="shared" si="454"/>
        <v>0</v>
      </c>
      <c r="W127" s="187">
        <f t="shared" si="454"/>
        <v>0</v>
      </c>
      <c r="X127" s="187">
        <f t="shared" si="454"/>
        <v>0</v>
      </c>
      <c r="Y127" s="187">
        <f t="shared" si="454"/>
        <v>0</v>
      </c>
      <c r="Z127" s="187">
        <f>SUM(T127:Y127)</f>
        <v>0</v>
      </c>
      <c r="AA127" s="283"/>
      <c r="AB127" s="333" t="s">
        <v>256</v>
      </c>
      <c r="AC127" s="187">
        <f>IF(OR($B120="N/A",AC120="",AC121="",AC122=""),0,AC124*AC126)</f>
        <v>0</v>
      </c>
      <c r="AD127" s="187">
        <f t="shared" ref="AD127" si="455">IF(OR($B120="N/A",AD120="",AD121="",AD122=""),0,AD124*AD126)</f>
        <v>0</v>
      </c>
      <c r="AE127" s="187">
        <f t="shared" ref="AE127" si="456">IF(OR($B120="N/A",AE120="",AE121="",AE122=""),0,AE124*AE126)</f>
        <v>0</v>
      </c>
      <c r="AF127" s="187">
        <f t="shared" ref="AF127" si="457">IF(OR($B120="N/A",AF120="",AF121="",AF122=""),0,AF124*AF126)</f>
        <v>0</v>
      </c>
      <c r="AG127" s="187">
        <f t="shared" ref="AG127" si="458">IF(OR($B120="N/A",AG120="",AG121="",AG122=""),0,AG124*AG126)</f>
        <v>0</v>
      </c>
      <c r="AH127" s="187">
        <f t="shared" ref="AH127" si="459">IF(OR($B120="N/A",AH120="",AH121="",AH122=""),0,AH124*AH126)</f>
        <v>0</v>
      </c>
      <c r="AI127" s="333" t="s">
        <v>256</v>
      </c>
      <c r="AJ127" s="187">
        <f>IF(OR($B120="N/A",AJ120="",AJ121="",AJ122=""),0,AJ124*AJ126)</f>
        <v>0</v>
      </c>
      <c r="AK127" s="187">
        <f t="shared" ref="AK127" si="460">IF(OR($B120="N/A",AK120="",AK121="",AK122=""),0,AK124*AK126)</f>
        <v>0</v>
      </c>
      <c r="AL127" s="187">
        <f t="shared" ref="AL127" si="461">IF(OR($B120="N/A",AL120="",AL121="",AL122=""),0,AL124*AL126)</f>
        <v>0</v>
      </c>
      <c r="AM127" s="187">
        <f t="shared" ref="AM127" si="462">IF(OR($B120="N/A",AM120="",AM121="",AM122=""),0,AM124*AM126)</f>
        <v>0</v>
      </c>
      <c r="AN127" s="187">
        <f t="shared" ref="AN127" si="463">IF(OR($B120="N/A",AN120="",AN121="",AN122=""),0,AN124*AN126)</f>
        <v>0</v>
      </c>
      <c r="AO127" s="187">
        <f t="shared" ref="AO127" si="464">IF(OR($B120="N/A",AO120="",AO121="",AO122=""),0,AO124*AO126)</f>
        <v>0</v>
      </c>
      <c r="AP127" s="280">
        <f>SUM(AC127:AH127)+SUM(AJ127:AO127)+R127+Z127+AA127</f>
        <v>0</v>
      </c>
      <c r="AQ127" s="282"/>
      <c r="AR127" s="280">
        <f t="shared" ref="AR127" si="465">AP127+AQ127</f>
        <v>0</v>
      </c>
      <c r="AS127" s="141"/>
      <c r="AT127" s="281" t="str">
        <f>IF($B120="N/A","N/A",AR127/A120)</f>
        <v>N/A</v>
      </c>
      <c r="AU127" s="281" t="str">
        <f>IF($B120="N/A","N/A",AR127/(H120*A120/10000))</f>
        <v>N/A</v>
      </c>
      <c r="AW127" s="281" t="e">
        <f>R126</f>
        <v>#DIV/0!</v>
      </c>
      <c r="AY127" s="272" t="e">
        <f>AP127/AR127</f>
        <v>#DIV/0!</v>
      </c>
      <c r="AZ127" s="272" t="e">
        <f>AQ127/AR127</f>
        <v>#DIV/0!</v>
      </c>
      <c r="BA127" s="273" t="s">
        <v>227</v>
      </c>
      <c r="BB127" s="320">
        <f>AR127</f>
        <v>0</v>
      </c>
    </row>
    <row r="128" spans="1:54" x14ac:dyDescent="0.25">
      <c r="A128" s="220"/>
      <c r="B128" s="221"/>
      <c r="C128" s="222"/>
      <c r="D128" s="222"/>
      <c r="E128" s="222"/>
      <c r="F128" s="222"/>
      <c r="G128" s="222"/>
      <c r="H128" s="222"/>
      <c r="I128" s="163"/>
      <c r="J128" s="164"/>
      <c r="K128" s="164"/>
      <c r="L128" s="164"/>
      <c r="M128" s="164"/>
      <c r="N128" s="164"/>
      <c r="O128" s="164"/>
      <c r="P128" s="164"/>
      <c r="Q128" s="164"/>
      <c r="R128" s="164"/>
      <c r="S128" s="163"/>
      <c r="T128" s="164"/>
      <c r="U128" s="164"/>
      <c r="V128" s="164"/>
      <c r="W128" s="164"/>
      <c r="X128" s="164"/>
      <c r="Y128" s="164"/>
      <c r="Z128" s="164"/>
      <c r="AA128" s="264"/>
      <c r="AB128" s="163"/>
      <c r="AC128" s="164"/>
      <c r="AD128" s="164"/>
      <c r="AE128" s="164"/>
      <c r="AF128" s="164"/>
      <c r="AG128" s="164"/>
      <c r="AH128" s="164"/>
      <c r="AI128" s="308"/>
      <c r="AJ128" s="164"/>
      <c r="AK128" s="164"/>
      <c r="AL128" s="164"/>
      <c r="AM128" s="164"/>
      <c r="AN128" s="164"/>
      <c r="AO128" s="164"/>
      <c r="AP128" s="166"/>
      <c r="AQ128" s="259"/>
      <c r="AR128" s="166"/>
      <c r="AS128" s="166"/>
      <c r="AT128" s="167"/>
      <c r="AU128" s="167"/>
      <c r="AV128" s="168"/>
      <c r="AW128" s="167"/>
      <c r="AX128" s="168"/>
      <c r="AY128" s="169"/>
      <c r="AZ128" s="170"/>
      <c r="BA128" s="163"/>
    </row>
    <row r="129" spans="1:54" x14ac:dyDescent="0.25">
      <c r="A129" s="440">
        <f>'Fleet Inventory'!A20</f>
        <v>0</v>
      </c>
      <c r="B129" s="442" t="str">
        <f>IF('Fleet Inventory'!B20="","N/A",'Fleet Inventory'!B20)</f>
        <v>N/A</v>
      </c>
      <c r="C129" s="444">
        <f>'Fleet Inventory'!C20</f>
        <v>0</v>
      </c>
      <c r="D129" s="444">
        <f>'Fleet Inventory'!D20</f>
        <v>0</v>
      </c>
      <c r="E129" s="446">
        <f>'Fleet Inventory'!E20</f>
        <v>0</v>
      </c>
      <c r="F129" s="447">
        <f>'Fleet Inventory'!F20</f>
        <v>0</v>
      </c>
      <c r="G129" s="448"/>
      <c r="H129" s="448"/>
      <c r="I129" s="165" t="s">
        <v>238</v>
      </c>
      <c r="J129" s="177"/>
      <c r="K129" s="177"/>
      <c r="L129" s="177"/>
      <c r="M129" s="177"/>
      <c r="N129" s="177"/>
      <c r="O129" s="177"/>
      <c r="P129" s="177"/>
      <c r="Q129" s="177"/>
      <c r="R129" s="161" t="s">
        <v>100</v>
      </c>
      <c r="S129" s="165" t="s">
        <v>238</v>
      </c>
      <c r="T129" s="177"/>
      <c r="U129" s="177"/>
      <c r="V129" s="177"/>
      <c r="W129" s="177"/>
      <c r="X129" s="177"/>
      <c r="Y129" s="177"/>
      <c r="Z129" s="161" t="s">
        <v>100</v>
      </c>
      <c r="AA129" s="147"/>
      <c r="AB129" s="330" t="s">
        <v>276</v>
      </c>
      <c r="AC129" s="318"/>
      <c r="AD129" s="327"/>
      <c r="AE129" s="328"/>
      <c r="AF129" s="328"/>
      <c r="AG129" s="328"/>
      <c r="AH129" s="328"/>
      <c r="AI129" s="330" t="s">
        <v>275</v>
      </c>
      <c r="AJ129" s="318"/>
      <c r="AK129" s="327"/>
      <c r="AL129" s="328"/>
      <c r="AM129" s="328"/>
      <c r="AN129" s="328"/>
      <c r="AO129" s="328"/>
      <c r="AP129" s="238"/>
      <c r="AQ129" s="241"/>
      <c r="AR129" s="241"/>
      <c r="AS129" s="241"/>
      <c r="AT129" s="241"/>
      <c r="AU129" s="241"/>
      <c r="AV129" s="305"/>
      <c r="AW129" s="306"/>
      <c r="AY129" s="450"/>
      <c r="AZ129" s="450"/>
      <c r="BA129" s="427"/>
    </row>
    <row r="130" spans="1:54" x14ac:dyDescent="0.25">
      <c r="A130" s="440"/>
      <c r="B130" s="442"/>
      <c r="C130" s="444"/>
      <c r="D130" s="444"/>
      <c r="E130" s="444"/>
      <c r="F130" s="444"/>
      <c r="G130" s="448"/>
      <c r="H130" s="448"/>
      <c r="I130" s="165" t="s">
        <v>277</v>
      </c>
      <c r="J130" s="158"/>
      <c r="K130" s="158"/>
      <c r="L130" s="158"/>
      <c r="M130" s="158"/>
      <c r="N130" s="158"/>
      <c r="O130" s="158"/>
      <c r="P130" s="158"/>
      <c r="Q130" s="158"/>
      <c r="R130" s="297">
        <f>SUM(J130:Q130)</f>
        <v>0</v>
      </c>
      <c r="S130" s="165" t="s">
        <v>277</v>
      </c>
      <c r="T130" s="158"/>
      <c r="U130" s="158"/>
      <c r="V130" s="158"/>
      <c r="W130" s="158"/>
      <c r="X130" s="158"/>
      <c r="Y130" s="158"/>
      <c r="Z130" s="297">
        <f>SUM(T130:Y130)</f>
        <v>0</v>
      </c>
      <c r="AA130" s="261"/>
      <c r="AB130" s="330" t="s">
        <v>272</v>
      </c>
      <c r="AC130" s="334"/>
      <c r="AD130" s="329"/>
      <c r="AE130" s="329"/>
      <c r="AF130" s="329"/>
      <c r="AG130" s="329"/>
      <c r="AH130" s="329"/>
      <c r="AI130" s="330" t="s">
        <v>200</v>
      </c>
      <c r="AJ130" s="329"/>
      <c r="AK130" s="329"/>
      <c r="AL130" s="329"/>
      <c r="AM130" s="329"/>
      <c r="AN130" s="329"/>
      <c r="AO130" s="329"/>
      <c r="AP130" s="239"/>
      <c r="AQ130" s="242"/>
      <c r="AR130" s="242"/>
      <c r="AS130" s="242"/>
      <c r="AT130" s="242"/>
      <c r="AU130" s="242"/>
      <c r="AV130" s="305"/>
      <c r="AW130" s="171"/>
      <c r="AY130" s="451"/>
      <c r="AZ130" s="451"/>
      <c r="BA130" s="430"/>
    </row>
    <row r="131" spans="1:54" x14ac:dyDescent="0.25">
      <c r="A131" s="440"/>
      <c r="B131" s="442"/>
      <c r="C131" s="444"/>
      <c r="D131" s="444"/>
      <c r="E131" s="444"/>
      <c r="F131" s="444"/>
      <c r="G131" s="448"/>
      <c r="H131" s="448"/>
      <c r="I131" s="165" t="s">
        <v>201</v>
      </c>
      <c r="J131" s="158"/>
      <c r="K131" s="158"/>
      <c r="L131" s="158"/>
      <c r="M131" s="158"/>
      <c r="N131" s="158"/>
      <c r="O131" s="158"/>
      <c r="P131" s="158"/>
      <c r="Q131" s="158"/>
      <c r="R131" s="157" t="e">
        <f>AVERAGE(J131:Q131)</f>
        <v>#DIV/0!</v>
      </c>
      <c r="S131" s="165" t="s">
        <v>201</v>
      </c>
      <c r="T131" s="158"/>
      <c r="U131" s="158"/>
      <c r="V131" s="158"/>
      <c r="W131" s="158"/>
      <c r="X131" s="158"/>
      <c r="Y131" s="158"/>
      <c r="Z131" s="157" t="e">
        <f>AVERAGE(T131:Y131)</f>
        <v>#DIV/0!</v>
      </c>
      <c r="AA131" s="262"/>
      <c r="AB131" s="330" t="s">
        <v>201</v>
      </c>
      <c r="AC131" s="334"/>
      <c r="AD131" s="329"/>
      <c r="AE131" s="329"/>
      <c r="AF131" s="329"/>
      <c r="AG131" s="329"/>
      <c r="AH131" s="329"/>
      <c r="AI131" s="330" t="s">
        <v>201</v>
      </c>
      <c r="AJ131" s="329"/>
      <c r="AK131" s="329"/>
      <c r="AL131" s="329"/>
      <c r="AM131" s="329"/>
      <c r="AN131" s="329"/>
      <c r="AO131" s="329"/>
      <c r="AP131" s="240"/>
      <c r="AQ131" s="243"/>
      <c r="AR131" s="243"/>
      <c r="AS131" s="243"/>
      <c r="AT131" s="243"/>
      <c r="AU131" s="243"/>
      <c r="AV131" s="305"/>
      <c r="AW131" s="307"/>
      <c r="AY131" s="452"/>
      <c r="AZ131" s="452"/>
      <c r="BA131" s="433"/>
    </row>
    <row r="132" spans="1:54" x14ac:dyDescent="0.25">
      <c r="A132" s="441"/>
      <c r="B132" s="443"/>
      <c r="C132" s="445"/>
      <c r="D132" s="445"/>
      <c r="E132" s="445"/>
      <c r="F132" s="445"/>
      <c r="G132" s="449"/>
      <c r="H132" s="449"/>
      <c r="I132" s="267" t="s">
        <v>271</v>
      </c>
      <c r="J132" s="188">
        <f>IF(OR($B129="N/A",J129="",J130="",J131=""),0,J131*J130)</f>
        <v>0</v>
      </c>
      <c r="K132" s="188">
        <f t="shared" ref="K132:P132" si="466">IF(OR($B129="N/A",K129="",K130="",K131=""),0,K131*K130)</f>
        <v>0</v>
      </c>
      <c r="L132" s="188">
        <f t="shared" si="466"/>
        <v>0</v>
      </c>
      <c r="M132" s="188">
        <f t="shared" si="466"/>
        <v>0</v>
      </c>
      <c r="N132" s="188">
        <f t="shared" si="466"/>
        <v>0</v>
      </c>
      <c r="O132" s="188">
        <f t="shared" si="466"/>
        <v>0</v>
      </c>
      <c r="P132" s="188">
        <f t="shared" si="466"/>
        <v>0</v>
      </c>
      <c r="Q132" s="188">
        <f>IF(OR($B129="N/A",Q129="",Q130="",Q131=""),0,Q131*Q130)</f>
        <v>0</v>
      </c>
      <c r="R132" s="188">
        <f>SUM(J132:Q132)</f>
        <v>0</v>
      </c>
      <c r="S132" s="267" t="s">
        <v>271</v>
      </c>
      <c r="T132" s="188">
        <f>IF(OR($B129="N/A",T129="",T130="",T131=""),0,T131*T130)</f>
        <v>0</v>
      </c>
      <c r="U132" s="188">
        <f t="shared" ref="U132:Y132" si="467">IF(OR($B129="N/A",U129="",U130="",U131=""),0,U131*U130)</f>
        <v>0</v>
      </c>
      <c r="V132" s="188">
        <f t="shared" si="467"/>
        <v>0</v>
      </c>
      <c r="W132" s="188">
        <f t="shared" si="467"/>
        <v>0</v>
      </c>
      <c r="X132" s="188">
        <f t="shared" si="467"/>
        <v>0</v>
      </c>
      <c r="Y132" s="188">
        <f t="shared" si="467"/>
        <v>0</v>
      </c>
      <c r="Z132" s="188">
        <f>SUM(T132:Y132)</f>
        <v>0</v>
      </c>
      <c r="AA132" s="263"/>
      <c r="AB132" s="331" t="s">
        <v>152</v>
      </c>
      <c r="AC132" s="335">
        <f>IF(OR($B129="N/A",AC130="",AC131=""),0,AC131*AC130)</f>
        <v>0</v>
      </c>
      <c r="AD132" s="188">
        <f t="shared" ref="AD132" si="468">IF(OR($B129="N/A",AD130="",AD131=""),0,AD131*AD130)</f>
        <v>0</v>
      </c>
      <c r="AE132" s="188">
        <f>IF(OR($B129="N/A",AE130="",AE131=""),0,AE131*AE130)</f>
        <v>0</v>
      </c>
      <c r="AF132" s="188">
        <f t="shared" ref="AF132" si="469">IF(OR($B129="N/A",AF130="",AF131=""),0,AF131*AF130)</f>
        <v>0</v>
      </c>
      <c r="AG132" s="188">
        <f>IF(OR($B129="N/A",AG130="",AG131=""),0,AG131*AG130)</f>
        <v>0</v>
      </c>
      <c r="AH132" s="188">
        <f t="shared" ref="AH132" si="470">IF(OR($B129="N/A",AH130="",AH131=""),0,AH131*AH130)</f>
        <v>0</v>
      </c>
      <c r="AI132" s="331" t="s">
        <v>152</v>
      </c>
      <c r="AJ132" s="188">
        <f>IF(OR($B129="N/A",AJ130="",AJ131=""),0,AJ131*AJ130)</f>
        <v>0</v>
      </c>
      <c r="AK132" s="188">
        <f t="shared" ref="AK132" si="471">IF(OR($B129="N/A",AK130="",AK131=""),0,AK131*AK130)</f>
        <v>0</v>
      </c>
      <c r="AL132" s="188">
        <f>IF(OR($B129="N/A",AL130="",AL131=""),0,AL131*AL130)</f>
        <v>0</v>
      </c>
      <c r="AM132" s="188">
        <f t="shared" ref="AM132" si="472">IF(OR($B129="N/A",AM130="",AM131=""),0,AM131*AM130)</f>
        <v>0</v>
      </c>
      <c r="AN132" s="188">
        <f>IF(OR($B129="N/A",AN130="",AN131=""),0,AN131*AN130)</f>
        <v>0</v>
      </c>
      <c r="AO132" s="188">
        <f t="shared" ref="AO132" si="473">IF(OR($B129="N/A",AO130="",AO131=""),0,AO131*AO130)</f>
        <v>0</v>
      </c>
      <c r="AP132" s="279">
        <f>SUM(AC132:AH132)+SUM(AJ132:AO132)+R132+Z132+AA132</f>
        <v>0</v>
      </c>
      <c r="AQ132" s="258"/>
      <c r="AR132" s="277">
        <f>AP132+AQ132</f>
        <v>0</v>
      </c>
      <c r="AS132" s="237"/>
      <c r="AT132" s="278" t="e">
        <f>IF($B130="N/A","N/A",AR132/A129)</f>
        <v>#DIV/0!</v>
      </c>
      <c r="AU132" s="278" t="e">
        <f>IF($B130="N/A","N/A",AR132/(E129*A129/10000))</f>
        <v>#DIV/0!</v>
      </c>
      <c r="AW132" s="278">
        <f>R130</f>
        <v>0</v>
      </c>
      <c r="AY132" s="244" t="e">
        <f>AP132/AR132</f>
        <v>#DIV/0!</v>
      </c>
      <c r="AZ132" s="244" t="e">
        <f>AQ132/AR132</f>
        <v>#DIV/0!</v>
      </c>
      <c r="BA132" s="245" t="s">
        <v>217</v>
      </c>
      <c r="BB132" s="319">
        <f>AR132</f>
        <v>0</v>
      </c>
    </row>
    <row r="133" spans="1:54" x14ac:dyDescent="0.25">
      <c r="A133" s="441"/>
      <c r="B133" s="443"/>
      <c r="C133" s="445"/>
      <c r="D133" s="445"/>
      <c r="E133" s="445"/>
      <c r="F133" s="445"/>
      <c r="G133" s="449"/>
      <c r="H133" s="449"/>
      <c r="I133" s="284" t="s">
        <v>226</v>
      </c>
      <c r="J133" s="285"/>
      <c r="K133" s="285"/>
      <c r="L133" s="285"/>
      <c r="M133" s="285"/>
      <c r="N133" s="285"/>
      <c r="O133" s="285"/>
      <c r="P133" s="285"/>
      <c r="Q133" s="285"/>
      <c r="R133" s="157" t="e">
        <f>AVERAGE(J133:Q133)</f>
        <v>#DIV/0!</v>
      </c>
      <c r="S133" s="284" t="s">
        <v>226</v>
      </c>
      <c r="T133" s="285"/>
      <c r="U133" s="285"/>
      <c r="V133" s="285"/>
      <c r="W133" s="285"/>
      <c r="X133" s="285"/>
      <c r="Y133" s="285"/>
      <c r="Z133" s="157" t="e">
        <f>AVERAGE(T133:Y133)</f>
        <v>#DIV/0!</v>
      </c>
      <c r="AA133" s="298"/>
      <c r="AB133" s="332" t="s">
        <v>226</v>
      </c>
      <c r="AC133" s="336"/>
      <c r="AD133" s="285"/>
      <c r="AE133" s="285"/>
      <c r="AF133" s="285"/>
      <c r="AG133" s="285"/>
      <c r="AH133" s="285"/>
      <c r="AI133" s="332" t="s">
        <v>226</v>
      </c>
      <c r="AJ133" s="285"/>
      <c r="AK133" s="285"/>
      <c r="AL133" s="285"/>
      <c r="AM133" s="285"/>
      <c r="AN133" s="285"/>
      <c r="AO133" s="285"/>
      <c r="AP133" s="301"/>
      <c r="AQ133" s="301"/>
      <c r="AR133" s="302"/>
      <c r="AS133" s="302"/>
      <c r="AT133" s="302"/>
      <c r="AU133" s="303"/>
      <c r="AW133" s="171"/>
      <c r="AY133" s="453"/>
      <c r="AZ133" s="454"/>
      <c r="BA133" s="427"/>
    </row>
    <row r="134" spans="1:54" x14ac:dyDescent="0.25">
      <c r="A134" s="441"/>
      <c r="B134" s="443"/>
      <c r="C134" s="445"/>
      <c r="D134" s="445"/>
      <c r="E134" s="445"/>
      <c r="F134" s="445"/>
      <c r="G134" s="449"/>
      <c r="H134" s="449"/>
      <c r="I134" s="163"/>
      <c r="J134" s="164"/>
      <c r="K134" s="164"/>
      <c r="L134" s="164"/>
      <c r="M134" s="164"/>
      <c r="N134" s="164"/>
      <c r="O134" s="164"/>
      <c r="P134" s="164"/>
      <c r="Q134" s="164"/>
      <c r="R134" s="164"/>
      <c r="S134" s="163"/>
      <c r="T134" s="164"/>
      <c r="U134" s="164"/>
      <c r="V134" s="164"/>
      <c r="W134" s="164"/>
      <c r="X134" s="164"/>
      <c r="Y134" s="164"/>
      <c r="Z134" s="164"/>
      <c r="AA134" s="350"/>
      <c r="AB134" s="332" t="s">
        <v>322</v>
      </c>
      <c r="AC134" s="351"/>
      <c r="AD134" s="351"/>
      <c r="AE134" s="351"/>
      <c r="AF134" s="351"/>
      <c r="AG134" s="351"/>
      <c r="AH134" s="351"/>
      <c r="AI134" s="332" t="s">
        <v>323</v>
      </c>
      <c r="AJ134" s="285"/>
      <c r="AK134" s="285"/>
      <c r="AL134" s="285"/>
      <c r="AM134" s="285"/>
      <c r="AN134" s="285"/>
      <c r="AO134" s="285"/>
      <c r="AP134" s="352"/>
      <c r="AQ134" s="352"/>
      <c r="AR134" s="353"/>
      <c r="AS134" s="353"/>
      <c r="AT134" s="353"/>
      <c r="AU134" s="354"/>
      <c r="AW134" s="171"/>
      <c r="AY134" s="355"/>
      <c r="AZ134" s="356"/>
      <c r="BA134" s="349"/>
    </row>
    <row r="135" spans="1:54" x14ac:dyDescent="0.25">
      <c r="A135" s="441"/>
      <c r="B135" s="443"/>
      <c r="C135" s="445"/>
      <c r="D135" s="445"/>
      <c r="E135" s="445"/>
      <c r="F135" s="445"/>
      <c r="G135" s="449"/>
      <c r="H135" s="449"/>
      <c r="I135" s="178" t="s">
        <v>237</v>
      </c>
      <c r="J135" s="153">
        <f t="shared" ref="J135:Q135" si="474">IF(AND($G129="",$H129=""),J130,($H129*$G129)/($E129*$A129)*J130)</f>
        <v>0</v>
      </c>
      <c r="K135" s="153">
        <f t="shared" si="474"/>
        <v>0</v>
      </c>
      <c r="L135" s="153">
        <f t="shared" si="474"/>
        <v>0</v>
      </c>
      <c r="M135" s="153">
        <f t="shared" si="474"/>
        <v>0</v>
      </c>
      <c r="N135" s="153">
        <f t="shared" si="474"/>
        <v>0</v>
      </c>
      <c r="O135" s="153">
        <f t="shared" ref="O135:P135" si="475">IF(AND($G129="",$H129=""),O130,($H129*$G129)/($E129*$A129)*O130)</f>
        <v>0</v>
      </c>
      <c r="P135" s="153">
        <f t="shared" si="475"/>
        <v>0</v>
      </c>
      <c r="Q135" s="153">
        <f t="shared" si="474"/>
        <v>0</v>
      </c>
      <c r="R135" s="153" t="e">
        <f>($H129*$G129)/($E129*$A129)*R130</f>
        <v>#DIV/0!</v>
      </c>
      <c r="S135" s="178" t="s">
        <v>237</v>
      </c>
      <c r="T135" s="153">
        <f t="shared" ref="T135:Z135" si="476">IF($G129="",T130,($G129/$A129)*T130)</f>
        <v>0</v>
      </c>
      <c r="U135" s="153">
        <f t="shared" si="476"/>
        <v>0</v>
      </c>
      <c r="V135" s="153">
        <f t="shared" si="476"/>
        <v>0</v>
      </c>
      <c r="W135" s="153">
        <f t="shared" si="476"/>
        <v>0</v>
      </c>
      <c r="X135" s="153">
        <f t="shared" si="476"/>
        <v>0</v>
      </c>
      <c r="Y135" s="153">
        <f t="shared" si="476"/>
        <v>0</v>
      </c>
      <c r="Z135" s="153">
        <f t="shared" si="476"/>
        <v>0</v>
      </c>
      <c r="AA135" s="262"/>
      <c r="AB135" s="333" t="s">
        <v>240</v>
      </c>
      <c r="AC135" s="153">
        <f>IF($G129="",IF(AC134="",AC130,AC129/AC134*AC130),IF(AC130=0,0,$G129/$A129*AC129/AC134*AC130))</f>
        <v>0</v>
      </c>
      <c r="AD135" s="153">
        <f t="shared" ref="AD135" si="477">IF($G129="",IF(AD134="",AD130,AD129/AD134*AD130),IF(AD130=0,0,$G129/$A129*AD129/AD134*AD130))</f>
        <v>0</v>
      </c>
      <c r="AE135" s="153">
        <f t="shared" ref="AE135" si="478">IF($G129="",IF(AE134="",AE130,AE129/AE134*AE130),IF(AE130=0,0,$G129/$A129*AE129/AE134*AE130))</f>
        <v>0</v>
      </c>
      <c r="AF135" s="153">
        <f t="shared" ref="AF135" si="479">IF($G129="",IF(AF134="",AF130,AF129/AF134*AF130),IF(AF130=0,0,$G129/$A129*AF129/AF134*AF130))</f>
        <v>0</v>
      </c>
      <c r="AG135" s="153">
        <f t="shared" ref="AG135" si="480">IF($G129="",IF(AG134="",AG130,AG129/AG134*AG130),IF(AG130=0,0,$G129/$A129*AG129/AG134*AG130))</f>
        <v>0</v>
      </c>
      <c r="AH135" s="153">
        <f t="shared" ref="AH135" si="481">IF($G129="",IF(AH134="",AH130,AH129/AH134*AH130),IF(AH130=0,0,$G129/$A129*AH129/AH134*AH130))</f>
        <v>0</v>
      </c>
      <c r="AI135" s="333" t="s">
        <v>240</v>
      </c>
      <c r="AJ135" s="153">
        <f>IF(AND($G129="",$H129=""),IF(AJ134="",AJ130,AJ129/AJ134*AJ130),IF(AJ130=0,0,($G129*$H129)/($A129*$E129)*(AJ129/AJ134*AJ130)))</f>
        <v>0</v>
      </c>
      <c r="AK135" s="153">
        <f t="shared" ref="AK135" si="482">IF(AND($G129="",$H129=""),IF(AK134="",AK130,AK129/AK134*AK130),IF(AK130=0,0,($G129*$H129)/($A129*$E129)*(AK129/AK134*AK130)))</f>
        <v>0</v>
      </c>
      <c r="AL135" s="153">
        <f t="shared" ref="AL135" si="483">IF(AND($G129="",$H129=""),IF(AL134="",AL130,AL129/AL134*AL130),IF(AL130=0,0,($G129*$H129)/($A129*$E129)*(AL129/AL134*AL130)))</f>
        <v>0</v>
      </c>
      <c r="AM135" s="153">
        <f t="shared" ref="AM135" si="484">IF(AND($G129="",$H129=""),IF(AM134="",AM130,AM129/AM134*AM130),IF(AM130=0,0,($G129*$H129)/($A129*$E129)*(AM129/AM134*AM130)))</f>
        <v>0</v>
      </c>
      <c r="AN135" s="153">
        <f t="shared" ref="AN135" si="485">IF(AND($G129="",$H129=""),IF(AN134="",AN130,AN129/AN134*AN130),IF(AN130=0,0,($G129*$H129)/($A129*$E129)*(AN129/AN134*AN130)))</f>
        <v>0</v>
      </c>
      <c r="AO135" s="153">
        <f t="shared" ref="AO135" si="486">IF(AND($G129="",$H129=""),IF(AO134="",AO130,AO129/AO134*AO130),IF(AO130=0,0,($G129*$H129)/($A129*$E129)*(AO129/AO134*AO130)))</f>
        <v>0</v>
      </c>
      <c r="AP135" s="304"/>
      <c r="AQ135" s="260"/>
      <c r="AR135" s="243"/>
      <c r="AS135" s="243"/>
      <c r="AT135" s="243"/>
      <c r="AU135" s="236"/>
      <c r="AW135" s="307"/>
      <c r="AY135" s="455"/>
      <c r="AZ135" s="456"/>
      <c r="BA135" s="433"/>
    </row>
    <row r="136" spans="1:54" x14ac:dyDescent="0.25">
      <c r="A136" s="441"/>
      <c r="B136" s="443"/>
      <c r="C136" s="445"/>
      <c r="D136" s="445"/>
      <c r="E136" s="445"/>
      <c r="F136" s="445"/>
      <c r="G136" s="449"/>
      <c r="H136" s="449"/>
      <c r="I136" s="178" t="s">
        <v>255</v>
      </c>
      <c r="J136" s="187">
        <f>IF(OR($B129="N/A",J129="",J130="",J131=""),0,J133*J135)</f>
        <v>0</v>
      </c>
      <c r="K136" s="187">
        <f t="shared" ref="K136:Q136" si="487">IF(OR($B129="N/A",K129="",K130="",K131=""),0,K133*K135)</f>
        <v>0</v>
      </c>
      <c r="L136" s="187">
        <f t="shared" si="487"/>
        <v>0</v>
      </c>
      <c r="M136" s="187">
        <f t="shared" si="487"/>
        <v>0</v>
      </c>
      <c r="N136" s="187">
        <f t="shared" si="487"/>
        <v>0</v>
      </c>
      <c r="O136" s="187">
        <f t="shared" ref="O136:P136" si="488">IF(OR($B129="N/A",O129="",O130="",O131=""),0,O133*O135)</f>
        <v>0</v>
      </c>
      <c r="P136" s="187">
        <f t="shared" si="488"/>
        <v>0</v>
      </c>
      <c r="Q136" s="187">
        <f t="shared" si="487"/>
        <v>0</v>
      </c>
      <c r="R136" s="187">
        <f>SUM(J136:Q136)</f>
        <v>0</v>
      </c>
      <c r="S136" s="178" t="s">
        <v>255</v>
      </c>
      <c r="T136" s="187">
        <f>IF(OR($B129="N/A",T129="",T130="",T131=""),0,T133*T135)</f>
        <v>0</v>
      </c>
      <c r="U136" s="187">
        <f t="shared" ref="U136:Y136" si="489">IF(OR($B129="N/A",U129="",U130="",U131=""),0,U133*U135)</f>
        <v>0</v>
      </c>
      <c r="V136" s="187">
        <f t="shared" si="489"/>
        <v>0</v>
      </c>
      <c r="W136" s="187">
        <f t="shared" si="489"/>
        <v>0</v>
      </c>
      <c r="X136" s="187">
        <f t="shared" si="489"/>
        <v>0</v>
      </c>
      <c r="Y136" s="187">
        <f t="shared" si="489"/>
        <v>0</v>
      </c>
      <c r="Z136" s="187">
        <f>SUM(T136:Y136)</f>
        <v>0</v>
      </c>
      <c r="AA136" s="283"/>
      <c r="AB136" s="333" t="s">
        <v>256</v>
      </c>
      <c r="AC136" s="337">
        <f>IF(OR($B129="N/A",AC129="",AC130="",AC131=""),0,AC133*AC135)</f>
        <v>0</v>
      </c>
      <c r="AD136" s="187">
        <f t="shared" ref="AD136" si="490">IF(OR($B129="N/A",AD129="",AD130="",AD131=""),0,AD133*AD135)</f>
        <v>0</v>
      </c>
      <c r="AE136" s="187">
        <f t="shared" ref="AE136" si="491">IF(OR($B129="N/A",AE129="",AE130="",AE131=""),0,AE133*AE135)</f>
        <v>0</v>
      </c>
      <c r="AF136" s="187">
        <f t="shared" ref="AF136" si="492">IF(OR($B129="N/A",AF129="",AF130="",AF131=""),0,AF133*AF135)</f>
        <v>0</v>
      </c>
      <c r="AG136" s="187">
        <f t="shared" ref="AG136" si="493">IF(OR($B129="N/A",AG129="",AG130="",AG131=""),0,AG133*AG135)</f>
        <v>0</v>
      </c>
      <c r="AH136" s="187">
        <f t="shared" ref="AH136" si="494">IF(OR($B129="N/A",AH129="",AH130="",AH131=""),0,AH133*AH135)</f>
        <v>0</v>
      </c>
      <c r="AI136" s="333" t="s">
        <v>256</v>
      </c>
      <c r="AJ136" s="187">
        <f>IF(OR($B129="N/A",AJ129="",AJ130="",AJ131=""),0,AJ133*AJ135)</f>
        <v>0</v>
      </c>
      <c r="AK136" s="187">
        <f t="shared" ref="AK136" si="495">IF(OR($B129="N/A",AK129="",AK130="",AK131=""),0,AK133*AK135)</f>
        <v>0</v>
      </c>
      <c r="AL136" s="187">
        <f t="shared" ref="AL136" si="496">IF(OR($B129="N/A",AL129="",AL130="",AL131=""),0,AL133*AL135)</f>
        <v>0</v>
      </c>
      <c r="AM136" s="187">
        <f t="shared" ref="AM136" si="497">IF(OR($B129="N/A",AM129="",AM130="",AM131=""),0,AM133*AM135)</f>
        <v>0</v>
      </c>
      <c r="AN136" s="187">
        <f t="shared" ref="AN136" si="498">IF(OR($B129="N/A",AN129="",AN130="",AN131=""),0,AN133*AN135)</f>
        <v>0</v>
      </c>
      <c r="AO136" s="187">
        <f t="shared" ref="AO136" si="499">IF(OR($B129="N/A",AO129="",AO130="",AO131=""),0,AO133*AO135)</f>
        <v>0</v>
      </c>
      <c r="AP136" s="280">
        <f>SUM(AC136:AH136)+SUM(AJ136:AO136)+R136+Z136+AA136</f>
        <v>0</v>
      </c>
      <c r="AQ136" s="282"/>
      <c r="AR136" s="280">
        <f t="shared" ref="AR136" si="500">AP136+AQ136</f>
        <v>0</v>
      </c>
      <c r="AS136" s="141"/>
      <c r="AT136" s="281" t="str">
        <f>IF($B129="N/A","N/A",AR136/A129)</f>
        <v>N/A</v>
      </c>
      <c r="AU136" s="281" t="str">
        <f>IF($B129="N/A","N/A",AR136/(H129*A129/10000))</f>
        <v>N/A</v>
      </c>
      <c r="AW136" s="281" t="e">
        <f>R135</f>
        <v>#DIV/0!</v>
      </c>
      <c r="AY136" s="272" t="e">
        <f>AP136/AR136</f>
        <v>#DIV/0!</v>
      </c>
      <c r="AZ136" s="272" t="e">
        <f>AQ136/AR136</f>
        <v>#DIV/0!</v>
      </c>
      <c r="BA136" s="273" t="s">
        <v>227</v>
      </c>
      <c r="BB136" s="320">
        <f>AR136</f>
        <v>0</v>
      </c>
    </row>
    <row r="137" spans="1:54" x14ac:dyDescent="0.25">
      <c r="A137" s="220"/>
      <c r="B137" s="221"/>
      <c r="C137" s="222"/>
      <c r="D137" s="222"/>
      <c r="E137" s="222"/>
      <c r="F137" s="222"/>
      <c r="G137" s="222"/>
      <c r="H137" s="222"/>
      <c r="I137" s="163"/>
      <c r="J137" s="164"/>
      <c r="K137" s="164"/>
      <c r="L137" s="164"/>
      <c r="M137" s="164"/>
      <c r="N137" s="164"/>
      <c r="O137" s="164"/>
      <c r="P137" s="164"/>
      <c r="Q137" s="164"/>
      <c r="R137" s="164"/>
      <c r="S137" s="163"/>
      <c r="T137" s="164"/>
      <c r="U137" s="164"/>
      <c r="V137" s="164"/>
      <c r="W137" s="164"/>
      <c r="X137" s="164"/>
      <c r="Y137" s="164"/>
      <c r="Z137" s="164"/>
      <c r="AA137" s="264"/>
      <c r="AB137" s="163"/>
      <c r="AC137" s="164"/>
      <c r="AD137" s="164"/>
      <c r="AE137" s="164"/>
      <c r="AF137" s="164"/>
      <c r="AG137" s="164"/>
      <c r="AH137" s="164"/>
      <c r="AI137" s="163"/>
      <c r="AJ137" s="164"/>
      <c r="AK137" s="164"/>
      <c r="AL137" s="164"/>
      <c r="AM137" s="164"/>
      <c r="AN137" s="164"/>
      <c r="AO137" s="164"/>
      <c r="AP137" s="166"/>
      <c r="AQ137" s="259"/>
      <c r="AR137" s="166"/>
      <c r="AS137" s="166"/>
      <c r="AT137" s="167"/>
      <c r="AU137" s="167"/>
      <c r="AV137" s="168"/>
      <c r="AW137" s="167"/>
      <c r="AX137" s="168"/>
      <c r="AY137" s="169"/>
      <c r="AZ137" s="170"/>
      <c r="BA137" s="163"/>
    </row>
    <row r="138" spans="1:54" x14ac:dyDescent="0.25">
      <c r="A138" s="109"/>
      <c r="B138" s="109"/>
      <c r="C138" s="109"/>
      <c r="D138" s="109"/>
      <c r="E138" s="109"/>
      <c r="F138" s="109"/>
      <c r="G138" s="109"/>
      <c r="H138" s="109"/>
      <c r="J138" s="110"/>
      <c r="K138" s="110"/>
      <c r="L138" s="110"/>
      <c r="M138" s="110"/>
      <c r="N138" s="110"/>
      <c r="O138" s="110"/>
      <c r="P138" s="110"/>
      <c r="Q138" s="110"/>
      <c r="R138" s="110"/>
      <c r="T138" s="110"/>
      <c r="U138" s="110"/>
      <c r="V138" s="110"/>
      <c r="W138" s="110"/>
      <c r="X138" s="110"/>
      <c r="Y138" s="110"/>
      <c r="Z138" s="110"/>
      <c r="AA138" s="148"/>
      <c r="AC138" s="110"/>
      <c r="AD138" s="110"/>
      <c r="AE138" s="110"/>
      <c r="AF138" s="110"/>
      <c r="AG138" s="110"/>
      <c r="AH138" s="110"/>
      <c r="AJ138" s="110"/>
      <c r="AK138" s="110"/>
      <c r="AL138" s="110"/>
      <c r="AM138" s="110"/>
      <c r="AN138" s="110"/>
      <c r="AO138" s="110"/>
      <c r="AP138" s="112"/>
      <c r="AQ138" s="117"/>
      <c r="AR138" s="113"/>
      <c r="AS138" s="140"/>
      <c r="AV138" s="108"/>
      <c r="AX138" s="108"/>
    </row>
    <row r="139" spans="1:54" x14ac:dyDescent="0.25">
      <c r="B139" s="473" t="s">
        <v>317</v>
      </c>
      <c r="C139" s="474"/>
      <c r="D139" s="109"/>
      <c r="E139" s="109"/>
      <c r="H139" s="109"/>
      <c r="I139" s="312"/>
      <c r="S139" s="312"/>
      <c r="AG139" s="434" t="s">
        <v>202</v>
      </c>
      <c r="AH139" s="435"/>
      <c r="AI139" s="427"/>
      <c r="AP139" s="114" t="s">
        <v>136</v>
      </c>
      <c r="AQ139" s="117" t="s">
        <v>137</v>
      </c>
      <c r="AR139" s="114" t="s">
        <v>1</v>
      </c>
      <c r="AS139" s="142"/>
      <c r="AV139" s="108"/>
      <c r="AX139" s="108"/>
      <c r="BA139"/>
    </row>
    <row r="140" spans="1:54" x14ac:dyDescent="0.25">
      <c r="B140" s="475"/>
      <c r="C140" s="476"/>
      <c r="D140" s="109"/>
      <c r="E140" s="109"/>
      <c r="H140" s="109"/>
      <c r="I140" s="312"/>
      <c r="J140" s="27"/>
      <c r="K140" s="27"/>
      <c r="L140" s="27"/>
      <c r="M140" s="27"/>
      <c r="N140" s="27"/>
      <c r="O140" s="27"/>
      <c r="P140" s="27"/>
      <c r="Q140" s="27"/>
      <c r="R140" s="27"/>
      <c r="S140" s="312"/>
      <c r="T140" s="27"/>
      <c r="U140" s="27"/>
      <c r="V140" s="27"/>
      <c r="W140" s="27"/>
      <c r="X140" s="27"/>
      <c r="Y140" s="27"/>
      <c r="Z140" s="27"/>
      <c r="AC140" s="27"/>
      <c r="AD140" s="27"/>
      <c r="AE140" s="27"/>
      <c r="AF140" s="27"/>
      <c r="AG140" s="436"/>
      <c r="AH140" s="437"/>
      <c r="AI140" s="430"/>
      <c r="AJ140" s="27"/>
      <c r="AK140" s="27"/>
      <c r="AL140" s="27"/>
      <c r="AM140" s="27"/>
      <c r="AN140" s="27"/>
      <c r="AO140" s="27"/>
      <c r="AP140" s="322">
        <f>SUM(AP6,AP15,AP24,AP33,AP42,AP51,AP60,AP69,AP78,AP87,AP96,AP105,AP114,AP123,AP132)</f>
        <v>0</v>
      </c>
      <c r="AQ140" s="322">
        <f>SUM(AQ6,AQ15,AQ24,AQ33,AQ42,AQ51,AQ60,AQ69,AQ78,AQ87,AQ96,AQ105,AQ114,AQ123,AQ132)</f>
        <v>0</v>
      </c>
      <c r="AR140" s="323">
        <f>AP140+AQ140</f>
        <v>0</v>
      </c>
      <c r="AS140" s="143"/>
      <c r="AV140" s="108"/>
      <c r="AX140" s="108"/>
      <c r="AY140" s="151"/>
      <c r="AZ140" s="151"/>
      <c r="BA140"/>
    </row>
    <row r="141" spans="1:54" x14ac:dyDescent="0.25">
      <c r="B141" s="475"/>
      <c r="C141" s="476"/>
      <c r="D141" s="109"/>
      <c r="E141" s="109"/>
      <c r="H141" s="109"/>
      <c r="I141" s="312"/>
      <c r="S141" s="312"/>
      <c r="AG141" s="436"/>
      <c r="AH141" s="437"/>
      <c r="AI141" s="430"/>
      <c r="AP141" s="113"/>
      <c r="AR141" s="113"/>
      <c r="AS141" s="140"/>
      <c r="AV141" s="108"/>
      <c r="AX141" s="108"/>
      <c r="BA141"/>
    </row>
    <row r="142" spans="1:54" x14ac:dyDescent="0.25">
      <c r="B142" s="475"/>
      <c r="C142" s="476"/>
      <c r="D142" s="109"/>
      <c r="E142" s="109"/>
      <c r="H142" s="109"/>
      <c r="AG142" s="436"/>
      <c r="AH142" s="437"/>
      <c r="AI142" s="430"/>
      <c r="AP142" s="113"/>
      <c r="AQ142" s="115" t="s">
        <v>162</v>
      </c>
      <c r="AR142" s="179" t="e">
        <f>'Existing Staff'!B35</f>
        <v>#DIV/0!</v>
      </c>
      <c r="AS142" s="140"/>
      <c r="AV142" s="108"/>
      <c r="AX142" s="108"/>
      <c r="BA142"/>
    </row>
    <row r="143" spans="1:54" x14ac:dyDescent="0.25">
      <c r="B143" s="475"/>
      <c r="C143" s="476"/>
      <c r="D143" s="109"/>
      <c r="E143" s="109"/>
      <c r="H143" s="109"/>
      <c r="AG143" s="436"/>
      <c r="AH143" s="437"/>
      <c r="AI143" s="430"/>
      <c r="AV143" s="108"/>
      <c r="AX143" s="108"/>
      <c r="BA143"/>
    </row>
    <row r="144" spans="1:54" ht="18.75" x14ac:dyDescent="0.3">
      <c r="B144" s="475"/>
      <c r="C144" s="476"/>
      <c r="D144" s="109"/>
      <c r="E144" s="109"/>
      <c r="H144" s="109"/>
      <c r="AG144" s="436"/>
      <c r="AH144" s="437"/>
      <c r="AI144" s="430"/>
      <c r="AK144" s="191"/>
      <c r="AL144" s="192"/>
      <c r="AM144" s="192"/>
      <c r="AN144" s="192"/>
      <c r="AO144" s="192"/>
      <c r="AP144" s="192"/>
      <c r="AQ144" s="193" t="s">
        <v>232</v>
      </c>
      <c r="AR144" s="194" t="e">
        <f>AR140/AR142</f>
        <v>#DIV/0!</v>
      </c>
      <c r="AS144" s="144"/>
      <c r="AV144" s="108"/>
      <c r="AX144" s="108"/>
      <c r="BA144"/>
    </row>
    <row r="145" spans="1:53" x14ac:dyDescent="0.25">
      <c r="B145" s="475"/>
      <c r="C145" s="476"/>
      <c r="D145" s="109"/>
      <c r="E145" s="109"/>
      <c r="H145" s="109"/>
      <c r="AG145" s="436"/>
      <c r="AH145" s="437"/>
      <c r="AI145" s="430"/>
      <c r="AQ145" s="122"/>
      <c r="AV145" s="108"/>
      <c r="AX145" s="108"/>
      <c r="BA145"/>
    </row>
    <row r="146" spans="1:53" x14ac:dyDescent="0.25">
      <c r="B146" s="477"/>
      <c r="C146" s="478"/>
      <c r="D146" s="109"/>
      <c r="E146" s="109"/>
      <c r="H146" s="109"/>
      <c r="AG146" s="438"/>
      <c r="AH146" s="439"/>
      <c r="AI146" s="433"/>
      <c r="AQ146" s="115" t="s">
        <v>144</v>
      </c>
      <c r="AR146" s="123" t="e">
        <f>AQ140/AR140</f>
        <v>#DIV/0!</v>
      </c>
      <c r="AV146" s="108"/>
      <c r="AX146" s="108"/>
      <c r="BA146"/>
    </row>
    <row r="147" spans="1:53" x14ac:dyDescent="0.25">
      <c r="AQ147" s="122"/>
      <c r="AT147" s="118"/>
      <c r="AU147" s="118"/>
      <c r="AV147" s="108"/>
      <c r="AW147" s="108"/>
      <c r="AX147" s="108"/>
      <c r="AY147" s="108"/>
      <c r="AZ147" s="108"/>
    </row>
    <row r="148" spans="1:53" x14ac:dyDescent="0.25">
      <c r="AC148" s="472" t="s">
        <v>203</v>
      </c>
      <c r="AD148" s="472"/>
      <c r="AE148" s="472"/>
      <c r="AF148" s="472"/>
      <c r="AG148" s="472"/>
      <c r="AH148" s="472"/>
      <c r="AI148" s="472"/>
      <c r="AJ148" s="472"/>
      <c r="AK148" s="472"/>
      <c r="AL148" s="472"/>
      <c r="AM148" s="472"/>
      <c r="AN148" s="472"/>
      <c r="AO148" s="472"/>
      <c r="AP148" s="472"/>
      <c r="AQ148" s="472"/>
      <c r="AR148" s="180" t="e">
        <f>AR144*'Existing Staff'!B19</f>
        <v>#DIV/0!</v>
      </c>
      <c r="AT148" s="311"/>
      <c r="AU148" s="118"/>
      <c r="AV148" s="108"/>
      <c r="AW148" s="108"/>
      <c r="AX148" s="108"/>
      <c r="AY148" s="108"/>
      <c r="AZ148" s="108"/>
    </row>
    <row r="149" spans="1:53" x14ac:dyDescent="0.25">
      <c r="AQ149" s="122"/>
      <c r="AR149" s="180"/>
      <c r="AT149" s="118"/>
      <c r="AU149" s="118"/>
      <c r="AV149" s="108"/>
      <c r="AW149" s="108"/>
      <c r="AX149" s="108"/>
      <c r="AY149" s="108"/>
      <c r="AZ149" s="108"/>
    </row>
    <row r="150" spans="1:53" ht="15" customHeight="1" x14ac:dyDescent="0.25">
      <c r="AB150" s="471" t="s">
        <v>212</v>
      </c>
      <c r="AC150" s="472"/>
      <c r="AD150" s="472"/>
      <c r="AE150" s="472"/>
      <c r="AF150" s="472"/>
      <c r="AG150" s="472"/>
      <c r="AH150" s="472"/>
      <c r="AI150" s="472"/>
      <c r="AJ150" s="472"/>
      <c r="AK150" s="472"/>
      <c r="AL150" s="472"/>
      <c r="AM150" s="472"/>
      <c r="AN150" s="472"/>
      <c r="AO150" s="472"/>
      <c r="AP150" s="472"/>
      <c r="AQ150" s="472"/>
      <c r="AR150" s="180" t="e">
        <f>AR144*'Existing Staff'!H19</f>
        <v>#DIV/0!</v>
      </c>
      <c r="AT150" s="118"/>
      <c r="AU150" s="118"/>
      <c r="AV150" s="108"/>
      <c r="AW150" s="108"/>
      <c r="AX150" s="108"/>
      <c r="AY150" s="108"/>
      <c r="AZ150" s="108"/>
      <c r="BA150" s="108"/>
    </row>
    <row r="151" spans="1:53" x14ac:dyDescent="0.25">
      <c r="AQ151" s="122"/>
      <c r="AS151" s="145"/>
      <c r="AV151" s="108"/>
      <c r="AX151" s="108"/>
    </row>
    <row r="152" spans="1:53" x14ac:dyDescent="0.25">
      <c r="A152" s="171"/>
      <c r="B152" s="172"/>
      <c r="C152" s="171"/>
      <c r="D152" s="171"/>
      <c r="E152" s="171"/>
      <c r="F152" s="171"/>
      <c r="G152" s="171"/>
      <c r="H152" s="171"/>
      <c r="I152" s="173"/>
      <c r="J152" s="171"/>
      <c r="K152" s="171"/>
      <c r="L152" s="171"/>
      <c r="M152" s="171"/>
      <c r="N152" s="171"/>
      <c r="O152" s="171"/>
      <c r="P152" s="171"/>
      <c r="Q152" s="171"/>
      <c r="R152" s="171"/>
      <c r="S152" s="173"/>
      <c r="T152" s="171"/>
      <c r="U152" s="171"/>
      <c r="V152" s="171"/>
      <c r="W152" s="171"/>
      <c r="X152" s="171"/>
      <c r="Y152" s="171"/>
      <c r="Z152" s="171"/>
      <c r="AA152" s="174"/>
      <c r="AB152" s="173"/>
      <c r="AC152" s="171"/>
      <c r="AD152" s="171"/>
      <c r="AE152" s="171"/>
      <c r="AF152" s="171"/>
      <c r="AG152" s="171"/>
      <c r="AH152" s="171"/>
      <c r="AI152" s="173"/>
      <c r="AJ152" s="171"/>
      <c r="AK152" s="171"/>
      <c r="AL152" s="171"/>
      <c r="AM152" s="171"/>
      <c r="AN152" s="171"/>
      <c r="AO152" s="171"/>
      <c r="AP152" s="171"/>
      <c r="AQ152" s="175"/>
      <c r="AR152" s="171"/>
      <c r="AS152" s="171"/>
      <c r="AT152" s="175"/>
      <c r="AU152" s="175"/>
      <c r="AV152" s="171"/>
      <c r="AW152" s="171"/>
      <c r="AX152" s="171"/>
      <c r="AY152" s="171"/>
      <c r="AZ152" s="171"/>
      <c r="BA152" s="173"/>
    </row>
    <row r="153" spans="1:53" x14ac:dyDescent="0.25">
      <c r="AQ153" s="122"/>
      <c r="AV153" s="108"/>
      <c r="AX153" s="108"/>
    </row>
    <row r="154" spans="1:53" x14ac:dyDescent="0.25">
      <c r="AS154" s="145"/>
      <c r="AV154" s="108"/>
      <c r="AX154" s="108"/>
    </row>
    <row r="155" spans="1:53" x14ac:dyDescent="0.25">
      <c r="B155" s="479" t="s">
        <v>318</v>
      </c>
      <c r="C155" s="480"/>
      <c r="AG155" s="425" t="s">
        <v>233</v>
      </c>
      <c r="AH155" s="426"/>
      <c r="AI155" s="427"/>
      <c r="AP155" s="114" t="s">
        <v>136</v>
      </c>
      <c r="AQ155" s="117" t="s">
        <v>137</v>
      </c>
      <c r="AR155" s="114" t="s">
        <v>1</v>
      </c>
      <c r="AS155" s="142"/>
      <c r="AV155" s="108"/>
      <c r="AX155" s="108"/>
      <c r="BA155"/>
    </row>
    <row r="156" spans="1:53" x14ac:dyDescent="0.25">
      <c r="B156" s="481"/>
      <c r="C156" s="482"/>
      <c r="J156" s="27"/>
      <c r="K156" s="27"/>
      <c r="L156" s="27"/>
      <c r="M156" s="27"/>
      <c r="N156" s="27"/>
      <c r="O156" s="27"/>
      <c r="P156" s="27"/>
      <c r="Q156" s="27"/>
      <c r="R156" s="27"/>
      <c r="T156" s="27"/>
      <c r="U156" s="27"/>
      <c r="V156" s="27"/>
      <c r="W156" s="27"/>
      <c r="X156" s="27"/>
      <c r="Y156" s="27"/>
      <c r="Z156" s="27"/>
      <c r="AC156" s="27"/>
      <c r="AD156" s="27"/>
      <c r="AE156" s="27"/>
      <c r="AF156" s="27"/>
      <c r="AG156" s="428"/>
      <c r="AH156" s="429"/>
      <c r="AI156" s="430"/>
      <c r="AJ156" s="27"/>
      <c r="AK156" s="27"/>
      <c r="AL156" s="27"/>
      <c r="AM156" s="27"/>
      <c r="AN156" s="27"/>
      <c r="AO156" s="27"/>
      <c r="AP156" s="324">
        <f>SUM(AP10,AP19,AP28,AP37,AP46,AP55,AP64,AP73,AP82,AP91,AP100,AP109,AP118,AP127,AP136)</f>
        <v>0</v>
      </c>
      <c r="AQ156" s="324">
        <f>SUM(AQ10,AQ19,AQ28,AQ37,AQ46,AQ55,AQ64,AQ73,AQ82,AQ91,AQ100,AQ109,AQ118,AQ127,AQ136)</f>
        <v>0</v>
      </c>
      <c r="AR156" s="325">
        <f>AP156+AQ156</f>
        <v>0</v>
      </c>
      <c r="AS156" s="143"/>
      <c r="AV156" s="108"/>
      <c r="AX156" s="108"/>
      <c r="AY156" s="151"/>
      <c r="AZ156" s="151"/>
      <c r="BA156" s="151"/>
    </row>
    <row r="157" spans="1:53" x14ac:dyDescent="0.25">
      <c r="B157" s="481"/>
      <c r="C157" s="482"/>
      <c r="AG157" s="428"/>
      <c r="AH157" s="429"/>
      <c r="AI157" s="430"/>
      <c r="AP157" s="113"/>
      <c r="AQ157" s="122"/>
      <c r="AR157" s="113"/>
      <c r="AS157" s="140"/>
      <c r="AV157" s="108"/>
      <c r="AX157" s="108"/>
      <c r="BA157"/>
    </row>
    <row r="158" spans="1:53" x14ac:dyDescent="0.25">
      <c r="B158" s="481"/>
      <c r="C158" s="482"/>
      <c r="AG158" s="428"/>
      <c r="AH158" s="429"/>
      <c r="AI158" s="430"/>
      <c r="AP158" s="113"/>
      <c r="AQ158" s="115" t="s">
        <v>162</v>
      </c>
      <c r="AR158" s="179" t="e">
        <f>'Existing Staff'!B35</f>
        <v>#DIV/0!</v>
      </c>
      <c r="AS158" s="140"/>
      <c r="AV158" s="108"/>
      <c r="AX158" s="108"/>
      <c r="BA158"/>
    </row>
    <row r="159" spans="1:53" x14ac:dyDescent="0.25">
      <c r="B159" s="481"/>
      <c r="C159" s="482"/>
      <c r="AG159" s="428"/>
      <c r="AH159" s="429"/>
      <c r="AI159" s="430"/>
      <c r="AQ159" s="122"/>
      <c r="AV159" s="108"/>
      <c r="AX159" s="108"/>
      <c r="BA159"/>
    </row>
    <row r="160" spans="1:53" ht="18.75" x14ac:dyDescent="0.3">
      <c r="B160" s="481"/>
      <c r="C160" s="482"/>
      <c r="AG160" s="428"/>
      <c r="AH160" s="429"/>
      <c r="AI160" s="430"/>
      <c r="AK160" s="268"/>
      <c r="AL160" s="269"/>
      <c r="AM160" s="269"/>
      <c r="AN160" s="269"/>
      <c r="AO160" s="269"/>
      <c r="AP160" s="269"/>
      <c r="AQ160" s="270" t="s">
        <v>232</v>
      </c>
      <c r="AR160" s="271" t="e">
        <f>AR156/AR158</f>
        <v>#DIV/0!</v>
      </c>
      <c r="AS160" s="144"/>
      <c r="AV160" s="108"/>
      <c r="AX160" s="108"/>
      <c r="BA160"/>
    </row>
    <row r="161" spans="2:53" x14ac:dyDescent="0.25">
      <c r="B161" s="481"/>
      <c r="C161" s="482"/>
      <c r="AG161" s="428"/>
      <c r="AH161" s="429"/>
      <c r="AI161" s="430"/>
      <c r="AQ161" s="122"/>
      <c r="AV161" s="108"/>
      <c r="AX161" s="108"/>
      <c r="BA161"/>
    </row>
    <row r="162" spans="2:53" x14ac:dyDescent="0.25">
      <c r="B162" s="483"/>
      <c r="C162" s="484"/>
      <c r="AG162" s="431"/>
      <c r="AH162" s="432"/>
      <c r="AI162" s="433"/>
      <c r="AQ162" s="115" t="s">
        <v>144</v>
      </c>
      <c r="AR162" s="123" t="e">
        <f>AQ156/AR156</f>
        <v>#DIV/0!</v>
      </c>
      <c r="AS162" s="145"/>
      <c r="AV162" s="108"/>
      <c r="AX162" s="108"/>
      <c r="BA162"/>
    </row>
    <row r="163" spans="2:53" x14ac:dyDescent="0.25">
      <c r="AT163" s="118"/>
      <c r="AU163" s="118"/>
      <c r="AV163" s="108"/>
      <c r="AW163" s="108"/>
      <c r="AX163" s="108"/>
      <c r="AY163" s="108"/>
      <c r="AZ163" s="108"/>
    </row>
    <row r="164" spans="2:53" x14ac:dyDescent="0.25">
      <c r="AC164" s="472" t="s">
        <v>203</v>
      </c>
      <c r="AD164" s="472"/>
      <c r="AE164" s="472"/>
      <c r="AF164" s="472"/>
      <c r="AG164" s="472"/>
      <c r="AH164" s="472"/>
      <c r="AI164" s="472"/>
      <c r="AJ164" s="472"/>
      <c r="AK164" s="472"/>
      <c r="AL164" s="472"/>
      <c r="AM164" s="472"/>
      <c r="AN164" s="472"/>
      <c r="AO164" s="472"/>
      <c r="AP164" s="472"/>
      <c r="AQ164" s="472"/>
      <c r="AR164" s="180" t="e">
        <f>AR160*'Existing Staff'!B19</f>
        <v>#DIV/0!</v>
      </c>
      <c r="AT164" s="311"/>
      <c r="AU164" s="118"/>
      <c r="AV164" s="108"/>
      <c r="AW164" s="108"/>
      <c r="AX164" s="108"/>
      <c r="AY164" s="108"/>
      <c r="AZ164" s="108"/>
    </row>
    <row r="165" spans="2:53" x14ac:dyDescent="0.25">
      <c r="AR165" s="180"/>
      <c r="AT165" s="118"/>
      <c r="AU165" s="118"/>
      <c r="AV165" s="108"/>
      <c r="AW165" s="108"/>
      <c r="AX165" s="108"/>
      <c r="AY165" s="108"/>
      <c r="AZ165" s="108"/>
    </row>
    <row r="166" spans="2:53" ht="15" customHeight="1" x14ac:dyDescent="0.25">
      <c r="AB166" s="471" t="s">
        <v>212</v>
      </c>
      <c r="AC166" s="472"/>
      <c r="AD166" s="472"/>
      <c r="AE166" s="472"/>
      <c r="AF166" s="472"/>
      <c r="AG166" s="472"/>
      <c r="AH166" s="472"/>
      <c r="AI166" s="472"/>
      <c r="AJ166" s="472"/>
      <c r="AK166" s="472"/>
      <c r="AL166" s="472"/>
      <c r="AM166" s="472"/>
      <c r="AN166" s="472"/>
      <c r="AO166" s="472"/>
      <c r="AP166" s="472"/>
      <c r="AQ166" s="472"/>
      <c r="AR166" s="180" t="e">
        <f>(AR160*'Existing Staff'!H19)</f>
        <v>#DIV/0!</v>
      </c>
      <c r="AT166" s="118"/>
      <c r="AU166" s="118"/>
      <c r="AV166" s="108"/>
      <c r="AW166" s="108"/>
      <c r="AX166" s="108"/>
      <c r="AY166" s="108"/>
      <c r="AZ166" s="108"/>
      <c r="BA166" s="108"/>
    </row>
    <row r="167" spans="2:53" x14ac:dyDescent="0.25">
      <c r="AS167" s="108"/>
      <c r="AT167" s="118"/>
      <c r="AU167" s="118"/>
      <c r="AV167" s="108"/>
      <c r="AW167" s="108"/>
      <c r="AX167" s="108"/>
      <c r="AY167" s="108"/>
      <c r="AZ167" s="108"/>
    </row>
    <row r="168" spans="2:53" x14ac:dyDescent="0.25">
      <c r="AS168" s="108"/>
      <c r="AT168" s="118"/>
      <c r="AU168" s="118"/>
      <c r="AV168" s="108"/>
      <c r="AW168" s="108"/>
      <c r="AX168" s="108"/>
      <c r="AY168" s="108"/>
      <c r="AZ168" s="108"/>
    </row>
    <row r="169" spans="2:53" x14ac:dyDescent="0.25">
      <c r="AS169" s="108"/>
      <c r="AT169" s="118"/>
      <c r="AU169" s="118"/>
      <c r="AV169" s="108"/>
      <c r="AW169" s="108"/>
      <c r="AX169" s="108"/>
      <c r="AY169" s="108"/>
      <c r="AZ169" s="108"/>
    </row>
    <row r="170" spans="2:53" x14ac:dyDescent="0.25">
      <c r="AS170" s="108"/>
      <c r="AT170" s="118"/>
      <c r="AU170" s="118"/>
      <c r="AV170" s="108"/>
      <c r="AW170" s="108"/>
      <c r="AX170" s="108"/>
      <c r="AY170" s="108"/>
      <c r="AZ170" s="108"/>
    </row>
    <row r="171" spans="2:53" x14ac:dyDescent="0.25">
      <c r="AS171" s="108"/>
      <c r="AT171" s="118"/>
      <c r="AU171" s="118"/>
      <c r="AV171" s="108"/>
      <c r="AW171" s="108"/>
      <c r="AX171" s="108"/>
      <c r="AY171" s="108"/>
      <c r="AZ171" s="108"/>
    </row>
    <row r="172" spans="2:53" x14ac:dyDescent="0.25">
      <c r="AS172" s="108"/>
      <c r="AT172" s="118"/>
      <c r="AU172" s="118"/>
      <c r="AV172" s="108"/>
      <c r="AW172" s="108"/>
      <c r="AX172" s="108"/>
      <c r="AY172" s="108"/>
      <c r="AZ172" s="108"/>
    </row>
    <row r="173" spans="2:53" x14ac:dyDescent="0.25">
      <c r="AS173" s="108"/>
      <c r="AT173" s="118"/>
      <c r="AU173" s="118"/>
      <c r="AV173" s="108"/>
      <c r="AW173" s="108"/>
      <c r="AX173" s="108"/>
      <c r="AY173" s="108"/>
      <c r="AZ173" s="108"/>
    </row>
    <row r="174" spans="2:53" x14ac:dyDescent="0.25">
      <c r="AS174" s="108"/>
      <c r="AT174" s="118"/>
      <c r="AU174" s="118"/>
      <c r="AV174" s="108"/>
      <c r="AW174" s="108"/>
      <c r="AX174" s="108"/>
      <c r="AY174" s="108"/>
      <c r="AZ174" s="108"/>
    </row>
    <row r="175" spans="2:53" x14ac:dyDescent="0.25">
      <c r="AS175" s="108"/>
      <c r="AT175" s="118"/>
      <c r="AU175" s="118"/>
      <c r="AV175" s="108"/>
      <c r="AW175" s="108"/>
      <c r="AX175" s="108"/>
      <c r="AY175" s="108"/>
      <c r="AZ175" s="108"/>
    </row>
    <row r="176" spans="2:53" x14ac:dyDescent="0.25">
      <c r="AS176" s="108"/>
      <c r="AT176" s="118"/>
      <c r="AU176" s="118"/>
      <c r="AV176" s="108"/>
      <c r="AW176" s="108"/>
      <c r="AX176" s="108"/>
      <c r="AY176" s="108"/>
      <c r="AZ176" s="108"/>
    </row>
    <row r="177" spans="45:52" x14ac:dyDescent="0.25">
      <c r="AS177" s="108"/>
      <c r="AT177" s="118"/>
      <c r="AU177" s="118"/>
      <c r="AV177" s="108"/>
      <c r="AW177" s="108"/>
      <c r="AX177" s="108"/>
      <c r="AY177" s="108"/>
      <c r="AZ177" s="108"/>
    </row>
    <row r="178" spans="45:52" x14ac:dyDescent="0.25">
      <c r="AS178" s="108"/>
      <c r="AT178" s="118"/>
      <c r="AU178" s="118"/>
      <c r="AV178" s="108"/>
      <c r="AW178" s="108"/>
      <c r="AX178" s="108"/>
      <c r="AY178" s="108"/>
      <c r="AZ178" s="108"/>
    </row>
    <row r="179" spans="45:52" x14ac:dyDescent="0.25">
      <c r="AS179" s="108"/>
      <c r="AT179" s="118"/>
      <c r="AU179" s="118"/>
      <c r="AV179" s="108"/>
      <c r="AW179" s="108"/>
      <c r="AX179" s="108"/>
      <c r="AY179" s="108"/>
      <c r="AZ179" s="108"/>
    </row>
    <row r="180" spans="45:52" x14ac:dyDescent="0.25">
      <c r="AS180" s="108"/>
      <c r="AT180" s="118"/>
      <c r="AU180" s="118"/>
      <c r="AV180" s="108"/>
      <c r="AW180" s="108"/>
      <c r="AX180" s="108"/>
      <c r="AY180" s="108"/>
      <c r="AZ180" s="108"/>
    </row>
    <row r="181" spans="45:52" x14ac:dyDescent="0.25">
      <c r="AS181" s="108"/>
      <c r="AT181" s="118"/>
      <c r="AU181" s="118"/>
      <c r="AV181" s="108"/>
      <c r="AW181" s="108"/>
      <c r="AX181" s="108"/>
      <c r="AY181" s="108"/>
      <c r="AZ181" s="108"/>
    </row>
    <row r="182" spans="45:52" x14ac:dyDescent="0.25">
      <c r="AS182" s="108"/>
      <c r="AT182" s="118"/>
      <c r="AU182" s="118"/>
      <c r="AV182" s="108"/>
      <c r="AW182" s="108"/>
      <c r="AX182" s="108"/>
      <c r="AY182" s="108"/>
      <c r="AZ182" s="108"/>
    </row>
    <row r="183" spans="45:52" x14ac:dyDescent="0.25">
      <c r="AS183" s="108"/>
      <c r="AT183" s="118"/>
      <c r="AU183" s="118"/>
      <c r="AV183" s="108"/>
      <c r="AW183" s="108"/>
      <c r="AX183" s="108"/>
      <c r="AY183" s="108"/>
      <c r="AZ183" s="108"/>
    </row>
    <row r="184" spans="45:52" x14ac:dyDescent="0.25">
      <c r="AS184" s="108"/>
      <c r="AT184" s="118"/>
      <c r="AU184" s="118"/>
      <c r="AV184" s="108"/>
      <c r="AW184" s="108"/>
      <c r="AX184" s="108"/>
      <c r="AY184" s="108"/>
      <c r="AZ184" s="108"/>
    </row>
    <row r="185" spans="45:52" x14ac:dyDescent="0.25">
      <c r="AS185" s="108"/>
      <c r="AT185" s="118"/>
      <c r="AU185" s="118"/>
      <c r="AV185" s="108"/>
      <c r="AW185" s="108"/>
      <c r="AX185" s="108"/>
      <c r="AY185" s="108"/>
      <c r="AZ185" s="108"/>
    </row>
    <row r="186" spans="45:52" x14ac:dyDescent="0.25">
      <c r="AS186" s="108"/>
      <c r="AT186" s="118"/>
      <c r="AU186" s="118"/>
      <c r="AV186" s="108"/>
      <c r="AW186" s="108"/>
      <c r="AX186" s="108"/>
      <c r="AY186" s="108"/>
      <c r="AZ186" s="108"/>
    </row>
    <row r="187" spans="45:52" x14ac:dyDescent="0.25">
      <c r="AS187" s="108"/>
      <c r="AT187" s="118"/>
      <c r="AU187" s="118"/>
      <c r="AV187" s="108"/>
      <c r="AW187" s="108"/>
      <c r="AX187" s="108"/>
      <c r="AY187" s="108"/>
      <c r="AZ187" s="108"/>
    </row>
    <row r="188" spans="45:52" x14ac:dyDescent="0.25">
      <c r="AS188" s="108"/>
      <c r="AT188" s="118"/>
      <c r="AU188" s="118"/>
      <c r="AV188" s="108"/>
      <c r="AW188" s="108"/>
      <c r="AX188" s="108"/>
      <c r="AY188" s="108"/>
      <c r="AZ188" s="108"/>
    </row>
    <row r="189" spans="45:52" x14ac:dyDescent="0.25">
      <c r="AS189" s="108"/>
      <c r="AT189" s="118"/>
      <c r="AU189" s="118"/>
      <c r="AV189" s="108"/>
      <c r="AW189" s="108"/>
      <c r="AX189" s="108"/>
      <c r="AY189" s="108"/>
      <c r="AZ189" s="108"/>
    </row>
    <row r="190" spans="45:52" x14ac:dyDescent="0.25">
      <c r="AS190" s="108"/>
      <c r="AT190" s="118"/>
      <c r="AU190" s="118"/>
      <c r="AV190" s="108"/>
      <c r="AW190" s="108"/>
      <c r="AX190" s="108"/>
      <c r="AY190" s="108"/>
      <c r="AZ190" s="108"/>
    </row>
    <row r="191" spans="45:52" x14ac:dyDescent="0.25">
      <c r="AS191" s="108"/>
      <c r="AT191" s="118"/>
      <c r="AU191" s="118"/>
      <c r="AV191" s="108"/>
      <c r="AW191" s="108"/>
      <c r="AX191" s="108"/>
      <c r="AY191" s="108"/>
      <c r="AZ191" s="108"/>
    </row>
    <row r="192" spans="45:52" x14ac:dyDescent="0.25">
      <c r="AS192" s="108"/>
      <c r="AT192" s="118"/>
      <c r="AU192" s="118"/>
      <c r="AV192" s="108"/>
      <c r="AW192" s="108"/>
      <c r="AX192" s="108"/>
      <c r="AY192" s="108"/>
      <c r="AZ192" s="108"/>
    </row>
    <row r="193" spans="45:52" x14ac:dyDescent="0.25">
      <c r="AS193" s="108"/>
      <c r="AT193" s="118"/>
      <c r="AU193" s="118"/>
      <c r="AV193" s="108"/>
      <c r="AW193" s="108"/>
      <c r="AX193" s="108"/>
      <c r="AY193" s="108"/>
      <c r="AZ193" s="108"/>
    </row>
    <row r="194" spans="45:52" x14ac:dyDescent="0.25">
      <c r="AS194" s="108"/>
      <c r="AT194" s="118"/>
      <c r="AU194" s="118"/>
      <c r="AV194" s="108"/>
      <c r="AW194" s="108"/>
      <c r="AX194" s="108"/>
      <c r="AY194" s="108"/>
      <c r="AZ194" s="108"/>
    </row>
    <row r="195" spans="45:52" x14ac:dyDescent="0.25">
      <c r="AS195" s="108"/>
      <c r="AT195" s="118"/>
      <c r="AU195" s="118"/>
      <c r="AV195" s="108"/>
      <c r="AW195" s="108"/>
      <c r="AX195" s="108"/>
      <c r="AY195" s="108"/>
      <c r="AZ195" s="108"/>
    </row>
    <row r="196" spans="45:52" x14ac:dyDescent="0.25">
      <c r="AS196" s="108"/>
      <c r="AT196" s="118"/>
      <c r="AU196" s="118"/>
      <c r="AV196" s="108"/>
      <c r="AW196" s="108"/>
      <c r="AX196" s="108"/>
      <c r="AY196" s="108"/>
      <c r="AZ196" s="108"/>
    </row>
    <row r="197" spans="45:52" x14ac:dyDescent="0.25">
      <c r="AS197" s="108"/>
      <c r="AT197" s="118"/>
      <c r="AU197" s="118"/>
      <c r="AV197" s="108"/>
      <c r="AW197" s="108"/>
      <c r="AX197" s="108"/>
      <c r="AY197" s="108"/>
      <c r="AZ197" s="108"/>
    </row>
    <row r="198" spans="45:52" x14ac:dyDescent="0.25">
      <c r="AS198" s="108"/>
      <c r="AT198" s="118"/>
      <c r="AU198" s="118"/>
      <c r="AV198" s="108"/>
      <c r="AW198" s="108"/>
      <c r="AX198" s="108"/>
      <c r="AY198" s="108"/>
      <c r="AZ198" s="108"/>
    </row>
    <row r="199" spans="45:52" x14ac:dyDescent="0.25">
      <c r="AS199" s="108"/>
      <c r="AT199" s="118"/>
      <c r="AU199" s="118"/>
      <c r="AV199" s="108"/>
      <c r="AW199" s="108"/>
      <c r="AX199" s="108"/>
      <c r="AY199" s="108"/>
      <c r="AZ199" s="108"/>
    </row>
    <row r="200" spans="45:52" x14ac:dyDescent="0.25">
      <c r="AS200" s="108"/>
      <c r="AT200" s="118"/>
      <c r="AU200" s="118"/>
      <c r="AV200" s="108"/>
      <c r="AW200" s="108"/>
      <c r="AX200" s="108"/>
      <c r="AY200" s="108"/>
      <c r="AZ200" s="108"/>
    </row>
    <row r="201" spans="45:52" x14ac:dyDescent="0.25">
      <c r="AS201" s="108"/>
      <c r="AT201" s="118"/>
      <c r="AU201" s="118"/>
      <c r="AV201" s="108"/>
      <c r="AW201" s="108"/>
      <c r="AX201" s="108"/>
      <c r="AY201" s="108"/>
      <c r="AZ201" s="108"/>
    </row>
    <row r="202" spans="45:52" x14ac:dyDescent="0.25">
      <c r="AS202" s="108"/>
      <c r="AT202" s="118"/>
      <c r="AU202" s="118"/>
      <c r="AV202" s="108"/>
      <c r="AW202" s="108"/>
      <c r="AX202" s="108"/>
      <c r="AY202" s="108"/>
      <c r="AZ202" s="108"/>
    </row>
    <row r="203" spans="45:52" x14ac:dyDescent="0.25">
      <c r="AS203" s="108"/>
      <c r="AT203" s="118"/>
      <c r="AU203" s="118"/>
      <c r="AV203" s="108"/>
      <c r="AW203" s="108"/>
      <c r="AX203" s="108"/>
      <c r="AY203" s="108"/>
      <c r="AZ203" s="108"/>
    </row>
    <row r="204" spans="45:52" x14ac:dyDescent="0.25">
      <c r="AS204" s="108"/>
      <c r="AT204" s="118"/>
      <c r="AU204" s="118"/>
      <c r="AV204" s="108"/>
      <c r="AW204" s="108"/>
      <c r="AX204" s="108"/>
      <c r="AY204" s="108"/>
      <c r="AZ204" s="108"/>
    </row>
    <row r="205" spans="45:52" x14ac:dyDescent="0.25">
      <c r="AS205" s="108"/>
      <c r="AT205" s="118"/>
      <c r="AU205" s="118"/>
      <c r="AV205" s="108"/>
      <c r="AW205" s="108"/>
      <c r="AX205" s="108"/>
      <c r="AY205" s="108"/>
      <c r="AZ205" s="108"/>
    </row>
    <row r="206" spans="45:52" x14ac:dyDescent="0.25">
      <c r="AS206" s="108"/>
      <c r="AT206" s="118"/>
      <c r="AU206" s="118"/>
      <c r="AV206" s="108"/>
      <c r="AW206" s="108"/>
      <c r="AX206" s="108"/>
      <c r="AY206" s="108"/>
      <c r="AZ206" s="108"/>
    </row>
    <row r="207" spans="45:52" x14ac:dyDescent="0.25">
      <c r="AS207" s="108"/>
      <c r="AT207" s="118"/>
      <c r="AU207" s="118"/>
      <c r="AV207" s="108"/>
      <c r="AW207" s="108"/>
      <c r="AX207" s="108"/>
      <c r="AY207" s="108"/>
      <c r="AZ207" s="108"/>
    </row>
    <row r="208" spans="45:52" x14ac:dyDescent="0.25">
      <c r="AS208" s="108"/>
      <c r="AT208" s="118"/>
      <c r="AU208" s="118"/>
      <c r="AV208" s="108"/>
      <c r="AW208" s="108"/>
      <c r="AX208" s="108"/>
      <c r="AY208" s="108"/>
      <c r="AZ208" s="108"/>
    </row>
    <row r="209" spans="45:52" x14ac:dyDescent="0.25">
      <c r="AS209" s="108"/>
      <c r="AT209" s="118"/>
      <c r="AU209" s="118"/>
      <c r="AV209" s="108"/>
      <c r="AW209" s="108"/>
      <c r="AX209" s="108"/>
      <c r="AY209" s="108"/>
      <c r="AZ209" s="108"/>
    </row>
    <row r="210" spans="45:52" x14ac:dyDescent="0.25">
      <c r="AS210" s="108"/>
      <c r="AT210" s="118"/>
      <c r="AU210" s="118"/>
      <c r="AV210" s="108"/>
      <c r="AW210" s="108"/>
      <c r="AX210" s="108"/>
      <c r="AY210" s="108"/>
      <c r="AZ210" s="108"/>
    </row>
    <row r="211" spans="45:52" x14ac:dyDescent="0.25">
      <c r="AS211" s="108"/>
      <c r="AT211" s="118"/>
      <c r="AU211" s="118"/>
      <c r="AV211" s="108"/>
      <c r="AW211" s="108"/>
      <c r="AX211" s="108"/>
      <c r="AY211" s="108"/>
      <c r="AZ211" s="108"/>
    </row>
    <row r="212" spans="45:52" x14ac:dyDescent="0.25">
      <c r="AS212" s="108"/>
      <c r="AT212" s="118"/>
      <c r="AU212" s="118"/>
      <c r="AV212" s="108"/>
      <c r="AW212" s="108"/>
      <c r="AX212" s="108"/>
      <c r="AY212" s="108"/>
      <c r="AZ212" s="108"/>
    </row>
    <row r="213" spans="45:52" x14ac:dyDescent="0.25">
      <c r="AS213" s="108"/>
      <c r="AT213" s="118"/>
      <c r="AU213" s="118"/>
      <c r="AV213" s="108"/>
      <c r="AW213" s="108"/>
      <c r="AX213" s="108"/>
      <c r="AY213" s="108"/>
      <c r="AZ213" s="108"/>
    </row>
    <row r="214" spans="45:52" x14ac:dyDescent="0.25">
      <c r="AS214" s="108"/>
      <c r="AT214" s="118"/>
      <c r="AU214" s="118"/>
      <c r="AV214" s="108"/>
      <c r="AW214" s="108"/>
      <c r="AX214" s="108"/>
      <c r="AY214" s="108"/>
      <c r="AZ214" s="108"/>
    </row>
    <row r="215" spans="45:52" x14ac:dyDescent="0.25">
      <c r="AS215" s="108"/>
      <c r="AT215" s="118"/>
      <c r="AU215" s="118"/>
      <c r="AV215" s="108"/>
      <c r="AW215" s="108"/>
      <c r="AX215" s="108"/>
      <c r="AY215" s="108"/>
      <c r="AZ215" s="108"/>
    </row>
    <row r="216" spans="45:52" x14ac:dyDescent="0.25">
      <c r="AS216" s="108"/>
      <c r="AT216" s="118"/>
      <c r="AU216" s="118"/>
      <c r="AV216" s="108"/>
      <c r="AW216" s="108"/>
      <c r="AX216" s="108"/>
      <c r="AY216" s="108"/>
      <c r="AZ216" s="108"/>
    </row>
    <row r="217" spans="45:52" x14ac:dyDescent="0.25">
      <c r="AS217" s="108"/>
      <c r="AT217" s="118"/>
      <c r="AU217" s="118"/>
      <c r="AV217" s="108"/>
      <c r="AW217" s="108"/>
      <c r="AX217" s="108"/>
      <c r="AY217" s="108"/>
      <c r="AZ217" s="108"/>
    </row>
    <row r="218" spans="45:52" x14ac:dyDescent="0.25">
      <c r="AS218" s="108"/>
      <c r="AT218" s="118"/>
      <c r="AU218" s="118"/>
      <c r="AV218" s="108"/>
      <c r="AW218" s="108"/>
      <c r="AX218" s="108"/>
      <c r="AY218" s="108"/>
      <c r="AZ218" s="108"/>
    </row>
    <row r="219" spans="45:52" x14ac:dyDescent="0.25">
      <c r="AS219" s="108"/>
      <c r="AT219" s="118"/>
      <c r="AU219" s="118"/>
      <c r="AV219" s="108"/>
      <c r="AW219" s="108"/>
      <c r="AX219" s="108"/>
      <c r="AY219" s="108"/>
      <c r="AZ219" s="108"/>
    </row>
    <row r="220" spans="45:52" x14ac:dyDescent="0.25">
      <c r="AS220" s="108"/>
      <c r="AT220" s="118"/>
      <c r="AU220" s="118"/>
      <c r="AV220" s="108"/>
      <c r="AW220" s="108"/>
      <c r="AX220" s="108"/>
      <c r="AY220" s="108"/>
      <c r="AZ220" s="108"/>
    </row>
    <row r="221" spans="45:52" x14ac:dyDescent="0.25">
      <c r="AS221" s="108"/>
      <c r="AT221" s="118"/>
      <c r="AU221" s="118"/>
      <c r="AV221" s="108"/>
      <c r="AW221" s="108"/>
      <c r="AX221" s="108"/>
      <c r="AY221" s="108"/>
      <c r="AZ221" s="108"/>
    </row>
    <row r="222" spans="45:52" x14ac:dyDescent="0.25">
      <c r="AS222" s="108"/>
      <c r="AT222" s="118"/>
      <c r="AU222" s="118"/>
      <c r="AV222" s="108"/>
      <c r="AW222" s="108"/>
      <c r="AX222" s="108"/>
      <c r="AY222" s="108"/>
      <c r="AZ222" s="108"/>
    </row>
    <row r="223" spans="45:52" x14ac:dyDescent="0.25">
      <c r="AS223" s="108"/>
      <c r="AT223" s="118"/>
      <c r="AU223" s="118"/>
      <c r="AV223" s="108"/>
      <c r="AW223" s="108"/>
      <c r="AX223" s="108"/>
      <c r="AY223" s="108"/>
      <c r="AZ223" s="108"/>
    </row>
    <row r="224" spans="45:52" x14ac:dyDescent="0.25">
      <c r="AS224" s="108"/>
      <c r="AT224" s="118"/>
      <c r="AU224" s="118"/>
      <c r="AV224" s="108"/>
      <c r="AW224" s="108"/>
      <c r="AX224" s="108"/>
      <c r="AY224" s="108"/>
      <c r="AZ224" s="108"/>
    </row>
    <row r="225" spans="45:52" x14ac:dyDescent="0.25">
      <c r="AS225" s="108"/>
      <c r="AT225" s="118"/>
      <c r="AU225" s="118"/>
      <c r="AV225" s="108"/>
      <c r="AW225" s="108"/>
      <c r="AX225" s="108"/>
      <c r="AY225" s="108"/>
      <c r="AZ225" s="108"/>
    </row>
    <row r="226" spans="45:52" x14ac:dyDescent="0.25">
      <c r="AS226" s="108"/>
      <c r="AT226" s="118"/>
      <c r="AU226" s="118"/>
      <c r="AV226" s="108"/>
      <c r="AW226" s="108"/>
      <c r="AX226" s="108"/>
      <c r="AY226" s="108"/>
      <c r="AZ226" s="108"/>
    </row>
    <row r="227" spans="45:52" x14ac:dyDescent="0.25">
      <c r="AS227" s="108"/>
      <c r="AT227" s="118"/>
      <c r="AU227" s="118"/>
      <c r="AV227" s="108"/>
      <c r="AW227" s="108"/>
      <c r="AX227" s="108"/>
      <c r="AY227" s="108"/>
      <c r="AZ227" s="108"/>
    </row>
    <row r="228" spans="45:52" x14ac:dyDescent="0.25">
      <c r="AS228" s="108"/>
      <c r="AT228" s="118"/>
      <c r="AU228" s="118"/>
      <c r="AV228" s="108"/>
      <c r="AW228" s="108"/>
      <c r="AX228" s="108"/>
      <c r="AY228" s="108"/>
      <c r="AZ228" s="108"/>
    </row>
    <row r="229" spans="45:52" x14ac:dyDescent="0.25">
      <c r="AS229" s="108"/>
      <c r="AT229" s="118"/>
      <c r="AU229" s="118"/>
      <c r="AV229" s="108"/>
      <c r="AW229" s="108"/>
      <c r="AX229" s="108"/>
      <c r="AY229" s="108"/>
      <c r="AZ229" s="108"/>
    </row>
    <row r="230" spans="45:52" x14ac:dyDescent="0.25">
      <c r="AS230" s="108"/>
      <c r="AT230" s="118"/>
      <c r="AU230" s="118"/>
      <c r="AV230" s="108"/>
      <c r="AW230" s="108"/>
      <c r="AX230" s="108"/>
      <c r="AY230" s="108"/>
      <c r="AZ230" s="108"/>
    </row>
    <row r="231" spans="45:52" x14ac:dyDescent="0.25">
      <c r="AS231" s="108"/>
      <c r="AT231" s="118"/>
      <c r="AU231" s="118"/>
      <c r="AV231" s="108"/>
      <c r="AW231" s="108"/>
      <c r="AX231" s="108"/>
      <c r="AY231" s="108"/>
      <c r="AZ231" s="108"/>
    </row>
    <row r="232" spans="45:52" x14ac:dyDescent="0.25">
      <c r="AS232" s="108"/>
      <c r="AT232" s="118"/>
      <c r="AU232" s="118"/>
      <c r="AV232" s="108"/>
      <c r="AW232" s="108"/>
      <c r="AX232" s="108"/>
      <c r="AY232" s="108"/>
      <c r="AZ232" s="108"/>
    </row>
    <row r="233" spans="45:52" x14ac:dyDescent="0.25">
      <c r="AS233" s="108"/>
      <c r="AT233" s="118"/>
      <c r="AU233" s="118"/>
      <c r="AV233" s="108"/>
      <c r="AW233" s="108"/>
      <c r="AX233" s="108"/>
      <c r="AY233" s="108"/>
      <c r="AZ233" s="108"/>
    </row>
    <row r="234" spans="45:52" x14ac:dyDescent="0.25">
      <c r="AS234" s="108"/>
      <c r="AT234" s="118"/>
      <c r="AU234" s="118"/>
      <c r="AV234" s="108"/>
      <c r="AW234" s="108"/>
      <c r="AX234" s="108"/>
      <c r="AY234" s="108"/>
      <c r="AZ234" s="108"/>
    </row>
    <row r="235" spans="45:52" x14ac:dyDescent="0.25">
      <c r="AS235" s="108"/>
      <c r="AT235" s="118"/>
      <c r="AU235" s="118"/>
      <c r="AV235" s="108"/>
      <c r="AW235" s="108"/>
      <c r="AX235" s="108"/>
      <c r="AY235" s="108"/>
      <c r="AZ235" s="108"/>
    </row>
    <row r="236" spans="45:52" x14ac:dyDescent="0.25">
      <c r="AS236" s="108"/>
      <c r="AT236" s="118"/>
      <c r="AU236" s="118"/>
      <c r="AV236" s="108"/>
      <c r="AW236" s="108"/>
      <c r="AX236" s="108"/>
      <c r="AY236" s="108"/>
      <c r="AZ236" s="108"/>
    </row>
    <row r="237" spans="45:52" x14ac:dyDescent="0.25">
      <c r="AS237" s="108"/>
      <c r="AT237" s="118"/>
      <c r="AU237" s="118"/>
      <c r="AV237" s="108"/>
      <c r="AW237" s="108"/>
      <c r="AX237" s="108"/>
      <c r="AY237" s="108"/>
      <c r="AZ237" s="108"/>
    </row>
    <row r="238" spans="45:52" x14ac:dyDescent="0.25">
      <c r="AS238" s="108"/>
      <c r="AT238" s="118"/>
      <c r="AU238" s="118"/>
      <c r="AV238" s="108"/>
      <c r="AW238" s="108"/>
      <c r="AX238" s="108"/>
      <c r="AY238" s="108"/>
      <c r="AZ238" s="108"/>
    </row>
    <row r="239" spans="45:52" x14ac:dyDescent="0.25">
      <c r="AS239" s="108"/>
      <c r="AT239" s="118"/>
      <c r="AU239" s="118"/>
      <c r="AV239" s="108"/>
      <c r="AW239" s="108"/>
      <c r="AX239" s="108"/>
      <c r="AY239" s="108"/>
      <c r="AZ239" s="108"/>
    </row>
    <row r="240" spans="45:52" x14ac:dyDescent="0.25">
      <c r="AS240" s="108"/>
      <c r="AT240" s="118"/>
      <c r="AU240" s="118"/>
      <c r="AV240" s="108"/>
      <c r="AW240" s="108"/>
      <c r="AX240" s="108"/>
      <c r="AY240" s="108"/>
      <c r="AZ240" s="108"/>
    </row>
    <row r="241" spans="45:52" x14ac:dyDescent="0.25">
      <c r="AS241" s="108"/>
      <c r="AT241" s="118"/>
      <c r="AU241" s="118"/>
      <c r="AV241" s="108"/>
      <c r="AW241" s="108"/>
      <c r="AX241" s="108"/>
      <c r="AY241" s="108"/>
      <c r="AZ241" s="108"/>
    </row>
    <row r="242" spans="45:52" x14ac:dyDescent="0.25">
      <c r="AS242" s="108"/>
      <c r="AT242" s="118"/>
      <c r="AU242" s="118"/>
      <c r="AV242" s="108"/>
      <c r="AW242" s="108"/>
      <c r="AX242" s="108"/>
      <c r="AY242" s="108"/>
      <c r="AZ242" s="108"/>
    </row>
    <row r="243" spans="45:52" x14ac:dyDescent="0.25">
      <c r="AS243" s="108"/>
      <c r="AT243" s="118"/>
      <c r="AU243" s="118"/>
      <c r="AV243" s="108"/>
      <c r="AW243" s="108"/>
      <c r="AX243" s="108"/>
      <c r="AY243" s="108"/>
      <c r="AZ243" s="108"/>
    </row>
    <row r="244" spans="45:52" x14ac:dyDescent="0.25">
      <c r="AS244" s="108"/>
      <c r="AT244" s="118"/>
      <c r="AU244" s="118"/>
      <c r="AV244" s="108"/>
      <c r="AW244" s="108"/>
      <c r="AX244" s="108"/>
      <c r="AY244" s="108"/>
      <c r="AZ244" s="108"/>
    </row>
    <row r="245" spans="45:52" x14ac:dyDescent="0.25">
      <c r="AS245" s="108"/>
      <c r="AT245" s="118"/>
      <c r="AU245" s="118"/>
      <c r="AV245" s="108"/>
      <c r="AW245" s="108"/>
      <c r="AX245" s="108"/>
      <c r="AY245" s="108"/>
      <c r="AZ245" s="108"/>
    </row>
    <row r="246" spans="45:52" x14ac:dyDescent="0.25">
      <c r="AS246" s="108"/>
      <c r="AT246" s="118"/>
      <c r="AU246" s="118"/>
      <c r="AV246" s="108"/>
      <c r="AW246" s="108"/>
      <c r="AX246" s="108"/>
      <c r="AY246" s="108"/>
      <c r="AZ246" s="108"/>
    </row>
    <row r="247" spans="45:52" x14ac:dyDescent="0.25">
      <c r="AS247" s="108"/>
      <c r="AT247" s="118"/>
      <c r="AU247" s="118"/>
      <c r="AV247" s="108"/>
      <c r="AW247" s="108"/>
      <c r="AX247" s="108"/>
      <c r="AY247" s="108"/>
      <c r="AZ247" s="108"/>
    </row>
    <row r="248" spans="45:52" x14ac:dyDescent="0.25">
      <c r="AS248" s="108"/>
      <c r="AT248" s="118"/>
      <c r="AU248" s="118"/>
      <c r="AV248" s="108"/>
      <c r="AW248" s="108"/>
      <c r="AX248" s="108"/>
      <c r="AY248" s="108"/>
      <c r="AZ248" s="108"/>
    </row>
    <row r="249" spans="45:52" x14ac:dyDescent="0.25">
      <c r="AS249" s="108"/>
      <c r="AT249" s="118"/>
      <c r="AU249" s="118"/>
      <c r="AV249" s="108"/>
      <c r="AW249" s="108"/>
      <c r="AX249" s="108"/>
      <c r="AY249" s="108"/>
      <c r="AZ249" s="108"/>
    </row>
    <row r="250" spans="45:52" x14ac:dyDescent="0.25">
      <c r="AS250" s="108"/>
      <c r="AT250" s="118"/>
      <c r="AU250" s="118"/>
      <c r="AV250" s="108"/>
      <c r="AW250" s="108"/>
      <c r="AX250" s="108"/>
      <c r="AY250" s="108"/>
      <c r="AZ250" s="108"/>
    </row>
    <row r="251" spans="45:52" x14ac:dyDescent="0.25">
      <c r="AS251" s="108"/>
      <c r="AT251" s="118"/>
      <c r="AU251" s="118"/>
      <c r="AV251" s="108"/>
      <c r="AW251" s="108"/>
      <c r="AX251" s="108"/>
      <c r="AY251" s="108"/>
      <c r="AZ251" s="108"/>
    </row>
    <row r="252" spans="45:52" x14ac:dyDescent="0.25">
      <c r="AS252" s="108"/>
      <c r="AT252" s="118"/>
      <c r="AU252" s="118"/>
      <c r="AV252" s="108"/>
      <c r="AW252" s="108"/>
      <c r="AX252" s="108"/>
      <c r="AY252" s="108"/>
      <c r="AZ252" s="108"/>
    </row>
  </sheetData>
  <mergeCells count="187">
    <mergeCell ref="G3:G10"/>
    <mergeCell ref="G12:G19"/>
    <mergeCell ref="G21:G28"/>
    <mergeCell ref="G30:G37"/>
    <mergeCell ref="G39:G46"/>
    <mergeCell ref="G48:G55"/>
    <mergeCell ref="G57:G64"/>
    <mergeCell ref="G66:G73"/>
    <mergeCell ref="A1:H1"/>
    <mergeCell ref="A3:A10"/>
    <mergeCell ref="A12:A19"/>
    <mergeCell ref="A30:A37"/>
    <mergeCell ref="F30:F37"/>
    <mergeCell ref="H30:H37"/>
    <mergeCell ref="A48:A55"/>
    <mergeCell ref="B48:B55"/>
    <mergeCell ref="C48:C55"/>
    <mergeCell ref="D48:D55"/>
    <mergeCell ref="E48:E55"/>
    <mergeCell ref="F48:F55"/>
    <mergeCell ref="H48:H55"/>
    <mergeCell ref="A66:A73"/>
    <mergeCell ref="B66:B73"/>
    <mergeCell ref="C66:C73"/>
    <mergeCell ref="AB166:AQ166"/>
    <mergeCell ref="AB150:AQ150"/>
    <mergeCell ref="I1:R1"/>
    <mergeCell ref="AC164:AQ164"/>
    <mergeCell ref="AC148:AQ148"/>
    <mergeCell ref="B139:C146"/>
    <mergeCell ref="B155:C162"/>
    <mergeCell ref="B3:B10"/>
    <mergeCell ref="C3:C10"/>
    <mergeCell ref="D3:D10"/>
    <mergeCell ref="E3:E10"/>
    <mergeCell ref="AQ1:AQ2"/>
    <mergeCell ref="AA1:AA2"/>
    <mergeCell ref="F3:F10"/>
    <mergeCell ref="B12:B19"/>
    <mergeCell ref="C12:C19"/>
    <mergeCell ref="D12:D19"/>
    <mergeCell ref="E12:E19"/>
    <mergeCell ref="F12:F19"/>
    <mergeCell ref="H12:H19"/>
    <mergeCell ref="B30:B37"/>
    <mergeCell ref="C30:C37"/>
    <mergeCell ref="D30:D37"/>
    <mergeCell ref="E30:E37"/>
    <mergeCell ref="AY9:BA9"/>
    <mergeCell ref="H3:H10"/>
    <mergeCell ref="AZ1:AZ2"/>
    <mergeCell ref="AY7:BA7"/>
    <mergeCell ref="BA1:BA2"/>
    <mergeCell ref="AP1:AP2"/>
    <mergeCell ref="AY1:AY2"/>
    <mergeCell ref="AW1:AW2"/>
    <mergeCell ref="AT1:AT2"/>
    <mergeCell ref="AU1:AU2"/>
    <mergeCell ref="AR1:AR2"/>
    <mergeCell ref="AY3:BA5"/>
    <mergeCell ref="S1:Z1"/>
    <mergeCell ref="AB1:AO1"/>
    <mergeCell ref="AY12:BA14"/>
    <mergeCell ref="AY16:BA16"/>
    <mergeCell ref="AY18:BA18"/>
    <mergeCell ref="A21:A28"/>
    <mergeCell ref="B21:B28"/>
    <mergeCell ref="C21:C28"/>
    <mergeCell ref="D21:D28"/>
    <mergeCell ref="E21:E28"/>
    <mergeCell ref="F21:F28"/>
    <mergeCell ref="H21:H28"/>
    <mergeCell ref="AY21:BA23"/>
    <mergeCell ref="AY25:BA25"/>
    <mergeCell ref="AY27:BA27"/>
    <mergeCell ref="AY30:BA32"/>
    <mergeCell ref="AY34:BA34"/>
    <mergeCell ref="AY36:BA36"/>
    <mergeCell ref="A39:A46"/>
    <mergeCell ref="B39:B46"/>
    <mergeCell ref="C39:C46"/>
    <mergeCell ref="D39:D46"/>
    <mergeCell ref="E39:E46"/>
    <mergeCell ref="F39:F46"/>
    <mergeCell ref="H39:H46"/>
    <mergeCell ref="AY39:BA41"/>
    <mergeCell ref="AY43:BA43"/>
    <mergeCell ref="AY45:BA45"/>
    <mergeCell ref="AY48:BA50"/>
    <mergeCell ref="AY52:BA52"/>
    <mergeCell ref="AY54:BA54"/>
    <mergeCell ref="A57:A64"/>
    <mergeCell ref="B57:B64"/>
    <mergeCell ref="C57:C64"/>
    <mergeCell ref="D57:D64"/>
    <mergeCell ref="E57:E64"/>
    <mergeCell ref="F57:F64"/>
    <mergeCell ref="H57:H64"/>
    <mergeCell ref="AY57:BA59"/>
    <mergeCell ref="AY61:BA61"/>
    <mergeCell ref="AY63:BA63"/>
    <mergeCell ref="D66:D73"/>
    <mergeCell ref="E66:E73"/>
    <mergeCell ref="F66:F73"/>
    <mergeCell ref="H66:H73"/>
    <mergeCell ref="AY66:BA68"/>
    <mergeCell ref="AY70:BA70"/>
    <mergeCell ref="AY72:BA72"/>
    <mergeCell ref="A75:A82"/>
    <mergeCell ref="B75:B82"/>
    <mergeCell ref="C75:C82"/>
    <mergeCell ref="D75:D82"/>
    <mergeCell ref="E75:E82"/>
    <mergeCell ref="F75:F82"/>
    <mergeCell ref="H75:H82"/>
    <mergeCell ref="AY75:BA77"/>
    <mergeCell ref="AY79:BA79"/>
    <mergeCell ref="AY81:BA81"/>
    <mergeCell ref="G75:G82"/>
    <mergeCell ref="A84:A91"/>
    <mergeCell ref="B84:B91"/>
    <mergeCell ref="C84:C91"/>
    <mergeCell ref="D84:D91"/>
    <mergeCell ref="E84:E91"/>
    <mergeCell ref="F84:F91"/>
    <mergeCell ref="H84:H91"/>
    <mergeCell ref="AY84:BA86"/>
    <mergeCell ref="AY88:BA88"/>
    <mergeCell ref="AY90:BA90"/>
    <mergeCell ref="G84:G91"/>
    <mergeCell ref="A93:A100"/>
    <mergeCell ref="B93:B100"/>
    <mergeCell ref="C93:C100"/>
    <mergeCell ref="D93:D100"/>
    <mergeCell ref="E93:E100"/>
    <mergeCell ref="F93:F100"/>
    <mergeCell ref="H93:H100"/>
    <mergeCell ref="AY93:BA95"/>
    <mergeCell ref="AY97:BA97"/>
    <mergeCell ref="AY99:BA99"/>
    <mergeCell ref="G93:G100"/>
    <mergeCell ref="A102:A109"/>
    <mergeCell ref="B102:B109"/>
    <mergeCell ref="C102:C109"/>
    <mergeCell ref="D102:D109"/>
    <mergeCell ref="E102:E109"/>
    <mergeCell ref="F102:F109"/>
    <mergeCell ref="H102:H109"/>
    <mergeCell ref="AY102:BA104"/>
    <mergeCell ref="AY106:BA106"/>
    <mergeCell ref="AY108:BA108"/>
    <mergeCell ref="G102:G109"/>
    <mergeCell ref="A111:A118"/>
    <mergeCell ref="B111:B118"/>
    <mergeCell ref="C111:C118"/>
    <mergeCell ref="D111:D118"/>
    <mergeCell ref="E111:E118"/>
    <mergeCell ref="F111:F118"/>
    <mergeCell ref="H111:H118"/>
    <mergeCell ref="AY111:BA113"/>
    <mergeCell ref="AY115:BA115"/>
    <mergeCell ref="AY117:BA117"/>
    <mergeCell ref="G111:G118"/>
    <mergeCell ref="AY129:BA131"/>
    <mergeCell ref="AY133:BA133"/>
    <mergeCell ref="AY135:BA135"/>
    <mergeCell ref="A120:A127"/>
    <mergeCell ref="B120:B127"/>
    <mergeCell ref="C120:C127"/>
    <mergeCell ref="D120:D127"/>
    <mergeCell ref="E120:E127"/>
    <mergeCell ref="F120:F127"/>
    <mergeCell ref="H120:H127"/>
    <mergeCell ref="AY120:BA122"/>
    <mergeCell ref="AY124:BA124"/>
    <mergeCell ref="AY126:BA126"/>
    <mergeCell ref="G120:G127"/>
    <mergeCell ref="G129:G136"/>
    <mergeCell ref="AG155:AI162"/>
    <mergeCell ref="AG139:AI146"/>
    <mergeCell ref="A129:A136"/>
    <mergeCell ref="B129:B136"/>
    <mergeCell ref="C129:C136"/>
    <mergeCell ref="D129:D136"/>
    <mergeCell ref="E129:E136"/>
    <mergeCell ref="F129:F136"/>
    <mergeCell ref="H129:H136"/>
  </mergeCells>
  <printOptions headings="1"/>
  <pageMargins left="0.25" right="0.25" top="0.75" bottom="0.75" header="0.3" footer="0.3"/>
  <pageSetup scale="68" orientation="landscape" r:id="rId1"/>
  <headerFooter>
    <oddHeader>&amp;C&amp;A</oddHeader>
  </headerFooter>
  <colBreaks count="3" manualBreakCount="3">
    <brk id="8" max="25" man="1"/>
    <brk id="27" max="25" man="1"/>
    <brk id="4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I25"/>
  <sheetViews>
    <sheetView workbookViewId="0">
      <selection activeCell="B23" sqref="B2:I25"/>
    </sheetView>
  </sheetViews>
  <sheetFormatPr defaultRowHeight="15" x14ac:dyDescent="0.25"/>
  <sheetData>
    <row r="2" spans="2:9" x14ac:dyDescent="0.25">
      <c r="B2" s="518" t="s">
        <v>247</v>
      </c>
      <c r="C2" s="519"/>
      <c r="D2" s="519"/>
      <c r="E2" s="519"/>
      <c r="F2" s="519"/>
      <c r="G2" s="519"/>
      <c r="H2" s="519"/>
      <c r="I2" s="520"/>
    </row>
    <row r="3" spans="2:9" x14ac:dyDescent="0.25">
      <c r="B3" s="521"/>
      <c r="C3" s="489"/>
      <c r="D3" s="489"/>
      <c r="E3" s="489"/>
      <c r="F3" s="489"/>
      <c r="G3" s="489"/>
      <c r="H3" s="489"/>
      <c r="I3" s="490"/>
    </row>
    <row r="4" spans="2:9" x14ac:dyDescent="0.25">
      <c r="B4" s="522"/>
      <c r="C4" s="523"/>
      <c r="D4" s="523"/>
      <c r="E4" s="523"/>
      <c r="F4" s="523"/>
      <c r="G4" s="523"/>
      <c r="H4" s="523"/>
      <c r="I4" s="524"/>
    </row>
    <row r="5" spans="2:9" x14ac:dyDescent="0.25">
      <c r="B5" s="525" t="s">
        <v>248</v>
      </c>
      <c r="C5" s="526"/>
      <c r="D5" s="526"/>
      <c r="E5" s="526"/>
      <c r="F5" s="526"/>
      <c r="G5" s="526"/>
      <c r="H5" s="526"/>
      <c r="I5" s="527"/>
    </row>
    <row r="6" spans="2:9" x14ac:dyDescent="0.25">
      <c r="B6" s="528"/>
      <c r="C6" s="529"/>
      <c r="D6" s="529"/>
      <c r="E6" s="529"/>
      <c r="F6" s="529"/>
      <c r="G6" s="529"/>
      <c r="H6" s="529"/>
      <c r="I6" s="530"/>
    </row>
    <row r="7" spans="2:9" x14ac:dyDescent="0.25">
      <c r="B7" s="531"/>
      <c r="C7" s="532"/>
      <c r="D7" s="532"/>
      <c r="E7" s="532"/>
      <c r="F7" s="532"/>
      <c r="G7" s="532"/>
      <c r="H7" s="532"/>
      <c r="I7" s="533"/>
    </row>
    <row r="8" spans="2:9" x14ac:dyDescent="0.25">
      <c r="B8" s="509" t="s">
        <v>252</v>
      </c>
      <c r="C8" s="510"/>
      <c r="D8" s="510"/>
      <c r="E8" s="510"/>
      <c r="F8" s="510"/>
      <c r="G8" s="510"/>
      <c r="H8" s="510"/>
      <c r="I8" s="511"/>
    </row>
    <row r="9" spans="2:9" x14ac:dyDescent="0.25">
      <c r="B9" s="512"/>
      <c r="C9" s="513"/>
      <c r="D9" s="513"/>
      <c r="E9" s="513"/>
      <c r="F9" s="513"/>
      <c r="G9" s="513"/>
      <c r="H9" s="513"/>
      <c r="I9" s="514"/>
    </row>
    <row r="10" spans="2:9" x14ac:dyDescent="0.25">
      <c r="B10" s="515"/>
      <c r="C10" s="516"/>
      <c r="D10" s="516"/>
      <c r="E10" s="516"/>
      <c r="F10" s="516"/>
      <c r="G10" s="516"/>
      <c r="H10" s="516"/>
      <c r="I10" s="517"/>
    </row>
    <row r="11" spans="2:9" x14ac:dyDescent="0.25">
      <c r="B11" s="534" t="s">
        <v>249</v>
      </c>
      <c r="C11" s="535"/>
      <c r="D11" s="535"/>
      <c r="E11" s="535"/>
      <c r="F11" s="535"/>
      <c r="G11" s="535"/>
      <c r="H11" s="535"/>
      <c r="I11" s="474"/>
    </row>
    <row r="12" spans="2:9" x14ac:dyDescent="0.25">
      <c r="B12" s="475"/>
      <c r="C12" s="536"/>
      <c r="D12" s="536"/>
      <c r="E12" s="536"/>
      <c r="F12" s="536"/>
      <c r="G12" s="536"/>
      <c r="H12" s="536"/>
      <c r="I12" s="476"/>
    </row>
    <row r="13" spans="2:9" x14ac:dyDescent="0.25">
      <c r="B13" s="477"/>
      <c r="C13" s="537"/>
      <c r="D13" s="537"/>
      <c r="E13" s="537"/>
      <c r="F13" s="537"/>
      <c r="G13" s="537"/>
      <c r="H13" s="537"/>
      <c r="I13" s="478"/>
    </row>
    <row r="14" spans="2:9" x14ac:dyDescent="0.25">
      <c r="B14" s="538" t="s">
        <v>250</v>
      </c>
      <c r="C14" s="539"/>
      <c r="D14" s="539"/>
      <c r="E14" s="539"/>
      <c r="F14" s="539"/>
      <c r="G14" s="539"/>
      <c r="H14" s="539"/>
      <c r="I14" s="540"/>
    </row>
    <row r="15" spans="2:9" x14ac:dyDescent="0.25">
      <c r="B15" s="541"/>
      <c r="C15" s="542"/>
      <c r="D15" s="542"/>
      <c r="E15" s="542"/>
      <c r="F15" s="542"/>
      <c r="G15" s="542"/>
      <c r="H15" s="542"/>
      <c r="I15" s="543"/>
    </row>
    <row r="16" spans="2:9" x14ac:dyDescent="0.25">
      <c r="B16" s="544"/>
      <c r="C16" s="545"/>
      <c r="D16" s="545"/>
      <c r="E16" s="545"/>
      <c r="F16" s="545"/>
      <c r="G16" s="545"/>
      <c r="H16" s="545"/>
      <c r="I16" s="546"/>
    </row>
    <row r="17" spans="2:9" x14ac:dyDescent="0.25">
      <c r="B17" s="547" t="s">
        <v>251</v>
      </c>
      <c r="C17" s="548"/>
      <c r="D17" s="548"/>
      <c r="E17" s="548"/>
      <c r="F17" s="548"/>
      <c r="G17" s="548"/>
      <c r="H17" s="548"/>
      <c r="I17" s="480"/>
    </row>
    <row r="18" spans="2:9" x14ac:dyDescent="0.25">
      <c r="B18" s="481"/>
      <c r="C18" s="549"/>
      <c r="D18" s="549"/>
      <c r="E18" s="549"/>
      <c r="F18" s="549"/>
      <c r="G18" s="549"/>
      <c r="H18" s="549"/>
      <c r="I18" s="482"/>
    </row>
    <row r="19" spans="2:9" x14ac:dyDescent="0.25">
      <c r="B19" s="483"/>
      <c r="C19" s="550"/>
      <c r="D19" s="550"/>
      <c r="E19" s="550"/>
      <c r="F19" s="550"/>
      <c r="G19" s="550"/>
      <c r="H19" s="550"/>
      <c r="I19" s="484"/>
    </row>
    <row r="20" spans="2:9" x14ac:dyDescent="0.25">
      <c r="B20" s="491" t="s">
        <v>254</v>
      </c>
      <c r="C20" s="492"/>
      <c r="D20" s="492"/>
      <c r="E20" s="492"/>
      <c r="F20" s="492"/>
      <c r="G20" s="492"/>
      <c r="H20" s="492"/>
      <c r="I20" s="493"/>
    </row>
    <row r="21" spans="2:9" x14ac:dyDescent="0.25">
      <c r="B21" s="494"/>
      <c r="C21" s="495"/>
      <c r="D21" s="495"/>
      <c r="E21" s="495"/>
      <c r="F21" s="495"/>
      <c r="G21" s="495"/>
      <c r="H21" s="495"/>
      <c r="I21" s="496"/>
    </row>
    <row r="22" spans="2:9" x14ac:dyDescent="0.25">
      <c r="B22" s="497"/>
      <c r="C22" s="498"/>
      <c r="D22" s="498"/>
      <c r="E22" s="498"/>
      <c r="F22" s="498"/>
      <c r="G22" s="498"/>
      <c r="H22" s="498"/>
      <c r="I22" s="499"/>
    </row>
    <row r="23" spans="2:9" ht="14.45" customHeight="1" x14ac:dyDescent="0.25">
      <c r="B23" s="500" t="s">
        <v>253</v>
      </c>
      <c r="C23" s="501"/>
      <c r="D23" s="501"/>
      <c r="E23" s="501"/>
      <c r="F23" s="501"/>
      <c r="G23" s="501"/>
      <c r="H23" s="501"/>
      <c r="I23" s="502"/>
    </row>
    <row r="24" spans="2:9" x14ac:dyDescent="0.25">
      <c r="B24" s="503"/>
      <c r="C24" s="504"/>
      <c r="D24" s="504"/>
      <c r="E24" s="504"/>
      <c r="F24" s="504"/>
      <c r="G24" s="504"/>
      <c r="H24" s="504"/>
      <c r="I24" s="505"/>
    </row>
    <row r="25" spans="2:9" x14ac:dyDescent="0.25">
      <c r="B25" s="506"/>
      <c r="C25" s="507"/>
      <c r="D25" s="507"/>
      <c r="E25" s="507"/>
      <c r="F25" s="507"/>
      <c r="G25" s="507"/>
      <c r="H25" s="507"/>
      <c r="I25" s="508"/>
    </row>
  </sheetData>
  <mergeCells count="8">
    <mergeCell ref="B20:I22"/>
    <mergeCell ref="B23:I25"/>
    <mergeCell ref="B8:I10"/>
    <mergeCell ref="B2:I4"/>
    <mergeCell ref="B5:I7"/>
    <mergeCell ref="B11:I13"/>
    <mergeCell ref="B14:I16"/>
    <mergeCell ref="B17:I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O49"/>
  <sheetViews>
    <sheetView zoomScale="80" zoomScaleNormal="80" zoomScaleSheetLayoutView="90" workbookViewId="0">
      <pane xSplit="1" ySplit="1" topLeftCell="B38" activePane="bottomRight" state="frozen"/>
      <selection activeCell="F10" sqref="F10"/>
      <selection pane="topRight" activeCell="F10" sqref="F10"/>
      <selection pane="bottomLeft" activeCell="F10" sqref="F10"/>
      <selection pane="bottomRight" activeCell="C40" sqref="C40"/>
    </sheetView>
  </sheetViews>
  <sheetFormatPr defaultRowHeight="15" x14ac:dyDescent="0.25"/>
  <cols>
    <col min="1" max="1" width="84.85546875" customWidth="1"/>
    <col min="2" max="9" width="11" style="108" customWidth="1"/>
    <col min="10" max="10" width="33.7109375" customWidth="1"/>
  </cols>
  <sheetData>
    <row r="1" spans="1:15" s="108" customFormat="1" ht="155.25" customHeight="1" x14ac:dyDescent="0.25">
      <c r="A1" s="321" t="s">
        <v>306</v>
      </c>
      <c r="B1" s="344" t="s">
        <v>234</v>
      </c>
      <c r="C1" s="344" t="s">
        <v>220</v>
      </c>
      <c r="D1" s="344" t="s">
        <v>278</v>
      </c>
      <c r="E1" s="345" t="s">
        <v>219</v>
      </c>
      <c r="F1" s="346" t="s">
        <v>235</v>
      </c>
      <c r="G1" s="346" t="s">
        <v>228</v>
      </c>
      <c r="H1" s="346" t="s">
        <v>279</v>
      </c>
      <c r="I1" s="347" t="s">
        <v>229</v>
      </c>
      <c r="J1" s="313"/>
      <c r="K1" s="121"/>
      <c r="L1" s="121"/>
      <c r="M1" s="121"/>
      <c r="N1" s="121"/>
      <c r="O1" s="121"/>
    </row>
    <row r="2" spans="1:15" ht="15.75" customHeight="1" x14ac:dyDescent="0.25">
      <c r="A2" s="126" t="s">
        <v>174</v>
      </c>
      <c r="B2" s="158"/>
      <c r="C2" s="158"/>
      <c r="D2" s="158"/>
      <c r="E2" s="256">
        <f t="shared" ref="E2:E7" si="0">IF(AND(B2&lt;&gt;"",OR(C2&lt;&gt;"",D2&lt;&gt;"")),"ERROR",IF(B2&lt;&gt;"",B2,C2*D2))</f>
        <v>0</v>
      </c>
      <c r="F2" s="276"/>
      <c r="G2" s="276"/>
      <c r="H2" s="276"/>
      <c r="I2" s="274">
        <f t="shared" ref="I2:I7" si="1">IF(AND(F2&lt;&gt;"",OR(G2&lt;&gt;"",H2&lt;&gt;"")),"ERROR",IF(F2&lt;&gt;"",F2,G2*H2))</f>
        <v>0</v>
      </c>
    </row>
    <row r="3" spans="1:15" ht="15.75" customHeight="1" x14ac:dyDescent="0.25">
      <c r="A3" s="126" t="s">
        <v>175</v>
      </c>
      <c r="B3" s="158"/>
      <c r="C3" s="158"/>
      <c r="D3" s="158"/>
      <c r="E3" s="256">
        <f t="shared" si="0"/>
        <v>0</v>
      </c>
      <c r="F3" s="276"/>
      <c r="G3" s="276"/>
      <c r="H3" s="276"/>
      <c r="I3" s="274">
        <f t="shared" si="1"/>
        <v>0</v>
      </c>
    </row>
    <row r="4" spans="1:15" ht="15.75" x14ac:dyDescent="0.25">
      <c r="A4" s="127" t="s">
        <v>176</v>
      </c>
      <c r="B4" s="158"/>
      <c r="C4" s="158"/>
      <c r="D4" s="158"/>
      <c r="E4" s="256">
        <f t="shared" si="0"/>
        <v>0</v>
      </c>
      <c r="F4" s="276"/>
      <c r="G4" s="276"/>
      <c r="H4" s="276"/>
      <c r="I4" s="274">
        <f t="shared" si="1"/>
        <v>0</v>
      </c>
      <c r="J4" s="313"/>
    </row>
    <row r="5" spans="1:15" ht="15.75" x14ac:dyDescent="0.25">
      <c r="A5" s="124" t="s">
        <v>177</v>
      </c>
      <c r="B5" s="158"/>
      <c r="C5" s="158"/>
      <c r="D5" s="158"/>
      <c r="E5" s="256">
        <f t="shared" si="0"/>
        <v>0</v>
      </c>
      <c r="F5" s="276"/>
      <c r="G5" s="276"/>
      <c r="H5" s="276"/>
      <c r="I5" s="274">
        <f t="shared" si="1"/>
        <v>0</v>
      </c>
    </row>
    <row r="6" spans="1:15" ht="15.75" x14ac:dyDescent="0.25">
      <c r="A6" s="124" t="s">
        <v>178</v>
      </c>
      <c r="B6" s="158"/>
      <c r="C6" s="158"/>
      <c r="D6" s="158"/>
      <c r="E6" s="256">
        <f t="shared" si="0"/>
        <v>0</v>
      </c>
      <c r="F6" s="276"/>
      <c r="G6" s="276"/>
      <c r="H6" s="276"/>
      <c r="I6" s="274">
        <f t="shared" si="1"/>
        <v>0</v>
      </c>
    </row>
    <row r="7" spans="1:15" ht="15.75" x14ac:dyDescent="0.25">
      <c r="A7" s="124"/>
      <c r="B7" s="158"/>
      <c r="C7" s="158"/>
      <c r="D7" s="158"/>
      <c r="E7" s="256">
        <f t="shared" si="0"/>
        <v>0</v>
      </c>
      <c r="F7" s="276"/>
      <c r="G7" s="276"/>
      <c r="H7" s="276"/>
      <c r="I7" s="274">
        <f t="shared" si="1"/>
        <v>0</v>
      </c>
    </row>
    <row r="8" spans="1:15" ht="15.75" customHeight="1" x14ac:dyDescent="0.25">
      <c r="B8" s="5"/>
      <c r="C8" s="5"/>
      <c r="D8" s="5"/>
      <c r="E8" s="5" t="s">
        <v>120</v>
      </c>
      <c r="F8" s="5"/>
      <c r="G8" s="5"/>
      <c r="H8" s="5"/>
      <c r="I8" s="5"/>
    </row>
    <row r="9" spans="1:15" ht="15.75" x14ac:dyDescent="0.25">
      <c r="A9" s="286" t="s">
        <v>121</v>
      </c>
      <c r="B9" s="158"/>
      <c r="C9" s="158"/>
      <c r="D9" s="158"/>
      <c r="E9" s="256">
        <f>IF(AND(B9&lt;&gt;"",OR(C9&lt;&gt;"",D9&lt;&gt;"")),"ERROR",IF(B9&lt;&gt;"",B9,C9*D9))</f>
        <v>0</v>
      </c>
      <c r="F9" s="276"/>
      <c r="G9" s="276"/>
      <c r="H9" s="276"/>
      <c r="I9" s="274">
        <f>IF(AND(F9&lt;&gt;"",OR(G9&lt;&gt;"",H9&lt;&gt;"")),"ERROR",IF(F9&lt;&gt;"",F9,G9*H9))</f>
        <v>0</v>
      </c>
    </row>
    <row r="10" spans="1:15" ht="15.75" x14ac:dyDescent="0.25">
      <c r="A10" s="286"/>
      <c r="B10" s="5"/>
      <c r="C10" s="5"/>
      <c r="D10" s="5"/>
      <c r="E10" s="5"/>
      <c r="F10" s="5"/>
      <c r="G10" s="5"/>
      <c r="H10" s="5"/>
      <c r="I10" s="5"/>
    </row>
    <row r="11" spans="1:15" ht="15.75" customHeight="1" x14ac:dyDescent="0.25">
      <c r="A11" s="126" t="s">
        <v>222</v>
      </c>
      <c r="B11" s="5"/>
      <c r="C11" s="5"/>
      <c r="D11" s="5"/>
      <c r="E11" s="5"/>
      <c r="F11" s="5"/>
      <c r="G11" s="5"/>
      <c r="H11" s="5"/>
      <c r="I11" s="5"/>
    </row>
    <row r="12" spans="1:15" ht="15.75" x14ac:dyDescent="0.25">
      <c r="A12" s="124" t="s">
        <v>179</v>
      </c>
      <c r="B12" s="158"/>
      <c r="C12" s="158"/>
      <c r="D12" s="158"/>
      <c r="E12" s="256">
        <f>IF(AND(B12&lt;&gt;"",OR(C12&lt;&gt;"",D12&lt;&gt;"")),"ERROR",IF(B12&lt;&gt;"",B12,C12*D12))</f>
        <v>0</v>
      </c>
      <c r="F12" s="276"/>
      <c r="G12" s="276"/>
      <c r="H12" s="276"/>
      <c r="I12" s="274">
        <f>IF(AND(F12&lt;&gt;"",OR(G12&lt;&gt;"",H12&lt;&gt;"")),"ERROR",IF(F12&lt;&gt;"",F12,G12*H12))</f>
        <v>0</v>
      </c>
    </row>
    <row r="13" spans="1:15" ht="15.75" x14ac:dyDescent="0.25">
      <c r="A13" s="124" t="s">
        <v>180</v>
      </c>
      <c r="B13" s="158"/>
      <c r="C13" s="158"/>
      <c r="D13" s="158"/>
      <c r="E13" s="256">
        <f>IF(AND(B13&lt;&gt;"",OR(C13&lt;&gt;"",D13&lt;&gt;"")),"ERROR",IF(B13&lt;&gt;"",B13,C13*D13))</f>
        <v>0</v>
      </c>
      <c r="F13" s="276"/>
      <c r="G13" s="276"/>
      <c r="H13" s="276"/>
      <c r="I13" s="274">
        <f>IF(AND(F13&lt;&gt;"",OR(G13&lt;&gt;"",H13&lt;&gt;"")),"ERROR",IF(F13&lt;&gt;"",F13,G13*H13))</f>
        <v>0</v>
      </c>
    </row>
    <row r="14" spans="1:15" ht="15.75" x14ac:dyDescent="0.25">
      <c r="A14" s="124"/>
      <c r="B14" s="158"/>
      <c r="C14" s="158"/>
      <c r="D14" s="158"/>
      <c r="E14" s="256">
        <f>IF(AND(B14&lt;&gt;"",OR(C14&lt;&gt;"",D14&lt;&gt;"")),"ERROR",IF(B14&lt;&gt;"",B14,C14*D14))</f>
        <v>0</v>
      </c>
      <c r="F14" s="276"/>
      <c r="G14" s="276"/>
      <c r="H14" s="276"/>
      <c r="I14" s="274">
        <f>IF(AND(F14&lt;&gt;"",OR(G14&lt;&gt;"",H14&lt;&gt;"")),"ERROR",IF(F14&lt;&gt;"",F14,G14*H14))</f>
        <v>0</v>
      </c>
    </row>
    <row r="15" spans="1:15" ht="15.75" x14ac:dyDescent="0.25">
      <c r="A15" s="124"/>
      <c r="B15" s="158"/>
      <c r="C15" s="158"/>
      <c r="D15" s="158"/>
      <c r="E15" s="256">
        <f>IF(AND(B15&lt;&gt;"",OR(C15&lt;&gt;"",D15&lt;&gt;"")),"ERROR",IF(B15&lt;&gt;"",B15,C15*D15))</f>
        <v>0</v>
      </c>
      <c r="F15" s="276"/>
      <c r="G15" s="276"/>
      <c r="H15" s="276"/>
      <c r="I15" s="274">
        <f>IF(AND(F15&lt;&gt;"",OR(G15&lt;&gt;"",H15&lt;&gt;"")),"ERROR",IF(F15&lt;&gt;"",F15,G15*H15))</f>
        <v>0</v>
      </c>
    </row>
    <row r="16" spans="1:15" ht="15.75" x14ac:dyDescent="0.25">
      <c r="A16" s="128" t="s">
        <v>122</v>
      </c>
    </row>
    <row r="17" spans="1:9" ht="15.75" x14ac:dyDescent="0.25">
      <c r="A17" s="127" t="s">
        <v>123</v>
      </c>
      <c r="B17" s="158"/>
      <c r="C17" s="158"/>
      <c r="D17" s="158"/>
      <c r="E17" s="256">
        <f>IF(AND(B17&lt;&gt;"",OR(C17&lt;&gt;"",D17&lt;&gt;"")),"ERROR",IF(B17&lt;&gt;"",B17,C17*D17))</f>
        <v>0</v>
      </c>
      <c r="F17" s="276"/>
      <c r="G17" s="276"/>
      <c r="H17" s="276"/>
      <c r="I17" s="274">
        <f>IF(AND(F17&lt;&gt;"",OR(G17&lt;&gt;"",H17&lt;&gt;"")),"ERROR",IF(F17&lt;&gt;"",F17,G17*H17))</f>
        <v>0</v>
      </c>
    </row>
    <row r="18" spans="1:9" ht="15.75" x14ac:dyDescent="0.25">
      <c r="A18" s="124" t="s">
        <v>124</v>
      </c>
      <c r="B18" s="158"/>
      <c r="C18" s="158"/>
      <c r="D18" s="158"/>
      <c r="E18" s="256">
        <f>IF(AND(B18&lt;&gt;"",OR(C18&lt;&gt;"",D18&lt;&gt;"")),"ERROR",IF(B18&lt;&gt;"",B18,C18*D18))</f>
        <v>0</v>
      </c>
      <c r="F18" s="276"/>
      <c r="G18" s="276"/>
      <c r="H18" s="276"/>
      <c r="I18" s="274">
        <f>IF(AND(F18&lt;&gt;"",OR(G18&lt;&gt;"",H18&lt;&gt;"")),"ERROR",IF(F18&lt;&gt;"",F18,G18*H18))</f>
        <v>0</v>
      </c>
    </row>
    <row r="19" spans="1:9" ht="15.75" x14ac:dyDescent="0.25">
      <c r="A19" s="124" t="s">
        <v>125</v>
      </c>
      <c r="B19" s="158"/>
      <c r="C19" s="158"/>
      <c r="D19" s="158"/>
      <c r="E19" s="256">
        <f>IF(AND(B19&lt;&gt;"",OR(C19&lt;&gt;"",D19&lt;&gt;"")),"ERROR",IF(B19&lt;&gt;"",B19,C19*D19))</f>
        <v>0</v>
      </c>
      <c r="F19" s="276"/>
      <c r="G19" s="276"/>
      <c r="H19" s="276"/>
      <c r="I19" s="274">
        <f>IF(AND(F19&lt;&gt;"",OR(G19&lt;&gt;"",H19&lt;&gt;"")),"ERROR",IF(F19&lt;&gt;"",F19,G19*H19))</f>
        <v>0</v>
      </c>
    </row>
    <row r="20" spans="1:9" ht="15.75" x14ac:dyDescent="0.25">
      <c r="A20" s="124" t="s">
        <v>126</v>
      </c>
      <c r="B20" s="158"/>
      <c r="C20" s="158"/>
      <c r="D20" s="158"/>
      <c r="E20" s="256">
        <f>IF(AND(B20&lt;&gt;"",OR(C20&lt;&gt;"",D20&lt;&gt;"")),"ERROR",IF(B20&lt;&gt;"",B20,C20*D20))</f>
        <v>0</v>
      </c>
      <c r="F20" s="276"/>
      <c r="G20" s="276"/>
      <c r="H20" s="276"/>
      <c r="I20" s="274">
        <f>IF(AND(F20&lt;&gt;"",OR(G20&lt;&gt;"",H20&lt;&gt;"")),"ERROR",IF(F20&lt;&gt;"",F20,G20*H20))</f>
        <v>0</v>
      </c>
    </row>
    <row r="21" spans="1:9" ht="15.75" x14ac:dyDescent="0.25">
      <c r="A21" s="128" t="s">
        <v>127</v>
      </c>
    </row>
    <row r="22" spans="1:9" ht="15.75" x14ac:dyDescent="0.25">
      <c r="A22" s="129" t="s">
        <v>128</v>
      </c>
      <c r="B22" s="158"/>
      <c r="C22" s="158"/>
      <c r="D22" s="158"/>
      <c r="E22" s="256">
        <f>IF(AND(B22&lt;&gt;"",OR(C22&lt;&gt;"",D22&lt;&gt;"")),"ERROR",IF(B22&lt;&gt;"",B22,C22*D22))</f>
        <v>0</v>
      </c>
      <c r="F22" s="276"/>
      <c r="G22" s="276"/>
      <c r="H22" s="276"/>
      <c r="I22" s="274">
        <f>IF(AND(F22&lt;&gt;"",OR(G22&lt;&gt;"",H22&lt;&gt;"")),"ERROR",IF(F22&lt;&gt;"",F22,G22*H22))</f>
        <v>0</v>
      </c>
    </row>
    <row r="23" spans="1:9" ht="15.75" x14ac:dyDescent="0.25">
      <c r="A23" s="124" t="s">
        <v>129</v>
      </c>
      <c r="B23" s="158"/>
      <c r="C23" s="158"/>
      <c r="D23" s="158"/>
      <c r="E23" s="256">
        <f>IF(AND(B23&lt;&gt;"",OR(C23&lt;&gt;"",D23&lt;&gt;"")),"ERROR",IF(B23&lt;&gt;"",B23,C23*D23))</f>
        <v>0</v>
      </c>
      <c r="F23" s="276"/>
      <c r="G23" s="276"/>
      <c r="H23" s="276"/>
      <c r="I23" s="274">
        <f>IF(AND(F23&lt;&gt;"",OR(G23&lt;&gt;"",H23&lt;&gt;"")),"ERROR",IF(F23&lt;&gt;"",F23,G23*H23))</f>
        <v>0</v>
      </c>
    </row>
    <row r="24" spans="1:9" ht="15.75" x14ac:dyDescent="0.25">
      <c r="A24" s="124" t="s">
        <v>130</v>
      </c>
      <c r="B24" s="158"/>
      <c r="C24" s="158"/>
      <c r="D24" s="158"/>
      <c r="E24" s="256">
        <f>IF(AND(B24&lt;&gt;"",OR(C24&lt;&gt;"",D24&lt;&gt;"")),"ERROR",IF(B24&lt;&gt;"",B24,C24*D24))</f>
        <v>0</v>
      </c>
      <c r="F24" s="276"/>
      <c r="G24" s="276"/>
      <c r="H24" s="276"/>
      <c r="I24" s="274">
        <f>IF(AND(F24&lt;&gt;"",OR(G24&lt;&gt;"",H24&lt;&gt;"")),"ERROR",IF(F24&lt;&gt;"",F24,G24*H24))</f>
        <v>0</v>
      </c>
    </row>
    <row r="25" spans="1:9" ht="15.75" x14ac:dyDescent="0.25">
      <c r="A25" s="124" t="s">
        <v>126</v>
      </c>
      <c r="B25" s="158"/>
      <c r="C25" s="158"/>
      <c r="D25" s="158"/>
      <c r="E25" s="256">
        <f>IF(AND(B25&lt;&gt;"",OR(C25&lt;&gt;"",D25&lt;&gt;"")),"ERROR",IF(B25&lt;&gt;"",B25,C25*D25))</f>
        <v>0</v>
      </c>
      <c r="F25" s="276"/>
      <c r="G25" s="276"/>
      <c r="H25" s="276"/>
      <c r="I25" s="274">
        <f>IF(AND(F25&lt;&gt;"",OR(G25&lt;&gt;"",H25&lt;&gt;"")),"ERROR",IF(F25&lt;&gt;"",F25,G25*H25))</f>
        <v>0</v>
      </c>
    </row>
    <row r="26" spans="1:9" ht="15.75" x14ac:dyDescent="0.25">
      <c r="A26" s="128" t="s">
        <v>221</v>
      </c>
    </row>
    <row r="27" spans="1:9" ht="15.75" x14ac:dyDescent="0.25">
      <c r="A27" s="129" t="s">
        <v>172</v>
      </c>
      <c r="B27" s="158"/>
      <c r="C27" s="158"/>
      <c r="D27" s="158"/>
      <c r="E27" s="256">
        <f>IF(AND(B27&lt;&gt;"",OR(C27&lt;&gt;"",D27&lt;&gt;"")),"ERROR",IF(B27&lt;&gt;"",B27,C27*D27))</f>
        <v>0</v>
      </c>
      <c r="F27" s="276"/>
      <c r="G27" s="276"/>
      <c r="H27" s="276"/>
      <c r="I27" s="274">
        <f>IF(AND(F27&lt;&gt;"",OR(G27&lt;&gt;"",H27&lt;&gt;"")),"ERROR",IF(F27&lt;&gt;"",F27,G27*H27))</f>
        <v>0</v>
      </c>
    </row>
    <row r="28" spans="1:9" ht="15.75" x14ac:dyDescent="0.25">
      <c r="A28" s="124" t="s">
        <v>173</v>
      </c>
      <c r="B28" s="158"/>
      <c r="C28" s="158"/>
      <c r="D28" s="158"/>
      <c r="E28" s="256">
        <f>IF(AND(B28&lt;&gt;"",OR(C28&lt;&gt;"",D28&lt;&gt;"")),"ERROR",IF(B28&lt;&gt;"",B28,C28*D28))</f>
        <v>0</v>
      </c>
      <c r="F28" s="276"/>
      <c r="G28" s="276"/>
      <c r="H28" s="276"/>
      <c r="I28" s="274">
        <f>IF(AND(F28&lt;&gt;"",OR(G28&lt;&gt;"",H28&lt;&gt;"")),"ERROR",IF(F28&lt;&gt;"",F28,G28*H28))</f>
        <v>0</v>
      </c>
    </row>
    <row r="29" spans="1:9" ht="15.75" x14ac:dyDescent="0.25">
      <c r="A29" s="124"/>
      <c r="B29" s="158"/>
      <c r="C29" s="158"/>
      <c r="D29" s="158"/>
      <c r="E29" s="256">
        <f>IF(AND(B29&lt;&gt;"",OR(C29&lt;&gt;"",D29&lt;&gt;"")),"ERROR",IF(B29&lt;&gt;"",B29,C29*D29))</f>
        <v>0</v>
      </c>
      <c r="F29" s="276"/>
      <c r="G29" s="276"/>
      <c r="H29" s="276"/>
      <c r="I29" s="274">
        <f>IF(AND(F29&lt;&gt;"",OR(G29&lt;&gt;"",H29&lt;&gt;"")),"ERROR",IF(F29&lt;&gt;"",F29,G29*H29))</f>
        <v>0</v>
      </c>
    </row>
    <row r="30" spans="1:9" ht="15.75" x14ac:dyDescent="0.25">
      <c r="A30" s="124"/>
      <c r="B30" s="158"/>
      <c r="C30" s="158"/>
      <c r="D30" s="158"/>
      <c r="E30" s="256">
        <f>IF(AND(B30&lt;&gt;"",OR(C30&lt;&gt;"",D30&lt;&gt;"")),"ERROR",IF(B30&lt;&gt;"",B30,C30*D30))</f>
        <v>0</v>
      </c>
      <c r="F30" s="276"/>
      <c r="G30" s="276"/>
      <c r="H30" s="276"/>
      <c r="I30" s="274">
        <f>IF(AND(F30&lt;&gt;"",OR(G30&lt;&gt;"",H30&lt;&gt;"")),"ERROR",IF(F30&lt;&gt;"",F30,G30*H30))</f>
        <v>0</v>
      </c>
    </row>
    <row r="31" spans="1:9" ht="15.75" x14ac:dyDescent="0.25">
      <c r="A31" s="129"/>
      <c r="B31" s="158"/>
      <c r="C31" s="158"/>
      <c r="D31" s="158"/>
      <c r="E31" s="256">
        <f>IF(AND(B31&lt;&gt;"",OR(C31&lt;&gt;"",D31&lt;&gt;"")),"ERROR",IF(B31&lt;&gt;"",B31,C31*D31))</f>
        <v>0</v>
      </c>
      <c r="F31" s="276"/>
      <c r="G31" s="276"/>
      <c r="H31" s="276"/>
      <c r="I31" s="274">
        <f>IF(AND(F31&lt;&gt;"",OR(G31&lt;&gt;"",H31&lt;&gt;"")),"ERROR",IF(F31&lt;&gt;"",F31,G31*H31))</f>
        <v>0</v>
      </c>
    </row>
    <row r="32" spans="1:9" ht="15.75" x14ac:dyDescent="0.25">
      <c r="A32" s="126" t="s">
        <v>138</v>
      </c>
    </row>
    <row r="33" spans="1:9" ht="15.75" x14ac:dyDescent="0.25">
      <c r="A33" s="124"/>
      <c r="B33" s="158"/>
      <c r="C33" s="158"/>
      <c r="D33" s="158"/>
      <c r="E33" s="256">
        <f>IF(AND(B33&lt;&gt;"",OR(C33&lt;&gt;"",D33&lt;&gt;"")),"ERROR",IF(B33&lt;&gt;"",B33,C33*D33))</f>
        <v>0</v>
      </c>
      <c r="F33" s="276"/>
      <c r="G33" s="276"/>
      <c r="H33" s="276"/>
      <c r="I33" s="274">
        <f>IF(AND(F33&lt;&gt;"",OR(G33&lt;&gt;"",H33&lt;&gt;"")),"ERROR",IF(F33&lt;&gt;"",F33,G33*H33))</f>
        <v>0</v>
      </c>
    </row>
    <row r="34" spans="1:9" ht="15.75" x14ac:dyDescent="0.25">
      <c r="A34" s="124"/>
      <c r="B34" s="158"/>
      <c r="C34" s="158"/>
      <c r="D34" s="158"/>
      <c r="E34" s="256">
        <f>IF(AND(B34&lt;&gt;"",OR(C34&lt;&gt;"",D34&lt;&gt;"")),"ERROR",IF(B34&lt;&gt;"",B34,C34*D34))</f>
        <v>0</v>
      </c>
      <c r="F34" s="276"/>
      <c r="G34" s="276"/>
      <c r="H34" s="276"/>
      <c r="I34" s="274">
        <f>IF(AND(F34&lt;&gt;"",OR(G34&lt;&gt;"",H34&lt;&gt;"")),"ERROR",IF(F34&lt;&gt;"",F34,G34*H34))</f>
        <v>0</v>
      </c>
    </row>
    <row r="35" spans="1:9" ht="15.75" customHeight="1" x14ac:dyDescent="0.25">
      <c r="A35" s="126" t="s">
        <v>139</v>
      </c>
    </row>
    <row r="36" spans="1:9" ht="15.75" x14ac:dyDescent="0.25">
      <c r="A36" s="124" t="s">
        <v>181</v>
      </c>
      <c r="B36" s="158"/>
      <c r="C36" s="158"/>
      <c r="D36" s="158"/>
      <c r="E36" s="256">
        <f>IF(AND(B36&lt;&gt;"",OR(C36&lt;&gt;"",D36&lt;&gt;"")),"ERROR",IF(B36&lt;&gt;"",B36,C36*D36))</f>
        <v>0</v>
      </c>
      <c r="F36" s="276"/>
      <c r="G36" s="276"/>
      <c r="H36" s="276"/>
      <c r="I36" s="274">
        <f>IF(AND(F36&lt;&gt;"",OR(G36&lt;&gt;"",H36&lt;&gt;"")),"ERROR",IF(F36&lt;&gt;"",F36,G36*H36))</f>
        <v>0</v>
      </c>
    </row>
    <row r="37" spans="1:9" ht="15.75" x14ac:dyDescent="0.25">
      <c r="A37" s="124"/>
      <c r="B37" s="158"/>
      <c r="C37" s="158"/>
      <c r="D37" s="158"/>
      <c r="E37" s="256">
        <f>IF(AND(B37&lt;&gt;"",OR(C37&lt;&gt;"",D37&lt;&gt;"")),"ERROR",IF(B37&lt;&gt;"",B37,C37*D37))</f>
        <v>0</v>
      </c>
      <c r="F37" s="276"/>
      <c r="G37" s="276"/>
      <c r="H37" s="276"/>
      <c r="I37" s="274">
        <f>IF(AND(F37&lt;&gt;"",OR(G37&lt;&gt;"",H37&lt;&gt;"")),"ERROR",IF(F37&lt;&gt;"",F37,G37*H37))</f>
        <v>0</v>
      </c>
    </row>
    <row r="38" spans="1:9" ht="15.75" x14ac:dyDescent="0.25">
      <c r="A38" s="124"/>
      <c r="B38" s="158"/>
      <c r="C38" s="158"/>
      <c r="D38" s="158"/>
      <c r="E38" s="256">
        <f>IF(AND(B38&lt;&gt;"",OR(C38&lt;&gt;"",D38&lt;&gt;"")),"ERROR",IF(B38&lt;&gt;"",B38,C38*D38))</f>
        <v>0</v>
      </c>
      <c r="F38" s="276"/>
      <c r="G38" s="276"/>
      <c r="H38" s="276"/>
      <c r="I38" s="274">
        <f>IF(AND(F38&lt;&gt;"",OR(G38&lt;&gt;"",H38&lt;&gt;"")),"ERROR",IF(F38&lt;&gt;"",F38,G38*H38))</f>
        <v>0</v>
      </c>
    </row>
    <row r="39" spans="1:9" ht="15.75" x14ac:dyDescent="0.25">
      <c r="A39" s="124"/>
      <c r="B39" s="158"/>
      <c r="C39" s="158"/>
      <c r="D39" s="158"/>
      <c r="E39" s="256">
        <f>IF(AND(B39&lt;&gt;"",OR(C39&lt;&gt;"",D39&lt;&gt;"")),"ERROR",IF(B39&lt;&gt;"",B39,C39*D39))</f>
        <v>0</v>
      </c>
      <c r="F39" s="276"/>
      <c r="G39" s="276"/>
      <c r="H39" s="276"/>
      <c r="I39" s="274">
        <f>IF(AND(F39&lt;&gt;"",OR(G39&lt;&gt;"",H39&lt;&gt;"")),"ERROR",IF(F39&lt;&gt;"",F39,G39*H39))</f>
        <v>0</v>
      </c>
    </row>
    <row r="40" spans="1:9" x14ac:dyDescent="0.25">
      <c r="A40" s="125"/>
    </row>
    <row r="41" spans="1:9" x14ac:dyDescent="0.25">
      <c r="A41" s="310" t="s">
        <v>142</v>
      </c>
      <c r="E41" s="257">
        <f>SUM(E2:E39)</f>
        <v>0</v>
      </c>
      <c r="I41" s="275">
        <f>SUM(I2:I39)</f>
        <v>0</v>
      </c>
    </row>
    <row r="43" spans="1:9" x14ac:dyDescent="0.25">
      <c r="A43" s="310" t="s">
        <v>162</v>
      </c>
      <c r="E43" s="265" t="e">
        <f>'Existing Staff'!B35</f>
        <v>#DIV/0!</v>
      </c>
      <c r="I43" s="265" t="e">
        <f>'Existing Staff'!B35</f>
        <v>#DIV/0!</v>
      </c>
    </row>
    <row r="44" spans="1:9" x14ac:dyDescent="0.25">
      <c r="A44" s="131"/>
      <c r="E44" s="118"/>
      <c r="F44" s="118"/>
      <c r="I44" s="118"/>
    </row>
    <row r="45" spans="1:9" x14ac:dyDescent="0.25">
      <c r="A45" s="310" t="s">
        <v>194</v>
      </c>
      <c r="E45" s="188" t="e">
        <f>E41/E43</f>
        <v>#DIV/0!</v>
      </c>
      <c r="F45" s="156"/>
      <c r="I45" s="187" t="e">
        <f>I41/I43</f>
        <v>#DIV/0!</v>
      </c>
    </row>
    <row r="46" spans="1:9" x14ac:dyDescent="0.25">
      <c r="F46" s="156"/>
    </row>
    <row r="47" spans="1:9" x14ac:dyDescent="0.25">
      <c r="A47" s="310" t="s">
        <v>195</v>
      </c>
      <c r="E47" s="188" t="e">
        <f>'Existing Staff'!B19*E45</f>
        <v>#DIV/0!</v>
      </c>
      <c r="F47" s="156"/>
      <c r="I47" s="187" t="e">
        <f>'Existing Staff'!B19*I45</f>
        <v>#DIV/0!</v>
      </c>
    </row>
    <row r="48" spans="1:9" x14ac:dyDescent="0.25">
      <c r="F48" s="156"/>
    </row>
    <row r="49" spans="1:9" x14ac:dyDescent="0.25">
      <c r="A49" s="310" t="s">
        <v>264</v>
      </c>
      <c r="E49" s="188" t="e">
        <f>'Existing Staff'!H19*E45</f>
        <v>#DIV/0!</v>
      </c>
      <c r="F49" s="156"/>
      <c r="I49" s="187" t="e">
        <f>'Existing Staff'!H19*I45</f>
        <v>#DIV/0!</v>
      </c>
    </row>
  </sheetData>
  <printOptions headings="1"/>
  <pageMargins left="0.7" right="0.7" top="0.75" bottom="0.75" header="0.3" footer="0.3"/>
  <pageSetup scale="70" orientation="landscape" verticalDpi="1200"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
  <sheetViews>
    <sheetView workbookViewId="0">
      <selection activeCell="A3" sqref="A3"/>
    </sheetView>
  </sheetViews>
  <sheetFormatPr defaultRowHeight="15" x14ac:dyDescent="0.25"/>
  <sheetData>
    <row r="1" spans="1:1" x14ac:dyDescent="0.25">
      <c r="A1" t="s">
        <v>107</v>
      </c>
    </row>
    <row r="2" spans="1:1" x14ac:dyDescent="0.25">
      <c r="A2"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pageSetUpPr fitToPage="1"/>
  </sheetPr>
  <dimension ref="A1:L27"/>
  <sheetViews>
    <sheetView tabSelected="1" zoomScaleNormal="100" workbookViewId="0">
      <pane ySplit="1" topLeftCell="A3" activePane="bottomLeft" state="frozen"/>
      <selection activeCell="F10" sqref="F10"/>
      <selection pane="bottomLeft" activeCell="E9" sqref="E9:H13"/>
    </sheetView>
  </sheetViews>
  <sheetFormatPr defaultRowHeight="15" x14ac:dyDescent="0.25"/>
  <cols>
    <col min="1" max="1" width="23.85546875" customWidth="1"/>
    <col min="2" max="2" width="11.85546875" bestFit="1" customWidth="1"/>
    <col min="3" max="3" width="13.42578125" bestFit="1" customWidth="1"/>
    <col min="4" max="5" width="13.28515625" customWidth="1"/>
    <col min="6" max="6" width="38.140625" hidden="1" customWidth="1"/>
    <col min="7" max="8" width="13.28515625" customWidth="1"/>
  </cols>
  <sheetData>
    <row r="1" spans="1:12" x14ac:dyDescent="0.25">
      <c r="A1" s="378" t="s">
        <v>146</v>
      </c>
      <c r="B1" s="379"/>
      <c r="C1" s="379"/>
      <c r="D1" s="379"/>
      <c r="E1" s="379"/>
      <c r="F1" s="379"/>
      <c r="G1" s="379"/>
      <c r="H1" s="406"/>
    </row>
    <row r="2" spans="1:12" ht="15.75" thickBot="1" x14ac:dyDescent="0.3"/>
    <row r="3" spans="1:12" ht="62.25" customHeight="1" thickBot="1" x14ac:dyDescent="0.3">
      <c r="A3" s="195"/>
      <c r="B3" s="234" t="s">
        <v>316</v>
      </c>
      <c r="C3" s="235" t="s">
        <v>320</v>
      </c>
      <c r="D3" s="235" t="s">
        <v>319</v>
      </c>
      <c r="E3" s="289" t="s">
        <v>313</v>
      </c>
    </row>
    <row r="4" spans="1:12" ht="45" customHeight="1" x14ac:dyDescent="0.25">
      <c r="A4" s="348" t="s">
        <v>223</v>
      </c>
      <c r="B4" s="189" t="e">
        <f>'Req Hours - Core Maintenance'!AR144+'Req Hours - Hvy Rep_Overhaul'!E45</f>
        <v>#DIV/0!</v>
      </c>
      <c r="C4" s="150" t="e">
        <f>'Existing Staff'!B22+'Existing Staff'!H22</f>
        <v>#DIV/0!</v>
      </c>
      <c r="D4" s="150" t="e">
        <f>D5/'Existing Staff'!B35</f>
        <v>#DIV/0!</v>
      </c>
      <c r="E4" s="290" t="e">
        <f>'Req Hours - Core Maintenance'!AR160+'Req Hours - Hvy Rep_Overhaul'!I45</f>
        <v>#DIV/0!</v>
      </c>
      <c r="F4" s="132"/>
      <c r="G4" s="315"/>
      <c r="H4" s="116"/>
      <c r="I4" s="116"/>
      <c r="J4" s="116"/>
      <c r="K4" s="116"/>
    </row>
    <row r="5" spans="1:12" ht="60" x14ac:dyDescent="0.25">
      <c r="A5" s="338" t="s">
        <v>213</v>
      </c>
      <c r="B5" s="190">
        <f>'Req Hours - Core Maintenance'!AR140+'Req Hours - Hvy Rep_Overhaul'!E41</f>
        <v>0</v>
      </c>
      <c r="C5" s="133" t="e">
        <f>C4*'Existing Staff'!B35</f>
        <v>#DIV/0!</v>
      </c>
      <c r="D5" s="134" t="e">
        <f>C5 +('Existing Staff'!B37*'Existing Staff'!C6)+('Existing Staff'!H37*'Existing Staff'!C12)</f>
        <v>#DIV/0!</v>
      </c>
      <c r="E5" s="291">
        <f>'Req Hours - Core Maintenance'!AR156+'Req Hours - Hvy Rep_Overhaul'!I41</f>
        <v>0</v>
      </c>
      <c r="F5" s="135" t="e">
        <f>IF(C5&gt;B5,"Current technician staffing level should meet calculated maintenance demand without overtime",IF(D5&gt;B5,"Current technician staffing level with the currently expected overtime should meet calculated maintenance demand","Additional staffing and/or overtime will be needed to meet calculated maintenance demand"))</f>
        <v>#DIV/0!</v>
      </c>
    </row>
    <row r="6" spans="1:12" ht="15.75" x14ac:dyDescent="0.25">
      <c r="A6" s="4"/>
      <c r="B6" s="119"/>
      <c r="C6" s="5"/>
      <c r="D6" s="120"/>
      <c r="E6" s="120"/>
      <c r="F6" s="183"/>
    </row>
    <row r="7" spans="1:12" x14ac:dyDescent="0.25">
      <c r="A7" s="583" t="s">
        <v>198</v>
      </c>
      <c r="B7" s="405"/>
      <c r="C7" s="406"/>
      <c r="D7" s="160" t="e">
        <f>D5-C5</f>
        <v>#DIV/0!</v>
      </c>
      <c r="E7" s="184"/>
      <c r="F7" s="584"/>
      <c r="J7" s="1"/>
      <c r="K7" s="1"/>
      <c r="L7" s="1"/>
    </row>
    <row r="8" spans="1:12" x14ac:dyDescent="0.25">
      <c r="F8" s="584"/>
      <c r="J8" s="1"/>
      <c r="K8" s="1"/>
      <c r="L8" s="1"/>
    </row>
    <row r="9" spans="1:12" x14ac:dyDescent="0.25">
      <c r="E9" s="573" t="s">
        <v>331</v>
      </c>
      <c r="F9" s="574"/>
      <c r="G9" s="574"/>
      <c r="H9" s="427"/>
      <c r="J9" s="1"/>
      <c r="K9" s="1"/>
      <c r="L9" s="1"/>
    </row>
    <row r="10" spans="1:12" ht="15" customHeight="1" x14ac:dyDescent="0.25">
      <c r="A10" s="585" t="s">
        <v>324</v>
      </c>
      <c r="B10" s="579"/>
      <c r="C10" s="579"/>
      <c r="D10" s="587" t="e">
        <f>B4-D4</f>
        <v>#DIV/0!</v>
      </c>
      <c r="E10" s="575"/>
      <c r="F10" s="576"/>
      <c r="G10" s="576"/>
      <c r="H10" s="430"/>
      <c r="J10" s="1"/>
      <c r="K10" s="1"/>
      <c r="L10" s="1"/>
    </row>
    <row r="11" spans="1:12" x14ac:dyDescent="0.25">
      <c r="A11" s="586"/>
      <c r="B11" s="580"/>
      <c r="C11" s="580"/>
      <c r="D11" s="588"/>
      <c r="E11" s="575"/>
      <c r="F11" s="576"/>
      <c r="G11" s="576"/>
      <c r="H11" s="430"/>
    </row>
    <row r="12" spans="1:12" x14ac:dyDescent="0.25">
      <c r="A12" s="577"/>
      <c r="B12" s="578"/>
      <c r="C12" s="578"/>
      <c r="D12" s="589"/>
      <c r="E12" s="575"/>
      <c r="F12" s="576"/>
      <c r="G12" s="576"/>
      <c r="H12" s="430"/>
    </row>
    <row r="13" spans="1:12" x14ac:dyDescent="0.25">
      <c r="E13" s="577"/>
      <c r="F13" s="578"/>
      <c r="G13" s="578"/>
      <c r="H13" s="433"/>
    </row>
    <row r="14" spans="1:12" ht="15" customHeight="1" x14ac:dyDescent="0.25">
      <c r="A14" s="553" t="s">
        <v>230</v>
      </c>
      <c r="B14" s="554"/>
      <c r="C14" s="554"/>
      <c r="D14" s="559" t="e">
        <f>E4-C4</f>
        <v>#DIV/0!</v>
      </c>
      <c r="E14" s="573" t="s">
        <v>257</v>
      </c>
      <c r="F14" s="579"/>
      <c r="G14" s="579"/>
      <c r="H14" s="427"/>
    </row>
    <row r="15" spans="1:12" x14ac:dyDescent="0.25">
      <c r="A15" s="555"/>
      <c r="B15" s="556"/>
      <c r="C15" s="556"/>
      <c r="D15" s="560"/>
      <c r="E15" s="565"/>
      <c r="F15" s="580"/>
      <c r="G15" s="580"/>
      <c r="H15" s="430"/>
    </row>
    <row r="16" spans="1:12" ht="21.75" customHeight="1" x14ac:dyDescent="0.25">
      <c r="A16" s="557"/>
      <c r="B16" s="558"/>
      <c r="C16" s="558"/>
      <c r="D16" s="561"/>
      <c r="E16" s="581"/>
      <c r="F16" s="582"/>
      <c r="G16" s="582"/>
      <c r="H16" s="433"/>
    </row>
    <row r="18" spans="1:8" x14ac:dyDescent="0.25">
      <c r="A18" s="562" t="s">
        <v>224</v>
      </c>
      <c r="B18" s="563"/>
      <c r="C18" s="564"/>
      <c r="D18" s="568" t="e">
        <f>D7/'Existing Staff'!B34</f>
        <v>#DIV/0!</v>
      </c>
      <c r="E18" s="573" t="s">
        <v>236</v>
      </c>
      <c r="F18" s="579"/>
      <c r="G18" s="579"/>
      <c r="H18" s="427"/>
    </row>
    <row r="19" spans="1:8" x14ac:dyDescent="0.25">
      <c r="A19" s="565"/>
      <c r="B19" s="566"/>
      <c r="C19" s="567"/>
      <c r="D19" s="569"/>
      <c r="E19" s="565"/>
      <c r="F19" s="580"/>
      <c r="G19" s="580"/>
      <c r="H19" s="430"/>
    </row>
    <row r="20" spans="1:8" x14ac:dyDescent="0.25">
      <c r="A20" s="515"/>
      <c r="B20" s="516"/>
      <c r="C20" s="517"/>
      <c r="D20" s="570"/>
      <c r="E20" s="581"/>
      <c r="F20" s="582"/>
      <c r="G20" s="582"/>
      <c r="H20" s="433"/>
    </row>
    <row r="22" spans="1:8" x14ac:dyDescent="0.25">
      <c r="A22" s="509" t="s">
        <v>209</v>
      </c>
      <c r="B22" s="510"/>
      <c r="C22" s="510"/>
      <c r="D22" s="510"/>
      <c r="E22" s="574"/>
      <c r="F22" s="574"/>
      <c r="G22" s="574"/>
      <c r="H22" s="427"/>
    </row>
    <row r="23" spans="1:8" x14ac:dyDescent="0.25">
      <c r="A23" s="515"/>
      <c r="B23" s="516"/>
      <c r="C23" s="516"/>
      <c r="D23" s="516"/>
      <c r="E23" s="578"/>
      <c r="F23" s="578"/>
      <c r="G23" s="578"/>
      <c r="H23" s="433"/>
    </row>
    <row r="24" spans="1:8" x14ac:dyDescent="0.25">
      <c r="A24" s="552" t="s">
        <v>205</v>
      </c>
      <c r="B24" s="552"/>
      <c r="C24" s="181" t="s">
        <v>206</v>
      </c>
      <c r="D24" s="181" t="s">
        <v>207</v>
      </c>
      <c r="E24" s="181" t="s">
        <v>214</v>
      </c>
      <c r="F24" s="181" t="s">
        <v>211</v>
      </c>
      <c r="G24" s="181" t="s">
        <v>211</v>
      </c>
      <c r="H24" s="181" t="s">
        <v>261</v>
      </c>
    </row>
    <row r="25" spans="1:8" x14ac:dyDescent="0.25">
      <c r="A25" s="571" t="s">
        <v>204</v>
      </c>
      <c r="B25" s="571"/>
      <c r="C25" s="182">
        <f>'Existing Staff'!C6</f>
        <v>0</v>
      </c>
      <c r="D25" s="182">
        <f>'Existing Staff'!C12</f>
        <v>0</v>
      </c>
      <c r="E25" s="182">
        <f>C25+D25</f>
        <v>0</v>
      </c>
      <c r="F25" s="182">
        <f>'Existing Staff'!D6+'Existing Staff'!I22</f>
        <v>0</v>
      </c>
      <c r="G25" s="182" t="e">
        <f>'Existing Staff'!C6+'Existing Staff'!H22</f>
        <v>#DIV/0!</v>
      </c>
      <c r="H25" s="182" t="e">
        <f>D4</f>
        <v>#DIV/0!</v>
      </c>
    </row>
    <row r="26" spans="1:8" x14ac:dyDescent="0.25">
      <c r="A26" s="572" t="s">
        <v>208</v>
      </c>
      <c r="B26" s="572"/>
      <c r="C26" s="188" t="e">
        <f>B4*'Existing Staff'!B19</f>
        <v>#DIV/0!</v>
      </c>
      <c r="D26" s="188" t="e">
        <f>B4*'Existing Staff'!H19</f>
        <v>#DIV/0!</v>
      </c>
      <c r="E26" s="188" t="e">
        <f t="shared" ref="E26:E27" si="0">C26+D26</f>
        <v>#DIV/0!</v>
      </c>
      <c r="F26" s="188" t="e">
        <f>('Existing Staff'!I21/'Existing Staff'!C21)*E26+D26</f>
        <v>#DIV/0!</v>
      </c>
      <c r="G26" s="188" t="e">
        <f>('Existing Staff'!H21/'Existing Staff'!B21)*D26+C26</f>
        <v>#DIV/0!</v>
      </c>
      <c r="H26" s="288" t="s">
        <v>70</v>
      </c>
    </row>
    <row r="27" spans="1:8" x14ac:dyDescent="0.25">
      <c r="A27" s="551" t="s">
        <v>231</v>
      </c>
      <c r="B27" s="551"/>
      <c r="C27" s="187" t="e">
        <f>E4*'Existing Staff'!B19</f>
        <v>#DIV/0!</v>
      </c>
      <c r="D27" s="187" t="e">
        <f>E4*'Existing Staff'!H19</f>
        <v>#DIV/0!</v>
      </c>
      <c r="E27" s="187" t="e">
        <f t="shared" si="0"/>
        <v>#DIV/0!</v>
      </c>
      <c r="F27" s="187" t="e">
        <f>('Existing Staff'!I21/'Existing Staff'!C21)*E27+D27</f>
        <v>#DIV/0!</v>
      </c>
      <c r="G27" s="187" t="e">
        <f>('Existing Staff'!H21/'Existing Staff'!B21)*D27+C27</f>
        <v>#DIV/0!</v>
      </c>
      <c r="H27" s="287" t="s">
        <v>70</v>
      </c>
    </row>
  </sheetData>
  <mergeCells count="17">
    <mergeCell ref="E9:H13"/>
    <mergeCell ref="E14:H16"/>
    <mergeCell ref="E18:H20"/>
    <mergeCell ref="A22:H23"/>
    <mergeCell ref="A1:H1"/>
    <mergeCell ref="A7:C7"/>
    <mergeCell ref="F7:F8"/>
    <mergeCell ref="A10:C12"/>
    <mergeCell ref="D10:D12"/>
    <mergeCell ref="A27:B27"/>
    <mergeCell ref="A24:B24"/>
    <mergeCell ref="A14:C16"/>
    <mergeCell ref="D14:D16"/>
    <mergeCell ref="A18:C20"/>
    <mergeCell ref="D18:D20"/>
    <mergeCell ref="A25:B25"/>
    <mergeCell ref="A26:B26"/>
  </mergeCells>
  <printOptions headings="1"/>
  <pageMargins left="0.7" right="0.7" top="0.75" bottom="0.75" header="0.3" footer="0.3"/>
  <pageSetup scale="90" orientation="landscape" verticalDpi="1200"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K31"/>
  <sheetViews>
    <sheetView topLeftCell="A15" zoomScaleNormal="100" workbookViewId="0">
      <selection activeCell="A23" sqref="A23:J23"/>
    </sheetView>
  </sheetViews>
  <sheetFormatPr defaultRowHeight="15" x14ac:dyDescent="0.25"/>
  <cols>
    <col min="1" max="1" width="27.85546875" customWidth="1"/>
    <col min="2" max="4" width="13.140625" customWidth="1"/>
    <col min="5" max="5" width="11.5703125" bestFit="1" customWidth="1"/>
    <col min="6" max="6" width="11.140625" customWidth="1"/>
    <col min="7" max="7" width="36.5703125" customWidth="1"/>
    <col min="8" max="10" width="13.140625" customWidth="1"/>
    <col min="11" max="11" width="10.5703125" bestFit="1" customWidth="1"/>
  </cols>
  <sheetData>
    <row r="1" spans="1:10" x14ac:dyDescent="0.25">
      <c r="A1" s="590" t="s">
        <v>161</v>
      </c>
      <c r="B1" s="591"/>
      <c r="C1" s="591"/>
      <c r="D1" s="591"/>
      <c r="E1" s="591"/>
      <c r="F1" s="591"/>
      <c r="G1" s="591"/>
      <c r="H1" s="591"/>
      <c r="I1" s="591"/>
      <c r="J1" s="591"/>
    </row>
    <row r="2" spans="1:10" s="108" customFormat="1" ht="9" customHeight="1" thickBot="1" x14ac:dyDescent="0.3"/>
    <row r="3" spans="1:10" ht="15.75" thickBot="1" x14ac:dyDescent="0.3">
      <c r="A3" s="6" t="s">
        <v>9</v>
      </c>
      <c r="B3" s="598" t="str">
        <f>IF(B4&gt;=1000,Benchmarks!B2,IF(B4&gt;=500,Benchmarks!D2,IF(B4&gt;=250,Benchmarks!F2,IF(B4&gt;=100,Benchmarks!H2,IF(B4&gt;=50,Benchmarks!J2,IF(B4&gt;0,Benchmarks!L2,"ERROR"))))))</f>
        <v>ERROR</v>
      </c>
      <c r="C3" s="599"/>
      <c r="D3" s="599"/>
      <c r="E3" s="599"/>
      <c r="F3" s="599"/>
      <c r="G3" s="599"/>
      <c r="H3" s="599"/>
      <c r="I3" s="599"/>
      <c r="J3" s="600"/>
    </row>
    <row r="4" spans="1:10" x14ac:dyDescent="0.25">
      <c r="A4" s="2" t="s">
        <v>5</v>
      </c>
      <c r="B4" s="601">
        <f>'Fleet Inventory'!A22</f>
        <v>0</v>
      </c>
      <c r="C4" s="601"/>
      <c r="D4" s="601"/>
      <c r="E4" s="601"/>
    </row>
    <row r="5" spans="1:10" x14ac:dyDescent="0.25">
      <c r="A5" s="2" t="str">
        <f>CONCATENATE("Total Fleet Annual ",'Fleet Inventory'!E3)</f>
        <v xml:space="preserve">Total Fleet Annual </v>
      </c>
      <c r="B5" s="601">
        <f>'Fleet Inventory'!K21</f>
        <v>0</v>
      </c>
      <c r="C5" s="601"/>
      <c r="D5" s="601"/>
      <c r="E5" s="601"/>
    </row>
    <row r="6" spans="1:10" x14ac:dyDescent="0.25">
      <c r="A6" s="2" t="s">
        <v>6</v>
      </c>
      <c r="B6" s="601">
        <f>'Fleet Inventory'!L21</f>
        <v>0</v>
      </c>
      <c r="C6" s="601"/>
      <c r="D6" s="601"/>
      <c r="E6" s="601"/>
    </row>
    <row r="7" spans="1:10" ht="9" customHeight="1" x14ac:dyDescent="0.25"/>
    <row r="8" spans="1:10" ht="45" x14ac:dyDescent="0.25">
      <c r="A8" s="608" t="s">
        <v>105</v>
      </c>
      <c r="B8" s="609"/>
      <c r="C8" s="609"/>
      <c r="D8" s="196" t="s">
        <v>77</v>
      </c>
      <c r="E8" s="196" t="s">
        <v>10</v>
      </c>
      <c r="F8" s="196" t="s">
        <v>11</v>
      </c>
      <c r="G8" s="197" t="s">
        <v>13</v>
      </c>
    </row>
    <row r="9" spans="1:10" ht="31.5" customHeight="1" x14ac:dyDescent="0.25">
      <c r="A9" s="610" t="str">
        <f>CONCATENATE("Annual ",'Fleet Inventory'!E3," Per Vehicle")</f>
        <v>Annual  Per Vehicle</v>
      </c>
      <c r="B9" s="403"/>
      <c r="C9" s="403"/>
      <c r="D9" s="198" t="e">
        <f>B5/B4</f>
        <v>#DIV/0!</v>
      </c>
      <c r="E9" s="199" t="str">
        <f>IF($B$3=Benchmarks!$B$2,Benchmarks!B13,IF($B$3=Benchmarks!$D$2,Benchmarks!D13,IF($B$3=Benchmarks!$F$2,Benchmarks!F13,IF($B$3=Benchmarks!$H$2,Benchmarks!H13,IF($B$3=Benchmarks!$J$2,Benchmarks!J13,IF($B$3=Benchmarks!$L$2,Benchmarks!L13,""))))))</f>
        <v/>
      </c>
      <c r="F9" s="199" t="str">
        <f>IF($B$3=Benchmarks!$B$2,Benchmarks!C13,IF($B$3=Benchmarks!$D$2,Benchmarks!E13,IF($B$3=Benchmarks!$F$2,Benchmarks!G13,IF($B$3=Benchmarks!$H$2,Benchmarks!I13,IF($B$3=Benchmarks!$J$2,Benchmarks!K13,IF($B$3=Benchmarks!$L$2,Benchmarks!M13,""))))))</f>
        <v/>
      </c>
      <c r="G9" s="200" t="e">
        <f>IF(D9&gt;(E9+F9),CONCATENATE("Significantly more ",'Fleet Inventory'!E3," per vehicle than average peer agency"),IF(D9&gt;E9,CONCATENATE("More ",'Fleet Inventory'!E3," per vehicle than average peer agency"),IF(D9&lt;(E9-F9),CONCATENATE("Significantly fewer ",'Fleet Inventory'!E3," per vehicle than average peer agency"),CONCATENATE("Fewer ", 'Fleet Inventory'!E3, " per vehicle than the average peer agency"))))</f>
        <v>#DIV/0!</v>
      </c>
      <c r="H9" s="614" t="s">
        <v>114</v>
      </c>
      <c r="I9" s="615"/>
      <c r="J9" s="615"/>
    </row>
    <row r="10" spans="1:10" ht="31.5" customHeight="1" x14ac:dyDescent="0.25">
      <c r="A10" s="610" t="s">
        <v>82</v>
      </c>
      <c r="B10" s="403"/>
      <c r="C10" s="403"/>
      <c r="D10" s="198" t="e">
        <f>B6/B4</f>
        <v>#DIV/0!</v>
      </c>
      <c r="E10" s="199" t="str">
        <f>IF($B$3=Benchmarks!$B$2,Benchmarks!B14,IF($B$3=Benchmarks!$D$2,Benchmarks!D14,IF($B$3=Benchmarks!$F$2,Benchmarks!F14,IF($B$3=Benchmarks!$H$2,Benchmarks!H14,IF($B$3=Benchmarks!$J$2,Benchmarks!J14,IF($B$3=Benchmarks!$L$2,Benchmarks!L14,""))))))</f>
        <v/>
      </c>
      <c r="F10" s="199" t="str">
        <f>IF($B$3=Benchmarks!$B$2,Benchmarks!C14,IF($B$3=Benchmarks!$D$2,Benchmarks!E14,IF($B$3=Benchmarks!$F$2,Benchmarks!G14,IF($B$3=Benchmarks!$H$2,Benchmarks!I14,IF($B$3=Benchmarks!$J$2,Benchmarks!K14,IF($B$3=Benchmarks!$L$2,Benchmarks!M14,""))))))</f>
        <v/>
      </c>
      <c r="G10" s="200" t="e">
        <f>IF(D10&gt;(E10+F10),"Significantly more hours operated per vehicle than average peer agency",IF(D10&gt;E10,"More hours operated per vehicle than average peer agency",IF(D10&lt;(E10-F10),"Significantly fewer hours operated per vehicle than average peer agency","Fewer hours operated per vehicle than average peer agency")))</f>
        <v>#DIV/0!</v>
      </c>
      <c r="H10" s="616"/>
      <c r="I10" s="617"/>
      <c r="J10" s="617"/>
    </row>
    <row r="11" spans="1:10" ht="31.5" customHeight="1" x14ac:dyDescent="0.25">
      <c r="A11" s="610" t="str">
        <f>CONCATENATE("Average ",'Fleet Inventory'!E3," Per Hour of Operation")</f>
        <v>Average  Per Hour of Operation</v>
      </c>
      <c r="B11" s="403"/>
      <c r="C11" s="403"/>
      <c r="D11" s="201" t="e">
        <f>D9/D10</f>
        <v>#DIV/0!</v>
      </c>
      <c r="E11" s="199" t="str">
        <f>IF($B$3=Benchmarks!$B$2,Benchmarks!B15,IF($B$3=Benchmarks!$D$2,Benchmarks!D15,IF($B$3=Benchmarks!$F$2,Benchmarks!F15,IF($B$3=Benchmarks!$H$2,Benchmarks!H15,IF($B$3=Benchmarks!$J$2,Benchmarks!J15,IF($B$3=Benchmarks!$L$2,Benchmarks!L15,""))))))</f>
        <v/>
      </c>
      <c r="F11" s="199" t="str">
        <f>IF($B$3=Benchmarks!$B$2,Benchmarks!C15,IF($B$3=Benchmarks!$D$2,Benchmarks!E15,IF($B$3=Benchmarks!$F$2,Benchmarks!G15,IF($B$3=Benchmarks!$H$2,Benchmarks!I15,IF($B$3=Benchmarks!$J$2,Benchmarks!K15,IF($B$3=Benchmarks!$L$2,Benchmarks!M15,""))))))</f>
        <v/>
      </c>
      <c r="G11" s="200" t="e">
        <f>IF(D11&gt;(E11+F11),CONCATENATE("Significantly higher ",'Fleet Inventory'!E3," per hour than average peer agency"),IF(D11&gt;E11,CONCATENATE("Higher ",'Fleet Inventory'!E3," per hour than average peer agency"),IF(D11&lt;(E11-F11),CONCATENATE("Significantly lower ",'Fleet Inventory'!E3," per hour than average peer agency"),CONCATENATE("Lower ",'Fleet Inventory'!E3," per hour than average peer agency"))))</f>
        <v>#DIV/0!</v>
      </c>
      <c r="H11" s="616"/>
      <c r="I11" s="617"/>
      <c r="J11" s="617"/>
    </row>
    <row r="12" spans="1:10" ht="32.25" customHeight="1" x14ac:dyDescent="0.25">
      <c r="A12" s="611" t="s">
        <v>95</v>
      </c>
      <c r="B12" s="612"/>
      <c r="C12" s="612"/>
      <c r="D12" s="202" t="e">
        <f ca="1">'Fleet Inventory'!I21</f>
        <v>#DIV/0!</v>
      </c>
      <c r="E12" s="199" t="str">
        <f>IF($B$3=Benchmarks!$B$2,Benchmarks!B16,IF($B$3=Benchmarks!$D$2,Benchmarks!D16,IF($B$3=Benchmarks!$F$2,Benchmarks!F16,IF($B$3=Benchmarks!$H$2,Benchmarks!H16,IF($B$3=Benchmarks!$J$2,Benchmarks!J16,IF($B$3=Benchmarks!$L$2,Benchmarks!L16,""))))))</f>
        <v/>
      </c>
      <c r="F12" s="199" t="str">
        <f>IF($B$3=Benchmarks!$B$2,Benchmarks!C16,IF($B$3=Benchmarks!$D$2,Benchmarks!E16,IF($B$3=Benchmarks!$F$2,Benchmarks!G16,IF($B$3=Benchmarks!$H$2,Benchmarks!I16,IF($B$3=Benchmarks!$J$2,Benchmarks!K16,IF($B$3=Benchmarks!$L$2,Benchmarks!M16,""))))))</f>
        <v/>
      </c>
      <c r="G12" s="200" t="e">
        <f ca="1">IF(D12&gt;(E12+F12),"Significantly older fleet than average peer agency",IF(D12&gt;E12,"Older fleet than average peer agency",IF(D12&lt;(E12-F12),"Significantly younger fleet than average peer agency","Younger fleet than average peer agency")))</f>
        <v>#DIV/0!</v>
      </c>
      <c r="H12" s="618"/>
      <c r="I12" s="619"/>
      <c r="J12" s="619"/>
    </row>
    <row r="13" spans="1:10" ht="9.75" customHeight="1" x14ac:dyDescent="0.25">
      <c r="A13" s="3"/>
    </row>
    <row r="14" spans="1:10" ht="120" x14ac:dyDescent="0.25">
      <c r="A14" s="196" t="s">
        <v>8</v>
      </c>
      <c r="B14" s="196" t="s">
        <v>210</v>
      </c>
      <c r="C14" s="203" t="s">
        <v>315</v>
      </c>
      <c r="D14" s="292" t="s">
        <v>314</v>
      </c>
      <c r="E14" s="196" t="s">
        <v>10</v>
      </c>
      <c r="F14" s="196" t="s">
        <v>11</v>
      </c>
      <c r="G14" s="197" t="s">
        <v>280</v>
      </c>
    </row>
    <row r="15" spans="1:10" s="28" customFormat="1" ht="30" x14ac:dyDescent="0.25">
      <c r="A15" s="204" t="s">
        <v>321</v>
      </c>
      <c r="B15" s="205" t="e">
        <f>B4/('Results - Staffing Sufficiency'!D4)</f>
        <v>#DIV/0!</v>
      </c>
      <c r="C15" s="206" t="e">
        <f>B4/'Results - Staffing Sufficiency'!B4</f>
        <v>#DIV/0!</v>
      </c>
      <c r="D15" s="293" t="e">
        <f>B4/'Results - Staffing Sufficiency'!E4</f>
        <v>#DIV/0!</v>
      </c>
      <c r="E15" s="205" t="str">
        <f>IF($B$3=Benchmarks!$B$2,Benchmarks!B4,IF($B$3=Benchmarks!$D$2,Benchmarks!D4,IF($B$3=Benchmarks!$F$2,Benchmarks!F4,IF($B$3=Benchmarks!$H$2,Benchmarks!H4,IF($B$3=Benchmarks!$J$2,Benchmarks!J4,IF($B$3=Benchmarks!$L$2,Benchmarks!L4,""))))))</f>
        <v/>
      </c>
      <c r="F15" s="205" t="str">
        <f>IF($B$3=Benchmarks!$B$2,Benchmarks!C4,IF($B$3=Benchmarks!$D$2,Benchmarks!E4,IF($B$3=Benchmarks!$F$2,Benchmarks!G4,IF($B$3=Benchmarks!$H$2,Benchmarks!I4,IF($B$3=Benchmarks!$J$2,Benchmarks!K4,IF($B$3=Benchmarks!$L$2,Benchmarks!M4,""))))))</f>
        <v/>
      </c>
      <c r="G15" s="207" t="e">
        <f>IF('Req Hours - Core Maintenance'!$AR$144=0,"Results Not Applicable-No Entries in Core Maintenance-Only Heavy Repair",IF(B15&gt;(E15+F15),"Significantly lower staffing than average peer agency",IF(B15&gt;E15,"Lower staffing than average peer agency",IF(B15&lt;(E15-F15),"Significantly higher staffing than average peer agency","Higher staffing than average peer agency"))))</f>
        <v>#DIV/0!</v>
      </c>
      <c r="H15" s="602" t="s">
        <v>215</v>
      </c>
      <c r="I15" s="603"/>
      <c r="J15" s="603"/>
    </row>
    <row r="16" spans="1:10" s="28" customFormat="1" x14ac:dyDescent="0.25">
      <c r="A16" s="204" t="str">
        <f>CONCATENATE("Vehicle ",'Fleet Inventory'!E3,"  per FTE Technician")</f>
        <v>Vehicle   per FTE Technician</v>
      </c>
      <c r="B16" s="208" t="e">
        <f>B5/'Results - Staffing Sufficiency'!H25</f>
        <v>#DIV/0!</v>
      </c>
      <c r="C16" s="209" t="e">
        <f>B5/'Results - Staffing Sufficiency'!G26</f>
        <v>#DIV/0!</v>
      </c>
      <c r="D16" s="294" t="e">
        <f>('Fleet Inventory'!M21)/'Results - Staffing Sufficiency'!G27</f>
        <v>#DIV/0!</v>
      </c>
      <c r="E16" s="210" t="str">
        <f>IF($B$3=Benchmarks!$B$2,Benchmarks!B5,IF($B$3=Benchmarks!$D$2,Benchmarks!D5,IF($B$3=Benchmarks!$F$2,Benchmarks!F5,IF($B$3=Benchmarks!$H$2,Benchmarks!H5,IF($B$3=Benchmarks!$J$2,Benchmarks!J5,IF($B$3=Benchmarks!$L$2,Benchmarks!L5,""))))))</f>
        <v/>
      </c>
      <c r="F16" s="210" t="str">
        <f>IF($B$3=Benchmarks!$B$2,Benchmarks!C5,IF($B$3=Benchmarks!$D$2,Benchmarks!E5,IF($B$3=Benchmarks!$F$2,Benchmarks!G5,IF($B$3=Benchmarks!$H$2,Benchmarks!I5,IF($B$3=Benchmarks!$J$2,Benchmarks!K5,IF($B$3=Benchmarks!$L$2,Benchmarks!M5,""))))))</f>
        <v/>
      </c>
      <c r="G16" s="207" t="e">
        <f>IF('Req Hours - Core Maintenance'!$AR$144=0,"Results Not Applicable-No Entries in Core Maintenance-Only Heavy Repair",IF(B16&gt;(E16+F16),"Significantly lower staffing than average peer agency",IF(B16&gt;E16,"Lower staffing than average peer agency",IF(B16&lt;(E16-F16),"Significantly higher staffing than average peer agency","Higher staffing than average peer agency"))))</f>
        <v>#DIV/0!</v>
      </c>
      <c r="H16" s="602"/>
      <c r="I16" s="603"/>
      <c r="J16" s="603"/>
    </row>
    <row r="17" spans="1:11" x14ac:dyDescent="0.25">
      <c r="A17" s="211" t="s">
        <v>12</v>
      </c>
      <c r="B17" s="212" t="e">
        <f>'Results - Staffing Sufficiency'!H25/'Results - Staffing Comparisons'!B4</f>
        <v>#DIV/0!</v>
      </c>
      <c r="C17" s="213" t="e">
        <f>'Results - Staffing Sufficiency'!G26/'Results - Staffing Comparisons'!B4</f>
        <v>#DIV/0!</v>
      </c>
      <c r="D17" s="295" t="e">
        <f>'Results - Staffing Sufficiency'!G27/'Results - Staffing Comparisons'!B4</f>
        <v>#DIV/0!</v>
      </c>
      <c r="E17" s="214" t="str">
        <f>IF($B$3=Benchmarks!$B$2,Benchmarks!B7,IF($B$3=Benchmarks!$D$2,Benchmarks!D7,IF($B$3=Benchmarks!$F$2,Benchmarks!F7,IF($B$3=Benchmarks!$H$2,Benchmarks!H7,IF($B$3=Benchmarks!$J$2,Benchmarks!J7,IF($B$3=Benchmarks!$L$2,Benchmarks!L7,""))))))</f>
        <v/>
      </c>
      <c r="F17" s="214" t="str">
        <f>IF($B$3=Benchmarks!$B$2,Benchmarks!C7,IF($B$3=Benchmarks!$D$2,Benchmarks!E7,IF($B$3=Benchmarks!$F$2,Benchmarks!G7,IF($B$3=Benchmarks!$H$2,Benchmarks!I7,IF($B$3=Benchmarks!$J$2,Benchmarks!K7,IF($B$3=Benchmarks!$L$2,Benchmarks!M7,""))))))</f>
        <v/>
      </c>
      <c r="G17" s="215" t="e">
        <f>IF('Req Hours - Core Maintenance'!$AR$144=0,"Results Not Applicable-No Entries in Core Maintenance-Only Heavy Repair",IF(B17&gt;(E17+F17),"Significantly higher staffing than average peer agency",IF(B17&gt;E17,"Higher staffing than average peer agency",IF(B17&lt;(E17-F17),"Significantly Lower staffing than average peer agency","Lower staffing than average peer agency"))))</f>
        <v>#DIV/0!</v>
      </c>
      <c r="H17" s="606" t="s">
        <v>106</v>
      </c>
      <c r="I17" s="607"/>
      <c r="J17" s="607"/>
    </row>
    <row r="18" spans="1:11" ht="30" x14ac:dyDescent="0.25">
      <c r="A18" s="211" t="str">
        <f>CONCATENATE("FTE Technicians per 10k Vehicle ", 'Fleet Inventory'!E3)</f>
        <v xml:space="preserve">FTE Technicians per 10k Vehicle </v>
      </c>
      <c r="B18" s="212" t="e">
        <f>'Results - Staffing Sufficiency'!H25/('Results - Staffing Comparisons'!B5/10000)</f>
        <v>#DIV/0!</v>
      </c>
      <c r="C18" s="213" t="e">
        <f>'Results - Staffing Sufficiency'!G26/('Results - Staffing Comparisons'!B5/10000)</f>
        <v>#DIV/0!</v>
      </c>
      <c r="D18" s="295" t="e">
        <f>'Results - Staffing Sufficiency'!G27/('Fleet Inventory'!M21/10000)</f>
        <v>#DIV/0!</v>
      </c>
      <c r="E18" s="214" t="str">
        <f>IF($B$3=Benchmarks!$B$2,Benchmarks!B8,IF($B$3=Benchmarks!$D$2,Benchmarks!D8,IF($B$3=Benchmarks!$F$2,Benchmarks!F8,IF($B$3=Benchmarks!$H$2,Benchmarks!H8,IF($B$3=Benchmarks!$J$2,Benchmarks!J8,IF($B$3=Benchmarks!$L$2,Benchmarks!L8,""))))))</f>
        <v/>
      </c>
      <c r="F18" s="214" t="str">
        <f>IF($B$3=Benchmarks!$B$2,Benchmarks!C8,IF($B$3=Benchmarks!$D$2,Benchmarks!E8,IF($B$3=Benchmarks!$F$2,Benchmarks!G8,IF($B$3=Benchmarks!$H$2,Benchmarks!I8,IF($B$3=Benchmarks!$J$2,Benchmarks!K8,IF($B$3=Benchmarks!$L$2,Benchmarks!M8,""))))))</f>
        <v/>
      </c>
      <c r="G18" s="215" t="e">
        <f>IF('Req Hours - Core Maintenance'!$AR$144=0,"Results Not Applicable-No Entries in Core Maintenance-Only Heavy Repair",IF(B18&gt;(E18+F18),"Significantly higher staffing than average peer agency",IF(B18&gt;E18,"Higher staffing than average peer agency",IF(B18&lt;(E18-F18),"Significantly Lower staffing than average peer agency","Lower staffing than average peer agency"))))</f>
        <v>#DIV/0!</v>
      </c>
      <c r="H18" s="606"/>
      <c r="I18" s="607"/>
      <c r="J18" s="607"/>
      <c r="K18" t="s">
        <v>120</v>
      </c>
    </row>
    <row r="19" spans="1:11" ht="45" x14ac:dyDescent="0.25">
      <c r="A19" s="211" t="s">
        <v>218</v>
      </c>
      <c r="B19" s="216" t="e">
        <f>'Results - Staffing Sufficiency'!C5/'Results - Staffing Comparisons'!B4</f>
        <v>#DIV/0!</v>
      </c>
      <c r="C19" s="217" t="e">
        <f>'Results - Staffing Sufficiency'!B5/'Results - Staffing Comparisons'!B4</f>
        <v>#DIV/0!</v>
      </c>
      <c r="D19" s="296" t="e">
        <f>'Results - Staffing Sufficiency'!E5/'Results - Staffing Comparisons'!B4</f>
        <v>#DIV/0!</v>
      </c>
      <c r="E19" s="218" t="str">
        <f>IF($B$3=Benchmarks!$B$2,Benchmarks!B10,IF($B$3=Benchmarks!$D$2,Benchmarks!D10,IF($B$3=Benchmarks!$F$2,Benchmarks!F10,IF($B$3=Benchmarks!$H$2,Benchmarks!H10,IF($B$3=Benchmarks!$J$2,Benchmarks!J10,IF($B$3=Benchmarks!$L$2,Benchmarks!L10,""))))))</f>
        <v/>
      </c>
      <c r="F19" s="218" t="str">
        <f>IF($B$3=Benchmarks!$B$2,Benchmarks!C10,IF($B$3=Benchmarks!$D$2,Benchmarks!E10,IF($B$3=Benchmarks!$F$2,Benchmarks!G10,IF($B$3=Benchmarks!$H$2,Benchmarks!I10,IF($B$3=Benchmarks!$J$2,Benchmarks!K10,IF($B$3=Benchmarks!$L$2,Benchmarks!M10,""))))))</f>
        <v/>
      </c>
      <c r="G19" s="215" t="e">
        <f>IF('Req Hours - Core Maintenance'!$AR$144=0,"Results Not Applicable-No Entries in Core Maintenance-Only Heavy Repair",IF(B19&gt;(E19+F19),"Significantly higher staffing than average peer agency",IF(B19&gt;E19,"Higher staffing than average peer agency",IF(B19&lt;(E19-F19),"Significantly Lower staffing than average peer agency","Lower staffing than average peer agency"))))</f>
        <v>#DIV/0!</v>
      </c>
      <c r="H19" s="606"/>
      <c r="I19" s="607"/>
      <c r="J19" s="607"/>
    </row>
    <row r="20" spans="1:11" ht="30" x14ac:dyDescent="0.25">
      <c r="A20" s="211" t="str">
        <f>CONCATENATE("Annual Maintenance Hours per 10k Vehicle ",'Fleet Inventory'!E3)</f>
        <v xml:space="preserve">Annual Maintenance Hours per 10k Vehicle </v>
      </c>
      <c r="B20" s="216" t="e">
        <f>'Results - Staffing Sufficiency'!C5/(B5/10000)</f>
        <v>#DIV/0!</v>
      </c>
      <c r="C20" s="219" t="e">
        <f>'Results - Staffing Sufficiency'!B5/(B5/10000)</f>
        <v>#DIV/0!</v>
      </c>
      <c r="D20" s="296" t="e">
        <f>'Results - Staffing Sufficiency'!E5/('Fleet Inventory'!M21/10000)</f>
        <v>#DIV/0!</v>
      </c>
      <c r="E20" s="218" t="str">
        <f>IF($B$3=Benchmarks!$B$2,Benchmarks!B11,IF($B$3=Benchmarks!$D$2,Benchmarks!D11,IF($B$3=Benchmarks!$F$2,Benchmarks!F11,IF($B$3=Benchmarks!$H$2,Benchmarks!H11,IF($B$3=Benchmarks!$J$2,Benchmarks!J11,IF($B$3=Benchmarks!$L$2,Benchmarks!L11,""))))))</f>
        <v/>
      </c>
      <c r="F20" s="218" t="str">
        <f>IF($B$3=Benchmarks!$B$2,Benchmarks!C11,IF($B$3=Benchmarks!$D$2,Benchmarks!E11,IF($B$3=Benchmarks!$F$2,Benchmarks!G11,IF($B$3=Benchmarks!$H$2,Benchmarks!I11,IF($B$3=Benchmarks!$J$2,Benchmarks!K11,IF($B$3=Benchmarks!$L$2,Benchmarks!M11,""))))))</f>
        <v/>
      </c>
      <c r="G20" s="215" t="e">
        <f>IF('Req Hours - Core Maintenance'!$AR$144=0,"Results Not Applicable-No Entries in Core Maintenance-Only Heavy Repair",IF(B20&gt;(E20+F20),"Significantly higher staffing than average peer agency",IF(B20&gt;E20,"Higher staffing than average peer agency",IF(B20&lt;(E20-F20),"Significantly Lower staffing than average peer agency","Lower staffing than average peer agency"))))</f>
        <v>#DIV/0!</v>
      </c>
      <c r="H20" s="606"/>
      <c r="I20" s="607"/>
      <c r="J20" s="607"/>
    </row>
    <row r="21" spans="1:11" ht="9.75" customHeight="1" x14ac:dyDescent="0.25">
      <c r="A21" s="373"/>
      <c r="B21" s="373"/>
      <c r="C21" s="373"/>
      <c r="D21" s="373"/>
      <c r="E21" s="373"/>
      <c r="F21" s="373"/>
      <c r="G21" s="373"/>
      <c r="H21" s="373"/>
      <c r="I21" s="373"/>
      <c r="J21" s="373"/>
    </row>
    <row r="22" spans="1:11" ht="9.75" customHeight="1" x14ac:dyDescent="0.25"/>
    <row r="23" spans="1:11" ht="54" customHeight="1" x14ac:dyDescent="0.25">
      <c r="A23" s="604" t="s">
        <v>330</v>
      </c>
      <c r="B23" s="605"/>
      <c r="C23" s="605"/>
      <c r="D23" s="605"/>
      <c r="E23" s="605"/>
      <c r="F23" s="605"/>
      <c r="G23" s="605"/>
      <c r="H23" s="605"/>
      <c r="I23" s="605"/>
      <c r="J23" s="605"/>
    </row>
    <row r="24" spans="1:11" ht="9" customHeight="1" x14ac:dyDescent="0.25"/>
    <row r="25" spans="1:11" x14ac:dyDescent="0.25">
      <c r="A25" s="592" t="s">
        <v>159</v>
      </c>
      <c r="B25" s="593"/>
      <c r="C25" s="593"/>
      <c r="D25" s="593"/>
      <c r="E25" s="593"/>
      <c r="F25" s="593"/>
      <c r="G25" s="593"/>
      <c r="H25" s="593"/>
      <c r="I25" s="593"/>
      <c r="J25" s="593"/>
    </row>
    <row r="26" spans="1:11" x14ac:dyDescent="0.25">
      <c r="A26" s="594"/>
      <c r="B26" s="595"/>
      <c r="C26" s="595"/>
      <c r="D26" s="595"/>
      <c r="E26" s="595"/>
      <c r="F26" s="595"/>
      <c r="G26" s="595"/>
      <c r="H26" s="595"/>
      <c r="I26" s="595"/>
      <c r="J26" s="595"/>
    </row>
    <row r="27" spans="1:11" x14ac:dyDescent="0.25">
      <c r="A27" s="594"/>
      <c r="B27" s="595"/>
      <c r="C27" s="595"/>
      <c r="D27" s="595"/>
      <c r="E27" s="595"/>
      <c r="F27" s="595"/>
      <c r="G27" s="595"/>
      <c r="H27" s="595"/>
      <c r="I27" s="595"/>
      <c r="J27" s="595"/>
    </row>
    <row r="28" spans="1:11" x14ac:dyDescent="0.25">
      <c r="A28" s="596"/>
      <c r="B28" s="597"/>
      <c r="C28" s="597"/>
      <c r="D28" s="597"/>
      <c r="E28" s="597"/>
      <c r="F28" s="597"/>
      <c r="G28" s="597"/>
      <c r="H28" s="597"/>
      <c r="I28" s="597"/>
      <c r="J28" s="597"/>
    </row>
    <row r="29" spans="1:11" ht="9" customHeight="1" x14ac:dyDescent="0.25"/>
    <row r="30" spans="1:11" x14ac:dyDescent="0.25">
      <c r="A30" s="613" t="s">
        <v>307</v>
      </c>
      <c r="B30" s="574"/>
      <c r="C30" s="574"/>
      <c r="D30" s="574"/>
      <c r="E30" s="574"/>
      <c r="F30" s="574"/>
      <c r="G30" s="574"/>
      <c r="H30" s="574"/>
      <c r="I30" s="574"/>
      <c r="J30" s="574"/>
    </row>
    <row r="31" spans="1:11" x14ac:dyDescent="0.25">
      <c r="A31" s="577"/>
      <c r="B31" s="578"/>
      <c r="C31" s="578"/>
      <c r="D31" s="578"/>
      <c r="E31" s="578"/>
      <c r="F31" s="578"/>
      <c r="G31" s="578"/>
      <c r="H31" s="578"/>
      <c r="I31" s="578"/>
      <c r="J31" s="578"/>
    </row>
  </sheetData>
  <mergeCells count="17">
    <mergeCell ref="A30:J31"/>
    <mergeCell ref="H9:J12"/>
    <mergeCell ref="A1:J1"/>
    <mergeCell ref="A25:J28"/>
    <mergeCell ref="B3:J3"/>
    <mergeCell ref="B4:E4"/>
    <mergeCell ref="B5:E5"/>
    <mergeCell ref="B6:E6"/>
    <mergeCell ref="H15:J16"/>
    <mergeCell ref="A21:J21"/>
    <mergeCell ref="A23:J23"/>
    <mergeCell ref="H17:J20"/>
    <mergeCell ref="A8:C8"/>
    <mergeCell ref="A9:C9"/>
    <mergeCell ref="A10:C10"/>
    <mergeCell ref="A11:C11"/>
    <mergeCell ref="A12:C12"/>
  </mergeCells>
  <printOptions headings="1"/>
  <pageMargins left="0.7" right="0.7" top="0.75" bottom="0.75" header="0.3" footer="0.3"/>
  <pageSetup scale="70" orientation="landscape" verticalDpi="1200" r:id="rId1"/>
  <headerFooter>
    <oddHeader>&amp;C&amp;A</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Disclaimers and Instructions</vt:lpstr>
      <vt:lpstr>Fleet Inventory</vt:lpstr>
      <vt:lpstr>Existing Staff</vt:lpstr>
      <vt:lpstr>Req Hours - Core Maintenance</vt:lpstr>
      <vt:lpstr>Sheet2</vt:lpstr>
      <vt:lpstr>Req Hours - Hvy Rep_Overhaul</vt:lpstr>
      <vt:lpstr>DropDown Lists</vt:lpstr>
      <vt:lpstr>Results - Staffing Sufficiency</vt:lpstr>
      <vt:lpstr>Results - Staffing Comparisons</vt:lpstr>
      <vt:lpstr>Benchmarks</vt:lpstr>
      <vt:lpstr>Sheet6</vt:lpstr>
      <vt:lpstr>Sheet1</vt:lpstr>
      <vt:lpstr>'Existing Staff'!Print_Area</vt:lpstr>
      <vt:lpstr>'Fleet Inventory'!Print_Area</vt:lpstr>
      <vt:lpstr>'Req Hours - Core Maintenance'!Print_Area</vt:lpstr>
      <vt:lpstr>'Req Hours - Hvy Rep_Overhaul'!Print_Area</vt:lpstr>
      <vt:lpstr>'Results - Staffing Comparisons'!Print_Area</vt:lpstr>
      <vt:lpstr>'Results - Staffing Sufficiency'!Print_Area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Brundage</dc:creator>
  <cp:lastModifiedBy>Brian Lester</cp:lastModifiedBy>
  <cp:lastPrinted>2015-04-04T15:40:11Z</cp:lastPrinted>
  <dcterms:created xsi:type="dcterms:W3CDTF">2014-01-23T12:55:47Z</dcterms:created>
  <dcterms:modified xsi:type="dcterms:W3CDTF">2015-12-11T19:14:49Z</dcterms:modified>
</cp:coreProperties>
</file>